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ts000064\Downloads\"/>
    </mc:Choice>
  </mc:AlternateContent>
  <xr:revisionPtr revIDLastSave="0" documentId="8_{93D8439D-CE05-4A97-87F7-AFF88E2E8F6D}" xr6:coauthVersionLast="47" xr6:coauthVersionMax="47" xr10:uidLastSave="{00000000-0000-0000-0000-000000000000}"/>
  <bookViews>
    <workbookView xWindow="-110" yWindow="-110" windowWidth="19420" windowHeight="10300" activeTab="2" xr2:uid="{00000000-000D-0000-FFFF-FFFF00000000}"/>
  </bookViews>
  <sheets>
    <sheet name="Export Summary" sheetId="1" r:id="rId1"/>
    <sheet name="Guidance and version" sheetId="2" r:id="rId2"/>
    <sheet name="PF calculator" sheetId="3" r:id="rId3"/>
    <sheet name="Economic summary" sheetId="4" r:id="rId4"/>
    <sheet name="Policy assumptions and formulae" sheetId="5" r:id="rId5"/>
    <sheet name="pv calculator" sheetId="6" r:id="rId6"/>
    <sheet name="SA1" sheetId="7" r:id="rId7"/>
    <sheet name="SA2" sheetId="8" r:id="rId8"/>
    <sheet name="SA3" sheetId="9" r:id="rId9"/>
    <sheet name="SA4" sheetId="10" r:id="rId10"/>
    <sheet name="SA5" sheetId="11" r:id="rId11"/>
    <sheet name="SA6" sheetId="12" r:id="rId12"/>
    <sheet name="SA7"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5" i="13" l="1" a="1"/>
  <c r="F105" i="13" s="1"/>
  <c r="B92" i="13" a="1"/>
  <c r="B92" i="13" s="1"/>
  <c r="J90" i="13" a="1"/>
  <c r="J90" i="13"/>
  <c r="I90" i="13" a="1"/>
  <c r="I90" i="13"/>
  <c r="H90" i="13" a="1"/>
  <c r="H90" i="13" s="1"/>
  <c r="L90" i="13" s="1" a="1"/>
  <c r="L90" i="13" s="1"/>
  <c r="F90" i="13" a="1"/>
  <c r="F90" i="13" s="1"/>
  <c r="E90" i="13" a="1"/>
  <c r="E90" i="13" s="1"/>
  <c r="D90" i="13" a="1"/>
  <c r="D90" i="13" s="1"/>
  <c r="J89" i="13" a="1"/>
  <c r="J89" i="13"/>
  <c r="I89" i="13" a="1"/>
  <c r="I89" i="13" s="1"/>
  <c r="H89" i="13" a="1"/>
  <c r="H89" i="13"/>
  <c r="F89" i="13" a="1"/>
  <c r="F89" i="13" s="1"/>
  <c r="E89" i="13" a="1"/>
  <c r="E89" i="13" s="1"/>
  <c r="D89" i="13" a="1"/>
  <c r="D89" i="13" s="1"/>
  <c r="J88" i="13" a="1"/>
  <c r="J88" i="13" s="1"/>
  <c r="L88" i="13" s="1" a="1"/>
  <c r="L88" i="13" s="1"/>
  <c r="I88" i="13" a="1"/>
  <c r="I88" i="13"/>
  <c r="H88" i="13" a="1"/>
  <c r="H88" i="13" s="1"/>
  <c r="F88" i="13" a="1"/>
  <c r="F88" i="13" s="1"/>
  <c r="E88" i="13" a="1"/>
  <c r="E88" i="13"/>
  <c r="D88" i="13" a="1"/>
  <c r="D88" i="13"/>
  <c r="J87" i="13" a="1"/>
  <c r="J87" i="13"/>
  <c r="I87" i="13" a="1"/>
  <c r="I87" i="13" s="1"/>
  <c r="H87" i="13" a="1"/>
  <c r="H87" i="13" s="1"/>
  <c r="F87" i="13" a="1"/>
  <c r="F87" i="13" s="1"/>
  <c r="E87" i="13" a="1"/>
  <c r="E87" i="13"/>
  <c r="D87" i="13" a="1"/>
  <c r="D87" i="13" s="1"/>
  <c r="P86" i="13" a="1"/>
  <c r="P86" i="13" s="1"/>
  <c r="R86" i="13" s="1" a="1"/>
  <c r="R86" i="13" s="1"/>
  <c r="J86" i="13" a="1"/>
  <c r="J86" i="13"/>
  <c r="L86" i="13" s="1" a="1"/>
  <c r="L86" i="13" s="1"/>
  <c r="I86" i="13" a="1"/>
  <c r="I86" i="13"/>
  <c r="H86" i="13" a="1"/>
  <c r="H86" i="13" s="1"/>
  <c r="F86" i="13" a="1"/>
  <c r="F86" i="13"/>
  <c r="E86" i="13" a="1"/>
  <c r="E86" i="13" s="1"/>
  <c r="D86" i="13" a="1"/>
  <c r="D86" i="13" s="1"/>
  <c r="P85" i="13" a="1"/>
  <c r="P85" i="13"/>
  <c r="R85" i="13" s="1" a="1"/>
  <c r="R85" i="13" s="1"/>
  <c r="L85" i="13" a="1"/>
  <c r="L85" i="13" s="1"/>
  <c r="J85" i="13" a="1"/>
  <c r="J85" i="13"/>
  <c r="I85" i="13" a="1"/>
  <c r="I85" i="13" s="1"/>
  <c r="H85" i="13" a="1"/>
  <c r="H85" i="13" s="1"/>
  <c r="F85" i="13" a="1"/>
  <c r="F85" i="13"/>
  <c r="E85" i="13" a="1"/>
  <c r="E85" i="13"/>
  <c r="D85" i="13" a="1"/>
  <c r="D85" i="13" s="1"/>
  <c r="P84" i="13" a="1"/>
  <c r="P84" i="13" s="1"/>
  <c r="R84" i="13" s="1" a="1"/>
  <c r="R84" i="13" s="1"/>
  <c r="D104" i="13" s="1" a="1"/>
  <c r="D104" i="13" s="1"/>
  <c r="J84" i="13" a="1"/>
  <c r="J84" i="13" s="1"/>
  <c r="I84" i="13" a="1"/>
  <c r="I84" i="13"/>
  <c r="H84" i="13" a="1"/>
  <c r="H84" i="13" s="1"/>
  <c r="F84" i="13" a="1"/>
  <c r="F84" i="13"/>
  <c r="E84" i="13" a="1"/>
  <c r="E84" i="13" s="1"/>
  <c r="D84" i="13" a="1"/>
  <c r="D84" i="13" s="1"/>
  <c r="J83" i="13" a="1"/>
  <c r="J83" i="13" s="1"/>
  <c r="I83" i="13" a="1"/>
  <c r="I83" i="13"/>
  <c r="H83" i="13" a="1"/>
  <c r="H83" i="13" s="1"/>
  <c r="F83" i="13" a="1"/>
  <c r="F83" i="13" s="1"/>
  <c r="E83" i="13" a="1"/>
  <c r="E83" i="13" s="1"/>
  <c r="D83" i="13" a="1"/>
  <c r="D83" i="13"/>
  <c r="B79" i="13" a="1"/>
  <c r="B79" i="13" s="1"/>
  <c r="G76" i="13" a="1"/>
  <c r="G76" i="13"/>
  <c r="F76" i="13" a="1"/>
  <c r="F76" i="13"/>
  <c r="O75" i="13" a="1"/>
  <c r="O75" i="13"/>
  <c r="N75" i="13" a="1"/>
  <c r="N75" i="13" s="1"/>
  <c r="G75" i="13" a="1"/>
  <c r="G75" i="13" s="1"/>
  <c r="F75" i="13" a="1"/>
  <c r="F75" i="13" s="1"/>
  <c r="O74" i="13" a="1"/>
  <c r="O74" i="13" s="1"/>
  <c r="N74" i="13" a="1"/>
  <c r="N74" i="13"/>
  <c r="G74" i="13" a="1"/>
  <c r="G74" i="13" s="1"/>
  <c r="F74" i="13" a="1"/>
  <c r="F74" i="13" s="1"/>
  <c r="B71" i="13" a="1"/>
  <c r="B71" i="13" s="1"/>
  <c r="J68" i="13" a="1"/>
  <c r="J68" i="13"/>
  <c r="I68" i="13" a="1"/>
  <c r="I68" i="13" s="1"/>
  <c r="H68" i="13" a="1"/>
  <c r="H68" i="13" s="1"/>
  <c r="G68" i="13" a="1"/>
  <c r="G68" i="13" s="1"/>
  <c r="F68" i="13" a="1"/>
  <c r="F68" i="13" s="1"/>
  <c r="J67" i="13" a="1"/>
  <c r="J67" i="13" s="1"/>
  <c r="I67" i="13" a="1"/>
  <c r="I67" i="13"/>
  <c r="H67" i="13" a="1"/>
  <c r="H67" i="13"/>
  <c r="G67" i="13" a="1"/>
  <c r="G67" i="13" s="1"/>
  <c r="F67" i="13" a="1"/>
  <c r="F67" i="13"/>
  <c r="J66" i="13" a="1"/>
  <c r="J66" i="13" s="1"/>
  <c r="I66" i="13" a="1"/>
  <c r="I66" i="13" s="1"/>
  <c r="H66" i="13" a="1"/>
  <c r="H66" i="13" s="1"/>
  <c r="G66" i="13" a="1"/>
  <c r="G66" i="13" s="1"/>
  <c r="F66" i="13" a="1"/>
  <c r="F66" i="13" s="1"/>
  <c r="J63" i="13" a="1"/>
  <c r="J63" i="13" s="1"/>
  <c r="I63" i="13" a="1"/>
  <c r="I63" i="13" s="1"/>
  <c r="H63" i="13" a="1"/>
  <c r="H63" i="13" s="1"/>
  <c r="G63" i="13" a="1"/>
  <c r="G63" i="13"/>
  <c r="M63" i="13" s="1" a="1"/>
  <c r="M63" i="13" s="1"/>
  <c r="J62" i="13" a="1"/>
  <c r="J62" i="13" s="1"/>
  <c r="P62" i="13" s="1" a="1"/>
  <c r="P62" i="13" s="1"/>
  <c r="I62" i="13" a="1"/>
  <c r="I62" i="13" s="1"/>
  <c r="H62" i="13" a="1"/>
  <c r="H62" i="13"/>
  <c r="G62" i="13" a="1"/>
  <c r="G62" i="13" s="1"/>
  <c r="J61" i="13" a="1"/>
  <c r="J61" i="13" s="1"/>
  <c r="I61" i="13" a="1"/>
  <c r="I61" i="13"/>
  <c r="H61" i="13" a="1"/>
  <c r="H61" i="13"/>
  <c r="G61" i="13" a="1"/>
  <c r="G61" i="13" s="1"/>
  <c r="E58" i="13" a="1"/>
  <c r="E58" i="13" s="1"/>
  <c r="B56" i="13" a="1"/>
  <c r="B56" i="13" s="1"/>
  <c r="J53" i="13" a="1"/>
  <c r="J53" i="13" s="1"/>
  <c r="I53" i="13" a="1"/>
  <c r="I53" i="13"/>
  <c r="H53" i="13" a="1"/>
  <c r="H53" i="13"/>
  <c r="G53" i="13" a="1"/>
  <c r="G53" i="13" s="1"/>
  <c r="F53" i="13" a="1"/>
  <c r="F53" i="13"/>
  <c r="J52" i="13" a="1"/>
  <c r="J52" i="13"/>
  <c r="I52" i="13" a="1"/>
  <c r="I52" i="13" s="1"/>
  <c r="H52" i="13" a="1"/>
  <c r="H52" i="13" s="1"/>
  <c r="G52" i="13" a="1"/>
  <c r="G52" i="13" s="1"/>
  <c r="F52" i="13" a="1"/>
  <c r="F52" i="13" s="1"/>
  <c r="J51" i="13" a="1"/>
  <c r="J51" i="13" s="1"/>
  <c r="I51" i="13" a="1"/>
  <c r="I51" i="13" s="1"/>
  <c r="H51" i="13" a="1"/>
  <c r="H51" i="13" s="1"/>
  <c r="G51" i="13" a="1"/>
  <c r="G51" i="13" s="1"/>
  <c r="F51" i="13" a="1"/>
  <c r="F51" i="13" s="1"/>
  <c r="J48" i="13" a="1"/>
  <c r="J48" i="13"/>
  <c r="I48" i="13" a="1"/>
  <c r="I48" i="13" s="1"/>
  <c r="H48" i="13" a="1"/>
  <c r="H48" i="13"/>
  <c r="G48" i="13" a="1"/>
  <c r="G48" i="13" s="1"/>
  <c r="J47" i="13" a="1"/>
  <c r="J47" i="13" s="1"/>
  <c r="I47" i="13" a="1"/>
  <c r="I47" i="13" s="1"/>
  <c r="H47" i="13" a="1"/>
  <c r="H47" i="13" s="1"/>
  <c r="G47" i="13" a="1"/>
  <c r="G47" i="13" s="1"/>
  <c r="N46" i="13" a="1"/>
  <c r="N46" i="13" s="1"/>
  <c r="J46" i="13" a="1"/>
  <c r="J46" i="13" s="1"/>
  <c r="I46" i="13" a="1"/>
  <c r="I46" i="13" s="1"/>
  <c r="H46" i="13" a="1"/>
  <c r="H46" i="13" s="1"/>
  <c r="G46" i="13" a="1"/>
  <c r="G46" i="13"/>
  <c r="B43" i="13" a="1"/>
  <c r="B43" i="13" s="1"/>
  <c r="E41" i="13" a="1"/>
  <c r="E41" i="13" s="1"/>
  <c r="D96" i="13" s="1" a="1"/>
  <c r="D96" i="13" s="1"/>
  <c r="B41" i="13" a="1"/>
  <c r="B41" i="13" s="1"/>
  <c r="E39" i="13" a="1"/>
  <c r="E39" i="13" s="1"/>
  <c r="B39" i="13" a="1"/>
  <c r="B39" i="13" s="1"/>
  <c r="E38" i="13" a="1"/>
  <c r="E38" i="13"/>
  <c r="B38" i="13" a="1"/>
  <c r="B38" i="13" s="1"/>
  <c r="E37" i="13" a="1"/>
  <c r="E37" i="13" s="1"/>
  <c r="B35" i="13" a="1"/>
  <c r="B35" i="13" s="1"/>
  <c r="E32" i="13" a="1"/>
  <c r="E32" i="13" s="1"/>
  <c r="Q31" i="13" a="1"/>
  <c r="Q31" i="13" s="1"/>
  <c r="O31" i="13" a="1"/>
  <c r="O31" i="13" s="1"/>
  <c r="M31" i="13" a="1"/>
  <c r="M31" i="13" s="1"/>
  <c r="K31" i="13" a="1"/>
  <c r="K31" i="13"/>
  <c r="Q30" i="13" a="1"/>
  <c r="Q30" i="13" s="1"/>
  <c r="O30" i="13" a="1"/>
  <c r="O30" i="13" s="1"/>
  <c r="M30" i="13" a="1"/>
  <c r="M30" i="13" s="1"/>
  <c r="K30" i="13" a="1"/>
  <c r="K30" i="13"/>
  <c r="E30" i="13" a="1"/>
  <c r="E30" i="13"/>
  <c r="Q29" i="13" a="1"/>
  <c r="Q29" i="13" s="1"/>
  <c r="O29" i="13" a="1"/>
  <c r="O29" i="13"/>
  <c r="M29" i="13" a="1"/>
  <c r="M29" i="13" s="1"/>
  <c r="K29" i="13" a="1"/>
  <c r="K29" i="13" s="1"/>
  <c r="E29" i="13" a="1"/>
  <c r="E29" i="13"/>
  <c r="O28" i="13" a="1"/>
  <c r="O28" i="13" s="1"/>
  <c r="O32" i="13" s="1" a="1"/>
  <c r="O32" i="13" s="1"/>
  <c r="M28" i="13" a="1"/>
  <c r="M28" i="13" s="1"/>
  <c r="M32" i="13" s="1" a="1"/>
  <c r="M32" i="13" s="1"/>
  <c r="K33" i="13" s="1" a="1"/>
  <c r="K33" i="13" s="1"/>
  <c r="K28" i="13" a="1"/>
  <c r="K28" i="13"/>
  <c r="K32" i="13" s="1" a="1"/>
  <c r="K32" i="13" s="1"/>
  <c r="E28" i="13" a="1"/>
  <c r="E28" i="13" s="1"/>
  <c r="E31" i="13" s="1" a="1"/>
  <c r="E31" i="13" s="1"/>
  <c r="E33" i="13" s="1" a="1"/>
  <c r="E33" i="13" s="1"/>
  <c r="E17" i="13" a="1"/>
  <c r="E17" i="13" s="1"/>
  <c r="B15" i="13" a="1"/>
  <c r="B15" i="13" s="1"/>
  <c r="D11" i="13" a="1"/>
  <c r="D11" i="13" s="1"/>
  <c r="D10" i="13" a="1"/>
  <c r="D10" i="13" s="1"/>
  <c r="D9" i="13" a="1"/>
  <c r="D9" i="13" s="1"/>
  <c r="O8" i="13" a="1"/>
  <c r="O8" i="13" s="1"/>
  <c r="M8" i="13" a="1"/>
  <c r="M8" i="13" s="1"/>
  <c r="D8" i="13" a="1"/>
  <c r="D8" i="13"/>
  <c r="M7" i="13" a="1"/>
  <c r="M7" i="13" s="1"/>
  <c r="H27" i="13" s="1" a="1"/>
  <c r="H27" i="13" s="1"/>
  <c r="D7" i="13" a="1"/>
  <c r="D7" i="13" s="1"/>
  <c r="B5" i="13" a="1"/>
  <c r="B5" i="13"/>
  <c r="B4" i="13" a="1"/>
  <c r="B4" i="13" s="1"/>
  <c r="F105" i="12" a="1"/>
  <c r="F105" i="12" s="1"/>
  <c r="D96" i="12" a="1"/>
  <c r="D96" i="12" s="1"/>
  <c r="B92" i="12" a="1"/>
  <c r="B92" i="12" s="1"/>
  <c r="J90" i="12" a="1"/>
  <c r="J90" i="12" s="1"/>
  <c r="I90" i="12" a="1"/>
  <c r="I90" i="12" s="1"/>
  <c r="H90" i="12" a="1"/>
  <c r="H90" i="12" s="1"/>
  <c r="L90" i="12" s="1" a="1"/>
  <c r="L90" i="12" s="1"/>
  <c r="F90" i="12" a="1"/>
  <c r="F90" i="12"/>
  <c r="E90" i="12" a="1"/>
  <c r="E90" i="12"/>
  <c r="D90" i="12" a="1"/>
  <c r="D90" i="12" s="1"/>
  <c r="J89" i="12" a="1"/>
  <c r="J89" i="12" s="1"/>
  <c r="I89" i="12" a="1"/>
  <c r="I89" i="12" s="1"/>
  <c r="H89" i="12" a="1"/>
  <c r="H89" i="12"/>
  <c r="F89" i="12" a="1"/>
  <c r="F89" i="12" s="1"/>
  <c r="E89" i="12" a="1"/>
  <c r="E89" i="12" s="1"/>
  <c r="D89" i="12" a="1"/>
  <c r="D89" i="12"/>
  <c r="J88" i="12" a="1"/>
  <c r="J88" i="12" s="1"/>
  <c r="I88" i="12" a="1"/>
  <c r="I88" i="12" s="1"/>
  <c r="H88" i="12" a="1"/>
  <c r="H88" i="12" s="1"/>
  <c r="L88" i="12" s="1" a="1"/>
  <c r="L88" i="12" s="1"/>
  <c r="F88" i="12" a="1"/>
  <c r="F88" i="12" s="1"/>
  <c r="E88" i="12" a="1"/>
  <c r="E88" i="12" s="1"/>
  <c r="D88" i="12" a="1"/>
  <c r="D88" i="12" s="1"/>
  <c r="J87" i="12" a="1"/>
  <c r="J87" i="12" s="1"/>
  <c r="I87" i="12" a="1"/>
  <c r="I87" i="12"/>
  <c r="H87" i="12" a="1"/>
  <c r="H87" i="12" s="1"/>
  <c r="F87" i="12" a="1"/>
  <c r="F87" i="12" s="1"/>
  <c r="E87" i="12" a="1"/>
  <c r="E87" i="12" s="1"/>
  <c r="D87" i="12" a="1"/>
  <c r="D87" i="12" s="1"/>
  <c r="P86" i="12" a="1"/>
  <c r="P86" i="12"/>
  <c r="R86" i="12" s="1" a="1"/>
  <c r="R86" i="12" s="1"/>
  <c r="J86" i="12" a="1"/>
  <c r="J86" i="12"/>
  <c r="L86" i="12" s="1" a="1"/>
  <c r="L86" i="12" s="1"/>
  <c r="I86" i="12" a="1"/>
  <c r="I86" i="12" s="1"/>
  <c r="H86" i="12" a="1"/>
  <c r="H86" i="12" s="1"/>
  <c r="F86" i="12" a="1"/>
  <c r="F86" i="12"/>
  <c r="E86" i="12" a="1"/>
  <c r="E86" i="12" s="1"/>
  <c r="D86" i="12" a="1"/>
  <c r="D86" i="12" s="1"/>
  <c r="P85" i="12" a="1"/>
  <c r="P85" i="12" s="1"/>
  <c r="R85" i="12" s="1" a="1"/>
  <c r="R85" i="12" s="1"/>
  <c r="J85" i="12" a="1"/>
  <c r="J85" i="12" s="1"/>
  <c r="I85" i="12" a="1"/>
  <c r="I85" i="12" s="1"/>
  <c r="H85" i="12" a="1"/>
  <c r="H85" i="12" s="1"/>
  <c r="F85" i="12" a="1"/>
  <c r="F85" i="12" s="1"/>
  <c r="E85" i="12" a="1"/>
  <c r="E85" i="12" s="1"/>
  <c r="D85" i="12" a="1"/>
  <c r="D85" i="12" s="1"/>
  <c r="R84" i="12" a="1"/>
  <c r="R84" i="12" s="1"/>
  <c r="D104" i="12" s="1" a="1"/>
  <c r="D104" i="12" s="1"/>
  <c r="P84" i="12" a="1"/>
  <c r="P84" i="12"/>
  <c r="J84" i="12" a="1"/>
  <c r="J84" i="12" s="1"/>
  <c r="I84" i="12" a="1"/>
  <c r="I84" i="12" s="1"/>
  <c r="H84" i="12" a="1"/>
  <c r="H84" i="12" s="1"/>
  <c r="F84" i="12" a="1"/>
  <c r="F84" i="12"/>
  <c r="E84" i="12" a="1"/>
  <c r="E84" i="12"/>
  <c r="D84" i="12" a="1"/>
  <c r="D84" i="12" s="1"/>
  <c r="J83" i="12" a="1"/>
  <c r="J83" i="12" s="1"/>
  <c r="I83" i="12" a="1"/>
  <c r="I83" i="12"/>
  <c r="H83" i="12" a="1"/>
  <c r="H83" i="12" s="1"/>
  <c r="L83" i="12" s="1" a="1"/>
  <c r="L83" i="12" s="1"/>
  <c r="F83" i="12" a="1"/>
  <c r="F83" i="12" s="1"/>
  <c r="E83" i="12" a="1"/>
  <c r="E83" i="12"/>
  <c r="D83" i="12" a="1"/>
  <c r="D83" i="12" s="1"/>
  <c r="B79" i="12" a="1"/>
  <c r="B79" i="12" s="1"/>
  <c r="G76" i="12" a="1"/>
  <c r="G76" i="12" s="1"/>
  <c r="F76" i="12" a="1"/>
  <c r="F76" i="12" s="1"/>
  <c r="O75" i="12" a="1"/>
  <c r="O75" i="12"/>
  <c r="N75" i="12" a="1"/>
  <c r="N75" i="12"/>
  <c r="G75" i="12" a="1"/>
  <c r="G75" i="12" s="1"/>
  <c r="F75" i="12" a="1"/>
  <c r="F75" i="12" s="1"/>
  <c r="O74" i="12" a="1"/>
  <c r="O74" i="12" s="1"/>
  <c r="N74" i="12" a="1"/>
  <c r="N74" i="12"/>
  <c r="G74" i="12" a="1"/>
  <c r="G74" i="12"/>
  <c r="F74" i="12" a="1"/>
  <c r="F74" i="12" s="1"/>
  <c r="B71" i="12" a="1"/>
  <c r="B71" i="12" s="1"/>
  <c r="J68" i="12" a="1"/>
  <c r="J68" i="12" s="1"/>
  <c r="I68" i="12" a="1"/>
  <c r="I68" i="12" s="1"/>
  <c r="H68" i="12" a="1"/>
  <c r="H68" i="12"/>
  <c r="G68" i="12" a="1"/>
  <c r="G68" i="12" s="1"/>
  <c r="F68" i="12" a="1"/>
  <c r="F68" i="12" s="1"/>
  <c r="J67" i="12" a="1"/>
  <c r="J67" i="12" s="1"/>
  <c r="I67" i="12" a="1"/>
  <c r="I67" i="12" s="1"/>
  <c r="H67" i="12" a="1"/>
  <c r="H67" i="12" s="1"/>
  <c r="G67" i="12" a="1"/>
  <c r="G67" i="12" s="1"/>
  <c r="F67" i="12" a="1"/>
  <c r="F67" i="12"/>
  <c r="J66" i="12" a="1"/>
  <c r="J66" i="12"/>
  <c r="L61" i="12" s="1" a="1"/>
  <c r="L61" i="12" s="1"/>
  <c r="I66" i="12" a="1"/>
  <c r="I66" i="12" s="1"/>
  <c r="H66" i="12" a="1"/>
  <c r="H66" i="12" s="1"/>
  <c r="G66" i="12" a="1"/>
  <c r="G66" i="12" s="1"/>
  <c r="F66" i="12" a="1"/>
  <c r="F66" i="12" s="1"/>
  <c r="J63" i="12" a="1"/>
  <c r="J63" i="12"/>
  <c r="I63" i="12" a="1"/>
  <c r="I63" i="12" s="1"/>
  <c r="H63" i="12" a="1"/>
  <c r="H63" i="12" s="1"/>
  <c r="G63" i="12" a="1"/>
  <c r="G63" i="12" s="1"/>
  <c r="J62" i="12" a="1"/>
  <c r="J62" i="12" s="1"/>
  <c r="I62" i="12" a="1"/>
  <c r="I62" i="12" s="1"/>
  <c r="H62" i="12" a="1"/>
  <c r="H62" i="12"/>
  <c r="G62" i="12" a="1"/>
  <c r="G62" i="12"/>
  <c r="J61" i="12" a="1"/>
  <c r="J61" i="12" s="1"/>
  <c r="I61" i="12" a="1"/>
  <c r="I61" i="12"/>
  <c r="H61" i="12" a="1"/>
  <c r="H61" i="12" s="1"/>
  <c r="G61" i="12" a="1"/>
  <c r="G61" i="12" s="1"/>
  <c r="E58" i="12" a="1"/>
  <c r="E58" i="12"/>
  <c r="B56" i="12" a="1"/>
  <c r="B56" i="12" s="1"/>
  <c r="J53" i="12" a="1"/>
  <c r="J53" i="12" s="1"/>
  <c r="I53" i="12" a="1"/>
  <c r="I53" i="12"/>
  <c r="H53" i="12" a="1"/>
  <c r="H53" i="12" s="1"/>
  <c r="G53" i="12" a="1"/>
  <c r="G53" i="12" s="1"/>
  <c r="F53" i="12" a="1"/>
  <c r="F53" i="12" s="1"/>
  <c r="J52" i="12" a="1"/>
  <c r="J52" i="12"/>
  <c r="I52" i="12" a="1"/>
  <c r="I52" i="12"/>
  <c r="H52" i="12" a="1"/>
  <c r="H52" i="12" s="1"/>
  <c r="G52" i="12" a="1"/>
  <c r="G52" i="12" s="1"/>
  <c r="F52" i="12" a="1"/>
  <c r="F52" i="12" s="1"/>
  <c r="J51" i="12" a="1"/>
  <c r="J51" i="12" s="1"/>
  <c r="I51" i="12" a="1"/>
  <c r="I51" i="12"/>
  <c r="H51" i="12" a="1"/>
  <c r="H51" i="12"/>
  <c r="G51" i="12" a="1"/>
  <c r="G51" i="12" s="1"/>
  <c r="F51" i="12" a="1"/>
  <c r="F51" i="12"/>
  <c r="J48" i="12" a="1"/>
  <c r="J48" i="12" s="1"/>
  <c r="I48" i="12" a="1"/>
  <c r="I48" i="12" s="1"/>
  <c r="H48" i="12" a="1"/>
  <c r="H48" i="12" s="1"/>
  <c r="G48" i="12" a="1"/>
  <c r="G48" i="12" s="1"/>
  <c r="J47" i="12" a="1"/>
  <c r="J47" i="12" s="1"/>
  <c r="I47" i="12" a="1"/>
  <c r="I47" i="12" s="1"/>
  <c r="H47" i="12" a="1"/>
  <c r="H47" i="12" s="1"/>
  <c r="G47" i="12" a="1"/>
  <c r="G47" i="12" s="1"/>
  <c r="J46" i="12" a="1"/>
  <c r="J46" i="12"/>
  <c r="I46" i="12" a="1"/>
  <c r="I46" i="12" s="1"/>
  <c r="H46" i="12" a="1"/>
  <c r="H46" i="12" s="1"/>
  <c r="G46" i="12" a="1"/>
  <c r="G46" i="12" s="1"/>
  <c r="B43" i="12" a="1"/>
  <c r="B43" i="12" s="1"/>
  <c r="E41" i="12" a="1"/>
  <c r="E41" i="12" s="1"/>
  <c r="B41" i="12" a="1"/>
  <c r="B41" i="12" s="1"/>
  <c r="E39" i="12" a="1"/>
  <c r="E39" i="12" s="1"/>
  <c r="B39" i="12" a="1"/>
  <c r="B39" i="12" s="1"/>
  <c r="E38" i="12" a="1"/>
  <c r="E38" i="12" s="1"/>
  <c r="B38" i="12" a="1"/>
  <c r="B38" i="12" s="1"/>
  <c r="E37" i="12" a="1"/>
  <c r="E37" i="12" s="1"/>
  <c r="B35" i="12" a="1"/>
  <c r="B35" i="12" s="1"/>
  <c r="K32" i="12" a="1"/>
  <c r="K32" i="12" s="1"/>
  <c r="E32" i="12" a="1"/>
  <c r="E32" i="12"/>
  <c r="Q31" i="12" a="1"/>
  <c r="Q31" i="12"/>
  <c r="O31" i="12" a="1"/>
  <c r="O31" i="12" s="1"/>
  <c r="M31" i="12" a="1"/>
  <c r="M31" i="12"/>
  <c r="K31" i="12" a="1"/>
  <c r="K31" i="12" s="1"/>
  <c r="Q30" i="12" a="1"/>
  <c r="Q30" i="12"/>
  <c r="O30" i="12" a="1"/>
  <c r="O30" i="12" s="1"/>
  <c r="M30" i="12" a="1"/>
  <c r="M30" i="12" s="1"/>
  <c r="K30" i="12" a="1"/>
  <c r="K30" i="12" s="1"/>
  <c r="E30" i="12" a="1"/>
  <c r="E30" i="12"/>
  <c r="Q29" i="12" a="1"/>
  <c r="Q29" i="12"/>
  <c r="O29" i="12" a="1"/>
  <c r="O29" i="12"/>
  <c r="M29" i="12" a="1"/>
  <c r="M29" i="12" s="1"/>
  <c r="K29" i="12" a="1"/>
  <c r="K29" i="12"/>
  <c r="E29" i="12" a="1"/>
  <c r="E29" i="12" s="1"/>
  <c r="O28" i="12" a="1"/>
  <c r="O28" i="12"/>
  <c r="O32" i="12" s="1" a="1"/>
  <c r="O32" i="12" s="1"/>
  <c r="M28" i="12" a="1"/>
  <c r="M28" i="12"/>
  <c r="K28" i="12" a="1"/>
  <c r="K28" i="12"/>
  <c r="E28" i="12" a="1"/>
  <c r="E28" i="12" s="1"/>
  <c r="B27" i="12" a="1"/>
  <c r="B27" i="12" s="1"/>
  <c r="B15" i="12" a="1"/>
  <c r="B15" i="12" s="1"/>
  <c r="D11" i="12" a="1"/>
  <c r="D11" i="12"/>
  <c r="D10" i="12" a="1"/>
  <c r="D10" i="12"/>
  <c r="R9" i="12" a="1"/>
  <c r="R9" i="12"/>
  <c r="D9" i="12" a="1"/>
  <c r="D9" i="12"/>
  <c r="O8" i="12" a="1"/>
  <c r="O8" i="12" s="1"/>
  <c r="M8" i="12" a="1"/>
  <c r="M8" i="12" s="1"/>
  <c r="D8" i="12" a="1"/>
  <c r="D8" i="12" s="1"/>
  <c r="M7" i="12" a="1"/>
  <c r="M7" i="12"/>
  <c r="H27" i="12" s="1" a="1"/>
  <c r="H27" i="12" s="1"/>
  <c r="D7" i="12" a="1"/>
  <c r="D7" i="12"/>
  <c r="B5" i="12" a="1"/>
  <c r="B5" i="12"/>
  <c r="B4" i="12" a="1"/>
  <c r="B4" i="12" s="1"/>
  <c r="F105" i="11" a="1"/>
  <c r="F105" i="11" s="1"/>
  <c r="B92" i="11" a="1"/>
  <c r="B92" i="11" s="1"/>
  <c r="J90" i="11" a="1"/>
  <c r="J90" i="11"/>
  <c r="I90" i="11" a="1"/>
  <c r="I90" i="11"/>
  <c r="H90" i="11" a="1"/>
  <c r="H90" i="11" s="1"/>
  <c r="F90" i="11" a="1"/>
  <c r="F90" i="11" s="1"/>
  <c r="E90" i="11" a="1"/>
  <c r="E90" i="11"/>
  <c r="D90" i="11" a="1"/>
  <c r="D90" i="11"/>
  <c r="J89" i="11" a="1"/>
  <c r="J89" i="11"/>
  <c r="I89" i="11" a="1"/>
  <c r="I89" i="11" s="1"/>
  <c r="H89" i="11" a="1"/>
  <c r="H89" i="11"/>
  <c r="F89" i="11" a="1"/>
  <c r="F89" i="11"/>
  <c r="E89" i="11" a="1"/>
  <c r="E89" i="11"/>
  <c r="D89" i="11" a="1"/>
  <c r="D89" i="11"/>
  <c r="J88" i="11" a="1"/>
  <c r="J88" i="11" s="1"/>
  <c r="I88" i="11" a="1"/>
  <c r="I88" i="11"/>
  <c r="H88" i="11" a="1"/>
  <c r="H88" i="11" s="1"/>
  <c r="L88" i="11" s="1" a="1"/>
  <c r="L88" i="11" s="1"/>
  <c r="F88" i="11" a="1"/>
  <c r="F88" i="11"/>
  <c r="E88" i="11" a="1"/>
  <c r="E88" i="11" s="1"/>
  <c r="D88" i="11" a="1"/>
  <c r="D88" i="11"/>
  <c r="J87" i="11" a="1"/>
  <c r="J87" i="11" s="1"/>
  <c r="I87" i="11" a="1"/>
  <c r="I87" i="11"/>
  <c r="H87" i="11" a="1"/>
  <c r="H87" i="11"/>
  <c r="F87" i="11" a="1"/>
  <c r="F87" i="11" s="1"/>
  <c r="E87" i="11" a="1"/>
  <c r="E87" i="11"/>
  <c r="D87" i="11" a="1"/>
  <c r="D87" i="11" s="1"/>
  <c r="P86" i="11" a="1"/>
  <c r="P86" i="11"/>
  <c r="J86" i="11" a="1"/>
  <c r="J86" i="11" s="1"/>
  <c r="I86" i="11" a="1"/>
  <c r="I86" i="11"/>
  <c r="H86" i="11" a="1"/>
  <c r="H86" i="11" s="1"/>
  <c r="F86" i="11" a="1"/>
  <c r="F86" i="11"/>
  <c r="E86" i="11" a="1"/>
  <c r="E86" i="11"/>
  <c r="D86" i="11" a="1"/>
  <c r="D86" i="11"/>
  <c r="P85" i="11" a="1"/>
  <c r="P85" i="11"/>
  <c r="J85" i="11" a="1"/>
  <c r="J85" i="11"/>
  <c r="I85" i="11" a="1"/>
  <c r="I85" i="11"/>
  <c r="H85" i="11" a="1"/>
  <c r="H85" i="11"/>
  <c r="F85" i="11" a="1"/>
  <c r="F85" i="11" s="1"/>
  <c r="E85" i="11" a="1"/>
  <c r="E85" i="11"/>
  <c r="D85" i="11" a="1"/>
  <c r="D85" i="11" s="1"/>
  <c r="P84" i="11" a="1"/>
  <c r="P84" i="11"/>
  <c r="J84" i="11" a="1"/>
  <c r="J84" i="11" s="1"/>
  <c r="I84" i="11" a="1"/>
  <c r="I84" i="11" s="1"/>
  <c r="H84" i="11" a="1"/>
  <c r="H84" i="11" s="1"/>
  <c r="F84" i="11" a="1"/>
  <c r="F84" i="11"/>
  <c r="E84" i="11" a="1"/>
  <c r="E84" i="11"/>
  <c r="D84" i="11" a="1"/>
  <c r="D84" i="11"/>
  <c r="J83" i="11" a="1"/>
  <c r="J83" i="11" s="1"/>
  <c r="I83" i="11" a="1"/>
  <c r="I83" i="11" s="1"/>
  <c r="H83" i="11" a="1"/>
  <c r="H83" i="11"/>
  <c r="F83" i="11" a="1"/>
  <c r="F83" i="11"/>
  <c r="E83" i="11" a="1"/>
  <c r="E83" i="11" s="1"/>
  <c r="D83" i="11" a="1"/>
  <c r="D83" i="11" s="1"/>
  <c r="B79" i="11" a="1"/>
  <c r="B79" i="11" s="1"/>
  <c r="G76" i="11" a="1"/>
  <c r="G76" i="11" s="1"/>
  <c r="F76" i="11" a="1"/>
  <c r="F76" i="11"/>
  <c r="O75" i="11" a="1"/>
  <c r="O75" i="11" s="1"/>
  <c r="N75" i="11" a="1"/>
  <c r="N75" i="11" s="1"/>
  <c r="G75" i="11" a="1"/>
  <c r="G75" i="11"/>
  <c r="F75" i="11" a="1"/>
  <c r="F75" i="11" s="1"/>
  <c r="O74" i="11" a="1"/>
  <c r="O74" i="11" s="1"/>
  <c r="N74" i="11" a="1"/>
  <c r="N74" i="11"/>
  <c r="G74" i="11" a="1"/>
  <c r="G74" i="11" s="1"/>
  <c r="F74" i="11" a="1"/>
  <c r="F74" i="11"/>
  <c r="B71" i="11" a="1"/>
  <c r="B71" i="11" s="1"/>
  <c r="J68" i="11" a="1"/>
  <c r="J68" i="11" s="1"/>
  <c r="I68" i="11" a="1"/>
  <c r="I68" i="11" s="1"/>
  <c r="H68" i="11" a="1"/>
  <c r="H68" i="11"/>
  <c r="G68" i="11" a="1"/>
  <c r="G68" i="11"/>
  <c r="F68" i="11" a="1"/>
  <c r="F68" i="11"/>
  <c r="J67" i="11" a="1"/>
  <c r="J67" i="11"/>
  <c r="I67" i="11" a="1"/>
  <c r="I67" i="11" s="1"/>
  <c r="H67" i="11" a="1"/>
  <c r="H67" i="11"/>
  <c r="G67" i="11" a="1"/>
  <c r="G67" i="11" s="1"/>
  <c r="F67" i="11" a="1"/>
  <c r="F67" i="11"/>
  <c r="J66" i="11" a="1"/>
  <c r="J66" i="11" s="1"/>
  <c r="I66" i="11" a="1"/>
  <c r="I66" i="11"/>
  <c r="H66" i="11" a="1"/>
  <c r="H66" i="11" s="1"/>
  <c r="G66" i="11" a="1"/>
  <c r="G66" i="11"/>
  <c r="F66" i="11" a="1"/>
  <c r="F66" i="11" s="1"/>
  <c r="L61" i="11" s="1" a="1"/>
  <c r="J63" i="11" a="1"/>
  <c r="J63" i="11" s="1"/>
  <c r="I63" i="11" a="1"/>
  <c r="I63" i="11"/>
  <c r="H63" i="11" a="1"/>
  <c r="H63" i="11"/>
  <c r="G63" i="11" a="1"/>
  <c r="G63" i="11" s="1"/>
  <c r="J62" i="11" a="1"/>
  <c r="J62" i="11" s="1"/>
  <c r="I62" i="11" a="1"/>
  <c r="I62" i="11" s="1"/>
  <c r="H62" i="11" a="1"/>
  <c r="H62" i="11" s="1"/>
  <c r="G62" i="11" a="1"/>
  <c r="G62" i="11"/>
  <c r="L61" i="11"/>
  <c r="J61" i="11" a="1"/>
  <c r="J61" i="11"/>
  <c r="I61" i="11" a="1"/>
  <c r="I61" i="11" s="1"/>
  <c r="H61" i="11" a="1"/>
  <c r="H61" i="11"/>
  <c r="G61" i="11" a="1"/>
  <c r="G61" i="11" s="1"/>
  <c r="E58" i="11" a="1"/>
  <c r="E58" i="11" s="1"/>
  <c r="B56" i="11" a="1"/>
  <c r="B56" i="11" s="1"/>
  <c r="J53" i="11" a="1"/>
  <c r="J53" i="11"/>
  <c r="I53" i="11" a="1"/>
  <c r="I53" i="11" s="1"/>
  <c r="H53" i="11" a="1"/>
  <c r="H53" i="11"/>
  <c r="G53" i="11" a="1"/>
  <c r="G53" i="11" s="1"/>
  <c r="F53" i="11" a="1"/>
  <c r="F53" i="11" s="1"/>
  <c r="J52" i="11" a="1"/>
  <c r="J52" i="11"/>
  <c r="I52" i="11" a="1"/>
  <c r="I52" i="11"/>
  <c r="H52" i="11" a="1"/>
  <c r="H52" i="11"/>
  <c r="G52" i="11" a="1"/>
  <c r="G52" i="11" s="1"/>
  <c r="F52" i="11" a="1"/>
  <c r="F52" i="11" s="1"/>
  <c r="J51" i="11" a="1"/>
  <c r="J51" i="11" s="1"/>
  <c r="I51" i="11" a="1"/>
  <c r="I51" i="11" s="1"/>
  <c r="H51" i="11" a="1"/>
  <c r="H51" i="11"/>
  <c r="G51" i="11" a="1"/>
  <c r="G51" i="11" s="1"/>
  <c r="F51" i="11" a="1"/>
  <c r="F51" i="11" s="1"/>
  <c r="J48" i="11" a="1"/>
  <c r="J48" i="11"/>
  <c r="I48" i="11" a="1"/>
  <c r="I48" i="11" s="1"/>
  <c r="H48" i="11" a="1"/>
  <c r="H48" i="11" s="1"/>
  <c r="G48" i="11" a="1"/>
  <c r="G48" i="11" s="1"/>
  <c r="J47" i="11" a="1"/>
  <c r="J47" i="11" s="1"/>
  <c r="I47" i="11" a="1"/>
  <c r="I47" i="11" s="1"/>
  <c r="H47" i="11" a="1"/>
  <c r="H47" i="11"/>
  <c r="G47" i="11" a="1"/>
  <c r="G47" i="11" s="1"/>
  <c r="J46" i="11" a="1"/>
  <c r="J46" i="11"/>
  <c r="I46" i="11" a="1"/>
  <c r="I46" i="11"/>
  <c r="P46" i="11" s="1" a="1"/>
  <c r="P46" i="11" s="1"/>
  <c r="H46" i="11" a="1"/>
  <c r="H46" i="11" s="1"/>
  <c r="G46" i="11" a="1"/>
  <c r="G46" i="11" s="1"/>
  <c r="B43" i="11" a="1"/>
  <c r="B43" i="11" s="1"/>
  <c r="E41" i="11" a="1"/>
  <c r="E41" i="11" s="1"/>
  <c r="D96" i="11" s="1" a="1"/>
  <c r="D96" i="11" s="1"/>
  <c r="B41" i="11" a="1"/>
  <c r="B41" i="11" s="1"/>
  <c r="E39" i="11" a="1"/>
  <c r="E39" i="11" s="1"/>
  <c r="B39" i="11" a="1"/>
  <c r="B39" i="11" s="1"/>
  <c r="E38" i="11" a="1"/>
  <c r="E38" i="11" s="1"/>
  <c r="B38" i="11" a="1"/>
  <c r="B38" i="11" s="1"/>
  <c r="E37" i="11" a="1"/>
  <c r="E37" i="11" s="1"/>
  <c r="B35" i="11" a="1"/>
  <c r="B35" i="11" s="1"/>
  <c r="E32" i="11" a="1"/>
  <c r="E32" i="11"/>
  <c r="Q31" i="11" a="1"/>
  <c r="Q31" i="11" s="1"/>
  <c r="O31" i="11" a="1"/>
  <c r="O31" i="11" s="1"/>
  <c r="M31" i="11" a="1"/>
  <c r="M31" i="11" s="1"/>
  <c r="K31" i="11" a="1"/>
  <c r="K31" i="11" s="1"/>
  <c r="K32" i="11" s="1" a="1"/>
  <c r="K32" i="11" s="1"/>
  <c r="Q30" i="11" a="1"/>
  <c r="Q30" i="11"/>
  <c r="O30" i="11" a="1"/>
  <c r="O30" i="11"/>
  <c r="M30" i="11" a="1"/>
  <c r="M30" i="11" s="1"/>
  <c r="K30" i="11" a="1"/>
  <c r="K30" i="11" s="1"/>
  <c r="E30" i="11" a="1"/>
  <c r="E30" i="11"/>
  <c r="Q29" i="11" a="1"/>
  <c r="Q29" i="11" s="1"/>
  <c r="O29" i="11" a="1"/>
  <c r="O29" i="11"/>
  <c r="M29" i="11" a="1"/>
  <c r="M29" i="11"/>
  <c r="K29" i="11" a="1"/>
  <c r="K29" i="11"/>
  <c r="E29" i="11" a="1"/>
  <c r="E29" i="11" s="1"/>
  <c r="O28" i="11" a="1"/>
  <c r="O28" i="11"/>
  <c r="M28" i="11" a="1"/>
  <c r="M28" i="11" s="1"/>
  <c r="K28" i="11" a="1"/>
  <c r="K28" i="11"/>
  <c r="E28" i="11" a="1"/>
  <c r="E28" i="11"/>
  <c r="E17" i="11" a="1"/>
  <c r="E17" i="11" s="1"/>
  <c r="B15" i="11" a="1"/>
  <c r="B15" i="11" s="1"/>
  <c r="D11" i="11" a="1"/>
  <c r="D11" i="11" s="1"/>
  <c r="D10" i="11" a="1"/>
  <c r="D10" i="11" s="1"/>
  <c r="D9" i="11" a="1"/>
  <c r="D9" i="11" s="1"/>
  <c r="O8" i="11" a="1"/>
  <c r="O8" i="11" s="1"/>
  <c r="M8" i="11" a="1"/>
  <c r="M8" i="11" s="1"/>
  <c r="D8" i="11" a="1"/>
  <c r="D8" i="11" s="1"/>
  <c r="M7" i="11" a="1"/>
  <c r="M7" i="11" s="1"/>
  <c r="D7" i="11" a="1"/>
  <c r="D7" i="11" s="1"/>
  <c r="B5" i="11" a="1"/>
  <c r="B5" i="11"/>
  <c r="B4" i="11" a="1"/>
  <c r="B4" i="11" s="1"/>
  <c r="F105" i="10" a="1"/>
  <c r="F105" i="10" s="1"/>
  <c r="B92" i="10" a="1"/>
  <c r="B92" i="10" s="1"/>
  <c r="J90" i="10" a="1"/>
  <c r="J90" i="10"/>
  <c r="I90" i="10" a="1"/>
  <c r="I90" i="10"/>
  <c r="H90" i="10" a="1"/>
  <c r="H90" i="10"/>
  <c r="F90" i="10" a="1"/>
  <c r="F90" i="10" s="1"/>
  <c r="E90" i="10" a="1"/>
  <c r="E90" i="10"/>
  <c r="D90" i="10" a="1"/>
  <c r="D90" i="10"/>
  <c r="J89" i="10" a="1"/>
  <c r="J89" i="10"/>
  <c r="I89" i="10" a="1"/>
  <c r="I89" i="10" s="1"/>
  <c r="H89" i="10" a="1"/>
  <c r="H89" i="10" s="1"/>
  <c r="F89" i="10" a="1"/>
  <c r="F89" i="10" s="1"/>
  <c r="E89" i="10" a="1"/>
  <c r="E89" i="10" s="1"/>
  <c r="D89" i="10" a="1"/>
  <c r="D89" i="10" s="1"/>
  <c r="J88" i="10" a="1"/>
  <c r="J88" i="10"/>
  <c r="I88" i="10" a="1"/>
  <c r="I88" i="10" s="1"/>
  <c r="H88" i="10" a="1"/>
  <c r="H88" i="10"/>
  <c r="L88" i="10" s="1" a="1"/>
  <c r="L88" i="10" s="1"/>
  <c r="F88" i="10" a="1"/>
  <c r="F88" i="10" s="1"/>
  <c r="E88" i="10" a="1"/>
  <c r="E88" i="10" s="1"/>
  <c r="D88" i="10" a="1"/>
  <c r="D88" i="10" s="1"/>
  <c r="J87" i="10" a="1"/>
  <c r="J87" i="10" s="1"/>
  <c r="I87" i="10" a="1"/>
  <c r="I87" i="10"/>
  <c r="H87" i="10" a="1"/>
  <c r="H87" i="10"/>
  <c r="F87" i="10" a="1"/>
  <c r="F87" i="10"/>
  <c r="E87" i="10" a="1"/>
  <c r="E87" i="10" s="1"/>
  <c r="D87" i="10" a="1"/>
  <c r="D87" i="10" s="1"/>
  <c r="P86" i="10" a="1"/>
  <c r="P86" i="10" s="1"/>
  <c r="J86" i="10" a="1"/>
  <c r="J86" i="10" s="1"/>
  <c r="I86" i="10" a="1"/>
  <c r="I86" i="10"/>
  <c r="H86" i="10" a="1"/>
  <c r="H86" i="10"/>
  <c r="F86" i="10" a="1"/>
  <c r="F86" i="10" s="1"/>
  <c r="E86" i="10" a="1"/>
  <c r="E86" i="10" s="1"/>
  <c r="D86" i="10" a="1"/>
  <c r="D86" i="10"/>
  <c r="P85" i="10" a="1"/>
  <c r="P85" i="10" s="1"/>
  <c r="R85" i="10" s="1" a="1"/>
  <c r="R85" i="10" s="1"/>
  <c r="J85" i="10" a="1"/>
  <c r="J85" i="10" s="1"/>
  <c r="I85" i="10" a="1"/>
  <c r="I85" i="10"/>
  <c r="H85" i="10" a="1"/>
  <c r="H85" i="10" s="1"/>
  <c r="F85" i="10" a="1"/>
  <c r="F85" i="10"/>
  <c r="E85" i="10" a="1"/>
  <c r="E85" i="10"/>
  <c r="D85" i="10" a="1"/>
  <c r="D85" i="10" s="1"/>
  <c r="L85" i="10" s="1" a="1"/>
  <c r="L85" i="10" s="1"/>
  <c r="P84" i="10" a="1"/>
  <c r="P84" i="10" s="1"/>
  <c r="R84" i="10" s="1" a="1"/>
  <c r="R84" i="10" s="1"/>
  <c r="J84" i="10" a="1"/>
  <c r="J84" i="10"/>
  <c r="I84" i="10" a="1"/>
  <c r="I84" i="10"/>
  <c r="H84" i="10" a="1"/>
  <c r="H84" i="10"/>
  <c r="F84" i="10" a="1"/>
  <c r="F84" i="10" s="1"/>
  <c r="E84" i="10" a="1"/>
  <c r="E84" i="10"/>
  <c r="D84" i="10" a="1"/>
  <c r="D84" i="10" s="1"/>
  <c r="J83" i="10" a="1"/>
  <c r="J83" i="10"/>
  <c r="I83" i="10" a="1"/>
  <c r="I83" i="10" s="1"/>
  <c r="H83" i="10" a="1"/>
  <c r="H83" i="10" s="1"/>
  <c r="L83" i="10" s="1" a="1"/>
  <c r="L83" i="10" s="1"/>
  <c r="F83" i="10" a="1"/>
  <c r="F83" i="10" s="1"/>
  <c r="E83" i="10" a="1"/>
  <c r="E83" i="10"/>
  <c r="D83" i="10" a="1"/>
  <c r="D83" i="10"/>
  <c r="B79" i="10" a="1"/>
  <c r="B79" i="10" s="1"/>
  <c r="O76" i="10" a="1"/>
  <c r="O76" i="10" s="1"/>
  <c r="G76" i="10" a="1"/>
  <c r="G76" i="10"/>
  <c r="F76" i="10" a="1"/>
  <c r="F76" i="10" s="1"/>
  <c r="O75" i="10" a="1"/>
  <c r="O75" i="10" s="1"/>
  <c r="N75" i="10" a="1"/>
  <c r="N75" i="10"/>
  <c r="G75" i="10" a="1"/>
  <c r="G75" i="10" s="1"/>
  <c r="F75" i="10" a="1"/>
  <c r="F75" i="10" s="1"/>
  <c r="O74" i="10" a="1"/>
  <c r="O74" i="10"/>
  <c r="N74" i="10" a="1"/>
  <c r="N74" i="10"/>
  <c r="G74" i="10" a="1"/>
  <c r="G74" i="10"/>
  <c r="F74" i="10" a="1"/>
  <c r="F74" i="10" s="1"/>
  <c r="B71" i="10" a="1"/>
  <c r="B71" i="10" s="1"/>
  <c r="J68" i="10" a="1"/>
  <c r="J68" i="10" s="1"/>
  <c r="I68" i="10" a="1"/>
  <c r="I68" i="10" s="1"/>
  <c r="H68" i="10" a="1"/>
  <c r="H68" i="10"/>
  <c r="G68" i="10" a="1"/>
  <c r="G68" i="10"/>
  <c r="F68" i="10" a="1"/>
  <c r="F68" i="10" s="1"/>
  <c r="J67" i="10" a="1"/>
  <c r="J67" i="10" s="1"/>
  <c r="I67" i="10" a="1"/>
  <c r="I67" i="10" s="1"/>
  <c r="H67" i="10" a="1"/>
  <c r="H67" i="10"/>
  <c r="G67" i="10" a="1"/>
  <c r="G67" i="10"/>
  <c r="F67" i="10" a="1"/>
  <c r="F67" i="10" s="1"/>
  <c r="J66" i="10" a="1"/>
  <c r="J66" i="10" s="1"/>
  <c r="L61" i="10" s="1" a="1"/>
  <c r="L61" i="10" s="1"/>
  <c r="I66" i="10" a="1"/>
  <c r="I66" i="10" s="1"/>
  <c r="H66" i="10" a="1"/>
  <c r="H66" i="10" s="1"/>
  <c r="G66" i="10" a="1"/>
  <c r="G66" i="10" s="1"/>
  <c r="F66" i="10" a="1"/>
  <c r="F66" i="10"/>
  <c r="J63" i="10" a="1"/>
  <c r="J63" i="10"/>
  <c r="I63" i="10" a="1"/>
  <c r="I63" i="10" s="1"/>
  <c r="H63" i="10" a="1"/>
  <c r="H63" i="10" s="1"/>
  <c r="G63" i="10" a="1"/>
  <c r="G63" i="10"/>
  <c r="J62" i="10" a="1"/>
  <c r="J62" i="10"/>
  <c r="O62" i="10" s="1" a="1"/>
  <c r="O62" i="10" s="1"/>
  <c r="I62" i="10" a="1"/>
  <c r="I62" i="10"/>
  <c r="H62" i="10" a="1"/>
  <c r="H62" i="10" s="1"/>
  <c r="G62" i="10" a="1"/>
  <c r="G62" i="10" s="1"/>
  <c r="J61" i="10" a="1"/>
  <c r="J61" i="10" s="1"/>
  <c r="I61" i="10" a="1"/>
  <c r="I61" i="10" s="1"/>
  <c r="H61" i="10" a="1"/>
  <c r="H61" i="10"/>
  <c r="G61" i="10" a="1"/>
  <c r="G61" i="10"/>
  <c r="E58" i="10" a="1"/>
  <c r="E58" i="10"/>
  <c r="B56" i="10" a="1"/>
  <c r="B56" i="10" s="1"/>
  <c r="J53" i="10" a="1"/>
  <c r="J53" i="10" s="1"/>
  <c r="I53" i="10" a="1"/>
  <c r="I53" i="10"/>
  <c r="H53" i="10" a="1"/>
  <c r="H53" i="10"/>
  <c r="G53" i="10" a="1"/>
  <c r="G53" i="10"/>
  <c r="F53" i="10" a="1"/>
  <c r="F53" i="10" s="1"/>
  <c r="J52" i="10" a="1"/>
  <c r="J52" i="10"/>
  <c r="I52" i="10" a="1"/>
  <c r="I52" i="10" s="1"/>
  <c r="H52" i="10" a="1"/>
  <c r="H52" i="10" s="1"/>
  <c r="G52" i="10" a="1"/>
  <c r="G52" i="10"/>
  <c r="F52" i="10" a="1"/>
  <c r="F52" i="10" s="1"/>
  <c r="J51" i="10" a="1"/>
  <c r="J51" i="10"/>
  <c r="I51" i="10" a="1"/>
  <c r="I51" i="10"/>
  <c r="H51" i="10" a="1"/>
  <c r="H51" i="10"/>
  <c r="G51" i="10" a="1"/>
  <c r="G51" i="10" s="1"/>
  <c r="F51" i="10" a="1"/>
  <c r="F51" i="10"/>
  <c r="J48" i="10" a="1"/>
  <c r="J48" i="10"/>
  <c r="I48" i="10" a="1"/>
  <c r="I48" i="10" s="1"/>
  <c r="H48" i="10" a="1"/>
  <c r="H48" i="10"/>
  <c r="G48" i="10" a="1"/>
  <c r="G48" i="10"/>
  <c r="J47" i="10" a="1"/>
  <c r="J47" i="10" s="1"/>
  <c r="I47" i="10" a="1"/>
  <c r="I47" i="10"/>
  <c r="H47" i="10" a="1"/>
  <c r="H47" i="10" s="1"/>
  <c r="G47" i="10" a="1"/>
  <c r="G47" i="10" s="1"/>
  <c r="J46" i="10" a="1"/>
  <c r="J46" i="10" s="1"/>
  <c r="I46" i="10" a="1"/>
  <c r="I46" i="10" s="1"/>
  <c r="H46" i="10" a="1"/>
  <c r="H46" i="10" s="1"/>
  <c r="G46" i="10" a="1"/>
  <c r="G46" i="10" s="1"/>
  <c r="B43" i="10" a="1"/>
  <c r="B43" i="10" s="1"/>
  <c r="E41" i="10" a="1"/>
  <c r="E41" i="10"/>
  <c r="D96" i="10" s="1" a="1"/>
  <c r="D96" i="10" s="1"/>
  <c r="B41" i="10" a="1"/>
  <c r="B41" i="10" s="1"/>
  <c r="E39" i="10" a="1"/>
  <c r="E39" i="10" s="1"/>
  <c r="B39" i="10" a="1"/>
  <c r="B39" i="10" s="1"/>
  <c r="E38" i="10" a="1"/>
  <c r="E38" i="10" s="1"/>
  <c r="B38" i="10" a="1"/>
  <c r="B38" i="10" s="1"/>
  <c r="E37" i="10" a="1"/>
  <c r="E37" i="10"/>
  <c r="B35" i="10" a="1"/>
  <c r="B35" i="10" s="1"/>
  <c r="M32" i="10" a="1"/>
  <c r="M32" i="10" s="1"/>
  <c r="E32" i="10" a="1"/>
  <c r="E32" i="10" s="1"/>
  <c r="Q31" i="10" a="1"/>
  <c r="Q31" i="10"/>
  <c r="O31" i="10" a="1"/>
  <c r="O31" i="10" s="1"/>
  <c r="M31" i="10" a="1"/>
  <c r="M31" i="10" s="1"/>
  <c r="K31" i="10" a="1"/>
  <c r="K31" i="10"/>
  <c r="Q30" i="10" a="1"/>
  <c r="Q30" i="10"/>
  <c r="O30" i="10" a="1"/>
  <c r="O30" i="10"/>
  <c r="M30" i="10" a="1"/>
  <c r="M30" i="10" s="1"/>
  <c r="K30" i="10" a="1"/>
  <c r="K30" i="10" s="1"/>
  <c r="E30" i="10" a="1"/>
  <c r="E30" i="10"/>
  <c r="Q29" i="10" a="1"/>
  <c r="Q29" i="10"/>
  <c r="O29" i="10" a="1"/>
  <c r="O29" i="10" s="1"/>
  <c r="M29" i="10" a="1"/>
  <c r="M29" i="10" s="1"/>
  <c r="K29" i="10" a="1"/>
  <c r="K29" i="10" s="1"/>
  <c r="E29" i="10" a="1"/>
  <c r="E29" i="10" s="1"/>
  <c r="O28" i="10" a="1"/>
  <c r="O28" i="10" s="1"/>
  <c r="M28" i="10" a="1"/>
  <c r="M28" i="10" s="1"/>
  <c r="K28" i="10" a="1"/>
  <c r="K28" i="10"/>
  <c r="E28" i="10" a="1"/>
  <c r="E28" i="10" s="1"/>
  <c r="E31" i="10" s="1" a="1"/>
  <c r="E31" i="10" s="1"/>
  <c r="H27" i="10" a="1"/>
  <c r="H27" i="10" s="1"/>
  <c r="B25" i="10" a="1"/>
  <c r="B25" i="10" s="1"/>
  <c r="E17" i="10" a="1"/>
  <c r="E17" i="10" s="1"/>
  <c r="B15" i="10" a="1"/>
  <c r="B15" i="10" s="1"/>
  <c r="D11" i="10" a="1"/>
  <c r="D11" i="10" s="1"/>
  <c r="D10" i="10" a="1"/>
  <c r="D10" i="10" s="1"/>
  <c r="D9" i="10" a="1"/>
  <c r="D9" i="10"/>
  <c r="O8" i="10" a="1"/>
  <c r="O8" i="10" s="1"/>
  <c r="M8" i="10" a="1"/>
  <c r="M8" i="10" s="1"/>
  <c r="D8" i="10" a="1"/>
  <c r="D8" i="10" s="1"/>
  <c r="M7" i="10" a="1"/>
  <c r="M7" i="10" s="1"/>
  <c r="B27" i="10" s="1" a="1"/>
  <c r="B27" i="10" s="1"/>
  <c r="D7" i="10" a="1"/>
  <c r="D7" i="10"/>
  <c r="B5" i="10" a="1"/>
  <c r="B5" i="10" s="1"/>
  <c r="B4" i="10" a="1"/>
  <c r="B4" i="10" s="1"/>
  <c r="F105" i="9" a="1"/>
  <c r="F105" i="9" s="1"/>
  <c r="D96" i="9" a="1"/>
  <c r="D96" i="9" s="1"/>
  <c r="B92" i="9" a="1"/>
  <c r="B92" i="9" s="1"/>
  <c r="J90" i="9" a="1"/>
  <c r="J90" i="9"/>
  <c r="I90" i="9" a="1"/>
  <c r="I90" i="9"/>
  <c r="H90" i="9" a="1"/>
  <c r="H90" i="9" s="1"/>
  <c r="F90" i="9" a="1"/>
  <c r="F90" i="9"/>
  <c r="E90" i="9" a="1"/>
  <c r="E90" i="9"/>
  <c r="D90" i="9" a="1"/>
  <c r="D90" i="9" s="1"/>
  <c r="J89" i="9" a="1"/>
  <c r="J89" i="9" s="1"/>
  <c r="I89" i="9" a="1"/>
  <c r="I89" i="9" s="1"/>
  <c r="H89" i="9" a="1"/>
  <c r="H89" i="9" s="1"/>
  <c r="F89" i="9" a="1"/>
  <c r="F89" i="9" s="1"/>
  <c r="E89" i="9" a="1"/>
  <c r="E89" i="9" s="1"/>
  <c r="D89" i="9" a="1"/>
  <c r="D89" i="9" s="1"/>
  <c r="J88" i="9" a="1"/>
  <c r="J88" i="9" s="1"/>
  <c r="I88" i="9" a="1"/>
  <c r="I88" i="9"/>
  <c r="H88" i="9" a="1"/>
  <c r="H88" i="9" s="1"/>
  <c r="F88" i="9" a="1"/>
  <c r="F88" i="9"/>
  <c r="E88" i="9" a="1"/>
  <c r="E88" i="9"/>
  <c r="D88" i="9" a="1"/>
  <c r="D88" i="9"/>
  <c r="J87" i="9" a="1"/>
  <c r="J87" i="9"/>
  <c r="I87" i="9" a="1"/>
  <c r="I87" i="9"/>
  <c r="H87" i="9" a="1"/>
  <c r="H87" i="9" s="1"/>
  <c r="F87" i="9" a="1"/>
  <c r="F87" i="9"/>
  <c r="E87" i="9" a="1"/>
  <c r="E87" i="9" s="1"/>
  <c r="D87" i="9" a="1"/>
  <c r="D87" i="9"/>
  <c r="P86" i="9" a="1"/>
  <c r="P86" i="9"/>
  <c r="J86" i="9" a="1"/>
  <c r="J86" i="9" s="1"/>
  <c r="L86" i="9" s="1" a="1"/>
  <c r="L86" i="9" s="1"/>
  <c r="I86" i="9" a="1"/>
  <c r="I86" i="9"/>
  <c r="H86" i="9" a="1"/>
  <c r="H86" i="9" s="1"/>
  <c r="F86" i="9" a="1"/>
  <c r="F86" i="9" s="1"/>
  <c r="E86" i="9" a="1"/>
  <c r="E86" i="9" s="1"/>
  <c r="D86" i="9" a="1"/>
  <c r="D86" i="9" s="1"/>
  <c r="P85" i="9" a="1"/>
  <c r="P85" i="9"/>
  <c r="J85" i="9" a="1"/>
  <c r="J85" i="9"/>
  <c r="I85" i="9" a="1"/>
  <c r="I85" i="9"/>
  <c r="H85" i="9" a="1"/>
  <c r="H85" i="9" s="1"/>
  <c r="F85" i="9" a="1"/>
  <c r="F85" i="9"/>
  <c r="E85" i="9" a="1"/>
  <c r="E85" i="9" s="1"/>
  <c r="D85" i="9" a="1"/>
  <c r="D85" i="9"/>
  <c r="L85" i="9" s="1" a="1"/>
  <c r="L85" i="9" s="1"/>
  <c r="P84" i="9" a="1"/>
  <c r="P84" i="9" s="1"/>
  <c r="J84" i="9" a="1"/>
  <c r="J84" i="9"/>
  <c r="I84" i="9" a="1"/>
  <c r="I84" i="9" s="1"/>
  <c r="H84" i="9" a="1"/>
  <c r="H84" i="9"/>
  <c r="L84" i="9" s="1" a="1"/>
  <c r="L84" i="9" s="1"/>
  <c r="F84" i="9" a="1"/>
  <c r="F84" i="9"/>
  <c r="E84" i="9" a="1"/>
  <c r="E84" i="9"/>
  <c r="D84" i="9" a="1"/>
  <c r="D84" i="9" s="1"/>
  <c r="J83" i="9" a="1"/>
  <c r="J83" i="9"/>
  <c r="I83" i="9" a="1"/>
  <c r="I83" i="9"/>
  <c r="H83" i="9" a="1"/>
  <c r="H83" i="9" s="1"/>
  <c r="F83" i="9" a="1"/>
  <c r="F83" i="9" s="1"/>
  <c r="E83" i="9" a="1"/>
  <c r="E83" i="9"/>
  <c r="D83" i="9" a="1"/>
  <c r="D83" i="9" s="1"/>
  <c r="B79" i="9" a="1"/>
  <c r="B79" i="9" s="1"/>
  <c r="G76" i="9" a="1"/>
  <c r="G76" i="9" s="1"/>
  <c r="F76" i="9" a="1"/>
  <c r="F76" i="9"/>
  <c r="O75" i="9" a="1"/>
  <c r="O75" i="9"/>
  <c r="N75" i="9" a="1"/>
  <c r="N75" i="9" s="1"/>
  <c r="G75" i="9" a="1"/>
  <c r="G75" i="9" s="1"/>
  <c r="F75" i="9" a="1"/>
  <c r="F75" i="9"/>
  <c r="O74" i="9" a="1"/>
  <c r="O74" i="9" s="1"/>
  <c r="N74" i="9" a="1"/>
  <c r="N74" i="9"/>
  <c r="G74" i="9" a="1"/>
  <c r="G74" i="9"/>
  <c r="F74" i="9" a="1"/>
  <c r="F74" i="9" s="1"/>
  <c r="B71" i="9" a="1"/>
  <c r="B71" i="9" s="1"/>
  <c r="J68" i="9" a="1"/>
  <c r="J68" i="9" s="1"/>
  <c r="I68" i="9" a="1"/>
  <c r="I68" i="9" s="1"/>
  <c r="H68" i="9" a="1"/>
  <c r="H68" i="9" s="1"/>
  <c r="G68" i="9" a="1"/>
  <c r="G68" i="9"/>
  <c r="F68" i="9" a="1"/>
  <c r="F68" i="9" s="1"/>
  <c r="L67" i="9" a="1"/>
  <c r="L67" i="9"/>
  <c r="J67" i="9" a="1"/>
  <c r="J67" i="9" s="1"/>
  <c r="I67" i="9" a="1"/>
  <c r="I67" i="9"/>
  <c r="H67" i="9" a="1"/>
  <c r="H67" i="9" s="1"/>
  <c r="G67" i="9" a="1"/>
  <c r="G67" i="9" s="1"/>
  <c r="F67" i="9" a="1"/>
  <c r="F67" i="9"/>
  <c r="J66" i="9" a="1"/>
  <c r="J66" i="9"/>
  <c r="I66" i="9" a="1"/>
  <c r="I66" i="9" s="1"/>
  <c r="H66" i="9" a="1"/>
  <c r="H66" i="9"/>
  <c r="G66" i="9" a="1"/>
  <c r="G66" i="9" s="1"/>
  <c r="F66" i="9" a="1"/>
  <c r="F66" i="9"/>
  <c r="J63" i="9" a="1"/>
  <c r="J63" i="9" s="1"/>
  <c r="I63" i="9" a="1"/>
  <c r="I63" i="9"/>
  <c r="H63" i="9" a="1"/>
  <c r="H63" i="9" s="1"/>
  <c r="G63" i="9" a="1"/>
  <c r="G63" i="9" s="1"/>
  <c r="J62" i="9" a="1"/>
  <c r="J62" i="9"/>
  <c r="I62" i="9" a="1"/>
  <c r="I62" i="9" s="1"/>
  <c r="H62" i="9" a="1"/>
  <c r="H62" i="9" s="1"/>
  <c r="G62" i="9" a="1"/>
  <c r="G62" i="9" s="1"/>
  <c r="P62" i="9" s="1" a="1"/>
  <c r="P62" i="9" s="1"/>
  <c r="P61" i="9" a="1"/>
  <c r="P61" i="9"/>
  <c r="O61" i="9" a="1"/>
  <c r="O61" i="9" s="1"/>
  <c r="J61" i="9" a="1"/>
  <c r="J61" i="9" s="1"/>
  <c r="I61" i="9" a="1"/>
  <c r="I61" i="9"/>
  <c r="H61" i="9" a="1"/>
  <c r="H61" i="9" s="1"/>
  <c r="G61" i="9" a="1"/>
  <c r="G61" i="9"/>
  <c r="E58" i="9" a="1"/>
  <c r="E58" i="9" s="1"/>
  <c r="B56" i="9" a="1"/>
  <c r="B56" i="9" s="1"/>
  <c r="J53" i="9" a="1"/>
  <c r="J53" i="9" s="1"/>
  <c r="I53" i="9" a="1"/>
  <c r="I53" i="9"/>
  <c r="H53" i="9" a="1"/>
  <c r="H53" i="9" s="1"/>
  <c r="G53" i="9" a="1"/>
  <c r="G53" i="9" s="1"/>
  <c r="F53" i="9" a="1"/>
  <c r="F53" i="9"/>
  <c r="J52" i="9" a="1"/>
  <c r="J52" i="9"/>
  <c r="I52" i="9" a="1"/>
  <c r="I52" i="9" s="1"/>
  <c r="H52" i="9" a="1"/>
  <c r="H52" i="9" s="1"/>
  <c r="G52" i="9" a="1"/>
  <c r="G52" i="9"/>
  <c r="F52" i="9" a="1"/>
  <c r="F52" i="9"/>
  <c r="J51" i="9" a="1"/>
  <c r="J51" i="9"/>
  <c r="I51" i="9" a="1"/>
  <c r="I51" i="9"/>
  <c r="H51" i="9" a="1"/>
  <c r="H51" i="9"/>
  <c r="G51" i="9" a="1"/>
  <c r="G51" i="9" s="1"/>
  <c r="F51" i="9" a="1"/>
  <c r="F51" i="9" s="1"/>
  <c r="J48" i="9" a="1"/>
  <c r="J48" i="9"/>
  <c r="I48" i="9" a="1"/>
  <c r="I48" i="9"/>
  <c r="H48" i="9" a="1"/>
  <c r="H48" i="9" s="1"/>
  <c r="G48" i="9" a="1"/>
  <c r="G48" i="9"/>
  <c r="J47" i="9" a="1"/>
  <c r="J47" i="9" s="1"/>
  <c r="I47" i="9" a="1"/>
  <c r="I47" i="9"/>
  <c r="H47" i="9" a="1"/>
  <c r="H47" i="9"/>
  <c r="G47" i="9" a="1"/>
  <c r="G47" i="9"/>
  <c r="J46" i="9" a="1"/>
  <c r="J46" i="9" s="1"/>
  <c r="I46" i="9" a="1"/>
  <c r="I46" i="9"/>
  <c r="H46" i="9" a="1"/>
  <c r="H46" i="9"/>
  <c r="G46" i="9" a="1"/>
  <c r="G46" i="9" s="1"/>
  <c r="B43" i="9" a="1"/>
  <c r="B43" i="9" s="1"/>
  <c r="E41" i="9" a="1"/>
  <c r="E41" i="9" s="1"/>
  <c r="B41" i="9" a="1"/>
  <c r="B41" i="9" s="1"/>
  <c r="E39" i="9" a="1"/>
  <c r="E39" i="9" s="1"/>
  <c r="B39" i="9" a="1"/>
  <c r="B39" i="9" s="1"/>
  <c r="E38" i="9" a="1"/>
  <c r="E38" i="9"/>
  <c r="R84" i="9" s="1" a="1"/>
  <c r="R84" i="9" s="1"/>
  <c r="B38" i="9" a="1"/>
  <c r="B38" i="9" s="1"/>
  <c r="E37" i="9" a="1"/>
  <c r="E37" i="9" s="1"/>
  <c r="B35" i="9" a="1"/>
  <c r="B35" i="9" s="1"/>
  <c r="O32" i="9" a="1"/>
  <c r="O32" i="9" s="1"/>
  <c r="E32" i="9" a="1"/>
  <c r="E32" i="9" s="1"/>
  <c r="Q31" i="9" a="1"/>
  <c r="Q31" i="9"/>
  <c r="O31" i="9" a="1"/>
  <c r="O31" i="9"/>
  <c r="M31" i="9" a="1"/>
  <c r="M31" i="9"/>
  <c r="K31" i="9" a="1"/>
  <c r="K31" i="9" s="1"/>
  <c r="Q30" i="9" a="1"/>
  <c r="Q30" i="9" s="1"/>
  <c r="O30" i="9" a="1"/>
  <c r="O30" i="9" s="1"/>
  <c r="M30" i="9" a="1"/>
  <c r="M30" i="9"/>
  <c r="K30" i="9" a="1"/>
  <c r="K30" i="9"/>
  <c r="E30" i="9" a="1"/>
  <c r="E30" i="9"/>
  <c r="Q29" i="9" a="1"/>
  <c r="Q29" i="9" s="1"/>
  <c r="O29" i="9" a="1"/>
  <c r="O29" i="9" s="1"/>
  <c r="M29" i="9" a="1"/>
  <c r="M29" i="9"/>
  <c r="K29" i="9" a="1"/>
  <c r="K29" i="9" s="1"/>
  <c r="E29" i="9" a="1"/>
  <c r="E29" i="9"/>
  <c r="O28" i="9" a="1"/>
  <c r="O28" i="9"/>
  <c r="M28" i="9" a="1"/>
  <c r="M28" i="9" s="1"/>
  <c r="M32" i="9" s="1" a="1"/>
  <c r="M32" i="9" s="1"/>
  <c r="K28" i="9" a="1"/>
  <c r="K28" i="9" s="1"/>
  <c r="K32" i="9" s="1" a="1"/>
  <c r="K32" i="9" s="1"/>
  <c r="E28" i="9" a="1"/>
  <c r="E28" i="9" s="1"/>
  <c r="E31" i="9" s="1" a="1"/>
  <c r="E31" i="9" s="1"/>
  <c r="E33" i="9" s="1" a="1"/>
  <c r="E33" i="9" s="1"/>
  <c r="E17" i="9" a="1"/>
  <c r="E17" i="9" s="1"/>
  <c r="B15" i="9" a="1"/>
  <c r="B15" i="9" s="1"/>
  <c r="D11" i="9" a="1"/>
  <c r="D11" i="9"/>
  <c r="D10" i="9" a="1"/>
  <c r="D10" i="9"/>
  <c r="D9" i="9" a="1"/>
  <c r="D9" i="9" s="1"/>
  <c r="O8" i="9" a="1"/>
  <c r="O8" i="9" s="1"/>
  <c r="M8" i="9" a="1"/>
  <c r="M8" i="9"/>
  <c r="D8" i="9" a="1"/>
  <c r="D8" i="9" s="1"/>
  <c r="M7" i="9" a="1"/>
  <c r="M7" i="9"/>
  <c r="H27" i="9" s="1" a="1"/>
  <c r="H27" i="9" s="1"/>
  <c r="D7" i="9" a="1"/>
  <c r="D7" i="9" s="1"/>
  <c r="B5" i="9" a="1"/>
  <c r="B5" i="9" s="1"/>
  <c r="B4" i="9" a="1"/>
  <c r="B4" i="9" s="1"/>
  <c r="F105" i="8" a="1"/>
  <c r="F105" i="8" s="1"/>
  <c r="D104" i="8"/>
  <c r="F97" i="8" a="1"/>
  <c r="F97" i="8"/>
  <c r="B92" i="8" a="1"/>
  <c r="B92" i="8" s="1"/>
  <c r="J90" i="8" a="1"/>
  <c r="J90" i="8" s="1"/>
  <c r="I90" i="8" a="1"/>
  <c r="I90" i="8" s="1"/>
  <c r="H90" i="8" a="1"/>
  <c r="H90" i="8" s="1"/>
  <c r="L90" i="8" s="1" a="1"/>
  <c r="L90" i="8" s="1"/>
  <c r="F90" i="8" a="1"/>
  <c r="F90" i="8"/>
  <c r="E90" i="8" a="1"/>
  <c r="E90" i="8"/>
  <c r="D90" i="8" a="1"/>
  <c r="D90" i="8" s="1"/>
  <c r="J89" i="8" a="1"/>
  <c r="J89" i="8" s="1"/>
  <c r="I89" i="8" a="1"/>
  <c r="I89" i="8" s="1"/>
  <c r="H89" i="8" a="1"/>
  <c r="H89" i="8" s="1"/>
  <c r="F89" i="8" a="1"/>
  <c r="F89" i="8"/>
  <c r="E89" i="8" a="1"/>
  <c r="E89" i="8" s="1"/>
  <c r="D89" i="8" a="1"/>
  <c r="D89" i="8" s="1"/>
  <c r="J88" i="8" a="1"/>
  <c r="J88" i="8"/>
  <c r="I88" i="8" a="1"/>
  <c r="I88" i="8" s="1"/>
  <c r="H88" i="8" a="1"/>
  <c r="H88" i="8" s="1"/>
  <c r="L88" i="8" s="1" a="1"/>
  <c r="L88" i="8" s="1"/>
  <c r="F88" i="8" a="1"/>
  <c r="F88" i="8" s="1"/>
  <c r="E88" i="8" a="1"/>
  <c r="E88" i="8" s="1"/>
  <c r="D88" i="8" a="1"/>
  <c r="D88" i="8"/>
  <c r="J87" i="8" a="1"/>
  <c r="J87" i="8"/>
  <c r="I87" i="8" a="1"/>
  <c r="I87" i="8" s="1"/>
  <c r="H87" i="8" a="1"/>
  <c r="H87" i="8"/>
  <c r="F87" i="8" a="1"/>
  <c r="F87" i="8" s="1"/>
  <c r="E87" i="8" a="1"/>
  <c r="E87" i="8" s="1"/>
  <c r="D87" i="8" a="1"/>
  <c r="D87" i="8"/>
  <c r="P86" i="8" a="1"/>
  <c r="P86" i="8"/>
  <c r="R86" i="8" s="1" a="1"/>
  <c r="R86" i="8" s="1"/>
  <c r="J86" i="8" a="1"/>
  <c r="J86" i="8" s="1"/>
  <c r="I86" i="8" a="1"/>
  <c r="I86" i="8"/>
  <c r="H86" i="8" a="1"/>
  <c r="H86" i="8" s="1"/>
  <c r="F86" i="8" a="1"/>
  <c r="F86" i="8"/>
  <c r="E86" i="8" a="1"/>
  <c r="E86" i="8"/>
  <c r="D86" i="8" a="1"/>
  <c r="D86" i="8" s="1"/>
  <c r="P85" i="8" a="1"/>
  <c r="P85" i="8" s="1"/>
  <c r="R85" i="8" s="1" a="1"/>
  <c r="R85" i="8" s="1"/>
  <c r="J85" i="8" a="1"/>
  <c r="J85" i="8"/>
  <c r="I85" i="8" a="1"/>
  <c r="I85" i="8"/>
  <c r="H85" i="8" a="1"/>
  <c r="H85" i="8" s="1"/>
  <c r="F85" i="8" a="1"/>
  <c r="F85" i="8" s="1"/>
  <c r="E85" i="8" a="1"/>
  <c r="E85" i="8" s="1"/>
  <c r="D85" i="8" a="1"/>
  <c r="D85" i="8"/>
  <c r="P84" i="8" a="1"/>
  <c r="P84" i="8" s="1"/>
  <c r="R84" i="8" s="1" a="1"/>
  <c r="R84" i="8" s="1"/>
  <c r="D104" i="8" s="1" a="1"/>
  <c r="J84" i="8" a="1"/>
  <c r="J84" i="8" s="1"/>
  <c r="I84" i="8" a="1"/>
  <c r="I84" i="8"/>
  <c r="H84" i="8" a="1"/>
  <c r="H84" i="8" s="1"/>
  <c r="L84" i="8" s="1" a="1"/>
  <c r="L84" i="8" s="1"/>
  <c r="F84" i="8" a="1"/>
  <c r="F84" i="8"/>
  <c r="E84" i="8" a="1"/>
  <c r="E84" i="8" s="1"/>
  <c r="D84" i="8" a="1"/>
  <c r="D84" i="8" s="1"/>
  <c r="J83" i="8" a="1"/>
  <c r="J83" i="8"/>
  <c r="I83" i="8" a="1"/>
  <c r="I83" i="8"/>
  <c r="H83" i="8" a="1"/>
  <c r="H83" i="8" s="1"/>
  <c r="L83" i="8" s="1" a="1"/>
  <c r="L83" i="8" s="1"/>
  <c r="F83" i="8" a="1"/>
  <c r="F83" i="8"/>
  <c r="E83" i="8" a="1"/>
  <c r="E83" i="8" s="1"/>
  <c r="D83" i="8" a="1"/>
  <c r="D83" i="8"/>
  <c r="B79" i="8" a="1"/>
  <c r="B79" i="8" s="1"/>
  <c r="G76" i="8" a="1"/>
  <c r="G76" i="8" s="1"/>
  <c r="F76" i="8" a="1"/>
  <c r="F76" i="8" s="1"/>
  <c r="O75" i="8" a="1"/>
  <c r="O75" i="8"/>
  <c r="N75" i="8" a="1"/>
  <c r="N75" i="8"/>
  <c r="G75" i="8" a="1"/>
  <c r="G75" i="8"/>
  <c r="F75" i="8" a="1"/>
  <c r="F75" i="8" s="1"/>
  <c r="O74" i="8" a="1"/>
  <c r="O74" i="8"/>
  <c r="N74" i="8" a="1"/>
  <c r="N74" i="8"/>
  <c r="G74" i="8" a="1"/>
  <c r="G74" i="8" s="1"/>
  <c r="F74" i="8" a="1"/>
  <c r="F74" i="8"/>
  <c r="B71" i="8" a="1"/>
  <c r="B71" i="8" s="1"/>
  <c r="J68" i="8" a="1"/>
  <c r="J68" i="8"/>
  <c r="I68" i="8" a="1"/>
  <c r="I68" i="8" s="1"/>
  <c r="H68" i="8" a="1"/>
  <c r="H68" i="8" s="1"/>
  <c r="G68" i="8" a="1"/>
  <c r="G68" i="8" s="1"/>
  <c r="F68" i="8" a="1"/>
  <c r="F68" i="8"/>
  <c r="J67" i="8" a="1"/>
  <c r="J67" i="8" s="1"/>
  <c r="I67" i="8" a="1"/>
  <c r="I67" i="8" s="1"/>
  <c r="H67" i="8" a="1"/>
  <c r="H67" i="8" s="1"/>
  <c r="G67" i="8" a="1"/>
  <c r="G67" i="8"/>
  <c r="F67" i="8" a="1"/>
  <c r="F67" i="8"/>
  <c r="J66" i="8" a="1"/>
  <c r="J66" i="8" s="1"/>
  <c r="I66" i="8" a="1"/>
  <c r="I66" i="8"/>
  <c r="H66" i="8" a="1"/>
  <c r="H66" i="8" s="1"/>
  <c r="G66" i="8" a="1"/>
  <c r="G66" i="8" s="1"/>
  <c r="F66" i="8" a="1"/>
  <c r="F66" i="8"/>
  <c r="J63" i="8" a="1"/>
  <c r="J63" i="8"/>
  <c r="I63" i="8" a="1"/>
  <c r="I63" i="8" s="1"/>
  <c r="H63" i="8" a="1"/>
  <c r="H63" i="8" s="1"/>
  <c r="G63" i="8" a="1"/>
  <c r="G63" i="8" s="1"/>
  <c r="O62" i="8" a="1"/>
  <c r="O62" i="8" s="1"/>
  <c r="J62" i="8" a="1"/>
  <c r="J62" i="8"/>
  <c r="I62" i="8" a="1"/>
  <c r="I62" i="8"/>
  <c r="H62" i="8" a="1"/>
  <c r="H62" i="8"/>
  <c r="G62" i="8" a="1"/>
  <c r="G62" i="8"/>
  <c r="J61" i="8" a="1"/>
  <c r="J61" i="8"/>
  <c r="I61" i="8" a="1"/>
  <c r="I61" i="8" s="1"/>
  <c r="H61" i="8" a="1"/>
  <c r="H61" i="8" s="1"/>
  <c r="G61" i="8" a="1"/>
  <c r="G61" i="8"/>
  <c r="M61" i="8" s="1" a="1"/>
  <c r="M61" i="8" s="1"/>
  <c r="E58" i="8" a="1"/>
  <c r="E58" i="8"/>
  <c r="B58" i="8" a="1"/>
  <c r="B58" i="8" s="1"/>
  <c r="B56" i="8" a="1"/>
  <c r="B56" i="8" s="1"/>
  <c r="J53" i="8" a="1"/>
  <c r="J53" i="8" s="1"/>
  <c r="I53" i="8" a="1"/>
  <c r="I53" i="8"/>
  <c r="H53" i="8" a="1"/>
  <c r="H53" i="8"/>
  <c r="G53" i="8" a="1"/>
  <c r="G53" i="8" s="1"/>
  <c r="F53" i="8" a="1"/>
  <c r="F53" i="8" s="1"/>
  <c r="P52" i="8" a="1"/>
  <c r="P52" i="8"/>
  <c r="J52" i="8" a="1"/>
  <c r="J52" i="8"/>
  <c r="I52" i="8" a="1"/>
  <c r="I52" i="8" s="1"/>
  <c r="H52" i="8" a="1"/>
  <c r="H52" i="8" s="1"/>
  <c r="G52" i="8" a="1"/>
  <c r="G52" i="8"/>
  <c r="F52" i="8" a="1"/>
  <c r="F52" i="8"/>
  <c r="J51" i="8" a="1"/>
  <c r="J51" i="8"/>
  <c r="I51" i="8" a="1"/>
  <c r="I51" i="8" s="1"/>
  <c r="H51" i="8" a="1"/>
  <c r="H51" i="8"/>
  <c r="G51" i="8" a="1"/>
  <c r="G51" i="8" s="1"/>
  <c r="F51" i="8" a="1"/>
  <c r="F51" i="8"/>
  <c r="J48" i="8" a="1"/>
  <c r="J48" i="8" s="1"/>
  <c r="I48" i="8" a="1"/>
  <c r="I48" i="8"/>
  <c r="H48" i="8" a="1"/>
  <c r="H48" i="8"/>
  <c r="G48" i="8" a="1"/>
  <c r="G48" i="8" s="1"/>
  <c r="L47" i="8" a="1"/>
  <c r="L47" i="8" s="1"/>
  <c r="J47" i="8" a="1"/>
  <c r="J47" i="8" s="1"/>
  <c r="I47" i="8" a="1"/>
  <c r="I47" i="8"/>
  <c r="H47" i="8" a="1"/>
  <c r="H47" i="8" s="1"/>
  <c r="G47" i="8" a="1"/>
  <c r="G47" i="8"/>
  <c r="J46" i="8" a="1"/>
  <c r="J46" i="8" s="1"/>
  <c r="I46" i="8" a="1"/>
  <c r="I46" i="8" s="1"/>
  <c r="H46" i="8" a="1"/>
  <c r="H46" i="8" s="1"/>
  <c r="G46" i="8" a="1"/>
  <c r="G46" i="8" s="1"/>
  <c r="B43" i="8" a="1"/>
  <c r="B43" i="8" s="1"/>
  <c r="E41" i="8" a="1"/>
  <c r="E41" i="8"/>
  <c r="D96" i="8" s="1" a="1"/>
  <c r="D96" i="8" s="1"/>
  <c r="B41" i="8" a="1"/>
  <c r="B41" i="8" s="1"/>
  <c r="E39" i="8" a="1"/>
  <c r="E39" i="8" s="1"/>
  <c r="B39" i="8" a="1"/>
  <c r="B39" i="8" s="1"/>
  <c r="E38" i="8" a="1"/>
  <c r="E38" i="8"/>
  <c r="B38" i="8" a="1"/>
  <c r="B38" i="8" s="1"/>
  <c r="E37" i="8" a="1"/>
  <c r="E37" i="8"/>
  <c r="B35" i="8" a="1"/>
  <c r="B35" i="8" s="1"/>
  <c r="M32" i="8" a="1"/>
  <c r="M32" i="8" s="1"/>
  <c r="E32" i="8" a="1"/>
  <c r="E32" i="8"/>
  <c r="Q31" i="8" a="1"/>
  <c r="Q31" i="8"/>
  <c r="O31" i="8" a="1"/>
  <c r="O31" i="8" s="1"/>
  <c r="M31" i="8" a="1"/>
  <c r="M31" i="8" s="1"/>
  <c r="K31" i="8" a="1"/>
  <c r="K31" i="8"/>
  <c r="Q30" i="8" a="1"/>
  <c r="Q30" i="8"/>
  <c r="O30" i="8" a="1"/>
  <c r="O30" i="8"/>
  <c r="M30" i="8" a="1"/>
  <c r="M30" i="8" s="1"/>
  <c r="K30" i="8" a="1"/>
  <c r="K30" i="8" s="1"/>
  <c r="E30" i="8" a="1"/>
  <c r="E30" i="8"/>
  <c r="Q29" i="8" a="1"/>
  <c r="Q29" i="8" s="1"/>
  <c r="O29" i="8" a="1"/>
  <c r="O29" i="8" s="1"/>
  <c r="M29" i="8" a="1"/>
  <c r="M29" i="8"/>
  <c r="K29" i="8" a="1"/>
  <c r="K29" i="8" s="1"/>
  <c r="E29" i="8" a="1"/>
  <c r="E29" i="8" s="1"/>
  <c r="Q28" i="8" a="1"/>
  <c r="Q28" i="8" s="1"/>
  <c r="O28" i="8" a="1"/>
  <c r="O28" i="8" s="1"/>
  <c r="O32" i="8" s="1" a="1"/>
  <c r="O32" i="8" s="1"/>
  <c r="M28" i="8" a="1"/>
  <c r="M28" i="8"/>
  <c r="K28" i="8" a="1"/>
  <c r="K28" i="8" s="1"/>
  <c r="E28" i="8" a="1"/>
  <c r="E28" i="8" s="1"/>
  <c r="H27" i="8" a="1"/>
  <c r="H27" i="8" s="1"/>
  <c r="B27" i="8" a="1"/>
  <c r="B27" i="8"/>
  <c r="E17" i="8" a="1"/>
  <c r="E17" i="8"/>
  <c r="B15" i="8" a="1"/>
  <c r="B15" i="8" s="1"/>
  <c r="D11" i="8" a="1"/>
  <c r="D11" i="8" s="1"/>
  <c r="D10" i="8" a="1"/>
  <c r="D10" i="8" s="1"/>
  <c r="D9" i="8" a="1"/>
  <c r="D9" i="8"/>
  <c r="O8" i="8" a="1"/>
  <c r="O8" i="8" s="1"/>
  <c r="M8" i="8" a="1"/>
  <c r="M8" i="8"/>
  <c r="D8" i="8" a="1"/>
  <c r="D8" i="8" s="1"/>
  <c r="M7" i="8" a="1"/>
  <c r="M7" i="8" s="1"/>
  <c r="D7" i="8" a="1"/>
  <c r="D7" i="8" s="1"/>
  <c r="B5" i="8" a="1"/>
  <c r="B5" i="8" s="1"/>
  <c r="B4" i="8" a="1"/>
  <c r="B4" i="8" s="1"/>
  <c r="F105" i="7" a="1"/>
  <c r="F105" i="7" s="1"/>
  <c r="B92" i="7" a="1"/>
  <c r="B92" i="7" s="1"/>
  <c r="J90" i="7" a="1"/>
  <c r="J90" i="7"/>
  <c r="I90" i="7" a="1"/>
  <c r="I90" i="7" s="1"/>
  <c r="H90" i="7" a="1"/>
  <c r="H90" i="7"/>
  <c r="F90" i="7" a="1"/>
  <c r="F90" i="7" s="1"/>
  <c r="E90" i="7" a="1"/>
  <c r="E90" i="7"/>
  <c r="D90" i="7" a="1"/>
  <c r="D90" i="7"/>
  <c r="J89" i="7" a="1"/>
  <c r="J89" i="7" s="1"/>
  <c r="I89" i="7" a="1"/>
  <c r="I89" i="7"/>
  <c r="H89" i="7" a="1"/>
  <c r="H89" i="7" s="1"/>
  <c r="F89" i="7" a="1"/>
  <c r="F89" i="7" s="1"/>
  <c r="E89" i="7" a="1"/>
  <c r="E89" i="7"/>
  <c r="D89" i="7" a="1"/>
  <c r="D89" i="7"/>
  <c r="J88" i="7" a="1"/>
  <c r="J88" i="7"/>
  <c r="I88" i="7" a="1"/>
  <c r="I88" i="7" s="1"/>
  <c r="H88" i="7" a="1"/>
  <c r="H88" i="7"/>
  <c r="F88" i="7" a="1"/>
  <c r="F88" i="7"/>
  <c r="E88" i="7" a="1"/>
  <c r="E88" i="7"/>
  <c r="D88" i="7" a="1"/>
  <c r="D88" i="7" s="1"/>
  <c r="J87" i="7" a="1"/>
  <c r="J87" i="7" s="1"/>
  <c r="I87" i="7" a="1"/>
  <c r="I87" i="7" s="1"/>
  <c r="H87" i="7" a="1"/>
  <c r="H87" i="7" s="1"/>
  <c r="F87" i="7" a="1"/>
  <c r="F87" i="7"/>
  <c r="E87" i="7" a="1"/>
  <c r="E87" i="7" s="1"/>
  <c r="D87" i="7" a="1"/>
  <c r="D87" i="7"/>
  <c r="P86" i="7" a="1"/>
  <c r="P86" i="7" s="1"/>
  <c r="R86" i="7" s="1" a="1"/>
  <c r="R86" i="7" s="1"/>
  <c r="J86" i="7" a="1"/>
  <c r="J86" i="7"/>
  <c r="I86" i="7" a="1"/>
  <c r="I86" i="7" s="1"/>
  <c r="H86" i="7" a="1"/>
  <c r="H86" i="7"/>
  <c r="F86" i="7" a="1"/>
  <c r="F86" i="7"/>
  <c r="E86" i="7" a="1"/>
  <c r="E86" i="7"/>
  <c r="L86" i="7" s="1" a="1"/>
  <c r="L86" i="7" s="1"/>
  <c r="D86" i="7" a="1"/>
  <c r="D86" i="7"/>
  <c r="P85" i="7" a="1"/>
  <c r="P85" i="7" s="1"/>
  <c r="J85" i="7" a="1"/>
  <c r="J85" i="7"/>
  <c r="I85" i="7" a="1"/>
  <c r="I85" i="7"/>
  <c r="H85" i="7" a="1"/>
  <c r="H85" i="7"/>
  <c r="F85" i="7" a="1"/>
  <c r="F85" i="7"/>
  <c r="K83" i="7" s="1" a="1"/>
  <c r="K83" i="7" s="1"/>
  <c r="E85" i="7" a="1"/>
  <c r="E85" i="7" s="1"/>
  <c r="D85" i="7" a="1"/>
  <c r="D85" i="7"/>
  <c r="P84" i="7" a="1"/>
  <c r="P84" i="7"/>
  <c r="R84" i="7" s="1" a="1"/>
  <c r="R84" i="7" s="1"/>
  <c r="J84" i="7" a="1"/>
  <c r="J84" i="7"/>
  <c r="I84" i="7" a="1"/>
  <c r="I84" i="7" s="1"/>
  <c r="H84" i="7" a="1"/>
  <c r="H84" i="7"/>
  <c r="L84" i="7" s="1" a="1"/>
  <c r="L84" i="7" s="1"/>
  <c r="F84" i="7" a="1"/>
  <c r="F84" i="7"/>
  <c r="E84" i="7" a="1"/>
  <c r="E84" i="7"/>
  <c r="D84" i="7" a="1"/>
  <c r="D84" i="7"/>
  <c r="J83" i="7" a="1"/>
  <c r="J83" i="7"/>
  <c r="I83" i="7" a="1"/>
  <c r="I83" i="7"/>
  <c r="H83" i="7" a="1"/>
  <c r="H83" i="7"/>
  <c r="F83" i="7" a="1"/>
  <c r="F83" i="7"/>
  <c r="E83" i="7" a="1"/>
  <c r="E83" i="7"/>
  <c r="D83" i="7" a="1"/>
  <c r="D83" i="7" s="1"/>
  <c r="B79" i="7" a="1"/>
  <c r="B79" i="7" s="1"/>
  <c r="G76" i="7" a="1"/>
  <c r="G76" i="7"/>
  <c r="F76" i="7" a="1"/>
  <c r="F76" i="7" s="1"/>
  <c r="O75" i="7" a="1"/>
  <c r="O75" i="7"/>
  <c r="N75" i="7" a="1"/>
  <c r="N75" i="7"/>
  <c r="G75" i="7" a="1"/>
  <c r="G75" i="7" s="1"/>
  <c r="F75" i="7" a="1"/>
  <c r="F75" i="7"/>
  <c r="O74" i="7" a="1"/>
  <c r="O74" i="7"/>
  <c r="N74" i="7" a="1"/>
  <c r="N74" i="7"/>
  <c r="G74" i="7" a="1"/>
  <c r="G74" i="7"/>
  <c r="F74" i="7" a="1"/>
  <c r="F74" i="7" s="1"/>
  <c r="B71" i="7" a="1"/>
  <c r="B71" i="7" s="1"/>
  <c r="J68" i="7" a="1"/>
  <c r="J68" i="7" s="1"/>
  <c r="I68" i="7" a="1"/>
  <c r="I68" i="7"/>
  <c r="H68" i="7" a="1"/>
  <c r="H68" i="7"/>
  <c r="G68" i="7" a="1"/>
  <c r="G68" i="7" s="1"/>
  <c r="F68" i="7" a="1"/>
  <c r="F68" i="7"/>
  <c r="J67" i="7" a="1"/>
  <c r="J67" i="7"/>
  <c r="I67" i="7" a="1"/>
  <c r="I67" i="7"/>
  <c r="H67" i="7" a="1"/>
  <c r="H67" i="7" s="1"/>
  <c r="G67" i="7" a="1"/>
  <c r="G67" i="7" s="1"/>
  <c r="O62" i="7" s="1" a="1"/>
  <c r="F67" i="7" a="1"/>
  <c r="F67" i="7"/>
  <c r="J66" i="7" a="1"/>
  <c r="J66" i="7" s="1"/>
  <c r="I66" i="7" a="1"/>
  <c r="I66" i="7"/>
  <c r="H66" i="7" a="1"/>
  <c r="H66" i="7"/>
  <c r="G66" i="7" a="1"/>
  <c r="G66" i="7" s="1"/>
  <c r="F66" i="7" a="1"/>
  <c r="F66" i="7"/>
  <c r="L63" i="7" a="1"/>
  <c r="L63" i="7" s="1"/>
  <c r="J63" i="7" a="1"/>
  <c r="J63" i="7" s="1"/>
  <c r="I63" i="7" a="1"/>
  <c r="I63" i="7"/>
  <c r="H63" i="7" a="1"/>
  <c r="H63" i="7"/>
  <c r="G63" i="7" a="1"/>
  <c r="G63" i="7"/>
  <c r="O62" i="7"/>
  <c r="J62" i="7" a="1"/>
  <c r="J62" i="7" s="1"/>
  <c r="I62" i="7" a="1"/>
  <c r="I62" i="7" s="1"/>
  <c r="H62" i="7" a="1"/>
  <c r="H62" i="7"/>
  <c r="G62" i="7" a="1"/>
  <c r="G62" i="7"/>
  <c r="O61" i="7" a="1"/>
  <c r="O61" i="7" s="1"/>
  <c r="J61" i="7" a="1"/>
  <c r="J61" i="7"/>
  <c r="I61" i="7" a="1"/>
  <c r="I61" i="7"/>
  <c r="H61" i="7" a="1"/>
  <c r="H61" i="7" s="1"/>
  <c r="G61" i="7" a="1"/>
  <c r="G61" i="7"/>
  <c r="E58" i="7" a="1"/>
  <c r="E58" i="7"/>
  <c r="B58" i="7" a="1"/>
  <c r="B58" i="7" s="1"/>
  <c r="B56" i="7" a="1"/>
  <c r="B56" i="7" s="1"/>
  <c r="J53" i="7" a="1"/>
  <c r="J53" i="7"/>
  <c r="I53" i="7" a="1"/>
  <c r="I53" i="7" s="1"/>
  <c r="H53" i="7" a="1"/>
  <c r="H53" i="7"/>
  <c r="G53" i="7" a="1"/>
  <c r="G53" i="7" s="1"/>
  <c r="F53" i="7" a="1"/>
  <c r="F53" i="7"/>
  <c r="N52" i="7" a="1"/>
  <c r="N52" i="7" s="1"/>
  <c r="L52" i="7" a="1"/>
  <c r="L52" i="7"/>
  <c r="J52" i="7" a="1"/>
  <c r="J52" i="7"/>
  <c r="I52" i="7" a="1"/>
  <c r="I52" i="7"/>
  <c r="H52" i="7" a="1"/>
  <c r="H52" i="7"/>
  <c r="G52" i="7" a="1"/>
  <c r="G52" i="7" s="1"/>
  <c r="F52" i="7" a="1"/>
  <c r="F52" i="7"/>
  <c r="J51" i="7" a="1"/>
  <c r="J51" i="7"/>
  <c r="I51" i="7" a="1"/>
  <c r="I51" i="7" s="1"/>
  <c r="H51" i="7" a="1"/>
  <c r="H51" i="7" s="1"/>
  <c r="G51" i="7" a="1"/>
  <c r="G51" i="7"/>
  <c r="F51" i="7" a="1"/>
  <c r="F51" i="7" s="1"/>
  <c r="J48" i="7" a="1"/>
  <c r="J48" i="7"/>
  <c r="I48" i="7" a="1"/>
  <c r="I48" i="7"/>
  <c r="H48" i="7" a="1"/>
  <c r="H48" i="7" s="1"/>
  <c r="G48" i="7" a="1"/>
  <c r="G48" i="7" s="1"/>
  <c r="J47" i="7" a="1"/>
  <c r="J47" i="7"/>
  <c r="I47" i="7" a="1"/>
  <c r="I47" i="7" s="1"/>
  <c r="H47" i="7" a="1"/>
  <c r="H47" i="7" s="1"/>
  <c r="G47" i="7" a="1"/>
  <c r="G47" i="7"/>
  <c r="J46" i="7" a="1"/>
  <c r="J46" i="7"/>
  <c r="I46" i="7" a="1"/>
  <c r="I46" i="7" s="1"/>
  <c r="L46" i="7" s="1" a="1"/>
  <c r="L46" i="7" s="1"/>
  <c r="H46" i="7" a="1"/>
  <c r="H46" i="7"/>
  <c r="G46" i="7" a="1"/>
  <c r="G46" i="7" s="1"/>
  <c r="B43" i="7" a="1"/>
  <c r="B43" i="7" s="1"/>
  <c r="E41" i="7" a="1"/>
  <c r="E41" i="7"/>
  <c r="D96" i="7" s="1" a="1"/>
  <c r="D96" i="7" s="1"/>
  <c r="B41" i="7" a="1"/>
  <c r="B41" i="7" s="1"/>
  <c r="E39" i="7" a="1"/>
  <c r="E39" i="7" s="1"/>
  <c r="B39" i="7" a="1"/>
  <c r="B39" i="7" s="1"/>
  <c r="E38" i="7" a="1"/>
  <c r="E38" i="7" s="1"/>
  <c r="B38" i="7" a="1"/>
  <c r="B38" i="7" s="1"/>
  <c r="E37" i="7" a="1"/>
  <c r="E37" i="7"/>
  <c r="B35" i="7" a="1"/>
  <c r="B35" i="7" s="1"/>
  <c r="E32" i="7" a="1"/>
  <c r="E32" i="7"/>
  <c r="Q31" i="7" a="1"/>
  <c r="Q31" i="7" s="1"/>
  <c r="O31" i="7" a="1"/>
  <c r="O31" i="7"/>
  <c r="M31" i="7" a="1"/>
  <c r="M31" i="7" s="1"/>
  <c r="K31" i="7" a="1"/>
  <c r="K31" i="7" s="1"/>
  <c r="Q30" i="7" a="1"/>
  <c r="Q30" i="7" s="1"/>
  <c r="O30" i="7" a="1"/>
  <c r="O30" i="7"/>
  <c r="M30" i="7" a="1"/>
  <c r="M30" i="7"/>
  <c r="K30" i="7" a="1"/>
  <c r="K30" i="7" s="1"/>
  <c r="E30" i="7" a="1"/>
  <c r="E30" i="7" s="1"/>
  <c r="Q29" i="7" a="1"/>
  <c r="Q29" i="7" s="1"/>
  <c r="O29" i="7" a="1"/>
  <c r="O29" i="7"/>
  <c r="M29" i="7" a="1"/>
  <c r="M29" i="7"/>
  <c r="K29" i="7" a="1"/>
  <c r="K29" i="7"/>
  <c r="E29" i="7" a="1"/>
  <c r="E29" i="7" s="1"/>
  <c r="Q28" i="7" a="1"/>
  <c r="Q28" i="7" s="1"/>
  <c r="O28" i="7" a="1"/>
  <c r="O28" i="7" s="1"/>
  <c r="O32" i="7" s="1" a="1"/>
  <c r="O32" i="7" s="1"/>
  <c r="M28" i="7" a="1"/>
  <c r="M28" i="7" s="1"/>
  <c r="K28" i="7" a="1"/>
  <c r="K28" i="7"/>
  <c r="E28" i="7" a="1"/>
  <c r="E28" i="7"/>
  <c r="H27" i="7" a="1"/>
  <c r="H27" i="7" s="1"/>
  <c r="B27" i="7" a="1"/>
  <c r="B27" i="7"/>
  <c r="B25" i="7" a="1"/>
  <c r="B25" i="7" s="1"/>
  <c r="E17" i="7" a="1"/>
  <c r="E17" i="7"/>
  <c r="B15" i="7" a="1"/>
  <c r="B15" i="7" s="1"/>
  <c r="D11" i="7" a="1"/>
  <c r="D11" i="7"/>
  <c r="D10" i="7" a="1"/>
  <c r="D10" i="7" s="1"/>
  <c r="D9" i="7" a="1"/>
  <c r="D9" i="7"/>
  <c r="O8" i="7" a="1"/>
  <c r="O8" i="7" s="1"/>
  <c r="M8" i="7" a="1"/>
  <c r="M8" i="7" s="1"/>
  <c r="D8" i="7" a="1"/>
  <c r="D8" i="7"/>
  <c r="M7" i="7" a="1"/>
  <c r="M7" i="7"/>
  <c r="D7" i="7" a="1"/>
  <c r="D7" i="7"/>
  <c r="B5" i="7" a="1"/>
  <c r="B5" i="7"/>
  <c r="B4" i="7" a="1"/>
  <c r="B4" i="7" s="1"/>
  <c r="U128" i="6" a="1"/>
  <c r="U128" i="6" s="1"/>
  <c r="T128" i="6" a="1"/>
  <c r="T128" i="6"/>
  <c r="P128" i="6" a="1"/>
  <c r="P128" i="6"/>
  <c r="I128" i="6" a="1"/>
  <c r="I128" i="6"/>
  <c r="H128" i="6" a="1"/>
  <c r="H128" i="6" s="1"/>
  <c r="J128" i="6" s="1" a="1"/>
  <c r="J128" i="6" s="1"/>
  <c r="D128" i="6" a="1"/>
  <c r="D128" i="6"/>
  <c r="U127" i="6" a="1"/>
  <c r="U127" i="6" s="1"/>
  <c r="T127" i="6" a="1"/>
  <c r="T127" i="6"/>
  <c r="P127" i="6" a="1"/>
  <c r="P127" i="6"/>
  <c r="I127" i="6" a="1"/>
  <c r="I127" i="6" s="1"/>
  <c r="H127" i="6" a="1"/>
  <c r="H127" i="6"/>
  <c r="J127" i="6" s="1" a="1"/>
  <c r="J127" i="6" s="1"/>
  <c r="D127" i="6" a="1"/>
  <c r="D127" i="6"/>
  <c r="U126" i="6" a="1"/>
  <c r="U126" i="6"/>
  <c r="T126" i="6" a="1"/>
  <c r="T126" i="6" s="1"/>
  <c r="V126" i="6" s="1" a="1"/>
  <c r="V126" i="6" s="1"/>
  <c r="P126" i="6" a="1"/>
  <c r="P126" i="6"/>
  <c r="I126" i="6" a="1"/>
  <c r="I126" i="6"/>
  <c r="H126" i="6" a="1"/>
  <c r="H126" i="6"/>
  <c r="D126" i="6" a="1"/>
  <c r="D126" i="6" s="1"/>
  <c r="U125" i="6" a="1"/>
  <c r="U125" i="6"/>
  <c r="T125" i="6" a="1"/>
  <c r="T125" i="6" s="1"/>
  <c r="V125" i="6" s="1" a="1"/>
  <c r="V125" i="6" s="1"/>
  <c r="P125" i="6" a="1"/>
  <c r="P125" i="6" s="1"/>
  <c r="J125" i="6" a="1"/>
  <c r="J125" i="6" s="1"/>
  <c r="I125" i="6" a="1"/>
  <c r="I125" i="6"/>
  <c r="H125" i="6" a="1"/>
  <c r="H125" i="6" s="1"/>
  <c r="D125" i="6" a="1"/>
  <c r="D125" i="6"/>
  <c r="U124" i="6" a="1"/>
  <c r="U124" i="6"/>
  <c r="T124" i="6" a="1"/>
  <c r="T124" i="6" s="1"/>
  <c r="V124" i="6" s="1" a="1"/>
  <c r="V124" i="6" s="1"/>
  <c r="P124" i="6" a="1"/>
  <c r="P124" i="6" s="1"/>
  <c r="I124" i="6" a="1"/>
  <c r="I124" i="6" s="1"/>
  <c r="H124" i="6" a="1"/>
  <c r="H124" i="6"/>
  <c r="J124" i="6" s="1" a="1"/>
  <c r="J124" i="6" s="1"/>
  <c r="D124" i="6" a="1"/>
  <c r="D124" i="6" s="1"/>
  <c r="U123" i="6" a="1"/>
  <c r="U123" i="6" s="1"/>
  <c r="V123" i="6" s="1" a="1"/>
  <c r="V123" i="6" s="1"/>
  <c r="T123" i="6" a="1"/>
  <c r="T123" i="6" s="1"/>
  <c r="P123" i="6" a="1"/>
  <c r="P123" i="6"/>
  <c r="I123" i="6" a="1"/>
  <c r="I123" i="6"/>
  <c r="H123" i="6" a="1"/>
  <c r="H123" i="6"/>
  <c r="J123" i="6" s="1" a="1"/>
  <c r="J123" i="6" s="1"/>
  <c r="D123" i="6" a="1"/>
  <c r="D123" i="6"/>
  <c r="U122" i="6" a="1"/>
  <c r="U122" i="6" s="1"/>
  <c r="V122" i="6" s="1" a="1"/>
  <c r="V122" i="6" s="1"/>
  <c r="T122" i="6" a="1"/>
  <c r="T122" i="6"/>
  <c r="P122" i="6" a="1"/>
  <c r="P122" i="6"/>
  <c r="I122" i="6" a="1"/>
  <c r="I122" i="6" s="1"/>
  <c r="H122" i="6" a="1"/>
  <c r="H122" i="6" s="1"/>
  <c r="D122" i="6" a="1"/>
  <c r="D122" i="6"/>
  <c r="V121" i="6" a="1"/>
  <c r="V121" i="6" s="1"/>
  <c r="U121" i="6" a="1"/>
  <c r="U121" i="6"/>
  <c r="T121" i="6" a="1"/>
  <c r="T121" i="6"/>
  <c r="P121" i="6" a="1"/>
  <c r="P121" i="6"/>
  <c r="I121" i="6" a="1"/>
  <c r="I121" i="6"/>
  <c r="H121" i="6" a="1"/>
  <c r="H121" i="6"/>
  <c r="J121" i="6" s="1" a="1"/>
  <c r="J121" i="6" s="1"/>
  <c r="D121" i="6" a="1"/>
  <c r="D121" i="6"/>
  <c r="U120" i="6" a="1"/>
  <c r="U120" i="6" s="1"/>
  <c r="T120" i="6" a="1"/>
  <c r="T120" i="6" s="1"/>
  <c r="V120" i="6" s="1" a="1"/>
  <c r="V120" i="6" s="1"/>
  <c r="P120" i="6" a="1"/>
  <c r="P120" i="6" s="1"/>
  <c r="I120" i="6" a="1"/>
  <c r="I120" i="6"/>
  <c r="J120" i="6" s="1" a="1"/>
  <c r="J120" i="6" s="1"/>
  <c r="H120" i="6" a="1"/>
  <c r="H120" i="6"/>
  <c r="D120" i="6" a="1"/>
  <c r="D120" i="6" s="1"/>
  <c r="U119" i="6" a="1"/>
  <c r="U119" i="6"/>
  <c r="T119" i="6" a="1"/>
  <c r="T119" i="6"/>
  <c r="V119" i="6" s="1" a="1"/>
  <c r="V119" i="6" s="1"/>
  <c r="P119" i="6" a="1"/>
  <c r="P119" i="6" s="1"/>
  <c r="J119" i="6" a="1"/>
  <c r="J119" i="6" s="1"/>
  <c r="I119" i="6" a="1"/>
  <c r="I119" i="6"/>
  <c r="H119" i="6" a="1"/>
  <c r="H119" i="6" s="1"/>
  <c r="D119" i="6" a="1"/>
  <c r="D119" i="6"/>
  <c r="U118" i="6" a="1"/>
  <c r="U118" i="6"/>
  <c r="T118" i="6" a="1"/>
  <c r="T118" i="6" s="1"/>
  <c r="V118" i="6" s="1" a="1"/>
  <c r="V118" i="6" s="1"/>
  <c r="P118" i="6" a="1"/>
  <c r="P118" i="6" s="1"/>
  <c r="I118" i="6" a="1"/>
  <c r="I118" i="6" s="1"/>
  <c r="H118" i="6" a="1"/>
  <c r="H118" i="6"/>
  <c r="J118" i="6" s="1" a="1"/>
  <c r="J118" i="6" s="1"/>
  <c r="D118" i="6" a="1"/>
  <c r="D118" i="6"/>
  <c r="V117" i="6" a="1"/>
  <c r="V117" i="6"/>
  <c r="U117" i="6" a="1"/>
  <c r="U117" i="6"/>
  <c r="T117" i="6" a="1"/>
  <c r="T117" i="6" s="1"/>
  <c r="P117" i="6" a="1"/>
  <c r="P117" i="6"/>
  <c r="I117" i="6" a="1"/>
  <c r="I117" i="6"/>
  <c r="H117" i="6" a="1"/>
  <c r="H117" i="6"/>
  <c r="J117" i="6" s="1" a="1"/>
  <c r="J117" i="6" s="1"/>
  <c r="D117" i="6" a="1"/>
  <c r="D117" i="6"/>
  <c r="V116" i="6" a="1"/>
  <c r="V116" i="6" s="1"/>
  <c r="U116" i="6" a="1"/>
  <c r="U116" i="6"/>
  <c r="T116" i="6" a="1"/>
  <c r="T116" i="6" s="1"/>
  <c r="P116" i="6" a="1"/>
  <c r="P116" i="6"/>
  <c r="I116" i="6" a="1"/>
  <c r="I116" i="6"/>
  <c r="H116" i="6" a="1"/>
  <c r="H116" i="6" s="1"/>
  <c r="J116" i="6" s="1" a="1"/>
  <c r="J116" i="6" s="1"/>
  <c r="D116" i="6" a="1"/>
  <c r="D116" i="6"/>
  <c r="V115" i="6" a="1"/>
  <c r="V115" i="6"/>
  <c r="U115" i="6" a="1"/>
  <c r="U115" i="6"/>
  <c r="T115" i="6" a="1"/>
  <c r="T115" i="6" s="1"/>
  <c r="P115" i="6" a="1"/>
  <c r="P115" i="6"/>
  <c r="I115" i="6" a="1"/>
  <c r="I115" i="6"/>
  <c r="H115" i="6" a="1"/>
  <c r="H115" i="6"/>
  <c r="J115" i="6" s="1" a="1"/>
  <c r="J115" i="6" s="1"/>
  <c r="D115" i="6" a="1"/>
  <c r="D115" i="6" s="1"/>
  <c r="AA114" i="6" a="1"/>
  <c r="AA114" i="6"/>
  <c r="V114" i="6" a="1"/>
  <c r="V114" i="6" s="1"/>
  <c r="U114" i="6" a="1"/>
  <c r="U114" i="6"/>
  <c r="T114" i="6" a="1"/>
  <c r="T114" i="6"/>
  <c r="P114" i="6" a="1"/>
  <c r="P114" i="6"/>
  <c r="I114" i="6" a="1"/>
  <c r="I114" i="6"/>
  <c r="H114" i="6" a="1"/>
  <c r="H114" i="6" s="1"/>
  <c r="J114" i="6" s="1" a="1"/>
  <c r="J114" i="6" s="1"/>
  <c r="D114" i="6" a="1"/>
  <c r="D114" i="6" s="1"/>
  <c r="AC113" i="6" a="1"/>
  <c r="AC113" i="6" s="1"/>
  <c r="AA113" i="6" a="1"/>
  <c r="AA113" i="6" s="1"/>
  <c r="AB113" i="6" s="1" a="1"/>
  <c r="AB113" i="6" s="1"/>
  <c r="AD113" i="6" s="1" a="1"/>
  <c r="AD113" i="6" s="1"/>
  <c r="U113" i="6" a="1"/>
  <c r="U113" i="6"/>
  <c r="T113" i="6" a="1"/>
  <c r="T113" i="6"/>
  <c r="V113" i="6" s="1" a="1"/>
  <c r="V113" i="6" s="1"/>
  <c r="P113" i="6" a="1"/>
  <c r="P113" i="6"/>
  <c r="I113" i="6" a="1"/>
  <c r="I113" i="6"/>
  <c r="H113" i="6" a="1"/>
  <c r="H113" i="6"/>
  <c r="J113" i="6" s="1" a="1"/>
  <c r="J113" i="6" s="1"/>
  <c r="D113" i="6" a="1"/>
  <c r="D113" i="6"/>
  <c r="AA112" i="6" a="1"/>
  <c r="AA112" i="6" s="1"/>
  <c r="AC112" i="6" s="1" a="1"/>
  <c r="AC112" i="6" s="1"/>
  <c r="U112" i="6" a="1"/>
  <c r="U112" i="6"/>
  <c r="T112" i="6" a="1"/>
  <c r="T112" i="6"/>
  <c r="V112" i="6" s="1" a="1"/>
  <c r="V112" i="6" s="1"/>
  <c r="P112" i="6" a="1"/>
  <c r="P112" i="6"/>
  <c r="I112" i="6" a="1"/>
  <c r="I112" i="6"/>
  <c r="H112" i="6" a="1"/>
  <c r="H112" i="6" s="1"/>
  <c r="J112" i="6" s="1" a="1"/>
  <c r="J112" i="6" s="1"/>
  <c r="D112" i="6" a="1"/>
  <c r="D112" i="6"/>
  <c r="AC111" i="6"/>
  <c r="AB111" i="6" a="1"/>
  <c r="AB111" i="6" s="1"/>
  <c r="AD111" i="6" s="1" a="1"/>
  <c r="AD111" i="6" s="1"/>
  <c r="AA111" i="6" a="1"/>
  <c r="AA111" i="6"/>
  <c r="AC111" i="6" s="1" a="1"/>
  <c r="U111" i="6" a="1"/>
  <c r="U111" i="6"/>
  <c r="T111" i="6" a="1"/>
  <c r="T111" i="6" s="1"/>
  <c r="V111" i="6" s="1" a="1"/>
  <c r="V111" i="6" s="1"/>
  <c r="P111" i="6" a="1"/>
  <c r="P111" i="6"/>
  <c r="I111" i="6" a="1"/>
  <c r="I111" i="6" s="1"/>
  <c r="H111" i="6" a="1"/>
  <c r="H111" i="6" s="1"/>
  <c r="J111" i="6" s="1" a="1"/>
  <c r="J111" i="6" s="1"/>
  <c r="D111" i="6" a="1"/>
  <c r="D111" i="6" s="1"/>
  <c r="AA110" i="6" a="1"/>
  <c r="AA110" i="6"/>
  <c r="U110" i="6" a="1"/>
  <c r="U110" i="6"/>
  <c r="T110" i="6" a="1"/>
  <c r="T110" i="6"/>
  <c r="V110" i="6" s="1" a="1"/>
  <c r="V110" i="6" s="1"/>
  <c r="P110" i="6" a="1"/>
  <c r="P110" i="6"/>
  <c r="I110" i="6" a="1"/>
  <c r="I110" i="6"/>
  <c r="H110" i="6" a="1"/>
  <c r="H110" i="6" s="1"/>
  <c r="J110" i="6" s="1" a="1"/>
  <c r="J110" i="6" s="1"/>
  <c r="D110" i="6" a="1"/>
  <c r="D110" i="6"/>
  <c r="AC109" i="6" a="1"/>
  <c r="AC109" i="6"/>
  <c r="AA109" i="6" a="1"/>
  <c r="AA109" i="6"/>
  <c r="AB109" i="6" s="1" a="1"/>
  <c r="AB109" i="6" s="1"/>
  <c r="AD109" i="6" s="1" a="1"/>
  <c r="AD109" i="6" s="1"/>
  <c r="U109" i="6" a="1"/>
  <c r="U109" i="6"/>
  <c r="T109" i="6" a="1"/>
  <c r="T109" i="6" s="1"/>
  <c r="V109" i="6" s="1" a="1"/>
  <c r="V109" i="6" s="1"/>
  <c r="P109" i="6" a="1"/>
  <c r="P109" i="6"/>
  <c r="I109" i="6" a="1"/>
  <c r="I109" i="6"/>
  <c r="H109" i="6" a="1"/>
  <c r="H109" i="6" s="1"/>
  <c r="J109" i="6" s="1" a="1"/>
  <c r="J109" i="6" s="1"/>
  <c r="D109" i="6" a="1"/>
  <c r="D109" i="6" s="1"/>
  <c r="AA108" i="6" a="1"/>
  <c r="AA108" i="6" s="1"/>
  <c r="AB108" i="6" s="1" a="1"/>
  <c r="AB108" i="6" s="1"/>
  <c r="U108" i="6" a="1"/>
  <c r="U108" i="6" s="1"/>
  <c r="T108" i="6" a="1"/>
  <c r="T108" i="6"/>
  <c r="V108" i="6" s="1" a="1"/>
  <c r="V108" i="6" s="1"/>
  <c r="P108" i="6" a="1"/>
  <c r="P108" i="6"/>
  <c r="I108" i="6" a="1"/>
  <c r="I108" i="6"/>
  <c r="J108" i="6" s="1" a="1"/>
  <c r="J108" i="6" s="1"/>
  <c r="H108" i="6" a="1"/>
  <c r="H108" i="6" s="1"/>
  <c r="D108" i="6" a="1"/>
  <c r="D108" i="6"/>
  <c r="AA107" i="6" a="1"/>
  <c r="AA107" i="6" s="1"/>
  <c r="U107" i="6" a="1"/>
  <c r="U107" i="6" s="1"/>
  <c r="V107" i="6" s="1" a="1"/>
  <c r="V107" i="6" s="1"/>
  <c r="T107" i="6" a="1"/>
  <c r="T107" i="6"/>
  <c r="P107" i="6" a="1"/>
  <c r="P107" i="6"/>
  <c r="I107" i="6" a="1"/>
  <c r="I107" i="6" s="1"/>
  <c r="H107" i="6" a="1"/>
  <c r="H107" i="6"/>
  <c r="D107" i="6" a="1"/>
  <c r="D107" i="6"/>
  <c r="AA106" i="6" a="1"/>
  <c r="AA106" i="6"/>
  <c r="AC106" i="6" s="1" a="1"/>
  <c r="AC106" i="6" s="1"/>
  <c r="U106" i="6" a="1"/>
  <c r="U106" i="6" s="1"/>
  <c r="T106" i="6" a="1"/>
  <c r="T106" i="6" s="1"/>
  <c r="P106" i="6" a="1"/>
  <c r="P106" i="6"/>
  <c r="I106" i="6" a="1"/>
  <c r="I106" i="6" s="1"/>
  <c r="H106" i="6" a="1"/>
  <c r="H106" i="6"/>
  <c r="D106" i="6" a="1"/>
  <c r="D106" i="6"/>
  <c r="AD105" i="6" a="1"/>
  <c r="AD105" i="6"/>
  <c r="AC105" i="6" a="1"/>
  <c r="AC105" i="6"/>
  <c r="AA105" i="6" a="1"/>
  <c r="AA105" i="6"/>
  <c r="AB105" i="6" s="1" a="1"/>
  <c r="AB105" i="6" s="1"/>
  <c r="U105" i="6" a="1"/>
  <c r="U105" i="6"/>
  <c r="T105" i="6" a="1"/>
  <c r="T105" i="6"/>
  <c r="V105" i="6" s="1" a="1"/>
  <c r="V105" i="6" s="1"/>
  <c r="P105" i="6" a="1"/>
  <c r="P105" i="6"/>
  <c r="J105" i="6" a="1"/>
  <c r="J105" i="6" s="1"/>
  <c r="I105" i="6" a="1"/>
  <c r="I105" i="6" s="1"/>
  <c r="H105" i="6" a="1"/>
  <c r="H105" i="6"/>
  <c r="D105" i="6" a="1"/>
  <c r="D105" i="6"/>
  <c r="AA104" i="6" a="1"/>
  <c r="AA104" i="6"/>
  <c r="AB104" i="6" s="1" a="1"/>
  <c r="AB104" i="6" s="1"/>
  <c r="U104" i="6" a="1"/>
  <c r="U104" i="6"/>
  <c r="T104" i="6" a="1"/>
  <c r="T104" i="6"/>
  <c r="V104" i="6" s="1" a="1"/>
  <c r="V104" i="6" s="1"/>
  <c r="P104" i="6" a="1"/>
  <c r="P104" i="6"/>
  <c r="I104" i="6" a="1"/>
  <c r="I104" i="6"/>
  <c r="H104" i="6" a="1"/>
  <c r="H104" i="6" s="1"/>
  <c r="J104" i="6" s="1" a="1"/>
  <c r="J104" i="6" s="1"/>
  <c r="D104" i="6" a="1"/>
  <c r="D104" i="6" s="1"/>
  <c r="AA103" i="6" a="1"/>
  <c r="AA103" i="6"/>
  <c r="V103" i="6" a="1"/>
  <c r="V103" i="6" s="1"/>
  <c r="U103" i="6" a="1"/>
  <c r="U103" i="6"/>
  <c r="T103" i="6" a="1"/>
  <c r="T103" i="6"/>
  <c r="P103" i="6" a="1"/>
  <c r="P103" i="6" s="1"/>
  <c r="I103" i="6" a="1"/>
  <c r="I103" i="6"/>
  <c r="H103" i="6" a="1"/>
  <c r="H103" i="6"/>
  <c r="J103" i="6" s="1" a="1"/>
  <c r="J103" i="6" s="1"/>
  <c r="D103" i="6" a="1"/>
  <c r="D103" i="6" s="1"/>
  <c r="AA102" i="6" a="1"/>
  <c r="AA102" i="6"/>
  <c r="AC102" i="6" s="1" a="1"/>
  <c r="AC102" i="6" s="1"/>
  <c r="U102" i="6" a="1"/>
  <c r="U102" i="6" s="1"/>
  <c r="T102" i="6" a="1"/>
  <c r="T102" i="6"/>
  <c r="P102" i="6" a="1"/>
  <c r="P102" i="6" s="1"/>
  <c r="I102" i="6" a="1"/>
  <c r="I102" i="6" s="1"/>
  <c r="H102" i="6" a="1"/>
  <c r="H102" i="6"/>
  <c r="J102" i="6" s="1" a="1"/>
  <c r="J102" i="6" s="1"/>
  <c r="D102" i="6" a="1"/>
  <c r="D102" i="6"/>
  <c r="AC101" i="6" a="1"/>
  <c r="AC101" i="6"/>
  <c r="AB101" i="6" a="1"/>
  <c r="AB101" i="6" s="1"/>
  <c r="AD101" i="6" s="1" a="1"/>
  <c r="AD101" i="6" s="1"/>
  <c r="AA101" i="6" a="1"/>
  <c r="AA101" i="6"/>
  <c r="U101" i="6" a="1"/>
  <c r="U101" i="6"/>
  <c r="T101" i="6" a="1"/>
  <c r="T101" i="6"/>
  <c r="V101" i="6" s="1" a="1"/>
  <c r="V101" i="6" s="1"/>
  <c r="P101" i="6" a="1"/>
  <c r="P101" i="6"/>
  <c r="I101" i="6" a="1"/>
  <c r="I101" i="6" s="1"/>
  <c r="J101" i="6" s="1" a="1"/>
  <c r="J101" i="6" s="1"/>
  <c r="H101" i="6" a="1"/>
  <c r="H101" i="6"/>
  <c r="D101" i="6" a="1"/>
  <c r="D101" i="6"/>
  <c r="AA100" i="6" a="1"/>
  <c r="AA100" i="6" s="1"/>
  <c r="V100" i="6" a="1"/>
  <c r="V100" i="6" s="1"/>
  <c r="U100" i="6" a="1"/>
  <c r="U100" i="6"/>
  <c r="T100" i="6" a="1"/>
  <c r="T100" i="6"/>
  <c r="P100" i="6" a="1"/>
  <c r="P100" i="6"/>
  <c r="I100" i="6" a="1"/>
  <c r="I100" i="6"/>
  <c r="H100" i="6" a="1"/>
  <c r="H100" i="6"/>
  <c r="J100" i="6" s="1" a="1"/>
  <c r="J100" i="6" s="1"/>
  <c r="D100" i="6" a="1"/>
  <c r="D100" i="6" s="1"/>
  <c r="AA99" i="6" a="1"/>
  <c r="AA99" i="6"/>
  <c r="U99" i="6" a="1"/>
  <c r="U99" i="6"/>
  <c r="V99" i="6" s="1" a="1"/>
  <c r="V99" i="6" s="1"/>
  <c r="T99" i="6" a="1"/>
  <c r="T99" i="6"/>
  <c r="P99" i="6" a="1"/>
  <c r="P99" i="6" s="1"/>
  <c r="I99" i="6" a="1"/>
  <c r="I99" i="6" s="1"/>
  <c r="H99" i="6" a="1"/>
  <c r="H99" i="6" s="1"/>
  <c r="J99" i="6" s="1" a="1"/>
  <c r="J99" i="6" s="1"/>
  <c r="D99" i="6" a="1"/>
  <c r="D99" i="6" s="1"/>
  <c r="AA98" i="6" a="1"/>
  <c r="AA98" i="6"/>
  <c r="AC98" i="6" s="1" a="1"/>
  <c r="AC98" i="6" s="1"/>
  <c r="U98" i="6" a="1"/>
  <c r="U98" i="6"/>
  <c r="T98" i="6" a="1"/>
  <c r="T98" i="6"/>
  <c r="V98" i="6" s="1" a="1"/>
  <c r="V98" i="6" s="1"/>
  <c r="P98" i="6" a="1"/>
  <c r="P98" i="6" s="1"/>
  <c r="I98" i="6" a="1"/>
  <c r="I98" i="6"/>
  <c r="H98" i="6" a="1"/>
  <c r="H98" i="6" s="1"/>
  <c r="J98" i="6" s="1" a="1"/>
  <c r="J98" i="6" s="1"/>
  <c r="D98" i="6" a="1"/>
  <c r="D98" i="6"/>
  <c r="AA97" i="6" a="1"/>
  <c r="AA97" i="6" s="1"/>
  <c r="U97" i="6" a="1"/>
  <c r="U97" i="6"/>
  <c r="T97" i="6" a="1"/>
  <c r="T97" i="6"/>
  <c r="V97" i="6" s="1" a="1"/>
  <c r="V97" i="6" s="1"/>
  <c r="P97" i="6" a="1"/>
  <c r="P97" i="6" s="1"/>
  <c r="I97" i="6" a="1"/>
  <c r="I97" i="6"/>
  <c r="J97" i="6" s="1" a="1"/>
  <c r="J97" i="6" s="1"/>
  <c r="H97" i="6" a="1"/>
  <c r="H97" i="6"/>
  <c r="D97" i="6" a="1"/>
  <c r="D97" i="6" s="1"/>
  <c r="AB96" i="6" a="1"/>
  <c r="AB96" i="6" s="1"/>
  <c r="AA96" i="6" a="1"/>
  <c r="AA96" i="6"/>
  <c r="AC96" i="6" s="1" a="1"/>
  <c r="AC96" i="6" s="1"/>
  <c r="V96" i="6" a="1"/>
  <c r="V96" i="6" s="1"/>
  <c r="U96" i="6" a="1"/>
  <c r="U96" i="6"/>
  <c r="T96" i="6" a="1"/>
  <c r="T96" i="6"/>
  <c r="P96" i="6" a="1"/>
  <c r="P96" i="6"/>
  <c r="I96" i="6" a="1"/>
  <c r="I96" i="6" s="1"/>
  <c r="H96" i="6" a="1"/>
  <c r="H96" i="6"/>
  <c r="D96" i="6" a="1"/>
  <c r="D96" i="6" s="1"/>
  <c r="AA95" i="6" a="1"/>
  <c r="AA95" i="6"/>
  <c r="U95" i="6" a="1"/>
  <c r="U95" i="6"/>
  <c r="V95" i="6" s="1" a="1"/>
  <c r="V95" i="6" s="1"/>
  <c r="T95" i="6" a="1"/>
  <c r="T95" i="6" s="1"/>
  <c r="P95" i="6" a="1"/>
  <c r="P95" i="6"/>
  <c r="I95" i="6" a="1"/>
  <c r="I95" i="6"/>
  <c r="H95" i="6" a="1"/>
  <c r="H95" i="6"/>
  <c r="J95" i="6" s="1" a="1"/>
  <c r="J95" i="6" s="1"/>
  <c r="D95" i="6" a="1"/>
  <c r="D95" i="6"/>
  <c r="AA94" i="6" a="1"/>
  <c r="AA94" i="6" s="1"/>
  <c r="U94" i="6" a="1"/>
  <c r="U94" i="6"/>
  <c r="T94" i="6" a="1"/>
  <c r="T94" i="6"/>
  <c r="P94" i="6" a="1"/>
  <c r="P94" i="6" s="1"/>
  <c r="I94" i="6" a="1"/>
  <c r="I94" i="6"/>
  <c r="H94" i="6" a="1"/>
  <c r="H94" i="6"/>
  <c r="J94" i="6" s="1" a="1"/>
  <c r="J94" i="6" s="1"/>
  <c r="D94" i="6" a="1"/>
  <c r="D94" i="6"/>
  <c r="AC93" i="6" a="1"/>
  <c r="AC93" i="6" s="1"/>
  <c r="AB93" i="6"/>
  <c r="AA93" i="6" a="1"/>
  <c r="AA93" i="6"/>
  <c r="AB93" i="6" s="1" a="1"/>
  <c r="U93" i="6" a="1"/>
  <c r="U93" i="6"/>
  <c r="T93" i="6" a="1"/>
  <c r="T93" i="6"/>
  <c r="V93" i="6" s="1" a="1"/>
  <c r="V93" i="6" s="1"/>
  <c r="P93" i="6" a="1"/>
  <c r="P93" i="6" s="1"/>
  <c r="I93" i="6" a="1"/>
  <c r="I93" i="6" s="1"/>
  <c r="H93" i="6" a="1"/>
  <c r="H93" i="6"/>
  <c r="D93" i="6" a="1"/>
  <c r="D93" i="6"/>
  <c r="AA92" i="6" a="1"/>
  <c r="AA92" i="6" s="1"/>
  <c r="U92" i="6" a="1"/>
  <c r="U92" i="6" s="1"/>
  <c r="T92" i="6" a="1"/>
  <c r="T92" i="6"/>
  <c r="P92" i="6" a="1"/>
  <c r="P92" i="6" s="1"/>
  <c r="I92" i="6" a="1"/>
  <c r="I92" i="6"/>
  <c r="H92" i="6" a="1"/>
  <c r="H92" i="6" s="1"/>
  <c r="J92" i="6" s="1" a="1"/>
  <c r="J92" i="6" s="1"/>
  <c r="D92" i="6" a="1"/>
  <c r="D92" i="6"/>
  <c r="AA91" i="6" a="1"/>
  <c r="AA91" i="6" s="1"/>
  <c r="U91" i="6" a="1"/>
  <c r="U91" i="6"/>
  <c r="T91" i="6" a="1"/>
  <c r="T91" i="6" s="1"/>
  <c r="V91" i="6" s="1" a="1"/>
  <c r="V91" i="6" s="1"/>
  <c r="P91" i="6" a="1"/>
  <c r="P91" i="6"/>
  <c r="J91" i="6"/>
  <c r="I91" i="6" a="1"/>
  <c r="I91" i="6"/>
  <c r="H91" i="6" a="1"/>
  <c r="H91" i="6" s="1"/>
  <c r="J91" i="6" s="1" a="1"/>
  <c r="D91" i="6" a="1"/>
  <c r="D91" i="6" s="1"/>
  <c r="AA90" i="6" a="1"/>
  <c r="AA90" i="6"/>
  <c r="U90" i="6" a="1"/>
  <c r="U90" i="6"/>
  <c r="V90" i="6" s="1" a="1"/>
  <c r="V90" i="6" s="1"/>
  <c r="T90" i="6" a="1"/>
  <c r="T90" i="6"/>
  <c r="P90" i="6" a="1"/>
  <c r="P90" i="6" s="1"/>
  <c r="I90" i="6" a="1"/>
  <c r="I90" i="6"/>
  <c r="H90" i="6" a="1"/>
  <c r="H90" i="6" s="1"/>
  <c r="J90" i="6" s="1" a="1"/>
  <c r="J90" i="6" s="1"/>
  <c r="D90" i="6" a="1"/>
  <c r="D90" i="6"/>
  <c r="AA89" i="6" a="1"/>
  <c r="AA89" i="6"/>
  <c r="AB89" i="6" s="1" a="1"/>
  <c r="AB89" i="6" s="1"/>
  <c r="U89" i="6" a="1"/>
  <c r="U89" i="6" s="1"/>
  <c r="V89" i="6" s="1" a="1"/>
  <c r="V89" i="6" s="1"/>
  <c r="T89" i="6" a="1"/>
  <c r="T89" i="6"/>
  <c r="P89" i="6" a="1"/>
  <c r="P89" i="6"/>
  <c r="I89" i="6" a="1"/>
  <c r="I89" i="6"/>
  <c r="H89" i="6" a="1"/>
  <c r="H89" i="6"/>
  <c r="J89" i="6" s="1" a="1"/>
  <c r="J89" i="6" s="1"/>
  <c r="D89" i="6" a="1"/>
  <c r="D89" i="6" s="1"/>
  <c r="AA88" i="6" a="1"/>
  <c r="AA88" i="6" s="1"/>
  <c r="AB88" i="6" s="1" a="1"/>
  <c r="AB88" i="6" s="1"/>
  <c r="U88" i="6" a="1"/>
  <c r="U88" i="6"/>
  <c r="T88" i="6" a="1"/>
  <c r="T88" i="6"/>
  <c r="V88" i="6" s="1" a="1"/>
  <c r="V88" i="6" s="1"/>
  <c r="P88" i="6" a="1"/>
  <c r="P88" i="6"/>
  <c r="I88" i="6" a="1"/>
  <c r="I88" i="6"/>
  <c r="H88" i="6" a="1"/>
  <c r="H88" i="6"/>
  <c r="J88" i="6" s="1" a="1"/>
  <c r="J88" i="6" s="1"/>
  <c r="D88" i="6" a="1"/>
  <c r="D88" i="6"/>
  <c r="AC87" i="6" a="1"/>
  <c r="AC87" i="6"/>
  <c r="AB87" i="6"/>
  <c r="AD87" i="6" s="1" a="1"/>
  <c r="AD87" i="6" s="1"/>
  <c r="AA87" i="6" a="1"/>
  <c r="AA87" i="6"/>
  <c r="AB87" i="6" s="1" a="1"/>
  <c r="U87" i="6" a="1"/>
  <c r="U87" i="6"/>
  <c r="T87" i="6" a="1"/>
  <c r="T87" i="6" s="1"/>
  <c r="V87" i="6" s="1" a="1"/>
  <c r="V87" i="6" s="1"/>
  <c r="P87" i="6" a="1"/>
  <c r="P87" i="6" s="1"/>
  <c r="I87" i="6" a="1"/>
  <c r="I87" i="6" s="1"/>
  <c r="H87" i="6" a="1"/>
  <c r="H87" i="6"/>
  <c r="D87" i="6" a="1"/>
  <c r="D87" i="6"/>
  <c r="AA86" i="6" a="1"/>
  <c r="AA86" i="6" s="1"/>
  <c r="U86" i="6" a="1"/>
  <c r="U86" i="6" s="1"/>
  <c r="T86" i="6" a="1"/>
  <c r="T86" i="6"/>
  <c r="V86" i="6" s="1" a="1"/>
  <c r="V86" i="6" s="1"/>
  <c r="P86" i="6" a="1"/>
  <c r="P86" i="6"/>
  <c r="I86" i="6" a="1"/>
  <c r="I86" i="6"/>
  <c r="H86" i="6" a="1"/>
  <c r="H86" i="6" s="1"/>
  <c r="D86" i="6" a="1"/>
  <c r="D86" i="6"/>
  <c r="AA85" i="6" a="1"/>
  <c r="AA85" i="6"/>
  <c r="V85" i="6" a="1"/>
  <c r="V85" i="6"/>
  <c r="U85" i="6" a="1"/>
  <c r="U85" i="6"/>
  <c r="T85" i="6" a="1"/>
  <c r="T85" i="6" s="1"/>
  <c r="P85" i="6" a="1"/>
  <c r="P85" i="6"/>
  <c r="I85" i="6" a="1"/>
  <c r="I85" i="6"/>
  <c r="H85" i="6" a="1"/>
  <c r="H85" i="6"/>
  <c r="J85" i="6" s="1" a="1"/>
  <c r="J85" i="6" s="1"/>
  <c r="D85" i="6" a="1"/>
  <c r="D85" i="6" s="1"/>
  <c r="AA84" i="6" a="1"/>
  <c r="AA84" i="6"/>
  <c r="U84" i="6" a="1"/>
  <c r="U84" i="6" s="1"/>
  <c r="V84" i="6" s="1" a="1"/>
  <c r="V84" i="6" s="1"/>
  <c r="T84" i="6" a="1"/>
  <c r="T84" i="6"/>
  <c r="P84" i="6" a="1"/>
  <c r="P84" i="6" s="1"/>
  <c r="I84" i="6" a="1"/>
  <c r="I84" i="6"/>
  <c r="H84" i="6" a="1"/>
  <c r="H84" i="6"/>
  <c r="J84" i="6" s="1" a="1"/>
  <c r="J84" i="6" s="1"/>
  <c r="D84" i="6" a="1"/>
  <c r="D84" i="6" s="1"/>
  <c r="AA83" i="6" a="1"/>
  <c r="AA83" i="6"/>
  <c r="AB83" i="6" s="1" a="1"/>
  <c r="AB83" i="6" s="1"/>
  <c r="U83" i="6" a="1"/>
  <c r="U83" i="6"/>
  <c r="T83" i="6" a="1"/>
  <c r="T83" i="6"/>
  <c r="V83" i="6" s="1" a="1"/>
  <c r="V83" i="6" s="1"/>
  <c r="P83" i="6" a="1"/>
  <c r="P83" i="6"/>
  <c r="I83" i="6" a="1"/>
  <c r="I83" i="6"/>
  <c r="H83" i="6" a="1"/>
  <c r="H83" i="6"/>
  <c r="J83" i="6" s="1" a="1"/>
  <c r="J83" i="6" s="1"/>
  <c r="D83" i="6" a="1"/>
  <c r="D83" i="6" s="1"/>
  <c r="AA82" i="6" a="1"/>
  <c r="AA82" i="6" s="1"/>
  <c r="AB82" i="6" s="1" a="1"/>
  <c r="AB82" i="6" s="1"/>
  <c r="U82" i="6" a="1"/>
  <c r="U82" i="6"/>
  <c r="T82" i="6" a="1"/>
  <c r="T82" i="6"/>
  <c r="P82" i="6" a="1"/>
  <c r="P82" i="6" s="1"/>
  <c r="I82" i="6" a="1"/>
  <c r="I82" i="6"/>
  <c r="H82" i="6" a="1"/>
  <c r="H82" i="6"/>
  <c r="J82" i="6" s="1" a="1"/>
  <c r="J82" i="6" s="1"/>
  <c r="D82" i="6" a="1"/>
  <c r="D82" i="6"/>
  <c r="AD81" i="6" a="1"/>
  <c r="AD81" i="6"/>
  <c r="AC81" i="6" a="1"/>
  <c r="AC81" i="6"/>
  <c r="AB81" i="6"/>
  <c r="AA81" i="6" a="1"/>
  <c r="AA81" i="6"/>
  <c r="AB81" i="6" s="1" a="1"/>
  <c r="U81" i="6" a="1"/>
  <c r="U81" i="6"/>
  <c r="T81" i="6" a="1"/>
  <c r="T81" i="6"/>
  <c r="V81" i="6" s="1" a="1"/>
  <c r="V81" i="6" s="1"/>
  <c r="P81" i="6" a="1"/>
  <c r="P81" i="6"/>
  <c r="I81" i="6" a="1"/>
  <c r="I81" i="6" s="1"/>
  <c r="H81" i="6" a="1"/>
  <c r="H81" i="6"/>
  <c r="D81" i="6" a="1"/>
  <c r="D81" i="6"/>
  <c r="AA80" i="6" a="1"/>
  <c r="AA80" i="6"/>
  <c r="AB80" i="6" s="1" a="1"/>
  <c r="AB80" i="6" s="1"/>
  <c r="U80" i="6" a="1"/>
  <c r="U80" i="6" s="1"/>
  <c r="T80" i="6" a="1"/>
  <c r="T80" i="6"/>
  <c r="P80" i="6" a="1"/>
  <c r="P80" i="6" s="1"/>
  <c r="I80" i="6" a="1"/>
  <c r="I80" i="6"/>
  <c r="H80" i="6" a="1"/>
  <c r="H80" i="6" s="1"/>
  <c r="J80" i="6" s="1" a="1"/>
  <c r="J80" i="6" s="1"/>
  <c r="D80" i="6" a="1"/>
  <c r="D80" i="6"/>
  <c r="AA79" i="6" a="1"/>
  <c r="AA79" i="6"/>
  <c r="U79" i="6" a="1"/>
  <c r="U79" i="6"/>
  <c r="T79" i="6" a="1"/>
  <c r="T79" i="6" s="1"/>
  <c r="V79" i="6" s="1" a="1"/>
  <c r="V79" i="6" s="1"/>
  <c r="P79" i="6" a="1"/>
  <c r="P79" i="6"/>
  <c r="I79" i="6" a="1"/>
  <c r="I79" i="6"/>
  <c r="H79" i="6" a="1"/>
  <c r="H79" i="6"/>
  <c r="D79" i="6" a="1"/>
  <c r="D79" i="6" s="1"/>
  <c r="AA78" i="6" a="1"/>
  <c r="AA78" i="6"/>
  <c r="U78" i="6" a="1"/>
  <c r="U78" i="6"/>
  <c r="V78" i="6" s="1" a="1"/>
  <c r="V78" i="6" s="1"/>
  <c r="T78" i="6" a="1"/>
  <c r="T78" i="6"/>
  <c r="P78" i="6" a="1"/>
  <c r="P78" i="6" s="1"/>
  <c r="I78" i="6" a="1"/>
  <c r="I78" i="6"/>
  <c r="H78" i="6" a="1"/>
  <c r="H78" i="6" s="1"/>
  <c r="J78" i="6" s="1" a="1"/>
  <c r="J78" i="6" s="1"/>
  <c r="D78" i="6" a="1"/>
  <c r="D78" i="6" s="1"/>
  <c r="AA77" i="6" a="1"/>
  <c r="AA77" i="6"/>
  <c r="AB77" i="6" s="1" a="1"/>
  <c r="AB77" i="6" s="1"/>
  <c r="U77" i="6" a="1"/>
  <c r="U77" i="6" s="1"/>
  <c r="T77" i="6" a="1"/>
  <c r="T77" i="6" s="1"/>
  <c r="V77" i="6" s="1" a="1"/>
  <c r="V77" i="6" s="1"/>
  <c r="P77" i="6" a="1"/>
  <c r="P77" i="6"/>
  <c r="I77" i="6" a="1"/>
  <c r="I77" i="6"/>
  <c r="H77" i="6" a="1"/>
  <c r="H77" i="6"/>
  <c r="J77" i="6" s="1" a="1"/>
  <c r="J77" i="6" s="1"/>
  <c r="D77" i="6" a="1"/>
  <c r="D77" i="6"/>
  <c r="AD76" i="6" a="1"/>
  <c r="AD76" i="6" s="1"/>
  <c r="AC76" i="6" a="1"/>
  <c r="AC76" i="6" s="1"/>
  <c r="AA76" i="6" a="1"/>
  <c r="AA76" i="6" s="1"/>
  <c r="AB76" i="6" s="1" a="1"/>
  <c r="AB76" i="6" s="1"/>
  <c r="U76" i="6" a="1"/>
  <c r="U76" i="6"/>
  <c r="T76" i="6" a="1"/>
  <c r="T76" i="6"/>
  <c r="V76" i="6" s="1" a="1"/>
  <c r="V76" i="6" s="1"/>
  <c r="P76" i="6" a="1"/>
  <c r="P76" i="6"/>
  <c r="I76" i="6" a="1"/>
  <c r="I76" i="6"/>
  <c r="H76" i="6" a="1"/>
  <c r="H76" i="6"/>
  <c r="J76" i="6" s="1" a="1"/>
  <c r="J76" i="6" s="1"/>
  <c r="D76" i="6" a="1"/>
  <c r="D76" i="6"/>
  <c r="AC75" i="6" a="1"/>
  <c r="AC75" i="6"/>
  <c r="AB75" i="6"/>
  <c r="AD75" i="6" s="1" a="1"/>
  <c r="AD75" i="6" s="1"/>
  <c r="AA75" i="6" a="1"/>
  <c r="AA75" i="6"/>
  <c r="AB75" i="6" s="1" a="1"/>
  <c r="U75" i="6" a="1"/>
  <c r="U75" i="6"/>
  <c r="T75" i="6" a="1"/>
  <c r="T75" i="6"/>
  <c r="V75" i="6" s="1" a="1"/>
  <c r="V75" i="6" s="1"/>
  <c r="P75" i="6" a="1"/>
  <c r="P75" i="6" s="1"/>
  <c r="I75" i="6" a="1"/>
  <c r="I75" i="6" s="1"/>
  <c r="H75" i="6" a="1"/>
  <c r="H75" i="6"/>
  <c r="D75" i="6" a="1"/>
  <c r="D75" i="6"/>
  <c r="AC74" i="6" a="1"/>
  <c r="AC74" i="6" s="1"/>
  <c r="AA74" i="6" a="1"/>
  <c r="AA74" i="6" s="1"/>
  <c r="AB74" i="6" s="1" a="1"/>
  <c r="AB74" i="6" s="1"/>
  <c r="U74" i="6" a="1"/>
  <c r="U74" i="6" s="1"/>
  <c r="T74" i="6" a="1"/>
  <c r="T74" i="6"/>
  <c r="V74" i="6" s="1" a="1"/>
  <c r="V74" i="6" s="1"/>
  <c r="P74" i="6" a="1"/>
  <c r="P74" i="6"/>
  <c r="I74" i="6" a="1"/>
  <c r="I74" i="6"/>
  <c r="H74" i="6" a="1"/>
  <c r="H74" i="6" s="1"/>
  <c r="D74" i="6" a="1"/>
  <c r="D74" i="6"/>
  <c r="AA73" i="6" a="1"/>
  <c r="AA73" i="6"/>
  <c r="U73" i="6" a="1"/>
  <c r="U73" i="6"/>
  <c r="T73" i="6" a="1"/>
  <c r="T73" i="6" s="1"/>
  <c r="V73" i="6" s="1" a="1"/>
  <c r="V73" i="6" s="1"/>
  <c r="P73" i="6" a="1"/>
  <c r="P73" i="6"/>
  <c r="I73" i="6" a="1"/>
  <c r="I73" i="6"/>
  <c r="H73" i="6" a="1"/>
  <c r="H73" i="6"/>
  <c r="J73" i="6" s="1" a="1"/>
  <c r="J73" i="6" s="1"/>
  <c r="D73" i="6" a="1"/>
  <c r="D73" i="6" s="1"/>
  <c r="AA72" i="6" a="1"/>
  <c r="AA72" i="6"/>
  <c r="V72" i="6" a="1"/>
  <c r="V72" i="6"/>
  <c r="U72" i="6" a="1"/>
  <c r="U72" i="6"/>
  <c r="T72" i="6" a="1"/>
  <c r="T72" i="6"/>
  <c r="P72" i="6" a="1"/>
  <c r="P72" i="6" s="1"/>
  <c r="I72" i="6" a="1"/>
  <c r="I72" i="6"/>
  <c r="H72" i="6" a="1"/>
  <c r="H72" i="6"/>
  <c r="J72" i="6" s="1" a="1"/>
  <c r="J72" i="6" s="1"/>
  <c r="D72" i="6" a="1"/>
  <c r="D72" i="6"/>
  <c r="AA71" i="6" a="1"/>
  <c r="AA71" i="6"/>
  <c r="AB71" i="6" s="1" a="1"/>
  <c r="AB71" i="6" s="1"/>
  <c r="U71" i="6" a="1"/>
  <c r="U71" i="6" s="1"/>
  <c r="T71" i="6" a="1"/>
  <c r="T71" i="6"/>
  <c r="V71" i="6" s="1" a="1"/>
  <c r="V71" i="6" s="1"/>
  <c r="P71" i="6" a="1"/>
  <c r="P71" i="6"/>
  <c r="I71" i="6" a="1"/>
  <c r="I71" i="6"/>
  <c r="H71" i="6" a="1"/>
  <c r="H71" i="6"/>
  <c r="J71" i="6" s="1" a="1"/>
  <c r="J71" i="6" s="1"/>
  <c r="D71" i="6" a="1"/>
  <c r="D71" i="6" s="1"/>
  <c r="AA70" i="6" a="1"/>
  <c r="AA70" i="6" s="1"/>
  <c r="AB70" i="6" s="1" a="1"/>
  <c r="AB70" i="6" s="1"/>
  <c r="U70" i="6" a="1"/>
  <c r="U70" i="6"/>
  <c r="T70" i="6" a="1"/>
  <c r="T70" i="6" s="1"/>
  <c r="V70" i="6" s="1" a="1"/>
  <c r="V70" i="6" s="1"/>
  <c r="P70" i="6" a="1"/>
  <c r="P70" i="6"/>
  <c r="I70" i="6" a="1"/>
  <c r="I70" i="6"/>
  <c r="H70" i="6" a="1"/>
  <c r="H70" i="6"/>
  <c r="J70" i="6" s="1" a="1"/>
  <c r="J70" i="6" s="1"/>
  <c r="D70" i="6" a="1"/>
  <c r="D70" i="6"/>
  <c r="AC69" i="6" a="1"/>
  <c r="AC69" i="6" s="1"/>
  <c r="AD69" i="6" s="1" a="1"/>
  <c r="AD69" i="6" s="1"/>
  <c r="AB69" i="6"/>
  <c r="AA69" i="6" a="1"/>
  <c r="AA69" i="6"/>
  <c r="AB69" i="6" s="1" a="1"/>
  <c r="U69" i="6" a="1"/>
  <c r="U69" i="6"/>
  <c r="T69" i="6" a="1"/>
  <c r="T69" i="6"/>
  <c r="V69" i="6" s="1" a="1"/>
  <c r="V69" i="6" s="1"/>
  <c r="P69" i="6" a="1"/>
  <c r="P69" i="6"/>
  <c r="I69" i="6" a="1"/>
  <c r="I69" i="6" s="1"/>
  <c r="H69" i="6" a="1"/>
  <c r="H69" i="6"/>
  <c r="D69" i="6" a="1"/>
  <c r="D69" i="6"/>
  <c r="AA68" i="6" a="1"/>
  <c r="AA68" i="6"/>
  <c r="AB68" i="6" s="1" a="1"/>
  <c r="AB68" i="6" s="1"/>
  <c r="U68" i="6" a="1"/>
  <c r="U68" i="6" s="1"/>
  <c r="T68" i="6" a="1"/>
  <c r="T68" i="6"/>
  <c r="P68" i="6" a="1"/>
  <c r="P68" i="6" s="1"/>
  <c r="I68" i="6" a="1"/>
  <c r="I68" i="6"/>
  <c r="H68" i="6" a="1"/>
  <c r="H68" i="6" s="1"/>
  <c r="J68" i="6" s="1" a="1"/>
  <c r="J68" i="6" s="1"/>
  <c r="D68" i="6" a="1"/>
  <c r="D68" i="6"/>
  <c r="AC67" i="6" a="1"/>
  <c r="AC67" i="6"/>
  <c r="AA67" i="6" a="1"/>
  <c r="AA67" i="6"/>
  <c r="AB67" i="6" s="1" a="1"/>
  <c r="AB67" i="6" s="1"/>
  <c r="U67" i="6" a="1"/>
  <c r="U67" i="6"/>
  <c r="T67" i="6" a="1"/>
  <c r="T67" i="6" s="1"/>
  <c r="V67" i="6" s="1" a="1"/>
  <c r="V67" i="6" s="1"/>
  <c r="P67" i="6" a="1"/>
  <c r="P67" i="6"/>
  <c r="I67" i="6" a="1"/>
  <c r="I67" i="6" s="1"/>
  <c r="H67" i="6" a="1"/>
  <c r="H67" i="6"/>
  <c r="D67" i="6" a="1"/>
  <c r="D67" i="6" s="1"/>
  <c r="AA66" i="6" a="1"/>
  <c r="AA66" i="6"/>
  <c r="U66" i="6" a="1"/>
  <c r="U66" i="6"/>
  <c r="V66" i="6" s="1" a="1"/>
  <c r="V66" i="6" s="1"/>
  <c r="T66" i="6" a="1"/>
  <c r="T66" i="6"/>
  <c r="P66" i="6" a="1"/>
  <c r="P66" i="6" s="1"/>
  <c r="I66" i="6" a="1"/>
  <c r="I66" i="6" s="1"/>
  <c r="H66" i="6" a="1"/>
  <c r="H66" i="6" s="1"/>
  <c r="J66" i="6" s="1" a="1"/>
  <c r="J66" i="6" s="1"/>
  <c r="D66" i="6" a="1"/>
  <c r="D66" i="6"/>
  <c r="AA65" i="6" a="1"/>
  <c r="AA65" i="6"/>
  <c r="V65" i="6" a="1"/>
  <c r="V65" i="6" s="1"/>
  <c r="U65" i="6" a="1"/>
  <c r="U65" i="6"/>
  <c r="T65" i="6" a="1"/>
  <c r="T65" i="6"/>
  <c r="P65" i="6" a="1"/>
  <c r="P65" i="6"/>
  <c r="I65" i="6" a="1"/>
  <c r="I65" i="6"/>
  <c r="H65" i="6" a="1"/>
  <c r="H65" i="6"/>
  <c r="J65" i="6" s="1" a="1"/>
  <c r="J65" i="6" s="1"/>
  <c r="D65" i="6" a="1"/>
  <c r="D65" i="6" s="1"/>
  <c r="AA64" i="6" a="1"/>
  <c r="AA64" i="6"/>
  <c r="U64" i="6" a="1"/>
  <c r="U64" i="6"/>
  <c r="T64" i="6" a="1"/>
  <c r="T64" i="6"/>
  <c r="V64" i="6" s="1" a="1"/>
  <c r="V64" i="6" s="1"/>
  <c r="P64" i="6" a="1"/>
  <c r="P64" i="6"/>
  <c r="I64" i="6" a="1"/>
  <c r="I64" i="6"/>
  <c r="H64" i="6" a="1"/>
  <c r="H64" i="6"/>
  <c r="D64" i="6" a="1"/>
  <c r="D64" i="6"/>
  <c r="AA63" i="6" a="1"/>
  <c r="AA63" i="6"/>
  <c r="V63" i="6" a="1"/>
  <c r="V63" i="6" s="1"/>
  <c r="U63" i="6" a="1"/>
  <c r="U63" i="6"/>
  <c r="T63" i="6" a="1"/>
  <c r="T63" i="6"/>
  <c r="P63" i="6" a="1"/>
  <c r="P63" i="6"/>
  <c r="I63" i="6" a="1"/>
  <c r="I63" i="6"/>
  <c r="H63" i="6" a="1"/>
  <c r="H63" i="6"/>
  <c r="J63" i="6" s="1" a="1"/>
  <c r="J63" i="6" s="1"/>
  <c r="D63" i="6" a="1"/>
  <c r="D63" i="6" s="1"/>
  <c r="AA62" i="6" a="1"/>
  <c r="AA62" i="6"/>
  <c r="U62" i="6" a="1"/>
  <c r="U62" i="6"/>
  <c r="T62" i="6" a="1"/>
  <c r="T62" i="6"/>
  <c r="V62" i="6" s="1" a="1"/>
  <c r="V62" i="6" s="1"/>
  <c r="P62" i="6" a="1"/>
  <c r="P62" i="6"/>
  <c r="I62" i="6" a="1"/>
  <c r="I62" i="6"/>
  <c r="H62" i="6" a="1"/>
  <c r="H62" i="6"/>
  <c r="D62" i="6" a="1"/>
  <c r="D62" i="6"/>
  <c r="AA61" i="6" a="1"/>
  <c r="AA61" i="6"/>
  <c r="V61" i="6" a="1"/>
  <c r="V61" i="6" s="1"/>
  <c r="U61" i="6" a="1"/>
  <c r="U61" i="6"/>
  <c r="T61" i="6" a="1"/>
  <c r="T61" i="6"/>
  <c r="P61" i="6" a="1"/>
  <c r="P61" i="6"/>
  <c r="I61" i="6" a="1"/>
  <c r="I61" i="6"/>
  <c r="H61" i="6" a="1"/>
  <c r="H61" i="6"/>
  <c r="J61" i="6" s="1" a="1"/>
  <c r="J61" i="6" s="1"/>
  <c r="D61" i="6" a="1"/>
  <c r="D61" i="6" s="1"/>
  <c r="AA60" i="6" a="1"/>
  <c r="AA60" i="6"/>
  <c r="U60" i="6" a="1"/>
  <c r="U60" i="6"/>
  <c r="T60" i="6" a="1"/>
  <c r="T60" i="6"/>
  <c r="V60" i="6" s="1" a="1"/>
  <c r="V60" i="6" s="1"/>
  <c r="P60" i="6" a="1"/>
  <c r="P60" i="6"/>
  <c r="I60" i="6" a="1"/>
  <c r="I60" i="6"/>
  <c r="H60" i="6" a="1"/>
  <c r="H60" i="6"/>
  <c r="D60" i="6" a="1"/>
  <c r="D60" i="6"/>
  <c r="AA59" i="6" a="1"/>
  <c r="AA59" i="6"/>
  <c r="V59" i="6" a="1"/>
  <c r="V59" i="6" s="1"/>
  <c r="U59" i="6" a="1"/>
  <c r="U59" i="6"/>
  <c r="T59" i="6" a="1"/>
  <c r="T59" i="6"/>
  <c r="P59" i="6" a="1"/>
  <c r="P59" i="6"/>
  <c r="I59" i="6" a="1"/>
  <c r="I59" i="6"/>
  <c r="H59" i="6" a="1"/>
  <c r="H59" i="6"/>
  <c r="J59" i="6" s="1" a="1"/>
  <c r="J59" i="6" s="1"/>
  <c r="D59" i="6" a="1"/>
  <c r="D59" i="6" s="1"/>
  <c r="AA58" i="6" a="1"/>
  <c r="AA58" i="6"/>
  <c r="U58" i="6" a="1"/>
  <c r="U58" i="6"/>
  <c r="T58" i="6" a="1"/>
  <c r="T58" i="6"/>
  <c r="V58" i="6" s="1" a="1"/>
  <c r="V58" i="6" s="1"/>
  <c r="P58" i="6" a="1"/>
  <c r="P58" i="6"/>
  <c r="I58" i="6" a="1"/>
  <c r="I58" i="6"/>
  <c r="H58" i="6" a="1"/>
  <c r="H58" i="6"/>
  <c r="D58" i="6" a="1"/>
  <c r="D58" i="6"/>
  <c r="AA57" i="6" a="1"/>
  <c r="AA57" i="6"/>
  <c r="V57" i="6" a="1"/>
  <c r="V57" i="6" s="1"/>
  <c r="U57" i="6" a="1"/>
  <c r="U57" i="6"/>
  <c r="T57" i="6" a="1"/>
  <c r="T57" i="6"/>
  <c r="P57" i="6" a="1"/>
  <c r="P57" i="6"/>
  <c r="I57" i="6" a="1"/>
  <c r="I57" i="6"/>
  <c r="H57" i="6" a="1"/>
  <c r="H57" i="6"/>
  <c r="J57" i="6" s="1" a="1"/>
  <c r="J57" i="6" s="1"/>
  <c r="D57" i="6" a="1"/>
  <c r="D57" i="6" s="1"/>
  <c r="AA56" i="6" a="1"/>
  <c r="AA56" i="6"/>
  <c r="U56" i="6" a="1"/>
  <c r="U56" i="6"/>
  <c r="T56" i="6" a="1"/>
  <c r="T56" i="6"/>
  <c r="V56" i="6" s="1" a="1"/>
  <c r="V56" i="6" s="1"/>
  <c r="P56" i="6" a="1"/>
  <c r="P56" i="6"/>
  <c r="I56" i="6" a="1"/>
  <c r="I56" i="6"/>
  <c r="H56" i="6" a="1"/>
  <c r="H56" i="6"/>
  <c r="D56" i="6" a="1"/>
  <c r="D56" i="6"/>
  <c r="AA55" i="6" a="1"/>
  <c r="AA55" i="6"/>
  <c r="V55" i="6" a="1"/>
  <c r="V55" i="6" s="1"/>
  <c r="U55" i="6" a="1"/>
  <c r="U55" i="6"/>
  <c r="T55" i="6" a="1"/>
  <c r="T55" i="6"/>
  <c r="P55" i="6" a="1"/>
  <c r="P55" i="6"/>
  <c r="I55" i="6" a="1"/>
  <c r="I55" i="6"/>
  <c r="H55" i="6" a="1"/>
  <c r="H55" i="6"/>
  <c r="J55" i="6" s="1" a="1"/>
  <c r="J55" i="6" s="1"/>
  <c r="D55" i="6" a="1"/>
  <c r="D55" i="6" s="1"/>
  <c r="AA54" i="6" a="1"/>
  <c r="AA54" i="6"/>
  <c r="U54" i="6" a="1"/>
  <c r="U54" i="6"/>
  <c r="T54" i="6" a="1"/>
  <c r="T54" i="6"/>
  <c r="V54" i="6" s="1" a="1"/>
  <c r="V54" i="6" s="1"/>
  <c r="P54" i="6" a="1"/>
  <c r="P54" i="6"/>
  <c r="I54" i="6" a="1"/>
  <c r="I54" i="6"/>
  <c r="H54" i="6" a="1"/>
  <c r="H54" i="6"/>
  <c r="D54" i="6" a="1"/>
  <c r="D54" i="6"/>
  <c r="AA53" i="6" a="1"/>
  <c r="AA53" i="6"/>
  <c r="V53" i="6" a="1"/>
  <c r="V53" i="6" s="1"/>
  <c r="U53" i="6" a="1"/>
  <c r="U53" i="6"/>
  <c r="T53" i="6" a="1"/>
  <c r="T53" i="6"/>
  <c r="P53" i="6" a="1"/>
  <c r="P53" i="6"/>
  <c r="I53" i="6" a="1"/>
  <c r="I53" i="6"/>
  <c r="H53" i="6" a="1"/>
  <c r="H53" i="6"/>
  <c r="J53" i="6" s="1" a="1"/>
  <c r="J53" i="6" s="1"/>
  <c r="D53" i="6" a="1"/>
  <c r="D53" i="6" s="1"/>
  <c r="AA52" i="6" a="1"/>
  <c r="AA52" i="6"/>
  <c r="U52" i="6" a="1"/>
  <c r="U52" i="6"/>
  <c r="T52" i="6" a="1"/>
  <c r="T52" i="6"/>
  <c r="V52" i="6" s="1" a="1"/>
  <c r="V52" i="6" s="1"/>
  <c r="P52" i="6" a="1"/>
  <c r="P52" i="6"/>
  <c r="I52" i="6" a="1"/>
  <c r="I52" i="6"/>
  <c r="H52" i="6" a="1"/>
  <c r="H52" i="6"/>
  <c r="D52" i="6" a="1"/>
  <c r="D52" i="6"/>
  <c r="AA51" i="6" a="1"/>
  <c r="AA51" i="6"/>
  <c r="V51" i="6" a="1"/>
  <c r="V51" i="6" s="1"/>
  <c r="U51" i="6" a="1"/>
  <c r="U51" i="6"/>
  <c r="T51" i="6" a="1"/>
  <c r="T51" i="6"/>
  <c r="P51" i="6" a="1"/>
  <c r="P51" i="6"/>
  <c r="I51" i="6" a="1"/>
  <c r="I51" i="6"/>
  <c r="H51" i="6" a="1"/>
  <c r="H51" i="6"/>
  <c r="J51" i="6" s="1" a="1"/>
  <c r="J51" i="6" s="1"/>
  <c r="D51" i="6" a="1"/>
  <c r="D51" i="6" s="1"/>
  <c r="AA50" i="6" a="1"/>
  <c r="AA50" i="6"/>
  <c r="U50" i="6" a="1"/>
  <c r="U50" i="6"/>
  <c r="T50" i="6" a="1"/>
  <c r="T50" i="6"/>
  <c r="V50" i="6" s="1" a="1"/>
  <c r="V50" i="6" s="1"/>
  <c r="P50" i="6" a="1"/>
  <c r="P50" i="6"/>
  <c r="I50" i="6" a="1"/>
  <c r="I50" i="6"/>
  <c r="H50" i="6" a="1"/>
  <c r="H50" i="6"/>
  <c r="D50" i="6" a="1"/>
  <c r="D50" i="6"/>
  <c r="AA49" i="6" a="1"/>
  <c r="AA49" i="6"/>
  <c r="V49" i="6" a="1"/>
  <c r="V49" i="6" s="1"/>
  <c r="U49" i="6" a="1"/>
  <c r="U49" i="6"/>
  <c r="T49" i="6" a="1"/>
  <c r="T49" i="6"/>
  <c r="P49" i="6" a="1"/>
  <c r="P49" i="6"/>
  <c r="I49" i="6" a="1"/>
  <c r="I49" i="6"/>
  <c r="H49" i="6" a="1"/>
  <c r="H49" i="6"/>
  <c r="J49" i="6" s="1" a="1"/>
  <c r="J49" i="6" s="1"/>
  <c r="D49" i="6" a="1"/>
  <c r="D49" i="6" s="1"/>
  <c r="AA48" i="6" a="1"/>
  <c r="AA48" i="6"/>
  <c r="U48" i="6" a="1"/>
  <c r="U48" i="6"/>
  <c r="T48" i="6" a="1"/>
  <c r="T48" i="6"/>
  <c r="V48" i="6" s="1" a="1"/>
  <c r="V48" i="6" s="1"/>
  <c r="P48" i="6" a="1"/>
  <c r="P48" i="6"/>
  <c r="I48" i="6" a="1"/>
  <c r="I48" i="6"/>
  <c r="H48" i="6" a="1"/>
  <c r="H48" i="6"/>
  <c r="D48" i="6" a="1"/>
  <c r="D48" i="6"/>
  <c r="AA47" i="6" a="1"/>
  <c r="AA47" i="6"/>
  <c r="V47" i="6" a="1"/>
  <c r="V47" i="6" s="1"/>
  <c r="U47" i="6" a="1"/>
  <c r="U47" i="6"/>
  <c r="T47" i="6" a="1"/>
  <c r="T47" i="6"/>
  <c r="P47" i="6" a="1"/>
  <c r="P47" i="6"/>
  <c r="I47" i="6" a="1"/>
  <c r="I47" i="6"/>
  <c r="H47" i="6" a="1"/>
  <c r="H47" i="6"/>
  <c r="J47" i="6" s="1" a="1"/>
  <c r="J47" i="6" s="1"/>
  <c r="D47" i="6" a="1"/>
  <c r="D47" i="6" s="1"/>
  <c r="AA46" i="6" a="1"/>
  <c r="AA46" i="6"/>
  <c r="U46" i="6" a="1"/>
  <c r="U46" i="6"/>
  <c r="T46" i="6" a="1"/>
  <c r="T46" i="6"/>
  <c r="V46" i="6" s="1" a="1"/>
  <c r="V46" i="6" s="1"/>
  <c r="P46" i="6" a="1"/>
  <c r="P46" i="6"/>
  <c r="I46" i="6" a="1"/>
  <c r="I46" i="6"/>
  <c r="H46" i="6" a="1"/>
  <c r="H46" i="6"/>
  <c r="D46" i="6" a="1"/>
  <c r="D46" i="6"/>
  <c r="AA45" i="6" a="1"/>
  <c r="AA45" i="6"/>
  <c r="V45" i="6" a="1"/>
  <c r="V45" i="6" s="1"/>
  <c r="U45" i="6" a="1"/>
  <c r="U45" i="6"/>
  <c r="T45" i="6" a="1"/>
  <c r="T45" i="6"/>
  <c r="P45" i="6" a="1"/>
  <c r="P45" i="6"/>
  <c r="I45" i="6" a="1"/>
  <c r="I45" i="6"/>
  <c r="H45" i="6" a="1"/>
  <c r="H45" i="6"/>
  <c r="J45" i="6" s="1" a="1"/>
  <c r="J45" i="6" s="1"/>
  <c r="D45" i="6" a="1"/>
  <c r="D45" i="6" s="1"/>
  <c r="AA44" i="6" a="1"/>
  <c r="AA44" i="6"/>
  <c r="U44" i="6" a="1"/>
  <c r="U44" i="6"/>
  <c r="T44" i="6" a="1"/>
  <c r="T44" i="6"/>
  <c r="V44" i="6" s="1" a="1"/>
  <c r="V44" i="6" s="1"/>
  <c r="P44" i="6" a="1"/>
  <c r="P44" i="6"/>
  <c r="I44" i="6" a="1"/>
  <c r="I44" i="6"/>
  <c r="H44" i="6" a="1"/>
  <c r="H44" i="6"/>
  <c r="D44" i="6" a="1"/>
  <c r="D44" i="6"/>
  <c r="AA43" i="6" a="1"/>
  <c r="AA43" i="6"/>
  <c r="V43" i="6" a="1"/>
  <c r="V43" i="6" s="1"/>
  <c r="U43" i="6" a="1"/>
  <c r="U43" i="6"/>
  <c r="T43" i="6" a="1"/>
  <c r="T43" i="6"/>
  <c r="P43" i="6" a="1"/>
  <c r="P43" i="6"/>
  <c r="I43" i="6" a="1"/>
  <c r="I43" i="6"/>
  <c r="H43" i="6" a="1"/>
  <c r="H43" i="6"/>
  <c r="J43" i="6" s="1" a="1"/>
  <c r="J43" i="6" s="1"/>
  <c r="D43" i="6" a="1"/>
  <c r="D43" i="6" s="1"/>
  <c r="AA42" i="6" a="1"/>
  <c r="AA42" i="6"/>
  <c r="U42" i="6" a="1"/>
  <c r="U42" i="6"/>
  <c r="T42" i="6" a="1"/>
  <c r="T42" i="6"/>
  <c r="V42" i="6" s="1" a="1"/>
  <c r="V42" i="6" s="1"/>
  <c r="P42" i="6" a="1"/>
  <c r="P42" i="6"/>
  <c r="I42" i="6" a="1"/>
  <c r="I42" i="6"/>
  <c r="H42" i="6" a="1"/>
  <c r="H42" i="6"/>
  <c r="D42" i="6" a="1"/>
  <c r="D42" i="6"/>
  <c r="AA41" i="6" a="1"/>
  <c r="AA41" i="6"/>
  <c r="V41" i="6" a="1"/>
  <c r="V41" i="6" s="1"/>
  <c r="U41" i="6" a="1"/>
  <c r="U41" i="6"/>
  <c r="T41" i="6" a="1"/>
  <c r="T41" i="6"/>
  <c r="P41" i="6" a="1"/>
  <c r="P41" i="6"/>
  <c r="I41" i="6" a="1"/>
  <c r="I41" i="6"/>
  <c r="H41" i="6" a="1"/>
  <c r="H41" i="6"/>
  <c r="J41" i="6" s="1" a="1"/>
  <c r="J41" i="6" s="1"/>
  <c r="D41" i="6" a="1"/>
  <c r="D41" i="6" s="1"/>
  <c r="AA40" i="6" a="1"/>
  <c r="AA40" i="6"/>
  <c r="U40" i="6" a="1"/>
  <c r="U40" i="6"/>
  <c r="T40" i="6" a="1"/>
  <c r="T40" i="6"/>
  <c r="V40" i="6" s="1" a="1"/>
  <c r="V40" i="6" s="1"/>
  <c r="P40" i="6" a="1"/>
  <c r="P40" i="6"/>
  <c r="I40" i="6" a="1"/>
  <c r="I40" i="6"/>
  <c r="H40" i="6" a="1"/>
  <c r="H40" i="6"/>
  <c r="D40" i="6" a="1"/>
  <c r="D40" i="6"/>
  <c r="AA39" i="6" a="1"/>
  <c r="AA39" i="6"/>
  <c r="V39" i="6" a="1"/>
  <c r="V39" i="6" s="1"/>
  <c r="U39" i="6" a="1"/>
  <c r="U39" i="6"/>
  <c r="T39" i="6" a="1"/>
  <c r="T39" i="6"/>
  <c r="P39" i="6" a="1"/>
  <c r="P39" i="6"/>
  <c r="I39" i="6" a="1"/>
  <c r="I39" i="6"/>
  <c r="H39" i="6" a="1"/>
  <c r="H39" i="6"/>
  <c r="J39" i="6" s="1" a="1"/>
  <c r="J39" i="6" s="1"/>
  <c r="D39" i="6" a="1"/>
  <c r="D39" i="6" s="1"/>
  <c r="AA38" i="6" a="1"/>
  <c r="AA38" i="6"/>
  <c r="U38" i="6" a="1"/>
  <c r="U38" i="6"/>
  <c r="T38" i="6" a="1"/>
  <c r="T38" i="6"/>
  <c r="V38" i="6" s="1" a="1"/>
  <c r="V38" i="6" s="1"/>
  <c r="P38" i="6" a="1"/>
  <c r="P38" i="6"/>
  <c r="I38" i="6" a="1"/>
  <c r="I38" i="6"/>
  <c r="H38" i="6" a="1"/>
  <c r="H38" i="6"/>
  <c r="D38" i="6" a="1"/>
  <c r="D38" i="6"/>
  <c r="AA37" i="6" a="1"/>
  <c r="AA37" i="6"/>
  <c r="V37" i="6" a="1"/>
  <c r="V37" i="6" s="1"/>
  <c r="U37" i="6" a="1"/>
  <c r="U37" i="6"/>
  <c r="T37" i="6" a="1"/>
  <c r="T37" i="6"/>
  <c r="P37" i="6" a="1"/>
  <c r="P37" i="6"/>
  <c r="I37" i="6" a="1"/>
  <c r="I37" i="6"/>
  <c r="H37" i="6" a="1"/>
  <c r="H37" i="6"/>
  <c r="J37" i="6" s="1" a="1"/>
  <c r="J37" i="6" s="1"/>
  <c r="D37" i="6" a="1"/>
  <c r="D37" i="6" s="1"/>
  <c r="AA36" i="6" a="1"/>
  <c r="AA36" i="6"/>
  <c r="U36" i="6" a="1"/>
  <c r="U36" i="6"/>
  <c r="T36" i="6" a="1"/>
  <c r="T36" i="6"/>
  <c r="V36" i="6" s="1" a="1"/>
  <c r="V36" i="6" s="1"/>
  <c r="P36" i="6" a="1"/>
  <c r="P36" i="6"/>
  <c r="I36" i="6" a="1"/>
  <c r="I36" i="6"/>
  <c r="H36" i="6" a="1"/>
  <c r="H36" i="6"/>
  <c r="D36" i="6" a="1"/>
  <c r="D36" i="6"/>
  <c r="AA35" i="6" a="1"/>
  <c r="AA35" i="6"/>
  <c r="V35" i="6" a="1"/>
  <c r="V35" i="6" s="1"/>
  <c r="U35" i="6" a="1"/>
  <c r="U35" i="6"/>
  <c r="T35" i="6" a="1"/>
  <c r="T35" i="6"/>
  <c r="P35" i="6" a="1"/>
  <c r="P35" i="6"/>
  <c r="I35" i="6" a="1"/>
  <c r="I35" i="6"/>
  <c r="H35" i="6" a="1"/>
  <c r="H35" i="6"/>
  <c r="J35" i="6" s="1" a="1"/>
  <c r="J35" i="6" s="1"/>
  <c r="D35" i="6" a="1"/>
  <c r="D35" i="6" s="1"/>
  <c r="AA34" i="6" a="1"/>
  <c r="AA34" i="6"/>
  <c r="U34" i="6" a="1"/>
  <c r="U34" i="6"/>
  <c r="T34" i="6" a="1"/>
  <c r="T34" i="6"/>
  <c r="V34" i="6" s="1" a="1"/>
  <c r="V34" i="6" s="1"/>
  <c r="P34" i="6" a="1"/>
  <c r="P34" i="6"/>
  <c r="I34" i="6" a="1"/>
  <c r="I34" i="6"/>
  <c r="H34" i="6" a="1"/>
  <c r="H34" i="6"/>
  <c r="D34" i="6" a="1"/>
  <c r="D34" i="6"/>
  <c r="AA33" i="6" a="1"/>
  <c r="AA33" i="6"/>
  <c r="V33" i="6" a="1"/>
  <c r="V33" i="6" s="1"/>
  <c r="U33" i="6" a="1"/>
  <c r="U33" i="6"/>
  <c r="T33" i="6" a="1"/>
  <c r="T33" i="6"/>
  <c r="P33" i="6" a="1"/>
  <c r="P33" i="6"/>
  <c r="I33" i="6" a="1"/>
  <c r="I33" i="6"/>
  <c r="H33" i="6" a="1"/>
  <c r="H33" i="6"/>
  <c r="J33" i="6" s="1" a="1"/>
  <c r="J33" i="6" s="1"/>
  <c r="D33" i="6" a="1"/>
  <c r="D33" i="6" s="1"/>
  <c r="AA32" i="6" a="1"/>
  <c r="AA32" i="6"/>
  <c r="U32" i="6" a="1"/>
  <c r="U32" i="6"/>
  <c r="T32" i="6" a="1"/>
  <c r="T32" i="6"/>
  <c r="V32" i="6" s="1" a="1"/>
  <c r="V32" i="6" s="1"/>
  <c r="P32" i="6" a="1"/>
  <c r="P32" i="6"/>
  <c r="I32" i="6" a="1"/>
  <c r="I32" i="6"/>
  <c r="H32" i="6" a="1"/>
  <c r="H32" i="6"/>
  <c r="D32" i="6" a="1"/>
  <c r="D32" i="6"/>
  <c r="AA31" i="6" a="1"/>
  <c r="AA31" i="6"/>
  <c r="V31" i="6" a="1"/>
  <c r="V31" i="6" s="1"/>
  <c r="U31" i="6" a="1"/>
  <c r="U31" i="6"/>
  <c r="T31" i="6" a="1"/>
  <c r="T31" i="6"/>
  <c r="P31" i="6" a="1"/>
  <c r="P31" i="6"/>
  <c r="I31" i="6" a="1"/>
  <c r="I31" i="6"/>
  <c r="H31" i="6" a="1"/>
  <c r="H31" i="6"/>
  <c r="J31" i="6" s="1" a="1"/>
  <c r="J31" i="6" s="1"/>
  <c r="D31" i="6" a="1"/>
  <c r="D31" i="6" s="1"/>
  <c r="AA30" i="6" a="1"/>
  <c r="AA30" i="6"/>
  <c r="U30" i="6" a="1"/>
  <c r="U30" i="6"/>
  <c r="T30" i="6" a="1"/>
  <c r="T30" i="6"/>
  <c r="V30" i="6" s="1" a="1"/>
  <c r="V30" i="6" s="1"/>
  <c r="P30" i="6" a="1"/>
  <c r="P30" i="6"/>
  <c r="I30" i="6" a="1"/>
  <c r="I30" i="6"/>
  <c r="H30" i="6" a="1"/>
  <c r="H30" i="6"/>
  <c r="D30" i="6" a="1"/>
  <c r="D30" i="6"/>
  <c r="AA29" i="6" a="1"/>
  <c r="AA29" i="6"/>
  <c r="V29" i="6" a="1"/>
  <c r="V29" i="6" s="1"/>
  <c r="U29" i="6" a="1"/>
  <c r="U29" i="6"/>
  <c r="T29" i="6" a="1"/>
  <c r="T29" i="6"/>
  <c r="P29" i="6" a="1"/>
  <c r="P29" i="6"/>
  <c r="I29" i="6" a="1"/>
  <c r="I29" i="6"/>
  <c r="H29" i="6" a="1"/>
  <c r="H29" i="6"/>
  <c r="J29" i="6" s="1" a="1"/>
  <c r="J29" i="6" s="1"/>
  <c r="D29" i="6" a="1"/>
  <c r="D29" i="6" s="1"/>
  <c r="AA28" i="6" a="1"/>
  <c r="AA28" i="6"/>
  <c r="U28" i="6" a="1"/>
  <c r="U28" i="6"/>
  <c r="T28" i="6" a="1"/>
  <c r="T28" i="6"/>
  <c r="V28" i="6" s="1" a="1"/>
  <c r="V28" i="6" s="1"/>
  <c r="P28" i="6" a="1"/>
  <c r="P28" i="6"/>
  <c r="I28" i="6" a="1"/>
  <c r="I28" i="6"/>
  <c r="H28" i="6" a="1"/>
  <c r="H28" i="6"/>
  <c r="D28" i="6" a="1"/>
  <c r="D28" i="6"/>
  <c r="AA27" i="6" a="1"/>
  <c r="AA27" i="6"/>
  <c r="V27" i="6" a="1"/>
  <c r="V27" i="6" s="1"/>
  <c r="T27" i="6" a="1"/>
  <c r="T27" i="6"/>
  <c r="T26" i="6" s="1" a="1"/>
  <c r="T26" i="6" s="1"/>
  <c r="P27" i="6" a="1"/>
  <c r="P27" i="6"/>
  <c r="H27" i="6" a="1"/>
  <c r="H27" i="6" s="1"/>
  <c r="J27" i="6" s="1" a="1"/>
  <c r="J27" i="6" s="1"/>
  <c r="D27" i="6" a="1"/>
  <c r="D27" i="6"/>
  <c r="AC26" i="6" a="1"/>
  <c r="AC26" i="6"/>
  <c r="AD26" i="6" s="1" a="1"/>
  <c r="AD26" i="6" s="1"/>
  <c r="AB26" i="6" a="1"/>
  <c r="AB26" i="6"/>
  <c r="AA26" i="6" a="1"/>
  <c r="AA26" i="6"/>
  <c r="O26" i="6" a="1"/>
  <c r="O26" i="6"/>
  <c r="N26" i="6" a="1"/>
  <c r="N26" i="6"/>
  <c r="C26" i="6" a="1"/>
  <c r="C26" i="6"/>
  <c r="B26" i="6" a="1"/>
  <c r="B26" i="6"/>
  <c r="AC25" i="6"/>
  <c r="AB25" i="6" a="1"/>
  <c r="AB25" i="6" s="1"/>
  <c r="AD25" i="6" s="1" a="1"/>
  <c r="AD25" i="6" s="1"/>
  <c r="AA25" i="6" a="1"/>
  <c r="AA25" i="6"/>
  <c r="AC25" i="6" s="1" a="1"/>
  <c r="AA24" i="6" a="1"/>
  <c r="AA24" i="6"/>
  <c r="AC23" i="6" a="1"/>
  <c r="AC23" i="6"/>
  <c r="AB23" i="6" a="1"/>
  <c r="AB23" i="6" s="1"/>
  <c r="AD23" i="6" s="1" a="1"/>
  <c r="AD23" i="6" s="1"/>
  <c r="AA23" i="6" a="1"/>
  <c r="AA23" i="6"/>
  <c r="AA22" i="6" a="1"/>
  <c r="AA22" i="6"/>
  <c r="AC22" i="6" s="1" a="1"/>
  <c r="AC22" i="6" s="1"/>
  <c r="AA21" i="6" a="1"/>
  <c r="AA21" i="6"/>
  <c r="AC20" i="6" a="1"/>
  <c r="AC20" i="6" s="1"/>
  <c r="AB20" i="6" a="1"/>
  <c r="AB20" i="6"/>
  <c r="AD20" i="6" s="1" a="1"/>
  <c r="AD20" i="6" s="1"/>
  <c r="AA20" i="6" a="1"/>
  <c r="AA20" i="6"/>
  <c r="AC19" i="6" a="1"/>
  <c r="AC19" i="6"/>
  <c r="AB19" i="6" a="1"/>
  <c r="AB19" i="6"/>
  <c r="AD19" i="6" s="1" a="1"/>
  <c r="AD19" i="6" s="1"/>
  <c r="AA19" i="6" a="1"/>
  <c r="AA19" i="6"/>
  <c r="AA18" i="6" a="1"/>
  <c r="AA18" i="6"/>
  <c r="AA17" i="6" a="1"/>
  <c r="AA17" i="6"/>
  <c r="AA16" i="6" a="1"/>
  <c r="AA16" i="6"/>
  <c r="AD15" i="6"/>
  <c r="AC15" i="6" a="1"/>
  <c r="AC15" i="6"/>
  <c r="AB15" i="6" a="1"/>
  <c r="AB15" i="6" s="1"/>
  <c r="AD15" i="6" s="1" a="1"/>
  <c r="AA15" i="6" a="1"/>
  <c r="AA15" i="6"/>
  <c r="AA14" i="6" a="1"/>
  <c r="AA14" i="6"/>
  <c r="AA13" i="6" a="1"/>
  <c r="AA13" i="6" s="1"/>
  <c r="AB13" i="6" s="1" a="1"/>
  <c r="AB13" i="6" s="1"/>
  <c r="AD13" i="6" s="1" a="1"/>
  <c r="AD13" i="6" s="1"/>
  <c r="Z12" i="6" a="1"/>
  <c r="Z12" i="6"/>
  <c r="Y12" i="6" a="1"/>
  <c r="Y12" i="6"/>
  <c r="AD56" i="5" a="1"/>
  <c r="AD56" i="5" s="1"/>
  <c r="AD55" i="5" a="1"/>
  <c r="AD55" i="5" s="1"/>
  <c r="AC55" i="5" a="1"/>
  <c r="AC55" i="5" s="1"/>
  <c r="AD54" i="5" a="1"/>
  <c r="AD54" i="5"/>
  <c r="N52" i="9" s="1" a="1"/>
  <c r="N52" i="9" s="1"/>
  <c r="AC54" i="5" a="1"/>
  <c r="AC54" i="5"/>
  <c r="AB54" i="5" a="1"/>
  <c r="AB54" i="5"/>
  <c r="AD53" i="5" a="1"/>
  <c r="AD53" i="5" s="1"/>
  <c r="AC53" i="5" a="1"/>
  <c r="AC53" i="5"/>
  <c r="AB53" i="5" a="1"/>
  <c r="AB53" i="5"/>
  <c r="AA53" i="5" a="1"/>
  <c r="AA53" i="5"/>
  <c r="AD52" i="5" a="1"/>
  <c r="AD52" i="5"/>
  <c r="P67" i="3" s="1" a="1"/>
  <c r="P67" i="3" s="1"/>
  <c r="AC52" i="5" a="1"/>
  <c r="AC52" i="5"/>
  <c r="AB52" i="5" a="1"/>
  <c r="AB52" i="5" s="1"/>
  <c r="AA52" i="5" a="1"/>
  <c r="AA52" i="5"/>
  <c r="Z52" i="5" a="1"/>
  <c r="Z52" i="5" s="1"/>
  <c r="AD44" i="5" a="1"/>
  <c r="AD44" i="5"/>
  <c r="AD43" i="5" a="1"/>
  <c r="AD43" i="5"/>
  <c r="AC43" i="5" a="1"/>
  <c r="AC43" i="5"/>
  <c r="AD42" i="5" a="1"/>
  <c r="AD42" i="5" s="1"/>
  <c r="AC42" i="5" a="1"/>
  <c r="AC42" i="5" s="1"/>
  <c r="AB42" i="5" a="1"/>
  <c r="AB42" i="5"/>
  <c r="AD41" i="5" a="1"/>
  <c r="AD41" i="5"/>
  <c r="AC41" i="5" a="1"/>
  <c r="AC41" i="5"/>
  <c r="AB41" i="5" a="1"/>
  <c r="AB41" i="5"/>
  <c r="AA41" i="5" a="1"/>
  <c r="AA41" i="5" s="1"/>
  <c r="AD40" i="5" a="1"/>
  <c r="AD40" i="5"/>
  <c r="AC40" i="5" a="1"/>
  <c r="AC40" i="5"/>
  <c r="AB40" i="5" a="1"/>
  <c r="AB40" i="5" s="1"/>
  <c r="AA40" i="5" a="1"/>
  <c r="AA40" i="5"/>
  <c r="Z40" i="5" a="1"/>
  <c r="Z40" i="5"/>
  <c r="AM28" i="5" a="1"/>
  <c r="AM28" i="5" s="1"/>
  <c r="N76" i="8" s="1" a="1"/>
  <c r="N76" i="8" s="1"/>
  <c r="AM26" i="5" a="1"/>
  <c r="AM26" i="5"/>
  <c r="AT18" i="5" a="1"/>
  <c r="AT18" i="5" s="1"/>
  <c r="AS18" i="5" a="1"/>
  <c r="AS18" i="5"/>
  <c r="AR18" i="5" a="1"/>
  <c r="AR18" i="5"/>
  <c r="C63" i="4" a="1"/>
  <c r="C63" i="4"/>
  <c r="C62" i="4" a="1"/>
  <c r="C62" i="4" s="1"/>
  <c r="C61" i="4" a="1"/>
  <c r="C61" i="4"/>
  <c r="C60" i="4" a="1"/>
  <c r="C60" i="4"/>
  <c r="C59" i="4" a="1"/>
  <c r="C59" i="4"/>
  <c r="C58" i="4" a="1"/>
  <c r="C58" i="4" s="1"/>
  <c r="C57" i="4" a="1"/>
  <c r="C57" i="4"/>
  <c r="C56" i="4" a="1"/>
  <c r="C56" i="4" s="1"/>
  <c r="C55" i="4" a="1"/>
  <c r="C55" i="4"/>
  <c r="C54" i="4" a="1"/>
  <c r="C54" i="4"/>
  <c r="C53" i="4" a="1"/>
  <c r="C53" i="4" s="1"/>
  <c r="C47" i="4" a="1"/>
  <c r="C47" i="4"/>
  <c r="C45" i="4" a="1"/>
  <c r="C45" i="4" s="1"/>
  <c r="C44" i="4" a="1"/>
  <c r="C44" i="4"/>
  <c r="C43" i="4" a="1"/>
  <c r="C43" i="4"/>
  <c r="C42" i="4" a="1"/>
  <c r="C42" i="4"/>
  <c r="C41" i="4" a="1"/>
  <c r="C41" i="4"/>
  <c r="C39" i="4" a="1"/>
  <c r="C39" i="4" s="1"/>
  <c r="C38" i="4" a="1"/>
  <c r="C38" i="4"/>
  <c r="C37" i="4" a="1"/>
  <c r="C37" i="4"/>
  <c r="C36" i="4" a="1"/>
  <c r="C36" i="4"/>
  <c r="C35" i="4" a="1"/>
  <c r="C35" i="4"/>
  <c r="C33" i="4" a="1"/>
  <c r="C33" i="4" s="1"/>
  <c r="C32" i="4" a="1"/>
  <c r="C32" i="4"/>
  <c r="C31" i="4" a="1"/>
  <c r="C31" i="4"/>
  <c r="C30" i="4" a="1"/>
  <c r="C30" i="4" s="1"/>
  <c r="C27" i="4" s="1" a="1"/>
  <c r="C27" i="4" s="1"/>
  <c r="B27" i="4" a="1"/>
  <c r="B27" i="4"/>
  <c r="C46" i="4" s="1" a="1"/>
  <c r="C46" i="4" s="1"/>
  <c r="H17" i="4" a="1"/>
  <c r="H17" i="4"/>
  <c r="H16" i="4" a="1"/>
  <c r="H16" i="4"/>
  <c r="H15" i="4" a="1"/>
  <c r="H15" i="4"/>
  <c r="H14" i="4" a="1"/>
  <c r="H14" i="4" s="1"/>
  <c r="G19" i="4" s="1" a="1"/>
  <c r="G19" i="4" s="1"/>
  <c r="H13" i="4" a="1"/>
  <c r="H13" i="4"/>
  <c r="H12" i="4" a="1"/>
  <c r="H12" i="4" s="1"/>
  <c r="G21" i="3" s="1" a="1"/>
  <c r="G21" i="3" s="1"/>
  <c r="G104" i="3" a="1"/>
  <c r="G104" i="3"/>
  <c r="G103" i="3" a="1"/>
  <c r="G103" i="3" s="1"/>
  <c r="G102" i="3" a="1"/>
  <c r="G102" i="3" s="1"/>
  <c r="G101" i="3" a="1"/>
  <c r="G101" i="3"/>
  <c r="F101" i="8" s="1" a="1"/>
  <c r="F101" i="8" s="1"/>
  <c r="G100" i="3" a="1"/>
  <c r="G100" i="3"/>
  <c r="F100" i="9" s="1" a="1"/>
  <c r="F100" i="9" s="1"/>
  <c r="G99" i="3" a="1"/>
  <c r="G99" i="3" s="1"/>
  <c r="F99" i="7" s="1" a="1"/>
  <c r="F99" i="7" s="1"/>
  <c r="G98" i="3" a="1"/>
  <c r="G98" i="3"/>
  <c r="F98" i="8" s="1" a="1"/>
  <c r="F98" i="8" s="1"/>
  <c r="G97" i="3" a="1"/>
  <c r="G97" i="3"/>
  <c r="G96" i="3" a="1"/>
  <c r="G96" i="3" s="1"/>
  <c r="D96" i="3" a="1"/>
  <c r="D96" i="3"/>
  <c r="H96" i="3" s="1" a="1"/>
  <c r="H96" i="3" s="1"/>
  <c r="G95" i="3" a="1"/>
  <c r="G95" i="3" s="1"/>
  <c r="L90" i="3" a="1"/>
  <c r="L90" i="3"/>
  <c r="L88" i="3" a="1"/>
  <c r="L88" i="3" s="1"/>
  <c r="L87" i="3" a="1"/>
  <c r="L87" i="3"/>
  <c r="R86" i="3" a="1"/>
  <c r="R86" i="3" s="1"/>
  <c r="L86" i="3" a="1"/>
  <c r="L86" i="3"/>
  <c r="R85" i="3" a="1"/>
  <c r="R85" i="3"/>
  <c r="L85" i="3" a="1"/>
  <c r="L85" i="3"/>
  <c r="R84" i="3" a="1"/>
  <c r="R84" i="3" s="1"/>
  <c r="D104" i="3" s="1" a="1"/>
  <c r="D104" i="3" s="1"/>
  <c r="L84" i="3" a="1"/>
  <c r="L84" i="3"/>
  <c r="L83" i="3" a="1"/>
  <c r="L83" i="3"/>
  <c r="K83" i="3" a="1"/>
  <c r="K83" i="3"/>
  <c r="O75" i="3" a="1"/>
  <c r="O75" i="3"/>
  <c r="N75" i="3" a="1"/>
  <c r="N75" i="3"/>
  <c r="O74" i="3" a="1"/>
  <c r="O74" i="3"/>
  <c r="N74" i="3" a="1"/>
  <c r="N74" i="3" s="1"/>
  <c r="O67" i="3" a="1"/>
  <c r="O67" i="3"/>
  <c r="N67" i="3" a="1"/>
  <c r="N67" i="3"/>
  <c r="P63" i="3" a="1"/>
  <c r="P63" i="3" s="1"/>
  <c r="O63" i="3" a="1"/>
  <c r="O63" i="3"/>
  <c r="N63" i="3" a="1"/>
  <c r="N63" i="3"/>
  <c r="M63" i="3" a="1"/>
  <c r="M63" i="3"/>
  <c r="L63" i="3" a="1"/>
  <c r="L63" i="3"/>
  <c r="P62" i="3" a="1"/>
  <c r="P62" i="3"/>
  <c r="O62" i="3" a="1"/>
  <c r="O62" i="3" s="1"/>
  <c r="N62" i="3" a="1"/>
  <c r="N62" i="3"/>
  <c r="M62" i="3" a="1"/>
  <c r="M62" i="3"/>
  <c r="L62" i="3" a="1"/>
  <c r="L62" i="3"/>
  <c r="P61" i="3" a="1"/>
  <c r="P61" i="3"/>
  <c r="O61" i="3" a="1"/>
  <c r="O61" i="3"/>
  <c r="N61" i="3" a="1"/>
  <c r="N61" i="3" s="1"/>
  <c r="M61" i="3" a="1"/>
  <c r="M61" i="3"/>
  <c r="L61" i="3" a="1"/>
  <c r="L61" i="3"/>
  <c r="G58" i="3" a="1"/>
  <c r="G58" i="3" s="1"/>
  <c r="O52" i="3" a="1"/>
  <c r="O52" i="3"/>
  <c r="N52" i="3" a="1"/>
  <c r="N52" i="3"/>
  <c r="P48" i="3" a="1"/>
  <c r="P48" i="3" s="1"/>
  <c r="O48" i="3" a="1"/>
  <c r="O48" i="3"/>
  <c r="N48" i="3" a="1"/>
  <c r="N48" i="3"/>
  <c r="M48" i="3" a="1"/>
  <c r="M48" i="3"/>
  <c r="L48" i="3" a="1"/>
  <c r="L48" i="3"/>
  <c r="P47" i="3" a="1"/>
  <c r="P47" i="3"/>
  <c r="O47" i="3" a="1"/>
  <c r="O47" i="3" s="1"/>
  <c r="N47" i="3" a="1"/>
  <c r="N47" i="3"/>
  <c r="M47" i="3" a="1"/>
  <c r="M47" i="3"/>
  <c r="L47" i="3" a="1"/>
  <c r="L47" i="3"/>
  <c r="P46" i="3" a="1"/>
  <c r="P46" i="3"/>
  <c r="O46" i="3" a="1"/>
  <c r="O46" i="3"/>
  <c r="N46" i="3" a="1"/>
  <c r="N46" i="3" s="1"/>
  <c r="M46" i="3" a="1"/>
  <c r="M46" i="3"/>
  <c r="L46" i="3" a="1"/>
  <c r="L46" i="3"/>
  <c r="G39" i="3" a="1"/>
  <c r="G39" i="3" s="1"/>
  <c r="L38" i="3" a="1"/>
  <c r="L38" i="3"/>
  <c r="M33" i="3" a="1"/>
  <c r="M33" i="3" s="1"/>
  <c r="O32" i="3" a="1"/>
  <c r="O32" i="3"/>
  <c r="M32" i="3" a="1"/>
  <c r="M32" i="3" s="1"/>
  <c r="K32" i="3" a="1"/>
  <c r="K32" i="3"/>
  <c r="K33" i="3" s="1" a="1"/>
  <c r="K33" i="3" s="1"/>
  <c r="R10" i="3" s="1" a="1"/>
  <c r="R10" i="3" s="1"/>
  <c r="E31" i="3" a="1"/>
  <c r="E31" i="3"/>
  <c r="E33" i="3" s="1" a="1"/>
  <c r="E33" i="3" s="1"/>
  <c r="R8" i="3" s="1" a="1"/>
  <c r="R8" i="3" s="1"/>
  <c r="H27" i="3" a="1"/>
  <c r="H27" i="3"/>
  <c r="B27" i="3" a="1"/>
  <c r="B27" i="3" s="1"/>
  <c r="B25" i="3" a="1"/>
  <c r="B25" i="3"/>
  <c r="R10" i="13" l="1" a="1"/>
  <c r="R10" i="13" s="1"/>
  <c r="E33" i="10" a="1"/>
  <c r="E33" i="10" s="1"/>
  <c r="J96" i="6" a="1"/>
  <c r="J96" i="6" s="1"/>
  <c r="M48" i="7" a="1"/>
  <c r="M48" i="7" s="1"/>
  <c r="L48" i="7" a="1"/>
  <c r="L48" i="7" s="1"/>
  <c r="O48" i="7" a="1"/>
  <c r="O48" i="7" s="1"/>
  <c r="N48" i="7" a="1"/>
  <c r="N48" i="7" s="1"/>
  <c r="P48" i="7" a="1"/>
  <c r="P48" i="7" s="1"/>
  <c r="F95" i="13" a="1"/>
  <c r="F95" i="13" s="1"/>
  <c r="H95" i="13" s="1" a="1"/>
  <c r="H95" i="13" s="1"/>
  <c r="F95" i="11" a="1"/>
  <c r="F95" i="11" s="1"/>
  <c r="H95" i="11" s="1" a="1"/>
  <c r="H95" i="11" s="1"/>
  <c r="F95" i="12" a="1"/>
  <c r="F95" i="12" s="1"/>
  <c r="H95" i="12" s="1" a="1"/>
  <c r="H95" i="12" s="1"/>
  <c r="F95" i="10" a="1"/>
  <c r="F95" i="10" s="1"/>
  <c r="H95" i="10" s="1" a="1"/>
  <c r="H95" i="10" s="1"/>
  <c r="F95" i="9" a="1"/>
  <c r="F95" i="9" s="1"/>
  <c r="H95" i="9" s="1" a="1"/>
  <c r="H95" i="9" s="1"/>
  <c r="F95" i="7" a="1"/>
  <c r="F95" i="7" s="1"/>
  <c r="H95" i="7" s="1" a="1"/>
  <c r="H95" i="7" s="1"/>
  <c r="F95" i="8" a="1"/>
  <c r="F95" i="8" s="1"/>
  <c r="H95" i="8" s="1" a="1"/>
  <c r="H95" i="8" s="1"/>
  <c r="H95" i="3" a="1"/>
  <c r="H95" i="3" s="1"/>
  <c r="AC14" i="6" a="1"/>
  <c r="AC14" i="6" s="1"/>
  <c r="AB14" i="6" a="1"/>
  <c r="AB14" i="6" s="1"/>
  <c r="P26" i="6" a="1"/>
  <c r="P26" i="6" s="1"/>
  <c r="P17" i="6" s="1" a="1"/>
  <c r="P17" i="6" s="1"/>
  <c r="AD104" i="6" a="1"/>
  <c r="AD104" i="6" s="1"/>
  <c r="H104" i="3" a="1"/>
  <c r="H104" i="3" s="1"/>
  <c r="AD74" i="6" a="1"/>
  <c r="AD74" i="6" s="1"/>
  <c r="AB84" i="6" a="1"/>
  <c r="AB84" i="6" s="1"/>
  <c r="AC84" i="6" a="1"/>
  <c r="AC84" i="6" s="1"/>
  <c r="P63" i="8" a="1"/>
  <c r="P63" i="8" s="1"/>
  <c r="N63" i="8" a="1"/>
  <c r="N63" i="8" s="1"/>
  <c r="L63" i="8" a="1"/>
  <c r="L63" i="8" s="1"/>
  <c r="L89" i="8" a="1"/>
  <c r="L89" i="8" s="1"/>
  <c r="O47" i="9" a="1"/>
  <c r="O47" i="9" s="1"/>
  <c r="N47" i="9" a="1"/>
  <c r="N47" i="9" s="1"/>
  <c r="M47" i="9" a="1"/>
  <c r="M47" i="9" s="1"/>
  <c r="V106" i="6" a="1"/>
  <c r="V106" i="6" s="1"/>
  <c r="H104" i="8" a="1"/>
  <c r="H104" i="8" s="1"/>
  <c r="AB86" i="6" a="1"/>
  <c r="AB86" i="6" s="1"/>
  <c r="AC86" i="6" a="1"/>
  <c r="AC86" i="6" s="1"/>
  <c r="F103" i="13" a="1"/>
  <c r="F103" i="13" s="1"/>
  <c r="F103" i="12" a="1"/>
  <c r="F103" i="12" s="1"/>
  <c r="F103" i="11" a="1"/>
  <c r="F103" i="11" s="1"/>
  <c r="F103" i="10" a="1"/>
  <c r="F103" i="10" s="1"/>
  <c r="F103" i="9" a="1"/>
  <c r="F103" i="9" s="1"/>
  <c r="F103" i="8" a="1"/>
  <c r="F103" i="8" s="1"/>
  <c r="F103" i="7" a="1"/>
  <c r="F103" i="7" s="1"/>
  <c r="AC97" i="6" a="1"/>
  <c r="AC97" i="6" s="1"/>
  <c r="AB97" i="6" a="1"/>
  <c r="AB97" i="6" s="1"/>
  <c r="M46" i="8" a="1"/>
  <c r="M46" i="8" s="1"/>
  <c r="L46" i="8" a="1"/>
  <c r="L46" i="8" s="1"/>
  <c r="AC21" i="6" a="1"/>
  <c r="AC21" i="6" s="1"/>
  <c r="AB21" i="6" a="1"/>
  <c r="AB21" i="6" s="1"/>
  <c r="AD21" i="6" s="1" a="1"/>
  <c r="AD21" i="6" s="1"/>
  <c r="M67" i="13" a="1"/>
  <c r="M67" i="13" s="1"/>
  <c r="M52" i="13" a="1"/>
  <c r="M52" i="13" s="1"/>
  <c r="M67" i="12" a="1"/>
  <c r="M67" i="12" s="1"/>
  <c r="M52" i="12" a="1"/>
  <c r="M52" i="12" s="1"/>
  <c r="M67" i="11" a="1"/>
  <c r="M67" i="11" s="1"/>
  <c r="M67" i="10" a="1"/>
  <c r="M67" i="10" s="1"/>
  <c r="M52" i="11" a="1"/>
  <c r="M52" i="11" s="1"/>
  <c r="M67" i="9" a="1"/>
  <c r="M67" i="9" s="1"/>
  <c r="M67" i="7" a="1"/>
  <c r="M67" i="7" s="1"/>
  <c r="M52" i="8" a="1"/>
  <c r="M52" i="8" s="1"/>
  <c r="M52" i="3" a="1"/>
  <c r="M52" i="3" s="1"/>
  <c r="M52" i="10" a="1"/>
  <c r="M52" i="10" s="1"/>
  <c r="M67" i="3" a="1"/>
  <c r="M67" i="3" s="1"/>
  <c r="M67" i="8" a="1"/>
  <c r="M67" i="8" s="1"/>
  <c r="M52" i="7" a="1"/>
  <c r="M52" i="7" s="1"/>
  <c r="M52" i="9" a="1"/>
  <c r="M52" i="9" s="1"/>
  <c r="AD67" i="6" a="1"/>
  <c r="AD67" i="6" s="1"/>
  <c r="AB92" i="6" a="1"/>
  <c r="AB92" i="6" s="1"/>
  <c r="AC92" i="6" a="1"/>
  <c r="AC92" i="6" s="1"/>
  <c r="AC107" i="6" a="1"/>
  <c r="AC107" i="6" s="1"/>
  <c r="AB107" i="6" a="1"/>
  <c r="AB107" i="6" s="1"/>
  <c r="AD107" i="6" s="1" a="1"/>
  <c r="AD107" i="6" s="1"/>
  <c r="AC108" i="6" a="1"/>
  <c r="AC108" i="6" s="1"/>
  <c r="AD108" i="6" s="1" a="1"/>
  <c r="AD108" i="6" s="1"/>
  <c r="L89" i="7" a="1"/>
  <c r="L89" i="7" s="1"/>
  <c r="L62" i="8" a="1"/>
  <c r="L62" i="8" s="1"/>
  <c r="P62" i="8" a="1"/>
  <c r="P62" i="8" s="1"/>
  <c r="N62" i="8" a="1"/>
  <c r="N62" i="8" s="1"/>
  <c r="M62" i="8" a="1"/>
  <c r="M62" i="8" s="1"/>
  <c r="P46" i="9" a="1"/>
  <c r="P46" i="9" s="1"/>
  <c r="N46" i="9" a="1"/>
  <c r="N46" i="9" s="1"/>
  <c r="L46" i="9" a="1"/>
  <c r="L46" i="9" s="1"/>
  <c r="AD80" i="6" a="1"/>
  <c r="AD80" i="6" s="1"/>
  <c r="AD93" i="6" a="1"/>
  <c r="AD93" i="6" s="1"/>
  <c r="P47" i="7" a="1"/>
  <c r="P47" i="7" s="1"/>
  <c r="O47" i="7" a="1"/>
  <c r="O47" i="7" s="1"/>
  <c r="K83" i="8" a="1"/>
  <c r="K83" i="8" s="1"/>
  <c r="P12" i="3" a="1"/>
  <c r="P12" i="3" s="1"/>
  <c r="G17" i="3" a="1"/>
  <c r="G17" i="3" s="1"/>
  <c r="D26" i="6" a="1"/>
  <c r="D26" i="6" s="1"/>
  <c r="D17" i="6" s="1" a="1"/>
  <c r="D17" i="6" s="1"/>
  <c r="AD89" i="6" a="1"/>
  <c r="AD89" i="6" s="1"/>
  <c r="AB91" i="6" a="1"/>
  <c r="AB91" i="6" s="1"/>
  <c r="AD91" i="6" s="1" a="1"/>
  <c r="AD91" i="6" s="1"/>
  <c r="AC91" i="6" a="1"/>
  <c r="AC91" i="6" s="1"/>
  <c r="AC94" i="6" a="1"/>
  <c r="AC94" i="6" s="1"/>
  <c r="AB94" i="6" a="1"/>
  <c r="AB94" i="6" s="1"/>
  <c r="AC100" i="6" a="1"/>
  <c r="AC100" i="6" s="1"/>
  <c r="AB100" i="6" a="1"/>
  <c r="AB100" i="6" s="1"/>
  <c r="AD100" i="6" s="1" a="1"/>
  <c r="AD100" i="6" s="1"/>
  <c r="AC18" i="6" a="1"/>
  <c r="AC18" i="6" s="1"/>
  <c r="AB18" i="6" a="1"/>
  <c r="AB18" i="6" s="1"/>
  <c r="AD18" i="6" s="1" a="1"/>
  <c r="AD18" i="6" s="1"/>
  <c r="AC104" i="6" a="1"/>
  <c r="AC104" i="6" s="1"/>
  <c r="E31" i="7" a="1"/>
  <c r="E31" i="7" s="1"/>
  <c r="E33" i="7" s="1" a="1"/>
  <c r="E33" i="7" s="1"/>
  <c r="R8" i="7" s="1" a="1"/>
  <c r="R8" i="7" s="1"/>
  <c r="E23" i="7" s="1" a="1"/>
  <c r="E23" i="7" s="1"/>
  <c r="M32" i="7" a="1"/>
  <c r="M32" i="7" s="1"/>
  <c r="N67" i="8" a="1"/>
  <c r="N67" i="8" s="1"/>
  <c r="F100" i="8" a="1"/>
  <c r="F100" i="8" s="1"/>
  <c r="O48" i="9" a="1"/>
  <c r="O48" i="9" s="1"/>
  <c r="M48" i="9" a="1"/>
  <c r="M48" i="9" s="1"/>
  <c r="L48" i="9" a="1"/>
  <c r="L48" i="9" s="1"/>
  <c r="M62" i="9" a="1"/>
  <c r="M62" i="9" s="1"/>
  <c r="R8" i="10" a="1"/>
  <c r="R8" i="10" s="1"/>
  <c r="E23" i="10" s="1" a="1"/>
  <c r="E23" i="10" s="1"/>
  <c r="AC68" i="6" a="1"/>
  <c r="AC68" i="6" s="1"/>
  <c r="AD68" i="6" s="1" a="1"/>
  <c r="AD68" i="6" s="1"/>
  <c r="AB22" i="6" a="1"/>
  <c r="AB22" i="6" s="1"/>
  <c r="AD22" i="6" s="1" a="1"/>
  <c r="AD22" i="6" s="1"/>
  <c r="J28" i="6" a="1"/>
  <c r="J28" i="6" s="1"/>
  <c r="J26" i="6" s="1" a="1"/>
  <c r="J26" i="6" s="1"/>
  <c r="D18" i="6" s="1" a="1"/>
  <c r="D18" i="6" s="1"/>
  <c r="AC28" i="6" a="1"/>
  <c r="AC28" i="6" s="1"/>
  <c r="AB28" i="6" a="1"/>
  <c r="AB28" i="6" s="1"/>
  <c r="J30" i="6" a="1"/>
  <c r="J30" i="6" s="1"/>
  <c r="AC30" i="6" a="1"/>
  <c r="AC30" i="6" s="1"/>
  <c r="AB30" i="6" a="1"/>
  <c r="AB30" i="6" s="1"/>
  <c r="AD30" i="6" s="1" a="1"/>
  <c r="AD30" i="6" s="1"/>
  <c r="J32" i="6" a="1"/>
  <c r="J32" i="6" s="1"/>
  <c r="AC32" i="6" a="1"/>
  <c r="AC32" i="6" s="1"/>
  <c r="AB32" i="6" a="1"/>
  <c r="AB32" i="6" s="1"/>
  <c r="J34" i="6" a="1"/>
  <c r="J34" i="6" s="1"/>
  <c r="AC34" i="6" a="1"/>
  <c r="AC34" i="6" s="1"/>
  <c r="AB34" i="6" a="1"/>
  <c r="AB34" i="6" s="1"/>
  <c r="J36" i="6" a="1"/>
  <c r="J36" i="6" s="1"/>
  <c r="AC36" i="6" a="1"/>
  <c r="AC36" i="6" s="1"/>
  <c r="AB36" i="6" a="1"/>
  <c r="AB36" i="6" s="1"/>
  <c r="J38" i="6" a="1"/>
  <c r="J38" i="6" s="1"/>
  <c r="AC38" i="6" a="1"/>
  <c r="AC38" i="6" s="1"/>
  <c r="AB38" i="6" a="1"/>
  <c r="AB38" i="6" s="1"/>
  <c r="AD38" i="6" s="1" a="1"/>
  <c r="AD38" i="6" s="1"/>
  <c r="J40" i="6" a="1"/>
  <c r="J40" i="6" s="1"/>
  <c r="AC40" i="6" a="1"/>
  <c r="AC40" i="6" s="1"/>
  <c r="AB40" i="6" a="1"/>
  <c r="AB40" i="6" s="1"/>
  <c r="J42" i="6" a="1"/>
  <c r="J42" i="6" s="1"/>
  <c r="AC42" i="6" a="1"/>
  <c r="AC42" i="6" s="1"/>
  <c r="AB42" i="6" a="1"/>
  <c r="AB42" i="6" s="1"/>
  <c r="J44" i="6" a="1"/>
  <c r="J44" i="6" s="1"/>
  <c r="AC44" i="6" a="1"/>
  <c r="AC44" i="6" s="1"/>
  <c r="AB44" i="6" a="1"/>
  <c r="AB44" i="6" s="1"/>
  <c r="J46" i="6" a="1"/>
  <c r="J46" i="6" s="1"/>
  <c r="AC46" i="6" a="1"/>
  <c r="AC46" i="6" s="1"/>
  <c r="AB46" i="6" a="1"/>
  <c r="AB46" i="6" s="1"/>
  <c r="AD46" i="6" s="1" a="1"/>
  <c r="AD46" i="6" s="1"/>
  <c r="J48" i="6" a="1"/>
  <c r="J48" i="6" s="1"/>
  <c r="AC48" i="6" a="1"/>
  <c r="AC48" i="6" s="1"/>
  <c r="AB48" i="6" a="1"/>
  <c r="AB48" i="6" s="1"/>
  <c r="J50" i="6" a="1"/>
  <c r="J50" i="6" s="1"/>
  <c r="AC50" i="6" a="1"/>
  <c r="AC50" i="6" s="1"/>
  <c r="AB50" i="6" a="1"/>
  <c r="AB50" i="6" s="1"/>
  <c r="J52" i="6" a="1"/>
  <c r="J52" i="6" s="1"/>
  <c r="AC52" i="6" a="1"/>
  <c r="AC52" i="6" s="1"/>
  <c r="AB52" i="6" a="1"/>
  <c r="AB52" i="6" s="1"/>
  <c r="J54" i="6" a="1"/>
  <c r="J54" i="6" s="1"/>
  <c r="AC54" i="6" a="1"/>
  <c r="AC54" i="6" s="1"/>
  <c r="AB54" i="6" a="1"/>
  <c r="AB54" i="6" s="1"/>
  <c r="AD54" i="6" s="1" a="1"/>
  <c r="AD54" i="6" s="1"/>
  <c r="J56" i="6" a="1"/>
  <c r="J56" i="6" s="1"/>
  <c r="AC56" i="6" a="1"/>
  <c r="AC56" i="6" s="1"/>
  <c r="AB56" i="6" a="1"/>
  <c r="AB56" i="6" s="1"/>
  <c r="J58" i="6" a="1"/>
  <c r="J58" i="6" s="1"/>
  <c r="AC58" i="6" a="1"/>
  <c r="AC58" i="6" s="1"/>
  <c r="AB58" i="6" a="1"/>
  <c r="AB58" i="6" s="1"/>
  <c r="J60" i="6" a="1"/>
  <c r="J60" i="6" s="1"/>
  <c r="AC60" i="6" a="1"/>
  <c r="AC60" i="6" s="1"/>
  <c r="AB60" i="6" a="1"/>
  <c r="AB60" i="6" s="1"/>
  <c r="J62" i="6" a="1"/>
  <c r="J62" i="6" s="1"/>
  <c r="AC62" i="6" a="1"/>
  <c r="AC62" i="6" s="1"/>
  <c r="AB62" i="6" a="1"/>
  <c r="AB62" i="6" s="1"/>
  <c r="AD62" i="6" s="1" a="1"/>
  <c r="AD62" i="6" s="1"/>
  <c r="J64" i="6" a="1"/>
  <c r="J64" i="6" s="1"/>
  <c r="AC64" i="6" a="1"/>
  <c r="AC64" i="6" s="1"/>
  <c r="AB64" i="6" a="1"/>
  <c r="AB64" i="6" s="1"/>
  <c r="AB78" i="6" a="1"/>
  <c r="AB78" i="6" s="1"/>
  <c r="AD78" i="6" s="1" a="1"/>
  <c r="AD78" i="6" s="1"/>
  <c r="AC78" i="6" a="1"/>
  <c r="AC78" i="6" s="1"/>
  <c r="J107" i="6" a="1"/>
  <c r="J107" i="6" s="1"/>
  <c r="AC110" i="6" a="1"/>
  <c r="AC110" i="6" s="1"/>
  <c r="AB110" i="6" a="1"/>
  <c r="AB110" i="6" s="1"/>
  <c r="N47" i="7" a="1"/>
  <c r="N47" i="7" s="1"/>
  <c r="M47" i="7" a="1"/>
  <c r="M47" i="7" s="1"/>
  <c r="L47" i="7" a="1"/>
  <c r="L47" i="7" s="1"/>
  <c r="O63" i="7" a="1"/>
  <c r="O63" i="7" s="1"/>
  <c r="M63" i="7" a="1"/>
  <c r="M63" i="7" s="1"/>
  <c r="D104" i="7" a="1"/>
  <c r="D104" i="7" s="1"/>
  <c r="L88" i="7" a="1"/>
  <c r="L88" i="7" s="1"/>
  <c r="N47" i="8" a="1"/>
  <c r="N47" i="8" s="1"/>
  <c r="M47" i="8" a="1"/>
  <c r="M47" i="8" s="1"/>
  <c r="P52" i="9" a="1"/>
  <c r="P52" i="9" s="1"/>
  <c r="R86" i="9" a="1"/>
  <c r="R86" i="9" s="1"/>
  <c r="D104" i="9" s="1" a="1"/>
  <c r="D104" i="9" s="1"/>
  <c r="H104" i="9" s="1" a="1"/>
  <c r="H104" i="9" s="1"/>
  <c r="N61" i="10" a="1"/>
  <c r="N61" i="10" s="1"/>
  <c r="AC51" i="6" a="1"/>
  <c r="AC51" i="6" s="1"/>
  <c r="AB51" i="6" a="1"/>
  <c r="AB51" i="6" s="1"/>
  <c r="AD51" i="6" s="1" a="1"/>
  <c r="AD51" i="6" s="1"/>
  <c r="AC80" i="6" a="1"/>
  <c r="AC80" i="6" s="1"/>
  <c r="J122" i="6" a="1"/>
  <c r="J122" i="6" s="1"/>
  <c r="L85" i="8" a="1"/>
  <c r="L85" i="8" s="1"/>
  <c r="L89" i="11" a="1"/>
  <c r="L89" i="11" s="1"/>
  <c r="R62" i="3" a="1"/>
  <c r="R62" i="3" s="1"/>
  <c r="D98" i="3" s="1" a="1"/>
  <c r="D98" i="3" s="1"/>
  <c r="L89" i="3" a="1"/>
  <c r="L89" i="3" s="1"/>
  <c r="D103" i="3" s="1" a="1"/>
  <c r="D103" i="3" s="1"/>
  <c r="F96" i="13" a="1"/>
  <c r="F96" i="13" s="1"/>
  <c r="H96" i="13" s="1" a="1"/>
  <c r="H96" i="13" s="1"/>
  <c r="F96" i="11" a="1"/>
  <c r="F96" i="11" s="1"/>
  <c r="F96" i="12" a="1"/>
  <c r="F96" i="12" s="1"/>
  <c r="F96" i="8" a="1"/>
  <c r="F96" i="8" s="1"/>
  <c r="F96" i="7" a="1"/>
  <c r="F96" i="7" s="1"/>
  <c r="H96" i="7" s="1" a="1"/>
  <c r="H96" i="7" s="1"/>
  <c r="F96" i="10" a="1"/>
  <c r="F96" i="10" s="1"/>
  <c r="H96" i="10" s="1" a="1"/>
  <c r="H96" i="10" s="1"/>
  <c r="F96" i="9" a="1"/>
  <c r="F96" i="9" s="1"/>
  <c r="AC88" i="6" a="1"/>
  <c r="AC88" i="6" s="1"/>
  <c r="AD88" i="6" s="1" a="1"/>
  <c r="AD88" i="6" s="1"/>
  <c r="V92" i="6" a="1"/>
  <c r="V92" i="6" s="1"/>
  <c r="V94" i="6" a="1"/>
  <c r="V94" i="6" s="1"/>
  <c r="V127" i="6" a="1"/>
  <c r="V127" i="6" s="1"/>
  <c r="L87" i="7" a="1"/>
  <c r="L87" i="7" s="1"/>
  <c r="E31" i="8" a="1"/>
  <c r="E31" i="8" s="1"/>
  <c r="E33" i="8" s="1" a="1"/>
  <c r="E33" i="8" s="1"/>
  <c r="R8" i="8" s="1" a="1"/>
  <c r="R8" i="8" s="1"/>
  <c r="E23" i="8" s="1" a="1"/>
  <c r="E23" i="8" s="1"/>
  <c r="D103" i="8" a="1"/>
  <c r="D103" i="8" s="1"/>
  <c r="H103" i="8" s="1" a="1"/>
  <c r="H103" i="8" s="1"/>
  <c r="R85" i="9" a="1"/>
  <c r="R85" i="9" s="1"/>
  <c r="L89" i="10" a="1"/>
  <c r="L89" i="10" s="1"/>
  <c r="F99" i="12" a="1"/>
  <c r="F99" i="12" s="1"/>
  <c r="F99" i="13" a="1"/>
  <c r="F99" i="13" s="1"/>
  <c r="F99" i="9" a="1"/>
  <c r="F99" i="9" s="1"/>
  <c r="F99" i="10" a="1"/>
  <c r="F99" i="10" s="1"/>
  <c r="F99" i="8" a="1"/>
  <c r="F99" i="8" s="1"/>
  <c r="F99" i="11" a="1"/>
  <c r="F99" i="11" s="1"/>
  <c r="AC24" i="6" a="1"/>
  <c r="AC24" i="6" s="1"/>
  <c r="AB24" i="6" a="1"/>
  <c r="AB24" i="6" s="1"/>
  <c r="AD24" i="6" s="1" a="1"/>
  <c r="AD24" i="6" s="1"/>
  <c r="AC70" i="6" a="1"/>
  <c r="AC70" i="6" s="1"/>
  <c r="AD70" i="6" s="1" a="1"/>
  <c r="AD70" i="6" s="1"/>
  <c r="AB73" i="6" a="1"/>
  <c r="AB73" i="6" s="1"/>
  <c r="AD73" i="6" s="1" a="1"/>
  <c r="AD73" i="6" s="1"/>
  <c r="AC73" i="6" a="1"/>
  <c r="AC73" i="6" s="1"/>
  <c r="AB90" i="6" a="1"/>
  <c r="AB90" i="6" s="1"/>
  <c r="AD90" i="6" s="1" a="1"/>
  <c r="AD90" i="6" s="1"/>
  <c r="AC90" i="6" a="1"/>
  <c r="AC90" i="6" s="1"/>
  <c r="L47" i="10" a="1"/>
  <c r="L47" i="10" s="1"/>
  <c r="P47" i="10" a="1"/>
  <c r="P47" i="10" s="1"/>
  <c r="N47" i="10" a="1"/>
  <c r="N47" i="10" s="1"/>
  <c r="M47" i="10" a="1"/>
  <c r="M47" i="10" s="1"/>
  <c r="O47" i="10" a="1"/>
  <c r="O47" i="10" s="1"/>
  <c r="H26" i="6" a="1"/>
  <c r="H26" i="6" s="1"/>
  <c r="I26" i="6" a="1"/>
  <c r="I26" i="6" s="1"/>
  <c r="J67" i="6" a="1"/>
  <c r="J67" i="6" s="1"/>
  <c r="J86" i="6" a="1"/>
  <c r="J86" i="6" s="1"/>
  <c r="AC99" i="6" a="1"/>
  <c r="AC99" i="6" s="1"/>
  <c r="AB99" i="6" a="1"/>
  <c r="AB99" i="6" s="1"/>
  <c r="AD99" i="6" s="1" a="1"/>
  <c r="AD99" i="6" s="1"/>
  <c r="K32" i="8" a="1"/>
  <c r="K32" i="8" s="1"/>
  <c r="K33" i="8" s="1" a="1"/>
  <c r="K33" i="8" s="1"/>
  <c r="R10" i="8" s="1" a="1"/>
  <c r="R10" i="8" s="1"/>
  <c r="L89" i="9" a="1"/>
  <c r="L89" i="9" s="1"/>
  <c r="N46" i="12" a="1"/>
  <c r="N46" i="12" s="1"/>
  <c r="M46" i="12" a="1"/>
  <c r="M46" i="12" s="1"/>
  <c r="L46" i="12" a="1"/>
  <c r="L46" i="12" s="1"/>
  <c r="P46" i="12" a="1"/>
  <c r="P46" i="12" s="1"/>
  <c r="O46" i="12" a="1"/>
  <c r="O46" i="12" s="1"/>
  <c r="AC27" i="6" a="1"/>
  <c r="AC27" i="6" s="1"/>
  <c r="AB27" i="6" a="1"/>
  <c r="AB27" i="6" s="1"/>
  <c r="AC31" i="6" a="1"/>
  <c r="AC31" i="6" s="1"/>
  <c r="AB31" i="6" a="1"/>
  <c r="AB31" i="6" s="1"/>
  <c r="AC35" i="6" a="1"/>
  <c r="AC35" i="6" s="1"/>
  <c r="AB35" i="6" a="1"/>
  <c r="AB35" i="6" s="1"/>
  <c r="AD35" i="6" s="1" a="1"/>
  <c r="AD35" i="6" s="1"/>
  <c r="AC39" i="6" a="1"/>
  <c r="AC39" i="6" s="1"/>
  <c r="AB39" i="6" a="1"/>
  <c r="AB39" i="6" s="1"/>
  <c r="AD39" i="6" s="1" a="1"/>
  <c r="AD39" i="6" s="1"/>
  <c r="AC43" i="6" a="1"/>
  <c r="AC43" i="6" s="1"/>
  <c r="AB43" i="6" a="1"/>
  <c r="AB43" i="6" s="1"/>
  <c r="AD43" i="6" s="1" a="1"/>
  <c r="AD43" i="6" s="1"/>
  <c r="AC47" i="6" a="1"/>
  <c r="AC47" i="6" s="1"/>
  <c r="AB47" i="6" a="1"/>
  <c r="AB47" i="6" s="1"/>
  <c r="AC55" i="6" a="1"/>
  <c r="AC55" i="6" s="1"/>
  <c r="AB55" i="6" a="1"/>
  <c r="AB55" i="6" s="1"/>
  <c r="AC59" i="6" a="1"/>
  <c r="AC59" i="6" s="1"/>
  <c r="AB59" i="6" a="1"/>
  <c r="AB59" i="6" s="1"/>
  <c r="AC63" i="6" a="1"/>
  <c r="AC63" i="6" s="1"/>
  <c r="AB63" i="6" a="1"/>
  <c r="AB63" i="6" s="1"/>
  <c r="AD63" i="6" s="1" a="1"/>
  <c r="AD63" i="6" s="1"/>
  <c r="AB65" i="6" a="1"/>
  <c r="AB65" i="6" s="1"/>
  <c r="AC65" i="6" a="1"/>
  <c r="AC65" i="6" s="1"/>
  <c r="R48" i="3" a="1"/>
  <c r="R48" i="3" s="1"/>
  <c r="F100" i="13" a="1"/>
  <c r="F100" i="13" s="1"/>
  <c r="F100" i="12" a="1"/>
  <c r="F100" i="12" s="1"/>
  <c r="F100" i="11" a="1"/>
  <c r="F100" i="11" s="1"/>
  <c r="F100" i="7" a="1"/>
  <c r="F100" i="7" s="1"/>
  <c r="F100" i="10" a="1"/>
  <c r="F100" i="10" s="1"/>
  <c r="F102" i="13" a="1"/>
  <c r="F102" i="13" s="1"/>
  <c r="F102" i="11" a="1"/>
  <c r="F102" i="11" s="1"/>
  <c r="F102" i="12" a="1"/>
  <c r="F102" i="12" s="1"/>
  <c r="F102" i="10" a="1"/>
  <c r="F102" i="10" s="1"/>
  <c r="F102" i="7" a="1"/>
  <c r="F102" i="7" s="1"/>
  <c r="F102" i="9" a="1"/>
  <c r="F102" i="9" s="1"/>
  <c r="F102" i="8" a="1"/>
  <c r="F102" i="8" s="1"/>
  <c r="AC16" i="6" a="1"/>
  <c r="AC16" i="6" s="1"/>
  <c r="AB16" i="6" a="1"/>
  <c r="AB16" i="6" s="1"/>
  <c r="AB112" i="6" a="1"/>
  <c r="AB112" i="6" s="1"/>
  <c r="AD112" i="6" s="1" a="1"/>
  <c r="AD112" i="6" s="1"/>
  <c r="O61" i="8" a="1"/>
  <c r="O61" i="8" s="1"/>
  <c r="N61" i="8" a="1"/>
  <c r="N61" i="8" s="1"/>
  <c r="R61" i="8" s="1" a="1"/>
  <c r="R61" i="8" s="1"/>
  <c r="L61" i="8" a="1"/>
  <c r="L61" i="8" s="1"/>
  <c r="L87" i="8" a="1"/>
  <c r="L87" i="8" s="1"/>
  <c r="L83" i="9" a="1"/>
  <c r="L83" i="9" s="1"/>
  <c r="N76" i="11" a="1"/>
  <c r="N76" i="11" s="1"/>
  <c r="N76" i="13" a="1"/>
  <c r="N76" i="13" s="1"/>
  <c r="N76" i="12" a="1"/>
  <c r="N76" i="12" s="1"/>
  <c r="N76" i="9" a="1"/>
  <c r="N76" i="9" s="1"/>
  <c r="N76" i="10" a="1"/>
  <c r="N76" i="10" s="1"/>
  <c r="N76" i="7" a="1"/>
  <c r="N76" i="7" s="1"/>
  <c r="N76" i="3" a="1"/>
  <c r="N76" i="3" s="1"/>
  <c r="P52" i="13" a="1"/>
  <c r="P52" i="13" s="1"/>
  <c r="P67" i="11" a="1"/>
  <c r="P67" i="11" s="1"/>
  <c r="P52" i="12" a="1"/>
  <c r="P52" i="12" s="1"/>
  <c r="P67" i="13" a="1"/>
  <c r="P67" i="13" s="1"/>
  <c r="P67" i="12" a="1"/>
  <c r="P67" i="12" s="1"/>
  <c r="P67" i="10" a="1"/>
  <c r="P67" i="10" s="1"/>
  <c r="P67" i="9" a="1"/>
  <c r="P67" i="9" s="1"/>
  <c r="P67" i="7" a="1"/>
  <c r="P67" i="7" s="1"/>
  <c r="P52" i="11" a="1"/>
  <c r="P52" i="11" s="1"/>
  <c r="P67" i="8" a="1"/>
  <c r="P67" i="8" s="1"/>
  <c r="P52" i="10" a="1"/>
  <c r="P52" i="10" s="1"/>
  <c r="P52" i="7" a="1"/>
  <c r="P52" i="7" s="1"/>
  <c r="AC82" i="6" a="1"/>
  <c r="AC82" i="6" s="1"/>
  <c r="AD82" i="6" s="1" a="1"/>
  <c r="AD82" i="6" s="1"/>
  <c r="AB85" i="6" a="1"/>
  <c r="AB85" i="6" s="1"/>
  <c r="AD85" i="6" s="1" a="1"/>
  <c r="AD85" i="6" s="1"/>
  <c r="AC85" i="6" a="1"/>
  <c r="AC85" i="6" s="1"/>
  <c r="P63" i="10" a="1"/>
  <c r="P63" i="10" s="1"/>
  <c r="O63" i="10" a="1"/>
  <c r="O63" i="10" s="1"/>
  <c r="N63" i="10" a="1"/>
  <c r="N63" i="10" s="1"/>
  <c r="L63" i="10" a="1"/>
  <c r="L63" i="10" s="1"/>
  <c r="M63" i="10" a="1"/>
  <c r="M63" i="10" s="1"/>
  <c r="R63" i="10" s="1" a="1"/>
  <c r="R63" i="10" s="1"/>
  <c r="N67" i="12" a="1"/>
  <c r="N67" i="12" s="1"/>
  <c r="R61" i="12" s="1" a="1"/>
  <c r="R61" i="12" s="1"/>
  <c r="N52" i="13" a="1"/>
  <c r="N52" i="13" s="1"/>
  <c r="N52" i="12" a="1"/>
  <c r="N52" i="12" s="1"/>
  <c r="N67" i="13" a="1"/>
  <c r="N67" i="13" s="1"/>
  <c r="N52" i="11" a="1"/>
  <c r="N52" i="11" s="1"/>
  <c r="N67" i="9" a="1"/>
  <c r="N67" i="9" s="1"/>
  <c r="N67" i="7" a="1"/>
  <c r="N67" i="7" s="1"/>
  <c r="N67" i="10" a="1"/>
  <c r="N67" i="10" s="1"/>
  <c r="N52" i="8" a="1"/>
  <c r="N52" i="8" s="1"/>
  <c r="N67" i="11" a="1"/>
  <c r="N67" i="11" s="1"/>
  <c r="L90" i="7" a="1"/>
  <c r="L90" i="7" s="1"/>
  <c r="R63" i="3" a="1"/>
  <c r="R63" i="3" s="1"/>
  <c r="D99" i="3" s="1" a="1"/>
  <c r="D99" i="3" s="1"/>
  <c r="F97" i="13" a="1"/>
  <c r="F97" i="13" s="1"/>
  <c r="F97" i="12" a="1"/>
  <c r="F97" i="12" s="1"/>
  <c r="F97" i="11" a="1"/>
  <c r="F97" i="11" s="1"/>
  <c r="F97" i="9" a="1"/>
  <c r="F97" i="9" s="1"/>
  <c r="F97" i="10" a="1"/>
  <c r="F97" i="10" s="1"/>
  <c r="F97" i="7" a="1"/>
  <c r="F97" i="7" s="1"/>
  <c r="F98" i="13" a="1"/>
  <c r="F98" i="13" s="1"/>
  <c r="F98" i="11" a="1"/>
  <c r="F98" i="11" s="1"/>
  <c r="F98" i="12" a="1"/>
  <c r="F98" i="12" s="1"/>
  <c r="F98" i="10" a="1"/>
  <c r="F98" i="10" s="1"/>
  <c r="F98" i="7" a="1"/>
  <c r="F98" i="7" s="1"/>
  <c r="F98" i="9" a="1"/>
  <c r="F98" i="9" s="1"/>
  <c r="L67" i="13" a="1"/>
  <c r="L67" i="13" s="1"/>
  <c r="L67" i="12" a="1"/>
  <c r="L67" i="12" s="1"/>
  <c r="L52" i="13" a="1"/>
  <c r="L52" i="13" s="1"/>
  <c r="L52" i="11" a="1"/>
  <c r="L52" i="11" s="1"/>
  <c r="L52" i="12" a="1"/>
  <c r="L52" i="12" s="1"/>
  <c r="L67" i="11" a="1"/>
  <c r="L67" i="11" s="1"/>
  <c r="L52" i="10" a="1"/>
  <c r="L52" i="10" s="1"/>
  <c r="L67" i="10" a="1"/>
  <c r="L67" i="10" s="1"/>
  <c r="L67" i="8" a="1"/>
  <c r="L67" i="8" s="1"/>
  <c r="L52" i="9" a="1"/>
  <c r="L52" i="9" s="1"/>
  <c r="L67" i="3" a="1"/>
  <c r="L67" i="3" s="1"/>
  <c r="L52" i="3" a="1"/>
  <c r="L52" i="3" s="1"/>
  <c r="L52" i="8" a="1"/>
  <c r="L52" i="8" s="1"/>
  <c r="L67" i="7" a="1"/>
  <c r="L67" i="7" s="1"/>
  <c r="AC17" i="6" a="1"/>
  <c r="AC17" i="6" s="1"/>
  <c r="AB17" i="6" a="1"/>
  <c r="AB17" i="6" s="1"/>
  <c r="AD17" i="6" s="1" a="1"/>
  <c r="AD17" i="6" s="1"/>
  <c r="V68" i="6" a="1"/>
  <c r="V68" i="6" s="1"/>
  <c r="V26" i="6" s="1" a="1"/>
  <c r="V26" i="6" s="1"/>
  <c r="P18" i="6" s="1" a="1"/>
  <c r="P18" i="6" s="1"/>
  <c r="J79" i="6" a="1"/>
  <c r="J79" i="6" s="1"/>
  <c r="AB79" i="6" a="1"/>
  <c r="AB79" i="6" s="1"/>
  <c r="AC79" i="6" a="1"/>
  <c r="AC79" i="6" s="1"/>
  <c r="P61" i="8" a="1"/>
  <c r="P61" i="8" s="1"/>
  <c r="K83" i="9" a="1"/>
  <c r="K83" i="9" s="1"/>
  <c r="L62" i="11" a="1"/>
  <c r="L62" i="11" s="1"/>
  <c r="N62" i="11" a="1"/>
  <c r="N62" i="11" s="1"/>
  <c r="O76" i="13" a="1"/>
  <c r="O76" i="13" s="1"/>
  <c r="O76" i="12" a="1"/>
  <c r="O76" i="12" s="1"/>
  <c r="O76" i="11" a="1"/>
  <c r="O76" i="11" s="1"/>
  <c r="O76" i="9" a="1"/>
  <c r="O76" i="9" s="1"/>
  <c r="O76" i="3" a="1"/>
  <c r="O76" i="3" s="1"/>
  <c r="AC29" i="6" a="1"/>
  <c r="AC29" i="6" s="1"/>
  <c r="AB29" i="6" a="1"/>
  <c r="AB29" i="6" s="1"/>
  <c r="AD29" i="6" s="1" a="1"/>
  <c r="AD29" i="6" s="1"/>
  <c r="AC33" i="6" a="1"/>
  <c r="AC33" i="6" s="1"/>
  <c r="AB33" i="6" a="1"/>
  <c r="AB33" i="6" s="1"/>
  <c r="AD33" i="6" s="1" a="1"/>
  <c r="AD33" i="6" s="1"/>
  <c r="AC37" i="6" a="1"/>
  <c r="AC37" i="6" s="1"/>
  <c r="AB37" i="6" a="1"/>
  <c r="AB37" i="6" s="1"/>
  <c r="AD37" i="6" s="1" a="1"/>
  <c r="AD37" i="6" s="1"/>
  <c r="AC41" i="6" a="1"/>
  <c r="AC41" i="6" s="1"/>
  <c r="AB41" i="6" a="1"/>
  <c r="AB41" i="6" s="1"/>
  <c r="AC45" i="6" a="1"/>
  <c r="AC45" i="6" s="1"/>
  <c r="AB45" i="6" a="1"/>
  <c r="AB45" i="6" s="1"/>
  <c r="AD45" i="6" s="1" a="1"/>
  <c r="AD45" i="6" s="1"/>
  <c r="AC49" i="6" a="1"/>
  <c r="AC49" i="6" s="1"/>
  <c r="AB49" i="6" a="1"/>
  <c r="AB49" i="6" s="1"/>
  <c r="AC53" i="6" a="1"/>
  <c r="AC53" i="6" s="1"/>
  <c r="AB53" i="6" a="1"/>
  <c r="AB53" i="6" s="1"/>
  <c r="AD53" i="6" s="1" a="1"/>
  <c r="AD53" i="6" s="1"/>
  <c r="AC57" i="6" a="1"/>
  <c r="AC57" i="6" s="1"/>
  <c r="AB57" i="6" a="1"/>
  <c r="AB57" i="6" s="1"/>
  <c r="AD57" i="6" s="1" a="1"/>
  <c r="AD57" i="6" s="1"/>
  <c r="AC61" i="6" a="1"/>
  <c r="AC61" i="6" s="1"/>
  <c r="AB61" i="6" a="1"/>
  <c r="AB61" i="6" s="1"/>
  <c r="AD61" i="6" s="1" a="1"/>
  <c r="AD61" i="6" s="1"/>
  <c r="AC103" i="6" a="1"/>
  <c r="AC103" i="6" s="1"/>
  <c r="AB103" i="6" a="1"/>
  <c r="AB103" i="6" s="1"/>
  <c r="N46" i="7" a="1"/>
  <c r="N46" i="7" s="1"/>
  <c r="M46" i="7" a="1"/>
  <c r="M46" i="7" s="1"/>
  <c r="R46" i="7" s="1" a="1"/>
  <c r="R46" i="7" s="1"/>
  <c r="O76" i="7" a="1"/>
  <c r="O76" i="7" s="1"/>
  <c r="N48" i="8" a="1"/>
  <c r="N48" i="8" s="1"/>
  <c r="L48" i="8" a="1"/>
  <c r="L48" i="8" s="1"/>
  <c r="P48" i="8" a="1"/>
  <c r="P48" i="8" s="1"/>
  <c r="O48" i="8" a="1"/>
  <c r="O48" i="8" s="1"/>
  <c r="M48" i="8" a="1"/>
  <c r="M48" i="8" s="1"/>
  <c r="R48" i="8" s="1" a="1"/>
  <c r="R48" i="8" s="1"/>
  <c r="M48" i="10" a="1"/>
  <c r="M48" i="10" s="1"/>
  <c r="O48" i="10" a="1"/>
  <c r="O48" i="10" s="1"/>
  <c r="L48" i="10" a="1"/>
  <c r="L48" i="10" s="1"/>
  <c r="F101" i="13" a="1"/>
  <c r="F101" i="13" s="1"/>
  <c r="F101" i="12" a="1"/>
  <c r="F101" i="12" s="1"/>
  <c r="F101" i="11" a="1"/>
  <c r="F101" i="11" s="1"/>
  <c r="F101" i="10" a="1"/>
  <c r="F101" i="10" s="1"/>
  <c r="F101" i="9" a="1"/>
  <c r="F101" i="9" s="1"/>
  <c r="F101" i="7" a="1"/>
  <c r="F101" i="7" s="1"/>
  <c r="AB72" i="6" a="1"/>
  <c r="AB72" i="6" s="1"/>
  <c r="AD72" i="6" s="1" a="1"/>
  <c r="AD72" i="6" s="1"/>
  <c r="AC72" i="6" a="1"/>
  <c r="AC72" i="6" s="1"/>
  <c r="L85" i="7" a="1"/>
  <c r="L85" i="7" s="1"/>
  <c r="U26" i="6" a="1"/>
  <c r="U26" i="6" s="1"/>
  <c r="L62" i="7" a="1"/>
  <c r="L62" i="7" s="1"/>
  <c r="P62" i="7" a="1"/>
  <c r="P62" i="7" s="1"/>
  <c r="R47" i="3" a="1"/>
  <c r="R47" i="3" s="1"/>
  <c r="AC95" i="6" a="1"/>
  <c r="AC95" i="6" s="1"/>
  <c r="AB95" i="6" a="1"/>
  <c r="AB95" i="6" s="1"/>
  <c r="AD95" i="6" s="1" a="1"/>
  <c r="AD95" i="6" s="1"/>
  <c r="V102" i="6" a="1"/>
  <c r="V102" i="6" s="1"/>
  <c r="P61" i="7" a="1"/>
  <c r="P61" i="7" s="1"/>
  <c r="M61" i="7" a="1"/>
  <c r="M61" i="7" s="1"/>
  <c r="L61" i="7" a="1"/>
  <c r="L61" i="7" s="1"/>
  <c r="L86" i="8" a="1"/>
  <c r="L86" i="8" s="1"/>
  <c r="R8" i="9" a="1"/>
  <c r="R8" i="9" s="1"/>
  <c r="E23" i="9" s="1" a="1"/>
  <c r="E23" i="9" s="1"/>
  <c r="R63" i="9" a="1"/>
  <c r="R63" i="9" s="1"/>
  <c r="R62" i="9" a="1"/>
  <c r="R62" i="9" s="1"/>
  <c r="P52" i="3" a="1"/>
  <c r="P52" i="3" s="1"/>
  <c r="R46" i="3" s="1" a="1"/>
  <c r="R46" i="3" s="1"/>
  <c r="AB66" i="6" a="1"/>
  <c r="AB66" i="6" s="1"/>
  <c r="AD66" i="6" s="1" a="1"/>
  <c r="AD66" i="6" s="1"/>
  <c r="AC66" i="6" a="1"/>
  <c r="AC66" i="6" s="1"/>
  <c r="H96" i="8" a="1"/>
  <c r="H96" i="8" s="1"/>
  <c r="L61" i="9" a="1"/>
  <c r="L61" i="9" s="1"/>
  <c r="N61" i="9" a="1"/>
  <c r="N61" i="9" s="1"/>
  <c r="M61" i="9" a="1"/>
  <c r="M61" i="9" s="1"/>
  <c r="R61" i="9" s="1" a="1"/>
  <c r="R61" i="9" s="1"/>
  <c r="R61" i="3" a="1"/>
  <c r="R61" i="3" s="1"/>
  <c r="V80" i="6" a="1"/>
  <c r="V80" i="6" s="1"/>
  <c r="V82" i="6" a="1"/>
  <c r="V82" i="6" s="1"/>
  <c r="AD96" i="6" a="1"/>
  <c r="AD96" i="6" s="1"/>
  <c r="M62" i="7" a="1"/>
  <c r="M62" i="7" s="1"/>
  <c r="R61" i="10" a="1"/>
  <c r="R61" i="10" s="1"/>
  <c r="O52" i="13" a="1"/>
  <c r="O52" i="13" s="1"/>
  <c r="O52" i="12" a="1"/>
  <c r="O52" i="12" s="1"/>
  <c r="O67" i="13" a="1"/>
  <c r="O67" i="13" s="1"/>
  <c r="O67" i="9" a="1"/>
  <c r="O67" i="9" s="1"/>
  <c r="O52" i="9" a="1"/>
  <c r="O52" i="9" s="1"/>
  <c r="O67" i="12" a="1"/>
  <c r="O67" i="12" s="1"/>
  <c r="O67" i="11" a="1"/>
  <c r="O67" i="11" s="1"/>
  <c r="O52" i="10" a="1"/>
  <c r="O52" i="10" s="1"/>
  <c r="O52" i="7" a="1"/>
  <c r="O52" i="7" s="1"/>
  <c r="O52" i="11" a="1"/>
  <c r="O52" i="11" s="1"/>
  <c r="O67" i="10" a="1"/>
  <c r="O67" i="10" s="1"/>
  <c r="O52" i="8" a="1"/>
  <c r="O52" i="8" s="1"/>
  <c r="O67" i="7" a="1"/>
  <c r="O67" i="7" s="1"/>
  <c r="O67" i="8" a="1"/>
  <c r="O67" i="8" s="1"/>
  <c r="J74" i="6" a="1"/>
  <c r="J74" i="6" s="1"/>
  <c r="AC114" i="6" a="1"/>
  <c r="AC114" i="6" s="1"/>
  <c r="AB114" i="6" a="1"/>
  <c r="AB114" i="6" s="1"/>
  <c r="AD114" i="6" s="1" a="1"/>
  <c r="AD114" i="6" s="1"/>
  <c r="P46" i="7" a="1"/>
  <c r="P46" i="7" s="1"/>
  <c r="N61" i="7" a="1"/>
  <c r="N61" i="7" s="1"/>
  <c r="N62" i="7" a="1"/>
  <c r="N62" i="7" s="1"/>
  <c r="O46" i="8" a="1"/>
  <c r="O46" i="8" s="1"/>
  <c r="O76" i="8" a="1"/>
  <c r="O76" i="8" s="1"/>
  <c r="R76" i="8" s="1" a="1"/>
  <c r="R76" i="8" s="1"/>
  <c r="D102" i="8" s="1" a="1"/>
  <c r="D102" i="8" s="1"/>
  <c r="H102" i="8" s="1" a="1"/>
  <c r="H102" i="8" s="1"/>
  <c r="O63" i="9" a="1"/>
  <c r="O63" i="9" s="1"/>
  <c r="N63" i="9" a="1"/>
  <c r="N63" i="9" s="1"/>
  <c r="P63" i="9" a="1"/>
  <c r="P63" i="9" s="1"/>
  <c r="M63" i="9" a="1"/>
  <c r="M63" i="9" s="1"/>
  <c r="L63" i="9" a="1"/>
  <c r="L63" i="9" s="1"/>
  <c r="H96" i="9" a="1"/>
  <c r="H96" i="9" s="1"/>
  <c r="P46" i="10" a="1"/>
  <c r="P46" i="10" s="1"/>
  <c r="O46" i="10" a="1"/>
  <c r="O46" i="10" s="1"/>
  <c r="M46" i="10" a="1"/>
  <c r="M46" i="10" s="1"/>
  <c r="N46" i="10" a="1"/>
  <c r="N46" i="10" s="1"/>
  <c r="L46" i="10" a="1"/>
  <c r="L46" i="10" s="1"/>
  <c r="N52" i="10" a="1"/>
  <c r="N52" i="10" s="1"/>
  <c r="O48" i="11" a="1"/>
  <c r="O48" i="11" s="1"/>
  <c r="N48" i="11" a="1"/>
  <c r="N48" i="11" s="1"/>
  <c r="J106" i="6" a="1"/>
  <c r="J106" i="6" s="1"/>
  <c r="K83" i="11" a="1"/>
  <c r="K83" i="11" s="1"/>
  <c r="AB106" i="6" a="1"/>
  <c r="AB106" i="6" s="1"/>
  <c r="AD106" i="6" s="1" a="1"/>
  <c r="AD106" i="6" s="1"/>
  <c r="N63" i="7" a="1"/>
  <c r="N63" i="7" s="1"/>
  <c r="R63" i="7" s="1" a="1"/>
  <c r="R63" i="7" s="1"/>
  <c r="O63" i="8" a="1"/>
  <c r="O63" i="8" s="1"/>
  <c r="M63" i="8" a="1"/>
  <c r="M63" i="8" s="1"/>
  <c r="R63" i="8" s="1" a="1"/>
  <c r="R63" i="8" s="1"/>
  <c r="D99" i="8" s="1" a="1"/>
  <c r="D99" i="8" s="1"/>
  <c r="H99" i="8" s="1" a="1"/>
  <c r="H99" i="8" s="1"/>
  <c r="L47" i="9" a="1"/>
  <c r="L47" i="9" s="1"/>
  <c r="P47" i="9" a="1"/>
  <c r="P47" i="9" s="1"/>
  <c r="L88" i="9" a="1"/>
  <c r="L88" i="9" s="1"/>
  <c r="L84" i="10" a="1"/>
  <c r="L84" i="10" s="1"/>
  <c r="D103" i="10" s="1" a="1"/>
  <c r="D103" i="10" s="1"/>
  <c r="H103" i="10" s="1" a="1"/>
  <c r="H103" i="10" s="1"/>
  <c r="O61" i="11" a="1"/>
  <c r="O61" i="11" s="1"/>
  <c r="J69" i="6" a="1"/>
  <c r="J69" i="6" s="1"/>
  <c r="J75" i="6" a="1"/>
  <c r="J75" i="6" s="1"/>
  <c r="J81" i="6" a="1"/>
  <c r="J81" i="6" s="1"/>
  <c r="J87" i="6" a="1"/>
  <c r="J87" i="6" s="1"/>
  <c r="J93" i="6" a="1"/>
  <c r="J93" i="6" s="1"/>
  <c r="AB98" i="6" a="1"/>
  <c r="AB98" i="6" s="1"/>
  <c r="AD98" i="6" s="1" a="1"/>
  <c r="AD98" i="6" s="1"/>
  <c r="AB102" i="6" a="1"/>
  <c r="AB102" i="6" s="1"/>
  <c r="AD102" i="6" s="1" a="1"/>
  <c r="AD102" i="6" s="1"/>
  <c r="V128" i="6" a="1"/>
  <c r="V128" i="6" s="1"/>
  <c r="K32" i="7" a="1"/>
  <c r="K32" i="7" s="1"/>
  <c r="K33" i="7" s="1" a="1"/>
  <c r="K33" i="7" s="1"/>
  <c r="R10" i="7" s="1" a="1"/>
  <c r="R10" i="7" s="1"/>
  <c r="O47" i="8" a="1"/>
  <c r="O47" i="8" s="1"/>
  <c r="B27" i="9" a="1"/>
  <c r="B27" i="9" s="1"/>
  <c r="O46" i="9" a="1"/>
  <c r="O46" i="9" s="1"/>
  <c r="M46" i="9" a="1"/>
  <c r="M46" i="9" s="1"/>
  <c r="L87" i="9" a="1"/>
  <c r="L87" i="9" s="1"/>
  <c r="L62" i="10" a="1"/>
  <c r="L62" i="10" s="1"/>
  <c r="P47" i="11" a="1"/>
  <c r="P47" i="11" s="1"/>
  <c r="L47" i="11" a="1"/>
  <c r="L47" i="11" s="1"/>
  <c r="O47" i="11" a="1"/>
  <c r="O47" i="11" s="1"/>
  <c r="N47" i="11" a="1"/>
  <c r="N47" i="11" s="1"/>
  <c r="M47" i="11" a="1"/>
  <c r="M47" i="11" s="1"/>
  <c r="B25" i="12" a="1"/>
  <c r="B25" i="12" s="1"/>
  <c r="B25" i="13" a="1"/>
  <c r="B25" i="13" s="1"/>
  <c r="B25" i="11" a="1"/>
  <c r="B25" i="11" s="1"/>
  <c r="B25" i="8" a="1"/>
  <c r="B25" i="8" s="1"/>
  <c r="B25" i="9" a="1"/>
  <c r="B25" i="9" s="1"/>
  <c r="F104" i="13" a="1"/>
  <c r="F104" i="13" s="1"/>
  <c r="F104" i="11" a="1"/>
  <c r="F104" i="11" s="1"/>
  <c r="F104" i="12" a="1"/>
  <c r="F104" i="12" s="1"/>
  <c r="F104" i="9" a="1"/>
  <c r="F104" i="9" s="1"/>
  <c r="F104" i="7" a="1"/>
  <c r="F104" i="7" s="1"/>
  <c r="F104" i="10" a="1"/>
  <c r="F104" i="10" s="1"/>
  <c r="F104" i="8" a="1"/>
  <c r="F104" i="8" s="1"/>
  <c r="AC71" i="6" a="1"/>
  <c r="AC71" i="6" s="1"/>
  <c r="AD71" i="6" s="1" a="1"/>
  <c r="AD71" i="6" s="1"/>
  <c r="AC77" i="6" a="1"/>
  <c r="AC77" i="6" s="1"/>
  <c r="AD77" i="6" s="1" a="1"/>
  <c r="AD77" i="6" s="1"/>
  <c r="AC83" i="6" a="1"/>
  <c r="AC83" i="6" s="1"/>
  <c r="AD83" i="6" s="1" a="1"/>
  <c r="AD83" i="6" s="1"/>
  <c r="AC89" i="6" a="1"/>
  <c r="AC89" i="6" s="1"/>
  <c r="J126" i="6" a="1"/>
  <c r="J126" i="6" s="1"/>
  <c r="L83" i="7" a="1"/>
  <c r="L83" i="7" s="1"/>
  <c r="P47" i="8" a="1"/>
  <c r="P47" i="8" s="1"/>
  <c r="P48" i="9" a="1"/>
  <c r="P48" i="9" s="1"/>
  <c r="L62" i="9" a="1"/>
  <c r="L62" i="9" s="1"/>
  <c r="K33" i="11" a="1"/>
  <c r="K33" i="11" s="1"/>
  <c r="R10" i="11" s="1" a="1"/>
  <c r="R10" i="11" s="1"/>
  <c r="H104" i="12" a="1"/>
  <c r="H104" i="12" s="1"/>
  <c r="C34" i="4" a="1"/>
  <c r="C34" i="4" s="1"/>
  <c r="C40" i="4" a="1"/>
  <c r="C40" i="4" s="1"/>
  <c r="P63" i="7" a="1"/>
  <c r="P63" i="7" s="1"/>
  <c r="R85" i="7" a="1"/>
  <c r="R85" i="7" s="1"/>
  <c r="O61" i="10" a="1"/>
  <c r="O61" i="10" s="1"/>
  <c r="E31" i="11" a="1"/>
  <c r="E31" i="11" s="1"/>
  <c r="E33" i="11" s="1" a="1"/>
  <c r="E33" i="11" s="1"/>
  <c r="R8" i="11" s="1" a="1"/>
  <c r="R8" i="11" s="1"/>
  <c r="E23" i="11" s="1" a="1"/>
  <c r="E23" i="11" s="1"/>
  <c r="K32" i="10" a="1"/>
  <c r="K32" i="10" s="1"/>
  <c r="P46" i="8" a="1"/>
  <c r="P46" i="8" s="1"/>
  <c r="N46" i="8" a="1"/>
  <c r="N46" i="8" s="1"/>
  <c r="P61" i="10" a="1"/>
  <c r="P61" i="10" s="1"/>
  <c r="M61" i="10" a="1"/>
  <c r="M61" i="10" s="1"/>
  <c r="L46" i="11" a="1"/>
  <c r="L46" i="11" s="1"/>
  <c r="M46" i="11" a="1"/>
  <c r="M46" i="11" s="1"/>
  <c r="O46" i="11" a="1"/>
  <c r="O46" i="11" s="1"/>
  <c r="N46" i="11" a="1"/>
  <c r="N46" i="11" s="1"/>
  <c r="L83" i="11" a="1"/>
  <c r="L83" i="11" s="1"/>
  <c r="K33" i="9" a="1"/>
  <c r="K33" i="9" s="1"/>
  <c r="R10" i="9" s="1" a="1"/>
  <c r="R10" i="9" s="1"/>
  <c r="O62" i="9" a="1"/>
  <c r="O62" i="9" s="1"/>
  <c r="N62" i="9" a="1"/>
  <c r="N62" i="9" s="1"/>
  <c r="K33" i="10" a="1"/>
  <c r="K33" i="10" s="1"/>
  <c r="R10" i="10" s="1" a="1"/>
  <c r="R10" i="10" s="1"/>
  <c r="P62" i="10" a="1"/>
  <c r="P62" i="10" s="1"/>
  <c r="O46" i="7" a="1"/>
  <c r="O46" i="7" s="1"/>
  <c r="P48" i="10" a="1"/>
  <c r="P48" i="10" s="1"/>
  <c r="L85" i="11" a="1"/>
  <c r="L85" i="11" s="1"/>
  <c r="O63" i="12" a="1"/>
  <c r="O63" i="12" s="1"/>
  <c r="H104" i="13" a="1"/>
  <c r="H104" i="13" s="1"/>
  <c r="L90" i="10" a="1"/>
  <c r="L90" i="10" s="1"/>
  <c r="L87" i="11" a="1"/>
  <c r="L87" i="11" s="1"/>
  <c r="K83" i="10" a="1"/>
  <c r="K83" i="10" s="1"/>
  <c r="L86" i="10" a="1"/>
  <c r="L86" i="10" s="1"/>
  <c r="L87" i="10" a="1"/>
  <c r="L87" i="10" s="1"/>
  <c r="H27" i="11" a="1"/>
  <c r="H27" i="11" s="1"/>
  <c r="B27" i="11" a="1"/>
  <c r="B27" i="11" s="1"/>
  <c r="L86" i="11" a="1"/>
  <c r="L86" i="11" s="1"/>
  <c r="O48" i="13" a="1"/>
  <c r="O48" i="13" s="1"/>
  <c r="N48" i="13" a="1"/>
  <c r="N48" i="13" s="1"/>
  <c r="M48" i="13" a="1"/>
  <c r="M48" i="13" s="1"/>
  <c r="R48" i="13" s="1" a="1"/>
  <c r="R48" i="13" s="1"/>
  <c r="L48" i="13" a="1"/>
  <c r="L48" i="13" s="1"/>
  <c r="M62" i="10" a="1"/>
  <c r="M62" i="10" s="1"/>
  <c r="R62" i="10" s="1" a="1"/>
  <c r="R62" i="10" s="1"/>
  <c r="N62" i="10" a="1"/>
  <c r="N62" i="10" s="1"/>
  <c r="P48" i="12" a="1"/>
  <c r="P48" i="12" s="1"/>
  <c r="O48" i="12" a="1"/>
  <c r="O48" i="12" s="1"/>
  <c r="N48" i="12" a="1"/>
  <c r="N48" i="12" s="1"/>
  <c r="M48" i="12" a="1"/>
  <c r="M48" i="12" s="1"/>
  <c r="L48" i="12" a="1"/>
  <c r="L48" i="12" s="1"/>
  <c r="N48" i="9" a="1"/>
  <c r="N48" i="9" s="1"/>
  <c r="O32" i="10" a="1"/>
  <c r="O32" i="10" s="1"/>
  <c r="O32" i="11" a="1"/>
  <c r="O32" i="11" s="1"/>
  <c r="M48" i="11" a="1"/>
  <c r="M48" i="11" s="1"/>
  <c r="R48" i="11" s="1" a="1"/>
  <c r="R48" i="11" s="1"/>
  <c r="P48" i="11" a="1"/>
  <c r="P48" i="11" s="1"/>
  <c r="L48" i="11" a="1"/>
  <c r="L48" i="11" s="1"/>
  <c r="P61" i="11" a="1"/>
  <c r="P61" i="11" s="1"/>
  <c r="M61" i="11" a="1"/>
  <c r="M61" i="11" s="1"/>
  <c r="H96" i="11" a="1"/>
  <c r="H96" i="11" s="1"/>
  <c r="L90" i="9" a="1"/>
  <c r="L90" i="9" s="1"/>
  <c r="R86" i="10" a="1"/>
  <c r="R86" i="10" s="1"/>
  <c r="D104" i="10" s="1" a="1"/>
  <c r="D104" i="10" s="1"/>
  <c r="H104" i="10" s="1" a="1"/>
  <c r="H104" i="10" s="1"/>
  <c r="O63" i="11" a="1"/>
  <c r="O63" i="11" s="1"/>
  <c r="N63" i="11" a="1"/>
  <c r="N63" i="11" s="1"/>
  <c r="R63" i="11" s="1" a="1"/>
  <c r="R63" i="11" s="1"/>
  <c r="D99" i="11" s="1" a="1"/>
  <c r="D99" i="11" s="1"/>
  <c r="H99" i="11" s="1" a="1"/>
  <c r="H99" i="11" s="1"/>
  <c r="M63" i="11" a="1"/>
  <c r="M63" i="11" s="1"/>
  <c r="L63" i="11" a="1"/>
  <c r="L63" i="11" s="1"/>
  <c r="P63" i="11" a="1"/>
  <c r="P63" i="11" s="1"/>
  <c r="L90" i="11" a="1"/>
  <c r="L90" i="11" s="1"/>
  <c r="N48" i="10" a="1"/>
  <c r="N48" i="10" s="1"/>
  <c r="R84" i="11" a="1"/>
  <c r="R84" i="11" s="1"/>
  <c r="M32" i="11" a="1"/>
  <c r="M32" i="11" s="1"/>
  <c r="E31" i="12" a="1"/>
  <c r="E31" i="12" s="1"/>
  <c r="E33" i="12" s="1" a="1"/>
  <c r="E33" i="12" s="1"/>
  <c r="R8" i="12" s="1" a="1"/>
  <c r="R8" i="12" s="1"/>
  <c r="E23" i="12" s="1" a="1"/>
  <c r="E23" i="12" s="1"/>
  <c r="R86" i="11" a="1"/>
  <c r="R86" i="11" s="1"/>
  <c r="R61" i="11" a="1"/>
  <c r="R61" i="11" s="1"/>
  <c r="L89" i="12" a="1"/>
  <c r="L89" i="12" s="1"/>
  <c r="L89" i="13" a="1"/>
  <c r="L89" i="13" s="1"/>
  <c r="R8" i="13" a="1"/>
  <c r="R8" i="13" s="1"/>
  <c r="E23" i="13" s="1" a="1"/>
  <c r="E23" i="13" s="1"/>
  <c r="L85" i="12" a="1"/>
  <c r="L85" i="12" s="1"/>
  <c r="O63" i="13" a="1"/>
  <c r="O63" i="13" s="1"/>
  <c r="N63" i="13" a="1"/>
  <c r="N63" i="13" s="1"/>
  <c r="R63" i="13" s="1" a="1"/>
  <c r="R63" i="13" s="1"/>
  <c r="D99" i="13" s="1" a="1"/>
  <c r="D99" i="13" s="1"/>
  <c r="H99" i="13" s="1" a="1"/>
  <c r="H99" i="13" s="1"/>
  <c r="L47" i="12" a="1"/>
  <c r="L47" i="12" s="1"/>
  <c r="P47" i="12" a="1"/>
  <c r="P47" i="12" s="1"/>
  <c r="O47" i="12" a="1"/>
  <c r="O47" i="12" s="1"/>
  <c r="N47" i="12" a="1"/>
  <c r="N47" i="12" s="1"/>
  <c r="M47" i="12" a="1"/>
  <c r="M47" i="12" s="1"/>
  <c r="K83" i="12" a="1"/>
  <c r="K83" i="12" s="1"/>
  <c r="B27" i="13" a="1"/>
  <c r="B27" i="13" s="1"/>
  <c r="N61" i="11" a="1"/>
  <c r="N61" i="11" s="1"/>
  <c r="R85" i="11" a="1"/>
  <c r="R85" i="11" s="1"/>
  <c r="L84" i="13" a="1"/>
  <c r="L84" i="13" s="1"/>
  <c r="L47" i="13" a="1"/>
  <c r="L47" i="13" s="1"/>
  <c r="N63" i="12" a="1"/>
  <c r="N63" i="12" s="1"/>
  <c r="M63" i="12" a="1"/>
  <c r="M63" i="12" s="1"/>
  <c r="R63" i="12" s="1" a="1"/>
  <c r="R63" i="12" s="1"/>
  <c r="L63" i="12" a="1"/>
  <c r="L63" i="12" s="1"/>
  <c r="P63" i="12" a="1"/>
  <c r="P63" i="12" s="1"/>
  <c r="P62" i="12" a="1"/>
  <c r="P62" i="12" s="1"/>
  <c r="N62" i="12" a="1"/>
  <c r="N62" i="12" s="1"/>
  <c r="M62" i="12" a="1"/>
  <c r="M62" i="12" s="1"/>
  <c r="L62" i="12" a="1"/>
  <c r="L62" i="12" s="1"/>
  <c r="P47" i="13" a="1"/>
  <c r="P47" i="13" s="1"/>
  <c r="P61" i="13" a="1"/>
  <c r="P61" i="13" s="1"/>
  <c r="O61" i="13" a="1"/>
  <c r="O61" i="13" s="1"/>
  <c r="N61" i="13" a="1"/>
  <c r="N61" i="13" s="1"/>
  <c r="M61" i="13" a="1"/>
  <c r="M61" i="13" s="1"/>
  <c r="R61" i="13" s="1" a="1"/>
  <c r="R61" i="13" s="1"/>
  <c r="L61" i="13" a="1"/>
  <c r="L61" i="13" s="1"/>
  <c r="M32" i="12" a="1"/>
  <c r="M32" i="12" s="1"/>
  <c r="K33" i="12" s="1" a="1"/>
  <c r="K33" i="12" s="1"/>
  <c r="R10" i="12" s="1" a="1"/>
  <c r="R10" i="12" s="1"/>
  <c r="L84" i="12" a="1"/>
  <c r="L84" i="12" s="1"/>
  <c r="D103" i="12" s="1" a="1"/>
  <c r="D103" i="12" s="1"/>
  <c r="H103" i="12" s="1" a="1"/>
  <c r="H103" i="12" s="1"/>
  <c r="M47" i="13" a="1"/>
  <c r="M47" i="13" s="1"/>
  <c r="P61" i="12" a="1"/>
  <c r="P61" i="12" s="1"/>
  <c r="M46" i="13" a="1"/>
  <c r="M46" i="13" s="1"/>
  <c r="M62" i="11" a="1"/>
  <c r="M62" i="11" s="1"/>
  <c r="R62" i="11" s="1" a="1"/>
  <c r="R62" i="11" s="1"/>
  <c r="O62" i="11" a="1"/>
  <c r="O62" i="11" s="1"/>
  <c r="L84" i="11" a="1"/>
  <c r="L84" i="11" s="1"/>
  <c r="O62" i="13" a="1"/>
  <c r="O62" i="13" s="1"/>
  <c r="N62" i="13" a="1"/>
  <c r="N62" i="13" s="1"/>
  <c r="M62" i="13" a="1"/>
  <c r="M62" i="13" s="1"/>
  <c r="R62" i="13" s="1" a="1"/>
  <c r="R62" i="13" s="1"/>
  <c r="L62" i="13" a="1"/>
  <c r="L62" i="13" s="1"/>
  <c r="P62" i="11" a="1"/>
  <c r="P62" i="11" s="1"/>
  <c r="O61" i="12" a="1"/>
  <c r="O61" i="12" s="1"/>
  <c r="N61" i="12" a="1"/>
  <c r="N61" i="12" s="1"/>
  <c r="O62" i="12" a="1"/>
  <c r="O62" i="12" s="1"/>
  <c r="P48" i="13" a="1"/>
  <c r="P48" i="13" s="1"/>
  <c r="K83" i="13" a="1"/>
  <c r="K83" i="13" s="1"/>
  <c r="L87" i="12" a="1"/>
  <c r="L87" i="12" s="1"/>
  <c r="O46" i="13" a="1"/>
  <c r="O46" i="13" s="1"/>
  <c r="L87" i="13" a="1"/>
  <c r="L87" i="13" s="1"/>
  <c r="L83" i="13" a="1"/>
  <c r="L83" i="13" s="1"/>
  <c r="P46" i="13" a="1"/>
  <c r="P46" i="13" s="1"/>
  <c r="N47" i="13" a="1"/>
  <c r="N47" i="13" s="1"/>
  <c r="P63" i="13" a="1"/>
  <c r="P63" i="13" s="1"/>
  <c r="M61" i="12" a="1"/>
  <c r="M61" i="12" s="1"/>
  <c r="O47" i="13" a="1"/>
  <c r="O47" i="13" s="1"/>
  <c r="H96" i="12" a="1"/>
  <c r="H96" i="12" s="1"/>
  <c r="L46" i="13" a="1"/>
  <c r="L46" i="13" s="1"/>
  <c r="L63" i="13" a="1"/>
  <c r="L63" i="13" s="1"/>
  <c r="E19" i="8" l="1" a="1"/>
  <c r="E19" i="8" s="1"/>
  <c r="K23" i="8" a="1"/>
  <c r="K23" i="8" s="1"/>
  <c r="K21" i="8" a="1"/>
  <c r="K21" i="8" s="1"/>
  <c r="E21" i="8" a="1"/>
  <c r="E21" i="8" s="1"/>
  <c r="K19" i="8" a="1"/>
  <c r="K19" i="8" s="1"/>
  <c r="H103" i="3" a="1"/>
  <c r="H103" i="3" s="1"/>
  <c r="D99" i="10" a="1"/>
  <c r="D99" i="10" s="1"/>
  <c r="H99" i="10" s="1" a="1"/>
  <c r="H99" i="10" s="1"/>
  <c r="D97" i="10" a="1"/>
  <c r="D97" i="10" s="1"/>
  <c r="AD55" i="6" a="1"/>
  <c r="AD55" i="6" s="1"/>
  <c r="AD27" i="6" a="1"/>
  <c r="AD27" i="6" s="1"/>
  <c r="AD110" i="6" a="1"/>
  <c r="AD110" i="6" s="1"/>
  <c r="AD94" i="6" a="1"/>
  <c r="AD94" i="6" s="1"/>
  <c r="R75" i="8" a="1"/>
  <c r="R75" i="8" s="1"/>
  <c r="D101" i="8" s="1" a="1"/>
  <c r="D101" i="8" s="1"/>
  <c r="H101" i="8" s="1" a="1"/>
  <c r="H101" i="8" s="1"/>
  <c r="K21" i="7" a="1"/>
  <c r="K21" i="7" s="1"/>
  <c r="E21" i="7" a="1"/>
  <c r="E21" i="7" s="1"/>
  <c r="Q96" i="3" s="1" a="1"/>
  <c r="Q96" i="3" s="1"/>
  <c r="S96" i="3" s="1" a="1"/>
  <c r="S96" i="3" s="1"/>
  <c r="K19" i="7" a="1"/>
  <c r="K19" i="7" s="1"/>
  <c r="E19" i="7" a="1"/>
  <c r="E19" i="7" s="1"/>
  <c r="P96" i="3" s="1" a="1"/>
  <c r="P96" i="3" s="1"/>
  <c r="K23" i="7" a="1"/>
  <c r="K23" i="7" s="1"/>
  <c r="R62" i="8" a="1"/>
  <c r="R62" i="8" s="1"/>
  <c r="D98" i="8" s="1" a="1"/>
  <c r="D98" i="8" s="1"/>
  <c r="H98" i="8" s="1" a="1"/>
  <c r="H98" i="8" s="1"/>
  <c r="D103" i="13" a="1"/>
  <c r="D103" i="13" s="1"/>
  <c r="H103" i="13" s="1" a="1"/>
  <c r="H103" i="13" s="1"/>
  <c r="R46" i="11" a="1"/>
  <c r="R46" i="11" s="1"/>
  <c r="R62" i="7" a="1"/>
  <c r="R62" i="7" s="1"/>
  <c r="R74" i="3" a="1"/>
  <c r="R74" i="3" s="1"/>
  <c r="D100" i="3" s="1" a="1"/>
  <c r="D100" i="3" s="1"/>
  <c r="R76" i="3" a="1"/>
  <c r="R76" i="3" s="1"/>
  <c r="D102" i="3" s="1" a="1"/>
  <c r="D102" i="3" s="1"/>
  <c r="R75" i="3" a="1"/>
  <c r="R75" i="3" s="1"/>
  <c r="D101" i="3" s="1" a="1"/>
  <c r="D101" i="3" s="1"/>
  <c r="AD47" i="6" a="1"/>
  <c r="AD47" i="6" s="1"/>
  <c r="AD58" i="6" a="1"/>
  <c r="AD58" i="6" s="1"/>
  <c r="AD50" i="6" a="1"/>
  <c r="AD50" i="6" s="1"/>
  <c r="AD42" i="6" a="1"/>
  <c r="AD42" i="6" s="1"/>
  <c r="AD34" i="6" a="1"/>
  <c r="AD34" i="6" s="1"/>
  <c r="R47" i="11" a="1"/>
  <c r="R47" i="11" s="1"/>
  <c r="D98" i="11" s="1" a="1"/>
  <c r="D98" i="11" s="1"/>
  <c r="H98" i="11" s="1" a="1"/>
  <c r="H98" i="11" s="1"/>
  <c r="AD103" i="6" a="1"/>
  <c r="AD103" i="6" s="1"/>
  <c r="AD41" i="6" a="1"/>
  <c r="AD41" i="6" s="1"/>
  <c r="R74" i="7" a="1"/>
  <c r="R74" i="7" s="1"/>
  <c r="D100" i="7" s="1" a="1"/>
  <c r="D100" i="7" s="1"/>
  <c r="H100" i="7" s="1" a="1"/>
  <c r="H100" i="7" s="1"/>
  <c r="R75" i="7" a="1"/>
  <c r="R75" i="7" s="1"/>
  <c r="D101" i="7" s="1" a="1"/>
  <c r="D101" i="7" s="1"/>
  <c r="H101" i="7" s="1" a="1"/>
  <c r="H101" i="7" s="1"/>
  <c r="R76" i="7" a="1"/>
  <c r="R76" i="7" s="1"/>
  <c r="D102" i="7" s="1" a="1"/>
  <c r="D102" i="7" s="1"/>
  <c r="H102" i="7" s="1" a="1"/>
  <c r="H102" i="7" s="1"/>
  <c r="AD16" i="6" a="1"/>
  <c r="AD16" i="6" s="1"/>
  <c r="R47" i="8" a="1"/>
  <c r="R47" i="8" s="1"/>
  <c r="R47" i="9" a="1"/>
  <c r="R47" i="9" s="1"/>
  <c r="D97" i="11" a="1"/>
  <c r="D97" i="11" s="1"/>
  <c r="R47" i="10" a="1"/>
  <c r="R47" i="10" s="1"/>
  <c r="D98" i="10" s="1" a="1"/>
  <c r="D98" i="10" s="1"/>
  <c r="H98" i="10" s="1" a="1"/>
  <c r="H98" i="10" s="1"/>
  <c r="H98" i="3" a="1"/>
  <c r="H98" i="3" s="1"/>
  <c r="H99" i="3" a="1"/>
  <c r="H99" i="3" s="1"/>
  <c r="R74" i="9" a="1"/>
  <c r="R74" i="9" s="1"/>
  <c r="D100" i="9" s="1" a="1"/>
  <c r="D100" i="9" s="1"/>
  <c r="H100" i="9" s="1" a="1"/>
  <c r="H100" i="9" s="1"/>
  <c r="R76" i="9" a="1"/>
  <c r="R76" i="9" s="1"/>
  <c r="D102" i="9" s="1" a="1"/>
  <c r="D102" i="9" s="1"/>
  <c r="H102" i="9" s="1" a="1"/>
  <c r="H102" i="9" s="1"/>
  <c r="R75" i="9" a="1"/>
  <c r="R75" i="9" s="1"/>
  <c r="D101" i="9" s="1" a="1"/>
  <c r="D101" i="9" s="1"/>
  <c r="H101" i="9" s="1" a="1"/>
  <c r="H101" i="9" s="1"/>
  <c r="R46" i="12" a="1"/>
  <c r="R46" i="12" s="1"/>
  <c r="D97" i="12" s="1" a="1"/>
  <c r="D97" i="12" s="1"/>
  <c r="AD64" i="6" a="1"/>
  <c r="AD64" i="6" s="1"/>
  <c r="AD56" i="6" a="1"/>
  <c r="AD56" i="6" s="1"/>
  <c r="AD48" i="6" a="1"/>
  <c r="AD48" i="6" s="1"/>
  <c r="AD40" i="6" a="1"/>
  <c r="AD40" i="6" s="1"/>
  <c r="AD32" i="6" a="1"/>
  <c r="AD32" i="6" s="1"/>
  <c r="K23" i="10" a="1"/>
  <c r="K23" i="10" s="1"/>
  <c r="K19" i="10" a="1"/>
  <c r="K19" i="10" s="1"/>
  <c r="E19" i="10" a="1"/>
  <c r="E19" i="10" s="1"/>
  <c r="P99" i="3" s="1" a="1"/>
  <c r="P99" i="3" s="1"/>
  <c r="K21" i="10" a="1"/>
  <c r="K21" i="10" s="1"/>
  <c r="E21" i="10" a="1"/>
  <c r="E21" i="10" s="1"/>
  <c r="Q99" i="3" s="1" a="1"/>
  <c r="Q99" i="3" s="1"/>
  <c r="S99" i="3" s="1" a="1"/>
  <c r="S99" i="3" s="1"/>
  <c r="AD14" i="6" a="1"/>
  <c r="AD14" i="6" s="1"/>
  <c r="AB12" i="6" a="1"/>
  <c r="AB12" i="6" s="1"/>
  <c r="R46" i="10" a="1"/>
  <c r="R46" i="10" s="1"/>
  <c r="D97" i="3" a="1"/>
  <c r="D97" i="3" s="1"/>
  <c r="R48" i="10" a="1"/>
  <c r="R48" i="10" s="1"/>
  <c r="R74" i="12" a="1"/>
  <c r="R74" i="12" s="1"/>
  <c r="D100" i="12" s="1" a="1"/>
  <c r="D100" i="12" s="1"/>
  <c r="H100" i="12" s="1" a="1"/>
  <c r="H100" i="12" s="1"/>
  <c r="R75" i="12" a="1"/>
  <c r="R75" i="12" s="1"/>
  <c r="D101" i="12" s="1" a="1"/>
  <c r="D101" i="12" s="1"/>
  <c r="H101" i="12" s="1" a="1"/>
  <c r="H101" i="12" s="1"/>
  <c r="R76" i="12" a="1"/>
  <c r="R76" i="12" s="1"/>
  <c r="D102" i="12" s="1" a="1"/>
  <c r="D102" i="12" s="1"/>
  <c r="H102" i="12" s="1" a="1"/>
  <c r="H102" i="12" s="1"/>
  <c r="H104" i="7" a="1"/>
  <c r="H104" i="7" s="1"/>
  <c r="AC12" i="6" a="1"/>
  <c r="AC12" i="6" s="1"/>
  <c r="E19" i="12" a="1"/>
  <c r="E19" i="12" s="1"/>
  <c r="P101" i="3" s="1" a="1"/>
  <c r="P101" i="3" s="1"/>
  <c r="K23" i="12" a="1"/>
  <c r="K23" i="12" s="1"/>
  <c r="K21" i="12" a="1"/>
  <c r="K21" i="12" s="1"/>
  <c r="K19" i="12" a="1"/>
  <c r="K19" i="12" s="1"/>
  <c r="E21" i="12" a="1"/>
  <c r="E21" i="12" s="1"/>
  <c r="Q101" i="3" s="1" a="1"/>
  <c r="Q101" i="3" s="1"/>
  <c r="S101" i="3" s="1" a="1"/>
  <c r="S101" i="3" s="1"/>
  <c r="D98" i="9" a="1"/>
  <c r="D98" i="9" s="1"/>
  <c r="H98" i="9" s="1" a="1"/>
  <c r="H98" i="9" s="1"/>
  <c r="R76" i="10" a="1"/>
  <c r="R76" i="10" s="1"/>
  <c r="D102" i="10" s="1" a="1"/>
  <c r="D102" i="10" s="1"/>
  <c r="H102" i="10" s="1" a="1"/>
  <c r="H102" i="10" s="1"/>
  <c r="R75" i="10" a="1"/>
  <c r="R75" i="10" s="1"/>
  <c r="D101" i="10" s="1" a="1"/>
  <c r="D101" i="10" s="1"/>
  <c r="H101" i="10" s="1" a="1"/>
  <c r="H101" i="10" s="1"/>
  <c r="R74" i="10" a="1"/>
  <c r="R74" i="10" s="1"/>
  <c r="D100" i="10" s="1" a="1"/>
  <c r="D100" i="10" s="1"/>
  <c r="H100" i="10" s="1" a="1"/>
  <c r="H100" i="10" s="1"/>
  <c r="K23" i="9" a="1"/>
  <c r="K23" i="9" s="1"/>
  <c r="K21" i="9" a="1"/>
  <c r="K21" i="9" s="1"/>
  <c r="R9" i="9" s="1" a="1"/>
  <c r="R9" i="9" s="1"/>
  <c r="E21" i="9" a="1"/>
  <c r="E21" i="9" s="1"/>
  <c r="K19" i="9" a="1"/>
  <c r="K19" i="9" s="1"/>
  <c r="E19" i="9" a="1"/>
  <c r="E19" i="9" s="1"/>
  <c r="R76" i="13" a="1"/>
  <c r="R76" i="13" s="1"/>
  <c r="D102" i="13" s="1" a="1"/>
  <c r="D102" i="13" s="1"/>
  <c r="H102" i="13" s="1" a="1"/>
  <c r="H102" i="13" s="1"/>
  <c r="R74" i="13" a="1"/>
  <c r="R74" i="13" s="1"/>
  <c r="D100" i="13" s="1" a="1"/>
  <c r="D100" i="13" s="1"/>
  <c r="H100" i="13" s="1" a="1"/>
  <c r="H100" i="13" s="1"/>
  <c r="R75" i="13" a="1"/>
  <c r="R75" i="13" s="1"/>
  <c r="D101" i="13" s="1" a="1"/>
  <c r="D101" i="13" s="1"/>
  <c r="H101" i="13" s="1" a="1"/>
  <c r="H101" i="13" s="1"/>
  <c r="AD65" i="6" a="1"/>
  <c r="AD65" i="6" s="1"/>
  <c r="D104" i="11" a="1"/>
  <c r="D104" i="11" s="1"/>
  <c r="H104" i="11" s="1" a="1"/>
  <c r="H104" i="11" s="1"/>
  <c r="D103" i="7" a="1"/>
  <c r="D103" i="7" s="1"/>
  <c r="H103" i="7" s="1" a="1"/>
  <c r="H103" i="7" s="1"/>
  <c r="R74" i="11" a="1"/>
  <c r="R74" i="11" s="1"/>
  <c r="D100" i="11" s="1" a="1"/>
  <c r="D100" i="11" s="1"/>
  <c r="H100" i="11" s="1" a="1"/>
  <c r="H100" i="11" s="1"/>
  <c r="R76" i="11" a="1"/>
  <c r="R76" i="11" s="1"/>
  <c r="D102" i="11" s="1" a="1"/>
  <c r="D102" i="11" s="1"/>
  <c r="H102" i="11" s="1" a="1"/>
  <c r="H102" i="11" s="1"/>
  <c r="R75" i="11" a="1"/>
  <c r="R75" i="11" s="1"/>
  <c r="D101" i="11" s="1" a="1"/>
  <c r="D101" i="11" s="1"/>
  <c r="H101" i="11" s="1" a="1"/>
  <c r="H101" i="11" s="1"/>
  <c r="R48" i="9" a="1"/>
  <c r="R48" i="9" s="1"/>
  <c r="D99" i="9" s="1" a="1"/>
  <c r="D99" i="9" s="1"/>
  <c r="H99" i="9" s="1" a="1"/>
  <c r="H99" i="9" s="1"/>
  <c r="D103" i="9" a="1"/>
  <c r="D103" i="9" s="1"/>
  <c r="H103" i="9" s="1" a="1"/>
  <c r="H103" i="9" s="1"/>
  <c r="R48" i="7" a="1"/>
  <c r="R48" i="7" s="1"/>
  <c r="D99" i="7" s="1" a="1"/>
  <c r="D99" i="7" s="1"/>
  <c r="H99" i="7" s="1" a="1"/>
  <c r="H99" i="7" s="1"/>
  <c r="AD79" i="6" a="1"/>
  <c r="AD79" i="6" s="1"/>
  <c r="AD59" i="6" a="1"/>
  <c r="AD59" i="6" s="1"/>
  <c r="AD31" i="6" a="1"/>
  <c r="AD31" i="6" s="1"/>
  <c r="R47" i="7" a="1"/>
  <c r="R47" i="7" s="1"/>
  <c r="R46" i="8" a="1"/>
  <c r="R46" i="8" s="1"/>
  <c r="D97" i="8" s="1" a="1"/>
  <c r="D97" i="8" s="1"/>
  <c r="AD86" i="6" a="1"/>
  <c r="AD86" i="6" s="1"/>
  <c r="R48" i="12" a="1"/>
  <c r="R48" i="12" s="1"/>
  <c r="D99" i="12" s="1" a="1"/>
  <c r="D99" i="12" s="1"/>
  <c r="H99" i="12" s="1" a="1"/>
  <c r="H99" i="12" s="1"/>
  <c r="R46" i="13" a="1"/>
  <c r="R46" i="13" s="1"/>
  <c r="D97" i="13" s="1" a="1"/>
  <c r="D97" i="13" s="1"/>
  <c r="E19" i="13" a="1"/>
  <c r="E19" i="13" s="1"/>
  <c r="K23" i="13" a="1"/>
  <c r="K23" i="13" s="1"/>
  <c r="K21" i="13" a="1"/>
  <c r="K21" i="13" s="1"/>
  <c r="R9" i="13" s="1" a="1"/>
  <c r="R9" i="13" s="1"/>
  <c r="E21" i="13" a="1"/>
  <c r="E21" i="13" s="1"/>
  <c r="K19" i="13" a="1"/>
  <c r="K19" i="13" s="1"/>
  <c r="K21" i="11" a="1"/>
  <c r="K21" i="11" s="1"/>
  <c r="R9" i="11" s="1" a="1"/>
  <c r="R9" i="11" s="1"/>
  <c r="K19" i="11" a="1"/>
  <c r="K19" i="11" s="1"/>
  <c r="K23" i="11" a="1"/>
  <c r="K23" i="11" s="1"/>
  <c r="E21" i="11" a="1"/>
  <c r="E21" i="11" s="1"/>
  <c r="Q100" i="3" s="1" a="1"/>
  <c r="Q100" i="3" s="1"/>
  <c r="S100" i="3" s="1" a="1"/>
  <c r="S100" i="3" s="1"/>
  <c r="E19" i="11" a="1"/>
  <c r="E19" i="11" s="1"/>
  <c r="P100" i="3" s="1" a="1"/>
  <c r="P100" i="3" s="1"/>
  <c r="R47" i="13" a="1"/>
  <c r="R47" i="13" s="1"/>
  <c r="D98" i="13" s="1" a="1"/>
  <c r="D98" i="13" s="1"/>
  <c r="H98" i="13" s="1" a="1"/>
  <c r="H98" i="13" s="1"/>
  <c r="R62" i="12" a="1"/>
  <c r="R62" i="12" s="1"/>
  <c r="D98" i="12" s="1" a="1"/>
  <c r="D98" i="12" s="1"/>
  <c r="H98" i="12" s="1" a="1"/>
  <c r="H98" i="12" s="1"/>
  <c r="R61" i="7" a="1"/>
  <c r="R61" i="7" s="1"/>
  <c r="D97" i="7" s="1" a="1"/>
  <c r="D97" i="7" s="1"/>
  <c r="R47" i="12" a="1"/>
  <c r="R47" i="12" s="1"/>
  <c r="D103" i="11" a="1"/>
  <c r="D103" i="11" s="1"/>
  <c r="H103" i="11" s="1" a="1"/>
  <c r="H103" i="11" s="1"/>
  <c r="R46" i="9" a="1"/>
  <c r="R46" i="9" s="1"/>
  <c r="D97" i="9" s="1" a="1"/>
  <c r="D97" i="9" s="1"/>
  <c r="AD49" i="6" a="1"/>
  <c r="AD49" i="6" s="1"/>
  <c r="AD60" i="6" a="1"/>
  <c r="AD60" i="6" s="1"/>
  <c r="AD52" i="6" a="1"/>
  <c r="AD52" i="6" s="1"/>
  <c r="AD44" i="6" a="1"/>
  <c r="AD44" i="6" s="1"/>
  <c r="AD36" i="6" a="1"/>
  <c r="AD36" i="6" s="1"/>
  <c r="AD28" i="6" a="1"/>
  <c r="AD28" i="6" s="1"/>
  <c r="AD92" i="6" a="1"/>
  <c r="AD92" i="6" s="1"/>
  <c r="AD97" i="6" a="1"/>
  <c r="AD97" i="6" s="1"/>
  <c r="R74" i="8" a="1"/>
  <c r="R74" i="8" s="1"/>
  <c r="D100" i="8" s="1" a="1"/>
  <c r="D100" i="8" s="1"/>
  <c r="H100" i="8" s="1" a="1"/>
  <c r="H100" i="8" s="1"/>
  <c r="AD84" i="6" a="1"/>
  <c r="AD84" i="6" s="1"/>
  <c r="R9" i="7" l="1" a="1"/>
  <c r="R9" i="7" s="1"/>
  <c r="H97" i="12" a="1"/>
  <c r="H97" i="12" s="1"/>
  <c r="H105" i="12" s="1" a="1"/>
  <c r="H105" i="12" s="1"/>
  <c r="D105" i="12" a="1"/>
  <c r="D105" i="12" s="1"/>
  <c r="H97" i="9" a="1"/>
  <c r="H97" i="9" s="1"/>
  <c r="H105" i="9" s="1" a="1"/>
  <c r="H105" i="9" s="1"/>
  <c r="D105" i="9" a="1"/>
  <c r="D105" i="9" s="1"/>
  <c r="H97" i="13" a="1"/>
  <c r="H97" i="13" s="1"/>
  <c r="H105" i="13" s="1" a="1"/>
  <c r="H105" i="13" s="1"/>
  <c r="D105" i="13" a="1"/>
  <c r="D105" i="13" s="1"/>
  <c r="H97" i="8" a="1"/>
  <c r="H97" i="8" s="1"/>
  <c r="H105" i="8" s="1" a="1"/>
  <c r="H105" i="8" s="1"/>
  <c r="D105" i="8" a="1"/>
  <c r="D105" i="8" s="1"/>
  <c r="F100" i="3" a="1"/>
  <c r="F100" i="3" s="1"/>
  <c r="H100" i="3" a="1"/>
  <c r="H100" i="3" s="1"/>
  <c r="D98" i="7" a="1"/>
  <c r="D98" i="7" s="1"/>
  <c r="H98" i="7" s="1" a="1"/>
  <c r="H98" i="7" s="1"/>
  <c r="H101" i="3" a="1"/>
  <c r="H101" i="3" s="1"/>
  <c r="Q102" i="3" a="1"/>
  <c r="Q102" i="3" s="1"/>
  <c r="S102" i="3" s="1" a="1"/>
  <c r="S102" i="3" s="1"/>
  <c r="P102" i="3" a="1"/>
  <c r="P102" i="3" s="1"/>
  <c r="D105" i="3" a="1"/>
  <c r="D105" i="3" s="1"/>
  <c r="F102" i="3" s="1" a="1"/>
  <c r="F102" i="3" s="1"/>
  <c r="H97" i="3" a="1"/>
  <c r="H97" i="3" s="1"/>
  <c r="H97" i="11" a="1"/>
  <c r="H97" i="11" s="1"/>
  <c r="H105" i="11" s="1" a="1"/>
  <c r="H105" i="11" s="1"/>
  <c r="D105" i="11" a="1"/>
  <c r="D105" i="11" s="1"/>
  <c r="H97" i="10" a="1"/>
  <c r="H97" i="10" s="1"/>
  <c r="H105" i="10" s="1" a="1"/>
  <c r="H105" i="10" s="1"/>
  <c r="D105" i="10" a="1"/>
  <c r="D105" i="10" s="1"/>
  <c r="H97" i="7" a="1"/>
  <c r="H97" i="7" s="1"/>
  <c r="R9" i="8" a="1"/>
  <c r="R9" i="8" s="1"/>
  <c r="AD12" i="6" a="1"/>
  <c r="AD12" i="6" s="1"/>
  <c r="R9" i="10" a="1"/>
  <c r="R9" i="10" s="1"/>
  <c r="H102" i="3" a="1"/>
  <c r="H102" i="3" s="1"/>
  <c r="Q97" i="3" l="1" a="1"/>
  <c r="Q97" i="3" s="1"/>
  <c r="S97" i="3" s="1" a="1"/>
  <c r="S97" i="3" s="1"/>
  <c r="P97" i="3" a="1"/>
  <c r="P97" i="3" s="1"/>
  <c r="H105" i="3" a="1"/>
  <c r="H105" i="3" s="1"/>
  <c r="F97" i="3" a="1"/>
  <c r="F97" i="3" s="1"/>
  <c r="P98" i="3" a="1"/>
  <c r="P98" i="3" s="1"/>
  <c r="Q98" i="3" a="1"/>
  <c r="Q98" i="3" s="1"/>
  <c r="S98" i="3" s="1" a="1"/>
  <c r="S98" i="3" s="1"/>
  <c r="J100" i="3" a="1"/>
  <c r="J100" i="3" s="1"/>
  <c r="J102" i="3" a="1"/>
  <c r="J102" i="3" s="1"/>
  <c r="D105" i="7" a="1"/>
  <c r="D105" i="7" s="1"/>
  <c r="F95" i="3" a="1"/>
  <c r="F95" i="3" s="1"/>
  <c r="F96" i="3" a="1"/>
  <c r="F96" i="3" s="1"/>
  <c r="F104" i="3" a="1"/>
  <c r="F104" i="3" s="1"/>
  <c r="F103" i="3" a="1"/>
  <c r="F103" i="3" s="1"/>
  <c r="F98" i="3" a="1"/>
  <c r="F98" i="3" s="1"/>
  <c r="F99" i="3" a="1"/>
  <c r="F99" i="3" s="1"/>
  <c r="H105" i="7" a="1"/>
  <c r="H105" i="7" s="1"/>
  <c r="F101" i="3" a="1"/>
  <c r="F101" i="3" s="1"/>
  <c r="J101" i="3" a="1"/>
  <c r="J101" i="3" s="1"/>
  <c r="J96" i="3" l="1" a="1"/>
  <c r="J96" i="3" s="1"/>
  <c r="E23" i="3" a="1"/>
  <c r="E23" i="3" s="1"/>
  <c r="J95" i="3" a="1"/>
  <c r="J95" i="3" s="1"/>
  <c r="J104" i="3" a="1"/>
  <c r="J104" i="3" s="1"/>
  <c r="J99" i="3" a="1"/>
  <c r="J99" i="3" s="1"/>
  <c r="J98" i="3" a="1"/>
  <c r="J98" i="3" s="1"/>
  <c r="J103" i="3" a="1"/>
  <c r="J103" i="3" s="1"/>
  <c r="J97" i="3" a="1"/>
  <c r="J97" i="3" s="1"/>
  <c r="K23" i="3" l="1" a="1"/>
  <c r="K23" i="3" s="1"/>
  <c r="M22" i="3" s="1" a="1"/>
  <c r="M22" i="3" s="1"/>
  <c r="E19" i="3" a="1"/>
  <c r="E19" i="3" s="1"/>
  <c r="P95" i="3" s="1" a="1"/>
  <c r="P95" i="3" s="1"/>
  <c r="K19" i="3" l="1" a="1"/>
  <c r="K19" i="3" s="1"/>
  <c r="K21" i="3" s="1" a="1"/>
  <c r="K21" i="3" s="1"/>
  <c r="R9" i="3" s="1" a="1"/>
  <c r="R9" i="3" s="1"/>
  <c r="E21" i="3" a="1"/>
  <c r="E21" i="3" s="1"/>
  <c r="Q95" i="3" l="1" a="1"/>
  <c r="Q95" i="3" s="1"/>
  <c r="S95" i="3" s="1" a="1"/>
  <c r="S95" i="3" s="1"/>
  <c r="M18" i="3" a="1"/>
  <c r="M18" i="3" s="1"/>
  <c r="M21" i="3" s="1" a="1"/>
  <c r="M2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Johns</author>
  </authors>
  <commentList>
    <comment ref="B8" authorId="0" shapeId="0" xr:uid="{00000000-0006-0000-0400-000001000000}">
      <text>
        <r>
          <rPr>
            <sz val="11"/>
            <color indexed="8"/>
            <rFont val="Helvetica Neue"/>
          </rPr>
          <t>Daniel Johns:
EA:
based on HM Treasury Green Book, Annex 6 - Long-term discount rates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<sst xmlns="http://schemas.openxmlformats.org/spreadsheetml/2006/main" count="1787" uniqueCount="484">
  <si>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</si>
  <si>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</si>
  <si>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</si>
  <si>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</si>
  <si>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Guidance and version</t>
  </si>
  <si>
    <t>Table 1</t>
  </si>
  <si>
    <t>Content details</t>
  </si>
  <si>
    <t>Requirements on projects</t>
  </si>
  <si>
    <t>Title</t>
  </si>
  <si>
    <t>The Partnership Funding calculator 2020</t>
  </si>
  <si>
    <t>When using this form, project teams are required to use the guidance: 'Calculate grant-in-aid funding for flood and coastal erosion risk management projects' (see requirement 4 for link, below).</t>
  </si>
  <si>
    <t>Audience</t>
  </si>
  <si>
    <t xml:space="preserve">Risk Management Authorities applying for FCERM GiA
</t>
  </si>
  <si>
    <t>Project and programme managers</t>
  </si>
  <si>
    <t>Project consultants and suppliers</t>
  </si>
  <si>
    <t>Other groups and organisations can use this calculator to understand how much FCERM GiA may be eligible for risk management interventions in their communities</t>
  </si>
  <si>
    <t>Project teams are required to provide a copy of the Partnership Funding Calculator within their business case for approval of FCERM GiA in format that can be checked and tested by assurers.</t>
  </si>
  <si>
    <t>Type</t>
  </si>
  <si>
    <t>Government policy implementation tool for the calculation of eligible flood and coastal risk management grant in aid (FCERM GiA)</t>
  </si>
  <si>
    <t>Project teams are required to complete the Economic summary sheet as part of their submission of the Partnership Funding Calculator from the Outline Business Case (OBC) onwards.  By not completing the Economic Summary sheet FCERM GiA eligibility may be affected.</t>
  </si>
  <si>
    <t>Reference</t>
  </si>
  <si>
    <t>LIT 17608</t>
  </si>
  <si>
    <t>Published date</t>
  </si>
  <si>
    <t>April 2022</t>
  </si>
  <si>
    <t>Version</t>
  </si>
  <si>
    <t>PF calculator 2020 v2</t>
  </si>
  <si>
    <t>Economic summary - v2</t>
  </si>
  <si>
    <t>Links to other relevant guidance and information sources:</t>
  </si>
  <si>
    <t>Policy assumptions and formulae - v1</t>
  </si>
  <si>
    <r>
      <rPr>
        <u/>
        <sz val="14"/>
        <color indexed="18"/>
        <rFont val="Arial"/>
      </rPr>
      <t>Calculate grant-in-aid funding for flood and coastal erosion risk management projects</t>
    </r>
  </si>
  <si>
    <t>pv calculator - v1</t>
  </si>
  <si>
    <r>
      <rPr>
        <u/>
        <sz val="14"/>
        <color indexed="18"/>
        <rFont val="Arial"/>
      </rPr>
      <t>Operational principles to follow when setting up funding partnerships to tackle flood and coastal erosion</t>
    </r>
  </si>
  <si>
    <t>SA1, SA2, SA3, SA4, SA5, SA6, SA7 - v2</t>
  </si>
  <si>
    <t>Security marking</t>
  </si>
  <si>
    <t>Official</t>
  </si>
  <si>
    <r>
      <rPr>
        <u/>
        <sz val="14"/>
        <color indexed="18"/>
        <rFont val="Arial"/>
      </rPr>
      <t>Appraisal guidance</t>
    </r>
  </si>
  <si>
    <t>CONTROLLED CONTENT</t>
  </si>
  <si>
    <r>
      <rPr>
        <u/>
        <sz val="14"/>
        <color indexed="18"/>
        <rFont val="Arial"/>
      </rPr>
      <t>Multi-coloured handbook and manual</t>
    </r>
  </si>
  <si>
    <r>
      <rPr>
        <u/>
        <sz val="14"/>
        <color indexed="18"/>
        <rFont val="Arial"/>
      </rPr>
      <t>English indices of deprivation</t>
    </r>
  </si>
  <si>
    <r>
      <rPr>
        <u/>
        <sz val="14"/>
        <color indexed="18"/>
        <rFont val="Arial"/>
      </rPr>
      <t>Investment Journey (Defra sharepoint)</t>
    </r>
  </si>
  <si>
    <t>Change notes</t>
  </si>
  <si>
    <t>March 2020 - PF Calculator 2020 v1:  New PF calculator for use alongside updated arrangements for Partnership Funding (2020). Design and content included in AIMS-PD and PAFS. Changes managed by FCRM Risk Assessment and Investment, Environment Agency.</t>
  </si>
  <si>
    <t>April 2022 - PF Calculator 2020 v2. Updated to include mandatory requirement for data in the Economic Summary. Changes made to the worksheets: PF Calculator (2020), Economic summary, SA1 to SA9. Minor updates to correct errors in text in the worksheets: Guidance and version, Economic summary. Inclusion of carbon data in the Economic summary worksheet. Changes managed by FCRM Economics, Appraisal and Research, Environment Agency</t>
  </si>
  <si>
    <t>PF calculator</t>
  </si>
  <si>
    <t>Project teams are required to provide a copy of the PF Calculator within their business case for approval of FCERM GiA.</t>
  </si>
  <si>
    <t>Flood and Coastal Erosion Risk Management (FCERM)</t>
  </si>
  <si>
    <t>Partnership Funding (PF) calculator 2020 for Flood and Coastal Erosion Risk Management Grant-in-Aid (FCERM GiA)</t>
  </si>
  <si>
    <t>Version 2: April 2022 (for use by projects delivering FCERM outcomes after 1 April 2021)</t>
  </si>
  <si>
    <t>Key</t>
  </si>
  <si>
    <t>input</t>
  </si>
  <si>
    <t>selection</t>
  </si>
  <si>
    <t>SECTION 1: Project details</t>
  </si>
  <si>
    <t>calculated cells</t>
  </si>
  <si>
    <t>Benefit:Cost ratio</t>
  </si>
  <si>
    <t>Project Name</t>
  </si>
  <si>
    <t>Test</t>
  </si>
  <si>
    <t>Project stage</t>
  </si>
  <si>
    <t>Pre-SOC</t>
  </si>
  <si>
    <t>National Project number</t>
  </si>
  <si>
    <t>YOC501E/000A/533A</t>
  </si>
  <si>
    <t>Option reference</t>
  </si>
  <si>
    <t>Project benefit to cost ratio:</t>
  </si>
  <si>
    <t>to 1</t>
  </si>
  <si>
    <t>Date of PF Calculator</t>
  </si>
  <si>
    <t>Effective return to taxpayer:</t>
  </si>
  <si>
    <t>Lead RMA</t>
  </si>
  <si>
    <t>City of Doncaster Council</t>
  </si>
  <si>
    <t>Effective return on contributions:</t>
  </si>
  <si>
    <t>FCERM GiA applicant type</t>
  </si>
  <si>
    <t>Local Authority</t>
  </si>
  <si>
    <t>All values in £ (pound Sterling)</t>
  </si>
  <si>
    <t>Figures in blue to be included in the national FCERM capital programme for the chosen option</t>
  </si>
  <si>
    <t>SECTION 2: Prospect of eligibility for FCERM GiA</t>
  </si>
  <si>
    <t>Confirmed strategic approach?</t>
  </si>
  <si>
    <t>Yes</t>
  </si>
  <si>
    <t>Raw PF Score</t>
  </si>
  <si>
    <t>Adjusted PF Score</t>
  </si>
  <si>
    <t>Minimum pv contribution/saving required</t>
  </si>
  <si>
    <t>pv FCERM GiA up-front costs</t>
  </si>
  <si>
    <t>pv maximum eligible FCERM GiA</t>
  </si>
  <si>
    <t>pv FCERM GiA future costs</t>
  </si>
  <si>
    <t>towards pv appraisal costs</t>
  </si>
  <si>
    <t>towards pv qualifying outcomes up-front</t>
  </si>
  <si>
    <t>towards pv qualifying outcomes future</t>
  </si>
  <si>
    <t>Towards qualifying outcomes</t>
  </si>
  <si>
    <t>pv appraisal costs</t>
  </si>
  <si>
    <t>pv Local Levy</t>
  </si>
  <si>
    <t>Contributor(s) or Fund(s)</t>
  </si>
  <si>
    <t>pv design and construction costs</t>
  </si>
  <si>
    <t>pv other public sector</t>
  </si>
  <si>
    <t>pv risk contingency</t>
  </si>
  <si>
    <t>pv private and voluntary sector</t>
  </si>
  <si>
    <t>pv costs for approval</t>
  </si>
  <si>
    <t>pv other Environment Agency</t>
  </si>
  <si>
    <t>pv future costs</t>
  </si>
  <si>
    <t>pv sub-total</t>
  </si>
  <si>
    <t>pv WLC (over duration of benefits)</t>
  </si>
  <si>
    <t>pv total contributions</t>
  </si>
  <si>
    <t>SECTION 4: Outcome Measure 1 - economic benefits arising from FCERM</t>
  </si>
  <si>
    <t>Not required</t>
  </si>
  <si>
    <t>pv WLB (appraisal period)</t>
  </si>
  <si>
    <t>Economic summary sheet completed</t>
  </si>
  <si>
    <t>Duration of benefits (DoB) period</t>
  </si>
  <si>
    <t>Economic data included in business case?</t>
  </si>
  <si>
    <t>pv WLB (DoB = OM1A)</t>
  </si>
  <si>
    <t>People related impacts - due to measures proposed (DoB = OM1B)</t>
  </si>
  <si>
    <t>SECTION 5A: Outcome Measure 2A (today) - households at risk today that are better protected against flood risk by this project (over the duration of benefits period)</t>
  </si>
  <si>
    <r>
      <rPr>
        <b/>
        <sz val="10"/>
        <color indexed="8"/>
        <rFont val="Arial"/>
      </rPr>
      <t>N</t>
    </r>
    <r>
      <rPr>
        <b/>
        <vertAlign val="superscript"/>
        <sz val="10"/>
        <color indexed="8"/>
        <rFont val="Arial"/>
      </rPr>
      <t>o</t>
    </r>
    <r>
      <rPr>
        <b/>
        <sz val="10"/>
        <color indexed="8"/>
        <rFont val="Arial"/>
      </rPr>
      <t xml:space="preserve"> households in deprived areas</t>
    </r>
  </si>
  <si>
    <t>at risk today</t>
  </si>
  <si>
    <t>change due to project</t>
  </si>
  <si>
    <t>pv qual. benefits</t>
  </si>
  <si>
    <t>20% most deprived</t>
  </si>
  <si>
    <t>21% to 40% most deprived</t>
  </si>
  <si>
    <t>60% least deprived</t>
  </si>
  <si>
    <t>low risk</t>
  </si>
  <si>
    <t>moderate risk</t>
  </si>
  <si>
    <t>intermediate risk</t>
  </si>
  <si>
    <t>significant risk</t>
  </si>
  <si>
    <t>very significant risk</t>
  </si>
  <si>
    <t>at risk after duration of benefits</t>
  </si>
  <si>
    <t>Annual damages avoided (£) compared with a household at low risk</t>
  </si>
  <si>
    <t xml:space="preserve"> 60% least deprived</t>
  </si>
  <si>
    <r>
      <rPr>
        <sz val="10"/>
        <color indexed="8"/>
        <rFont val="Arial"/>
      </rPr>
      <t xml:space="preserve">The deprivation categories are taken from the </t>
    </r>
    <r>
      <rPr>
        <b/>
        <sz val="10"/>
        <color indexed="8"/>
        <rFont val="Arial"/>
      </rPr>
      <t>Index of Multiple Deprivation</t>
    </r>
    <r>
      <rPr>
        <sz val="10"/>
        <color indexed="8"/>
        <rFont val="Arial"/>
      </rPr>
      <t>, available through gov.uk (see guidance and version sheet for links)</t>
    </r>
  </si>
  <si>
    <t>SECTION 5B: Outcome Measure 2B (2040) - households at risk in 2040 that are better protected against flood risk by this project (over the remaining duration of benefits period)</t>
  </si>
  <si>
    <t>Year when measures are ready for service - Gateway 4</t>
  </si>
  <si>
    <t xml:space="preserve">at risk from 2040 </t>
  </si>
  <si>
    <t>SECTION 6: Outcome Measure 3 - households better protected against coastal erosion</t>
  </si>
  <si>
    <t>Damages per household avoided:</t>
  </si>
  <si>
    <t>Annual damages avoided</t>
  </si>
  <si>
    <t>Loss expected in</t>
  </si>
  <si>
    <t>years</t>
  </si>
  <si>
    <t>Present value of Year 1 loss (i.e. first year damages, discounted based on when loss is expected)</t>
  </si>
  <si>
    <t>long-term 
loss</t>
  </si>
  <si>
    <t>medium-term loss</t>
  </si>
  <si>
    <t>Long-term loss</t>
  </si>
  <si>
    <t>Medium-term loss</t>
  </si>
  <si>
    <t>SECTION 7: Outcome Measure 4 - environmental improvements</t>
  </si>
  <si>
    <t>'before' condition (Ha)</t>
  </si>
  <si>
    <t>'after' condition at end of DoB (Ha)</t>
  </si>
  <si>
    <t>Type of habitat (OM4A)</t>
  </si>
  <si>
    <t>Poor</t>
  </si>
  <si>
    <t>Moderate</t>
  </si>
  <si>
    <t>Good</t>
  </si>
  <si>
    <t>Length of river habitat enhanced (OM4B)</t>
  </si>
  <si>
    <t>Intertidal habitat</t>
  </si>
  <si>
    <t>kilometre(s)</t>
  </si>
  <si>
    <t>Woodland</t>
  </si>
  <si>
    <t>Comprehensive restoration</t>
  </si>
  <si>
    <t>Wet woodland</t>
  </si>
  <si>
    <t>Partial restoration</t>
  </si>
  <si>
    <t>Wetlands/wet grassland</t>
  </si>
  <si>
    <t>A single, major physical improvement</t>
  </si>
  <si>
    <t>Grassland</t>
  </si>
  <si>
    <t>Heathland</t>
  </si>
  <si>
    <t>Ponds/lakes</t>
  </si>
  <si>
    <t>Arable land</t>
  </si>
  <si>
    <t>SECTION 8: Qualifying benefits and eligible FCERM GiA arising from project</t>
  </si>
  <si>
    <t>Example sensitivity analyses</t>
  </si>
  <si>
    <t>%age of whole life costs</t>
  </si>
  <si>
    <t>%age benefits</t>
  </si>
  <si>
    <t>Payment rate</t>
  </si>
  <si>
    <t>OM</t>
  </si>
  <si>
    <t>deprivation</t>
  </si>
  <si>
    <t>Qualifying benefits</t>
  </si>
  <si>
    <t>Eligible FCERM GiA</t>
  </si>
  <si>
    <t>%age</t>
  </si>
  <si>
    <t>Raw score</t>
  </si>
  <si>
    <t>Contributions required</t>
  </si>
  <si>
    <t>OM1a</t>
  </si>
  <si>
    <t>overall</t>
  </si>
  <si>
    <t>PF Calculator (above)</t>
  </si>
  <si>
    <t>OM1b</t>
  </si>
  <si>
    <t>people related</t>
  </si>
  <si>
    <t>SA1: pv WLC - Affordability</t>
  </si>
  <si>
    <t>OM2</t>
  </si>
  <si>
    <t>20% most</t>
  </si>
  <si>
    <t>SA2: OM2 - Flood risks lower than assumptions made</t>
  </si>
  <si>
    <t>21% to 40%</t>
  </si>
  <si>
    <t>SA3: OM3 - Erosion risks lower than assumptions made</t>
  </si>
  <si>
    <t>60% least</t>
  </si>
  <si>
    <t>SA4: Duration of benefits - Option choice is conservative</t>
  </si>
  <si>
    <t>OM3</t>
  </si>
  <si>
    <t>SA5: Duration of benefits - Option choice is optimistic</t>
  </si>
  <si>
    <t>SA6: Strategic considerations not demonstrated</t>
  </si>
  <si>
    <t>SA7: Change in environmental habitat is optimistic</t>
  </si>
  <si>
    <t>OM4</t>
  </si>
  <si>
    <t>habitat</t>
  </si>
  <si>
    <t>rivers</t>
  </si>
  <si>
    <t>Total</t>
  </si>
  <si>
    <t>pv max. eligible GiA</t>
  </si>
  <si>
    <t>Ref:</t>
  </si>
  <si>
    <t>Economic summary</t>
  </si>
  <si>
    <r>
      <rPr>
        <b/>
        <sz val="18"/>
        <color indexed="8"/>
        <rFont val="Arial"/>
      </rPr>
      <t>Completing some of this summary is mandatory (red text).</t>
    </r>
    <r>
      <rPr>
        <sz val="11"/>
        <color indexed="8"/>
        <rFont val="Arial"/>
      </rPr>
      <t xml:space="preserve">
</t>
    </r>
    <r>
      <rPr>
        <sz val="11"/>
        <color indexed="8"/>
        <rFont val="Arial"/>
      </rPr>
      <t>Economic summary data is required to inform reporting of the benefits and outcomes that come from investing in FCERM infrastructure.  The benefits data proposed is the same as that which is used to report on the damages associated with flood events.  All the data should be available from a proportionate appraisal.  The data will also help to inform future changes to Defra's Flood and Coastal Resilience Partnership Funding policy.</t>
    </r>
  </si>
  <si>
    <t xml:space="preserve">The Economic summary must be completed for all FCERM projects from the Outline Business Case stage FSoD approval onwards.
</t>
  </si>
  <si>
    <t>The economic benefits and outcomes data must be for the PREFERRED OPTION over the proposed duration of benefits period. Average annual damages (AAD) MUST be included for residential and non-residential properties. FCERM GiA eligibility will be reduced if this data is not provided. The total eligible FCERM benefits value for OM1A should match the value used in the PF calculator worksheet.</t>
  </si>
  <si>
    <t>There is no requirement for every project to contribute to every benefit type or outcome in the remaining tables, below. However, project teams are encouraged to include their project's relevant benefits and outcomes in these tables.</t>
  </si>
  <si>
    <t>Average annual damages (AAD) pv £</t>
  </si>
  <si>
    <t>Before investment</t>
  </si>
  <si>
    <t>After investment</t>
  </si>
  <si>
    <r>
      <rPr>
        <b/>
        <sz val="12"/>
        <color indexed="8"/>
        <rFont val="Arial"/>
      </rPr>
      <t>Note:</t>
    </r>
    <r>
      <rPr>
        <sz val="12"/>
        <color indexed="8"/>
        <rFont val="Arial"/>
      </rPr>
      <t xml:space="preserve"> Some projects may reasonably not have AAD data for the 'before' and/or 'after' investment categories (for example, projects using cost effectiveness analysis to address the legal obligations of FCERM or low cost projects that sustain the standard of service). Where this is the case, values can be set at 0 in this table and explained in the OBC.</t>
    </r>
  </si>
  <si>
    <t>Data check</t>
  </si>
  <si>
    <t>Cells completed</t>
  </si>
  <si>
    <t>Residential properties</t>
  </si>
  <si>
    <t>AAD</t>
  </si>
  <si>
    <t>Non-residential properties</t>
  </si>
  <si>
    <r>
      <rPr>
        <sz val="11"/>
        <color indexed="8"/>
        <rFont val="Arial"/>
      </rPr>
      <t>Additional AAD</t>
    </r>
    <r>
      <rPr>
        <vertAlign val="superscript"/>
        <sz val="11"/>
        <color indexed="8"/>
        <rFont val="Arial"/>
      </rPr>
      <t>1</t>
    </r>
  </si>
  <si>
    <t>Eligible FCERM benefits</t>
  </si>
  <si>
    <r>
      <rPr>
        <b/>
        <sz val="16"/>
        <color indexed="8"/>
        <rFont val="Arial"/>
      </rPr>
      <t>Additional AAD</t>
    </r>
    <r>
      <rPr>
        <b/>
        <vertAlign val="superscript"/>
        <sz val="16"/>
        <color indexed="8"/>
        <rFont val="Arial"/>
      </rPr>
      <t>1</t>
    </r>
    <r>
      <rPr>
        <b/>
        <sz val="16"/>
        <color indexed="8"/>
        <rFont val="Arial"/>
      </rPr>
      <t xml:space="preserve"> pv £</t>
    </r>
  </si>
  <si>
    <t>Additional benefits</t>
  </si>
  <si>
    <t>Public services</t>
  </si>
  <si>
    <t>FCERM outcomes</t>
  </si>
  <si>
    <t>Industry, commerce and administration</t>
  </si>
  <si>
    <t>Additional outcomes</t>
  </si>
  <si>
    <t>Transport</t>
  </si>
  <si>
    <t>Utilities</t>
  </si>
  <si>
    <t>Agriculture</t>
  </si>
  <si>
    <t>Environment</t>
  </si>
  <si>
    <t>Recreation, heritage and tourism</t>
  </si>
  <si>
    <t>Unused sites and development land</t>
  </si>
  <si>
    <t>Total AAD</t>
  </si>
  <si>
    <r>
      <rPr>
        <vertAlign val="superscript"/>
        <sz val="11"/>
        <color indexed="8"/>
        <rFont val="Arial"/>
      </rPr>
      <t>1</t>
    </r>
    <r>
      <rPr>
        <sz val="11"/>
        <color indexed="8"/>
        <rFont val="Arial"/>
      </rPr>
      <t xml:space="preserve"> - there may be an overlap with the Average annual damages (AAD) table for residential and non-residential properties. This is accepted.</t>
    </r>
  </si>
  <si>
    <t>pv benefits £</t>
  </si>
  <si>
    <t>Text in support (as needed)</t>
  </si>
  <si>
    <t>Contribution towards FCERM outcomes</t>
  </si>
  <si>
    <t>Number</t>
  </si>
  <si>
    <t>Total (OM1A)</t>
  </si>
  <si>
    <t>Total number of properties</t>
  </si>
  <si>
    <t>Total (blank)</t>
  </si>
  <si>
    <t>tbc</t>
  </si>
  <si>
    <t>Residential properties protected from flooding/erosion</t>
  </si>
  <si>
    <t>Non-residential properties protected from flooding/erosion</t>
  </si>
  <si>
    <t>Commercial properties</t>
  </si>
  <si>
    <t>Other residential benefits</t>
  </si>
  <si>
    <t>Transport (road, rail, air, ports)</t>
  </si>
  <si>
    <t>Above ground appartments no longer at risk of disruption</t>
  </si>
  <si>
    <t>Utilities (water, gas, electricity, waste)</t>
  </si>
  <si>
    <t>Vehicles protected from flooding</t>
  </si>
  <si>
    <t>Health*</t>
  </si>
  <si>
    <t>Temporary accommodation</t>
  </si>
  <si>
    <t>Emergency services</t>
  </si>
  <si>
    <t>Hospitals, surgeries and other medical sites</t>
  </si>
  <si>
    <t>Flood risk asset repair</t>
  </si>
  <si>
    <t>Schools, colleges, universities and nurseries</t>
  </si>
  <si>
    <t>Police, fire and ambulance stations</t>
  </si>
  <si>
    <t>Recreation and leisure facilities</t>
  </si>
  <si>
    <t>Parks</t>
  </si>
  <si>
    <t>Environment**</t>
  </si>
  <si>
    <t>Built heritage</t>
  </si>
  <si>
    <t>Education</t>
  </si>
  <si>
    <t>Industrial sites</t>
  </si>
  <si>
    <t>Tourism</t>
  </si>
  <si>
    <t>Shops</t>
  </si>
  <si>
    <t>Recovery, repair and clean-up impacts</t>
  </si>
  <si>
    <t>Office buildings</t>
  </si>
  <si>
    <t>Other (describe)</t>
  </si>
  <si>
    <t>Hotels</t>
  </si>
  <si>
    <t>Leisure sites</t>
  </si>
  <si>
    <t>* - including social and psychological impacts of flooding and public health - including damage to hospitals and health centres - and fatalities - including distress</t>
  </si>
  <si>
    <t>Transport interchanges, stations, ports and depots</t>
  </si>
  <si>
    <t>** - all natural capital, including wildlife and heritage</t>
  </si>
  <si>
    <t>Road (kilometres)</t>
  </si>
  <si>
    <t>Rail (kilometres)</t>
  </si>
  <si>
    <t>Additional benefits categories</t>
  </si>
  <si>
    <t>pv £</t>
  </si>
  <si>
    <t>Whole life and capital carbon emission costs (£pv)</t>
  </si>
  <si>
    <t>use appropriate carbon appraisal guidance</t>
  </si>
  <si>
    <t>Carbon emissions avoided (£pv)</t>
  </si>
  <si>
    <t>Electricity sub-stations</t>
  </si>
  <si>
    <t>Net sequestration (compared to do nothing option) (£pv)</t>
  </si>
  <si>
    <t>Pumping stations</t>
  </si>
  <si>
    <t>Telecommunication sites</t>
  </si>
  <si>
    <t>Water, waste water, sewage treatment works</t>
  </si>
  <si>
    <t>Gas, oil storage, distribution sites</t>
  </si>
  <si>
    <t>Waste management sites</t>
  </si>
  <si>
    <t>Agricultural land (hectares)</t>
  </si>
  <si>
    <t>Grade 1, 2 and 3 agricultural land (hectares)</t>
  </si>
  <si>
    <t>Agricultural buildings</t>
  </si>
  <si>
    <t>Non-FCERM benefits (free text description with values, where known)</t>
  </si>
  <si>
    <t>Development land (in a Local Authority plan)</t>
  </si>
  <si>
    <t>Unused land (in a Local Authority plan)</t>
  </si>
  <si>
    <t>Carbon emissions</t>
  </si>
  <si>
    <r>
      <rPr>
        <sz val="11"/>
        <color indexed="8"/>
        <rFont val="Arial"/>
      </rPr>
      <t>Whole life emissions (over DoB) in tCO</t>
    </r>
    <r>
      <rPr>
        <vertAlign val="subscript"/>
        <sz val="11"/>
        <color indexed="8"/>
        <rFont val="Arial"/>
      </rPr>
      <t>2</t>
    </r>
    <r>
      <rPr>
        <sz val="11"/>
        <color indexed="8"/>
        <rFont val="Arial"/>
      </rPr>
      <t>e</t>
    </r>
  </si>
  <si>
    <r>
      <rPr>
        <sz val="11"/>
        <color indexed="8"/>
        <rFont val="Arial"/>
      </rPr>
      <t>Capital construction emissions (over DoB) in tCO</t>
    </r>
    <r>
      <rPr>
        <vertAlign val="subscript"/>
        <sz val="11"/>
        <color indexed="8"/>
        <rFont val="Arial"/>
      </rPr>
      <t>2</t>
    </r>
    <r>
      <rPr>
        <sz val="11"/>
        <color indexed="8"/>
        <rFont val="Arial"/>
      </rPr>
      <t>e</t>
    </r>
  </si>
  <si>
    <t>Additional categories</t>
  </si>
  <si>
    <t>Policy assumptions and formulae</t>
  </si>
  <si>
    <t>Assumptions used when calculating eligible FCERM GiA</t>
  </si>
  <si>
    <t>Version 1: March 2020 (for use by projects delivering FCERM outcomes after 1 April 2021)</t>
  </si>
  <si>
    <t>Long term standard discount factor</t>
  </si>
  <si>
    <t>Overall policy intention</t>
  </si>
  <si>
    <t>Outcome Measure 1</t>
  </si>
  <si>
    <t>Outcome Measure 2</t>
  </si>
  <si>
    <t>Outcome Measure 3</t>
  </si>
  <si>
    <t>Outcome Measure 4</t>
  </si>
  <si>
    <t>Payment tariffs</t>
  </si>
  <si>
    <r>
      <rPr>
        <u/>
        <sz val="12"/>
        <color indexed="18"/>
        <rFont val="Arial"/>
      </rPr>
      <t>Source:  HMT Green Book</t>
    </r>
  </si>
  <si>
    <t>Overall target benefit cost ratio for Government FCERM GiA investment</t>
  </si>
  <si>
    <t>People related FCERM benefits (risk to life, stress and health, mental health, vehicle damages avoided, residential evacuation costs) - OM1B</t>
  </si>
  <si>
    <t>p / £1</t>
  </si>
  <si>
    <t>Average flood damages per household</t>
  </si>
  <si>
    <t>Annual benefit from protecting against coastal erosion per household</t>
  </si>
  <si>
    <t>Natural capital FCERM GiA tariff</t>
  </si>
  <si>
    <t>Year</t>
  </si>
  <si>
    <t>Discount rate</t>
  </si>
  <si>
    <t>Factor</t>
  </si>
  <si>
    <t>Cumulative</t>
  </si>
  <si>
    <t>Assumptions for habitat improvements - annual benefit</t>
  </si>
  <si>
    <t>Overall FCERM economic benefits - OM1A</t>
  </si>
  <si>
    <t>Household FCERM GiA tariff</t>
  </si>
  <si>
    <t xml:space="preserve">Habitat type
</t>
  </si>
  <si>
    <t>Description of key formulae</t>
  </si>
  <si>
    <t>Household scaling factors for payment tariff</t>
  </si>
  <si>
    <t>Formula</t>
  </si>
  <si>
    <t>Formula description in Partnership Funding Calculator</t>
  </si>
  <si>
    <t>= the maximum eligible FCERM GiA divided by the whole life cost</t>
  </si>
  <si>
    <t>in 20% most deprived communities</t>
  </si>
  <si>
    <t xml:space="preserve">= if the lead organisation is the Environment Agency, then the maximum eligible FCERM GiA divided by the whole life cost less the value of contributions, otherwise, if the lead organisation is another RMA, then the raw PF score plus the value of contributions divided by the whole life cost for approval </t>
  </si>
  <si>
    <t>in 21% to 40% most deprived communities</t>
  </si>
  <si>
    <t>= the amount of FCERM GiA determined from the contributions to outcome measures discounted over the duration of benefits period</t>
  </si>
  <si>
    <t>in 60% least deprived communities</t>
  </si>
  <si>
    <t>Assumptions for river improvements - annual benefit</t>
  </si>
  <si>
    <t>Minimum contribution required</t>
  </si>
  <si>
    <t>= if the lead organisation is the Environment Agency, then the whole life cost less the maximum eligible FCERM GiA, otherwise 1 minus the Raw PF Score multiplied by the whole life cost for approval</t>
  </si>
  <si>
    <t>Assumptions for likelihood of flooding within each flood risk band</t>
  </si>
  <si>
    <t>Assumptions for protection against coastal erosion</t>
  </si>
  <si>
    <t>Intervention types</t>
  </si>
  <si>
    <t>Benefit (£ /km/yr)</t>
  </si>
  <si>
    <t>Comprehensive restoration of physical modifications</t>
  </si>
  <si>
    <t>FCERM GiA towards up-front costs</t>
  </si>
  <si>
    <t>= when Adjusted PF Score is 100% or greater, then the whole life cost for approval less the contributions towards capital</t>
  </si>
  <si>
    <t>Probability band</t>
  </si>
  <si>
    <t>Assumed likelihood for calculating eligible damages (mid-points for damage eligibility calculations)</t>
  </si>
  <si>
    <t>Timescale for loss under a 'do-nothing' scenario:</t>
  </si>
  <si>
    <t>Timescale band</t>
  </si>
  <si>
    <t>Mid-points for damage eligibility calculations</t>
  </si>
  <si>
    <t>Annual eligible damages per household</t>
  </si>
  <si>
    <t>Partial restoration of physical modifications</t>
  </si>
  <si>
    <t>Improvements to fish passage (distance to next barrier)</t>
  </si>
  <si>
    <t>FCERM GiA towards future costs</t>
  </si>
  <si>
    <t>= for Environment Agency only, when the Adjusted PF Score is 100% or greater, then the future cost less the contribution towards future costs</t>
  </si>
  <si>
    <t>Very significant risk band</t>
  </si>
  <si>
    <t>&gt;=5%</t>
  </si>
  <si>
    <t>1 in</t>
  </si>
  <si>
    <t>or a 5% annual chance of flooding</t>
  </si>
  <si>
    <t>&lt;=20 years</t>
  </si>
  <si>
    <t>th year</t>
  </si>
  <si>
    <t>FCERM GiA for OM1A</t>
  </si>
  <si>
    <t xml:space="preserve"> = the value of qualifying FCERM economic benefits for the chosen duration of benefits period, less the qualifying benefits from OM1B, OM2, OM3 and OM4, multiplied by the OM1A payment tariff</t>
  </si>
  <si>
    <t>Significant risk band</t>
  </si>
  <si>
    <t>&lt;5% to &gt;2%</t>
  </si>
  <si>
    <t>or a 3.33% annual chance of flooding</t>
  </si>
  <si>
    <t>Longer-term loss</t>
  </si>
  <si>
    <t>&gt;20 years</t>
  </si>
  <si>
    <t>FCERM GiA for OM1B</t>
  </si>
  <si>
    <t>= the value of the qualifying FCERM economic people-related benefits for the chosen duration of benefits period, multiplied by the OM1B payment tariff</t>
  </si>
  <si>
    <t>Intermediate risk band</t>
  </si>
  <si>
    <t>2% to &gt;1%</t>
  </si>
  <si>
    <t>or a 1.33% annual chance of flooding</t>
  </si>
  <si>
    <t>Qualifying benefits for households at risk today that are better protected against flood risk by this project</t>
  </si>
  <si>
    <t>= the change in risk for the identified households, multiplied by relevant annual flood damages for the change in risk and discounted for the chosen duration of benefits period</t>
  </si>
  <si>
    <t>Moderate risk band</t>
  </si>
  <si>
    <t>1% to &gt;0.5%</t>
  </si>
  <si>
    <t>or a 0.67% annual chance of flooding</t>
  </si>
  <si>
    <t>Low risk band</t>
  </si>
  <si>
    <t>&lt;=0.5%</t>
  </si>
  <si>
    <t>or a 0.5% annual chance of flooding</t>
  </si>
  <si>
    <t>FCERM GiA for OM2A</t>
  </si>
  <si>
    <t>= the qualifying benefits for households at risk today, multiplied by the relevant payment tariff based on the household scaling factors for deprivation</t>
  </si>
  <si>
    <t>What this means for relative weightings applied to household outcomes</t>
  </si>
  <si>
    <t>Qualifying benefits for households at risk in 2040 that are better protected against flood risk by this project</t>
  </si>
  <si>
    <t>= the change in risk for the identified households multiplied by the relevant annual flood damages for the change in risk and discounted for the chosen duration of benefits period, less the change in risk for the identified households multiplied by the relevant annual flood damages for the change in risk from today until 2040</t>
  </si>
  <si>
    <t>Weightings factors</t>
  </si>
  <si>
    <t>Moving a household from:</t>
  </si>
  <si>
    <t>FCERM GiA for OM2B</t>
  </si>
  <si>
    <t>= the qualifying benefits for households becoming at risk in 2040, multiplied by the relevant payment tariff based on the household scaling factors for deprivation</t>
  </si>
  <si>
    <t>To:</t>
  </si>
  <si>
    <t>Qualifying benefits households better protected against coastal erosion</t>
  </si>
  <si>
    <t>= the identified households multiplied by the relevant annual damages and discounted for the chosen duration of benefis period</t>
  </si>
  <si>
    <t>For example: moving a household from the very significant risk band to the low risk band is valued 27 times higher for the purposes of national funding compared to moving a household from the low risk band to the moderate risk band.</t>
  </si>
  <si>
    <t>FCERM GiA for OM3</t>
  </si>
  <si>
    <t>= the qualifying benefits for households at risk today mutiplied by the relevant payment tariff based on the household scalling factors for deprivation</t>
  </si>
  <si>
    <t>Annual eligible FCERM GiA per household</t>
  </si>
  <si>
    <t>Qualifying benefits for habitat improvements</t>
  </si>
  <si>
    <t>= the change in hectares of habitat by condition type multiplied by the relevant condition benefit value and discounted for the chosen duration of benefits period</t>
  </si>
  <si>
    <t>FCERM GiA for OM4A</t>
  </si>
  <si>
    <t>= the qualifying benefits for the sum of all habitat improvements mutiplied by the natural capital FCERM GiA payment tariff</t>
  </si>
  <si>
    <t>Qualifying benefits for river improvements</t>
  </si>
  <si>
    <t>= the length of river improvement multiplied by the relevant benefit value and discounted for the chosen duration of benefits period</t>
  </si>
  <si>
    <t>FCERM GiA for OM4B</t>
  </si>
  <si>
    <t>= the qualifying benefits for the sum of all river improvements mutiplied by the natural capital FCERM GiA payment tariff</t>
  </si>
  <si>
    <t>pv calculator</t>
  </si>
  <si>
    <t>Valuing a contribution</t>
  </si>
  <si>
    <t>The following calculation is not linked to the Tables in Sections 1, 2, 3 and 4.  
Data, if required, should be copied from cell AB12 below to cell V14 for the calculation of social time present values (HMT) of a LUMP SUM contribution.</t>
  </si>
  <si>
    <t>Present value calculator</t>
  </si>
  <si>
    <t>Guidance:</t>
  </si>
  <si>
    <t>Calculate grant-in-aid funding for flood and coastal erosion risk management projects</t>
  </si>
  <si>
    <t>input cells</t>
  </si>
  <si>
    <t>Calculating a contribution</t>
  </si>
  <si>
    <t>Valuing a cash value at today's price base for a LUMP SUM contribution</t>
  </si>
  <si>
    <t>This sheet will calculate the PRESENT VALUE of a future cash sum, or series of cash sums or a contribution.</t>
  </si>
  <si>
    <t>Contributions should ideally be secured based on the value of the proposed outcomes to the contributor.  Contributors may wish to limit how and when a contribution can be spent and their preferences must be taken into account when the value of the contribution to the project is worked out.  As far as possible, contributions should be proportionate to the annualised FCERM GiA spend to which they relate.</t>
  </si>
  <si>
    <t>Cash PRESENT VALUE of a lump sum contribution (removing the effects of chosen inflation rate)</t>
  </si>
  <si>
    <t xml:space="preserve">The present value sums can be used in the PF Calculator sheet. </t>
  </si>
  <si>
    <t>Section 2</t>
  </si>
  <si>
    <t>Years over which lump sum contribution applies</t>
  </si>
  <si>
    <t>Lump sum contribution towards up-front costs (distributed in proportion over stages chosen in Section 2)</t>
  </si>
  <si>
    <t>Lump sum contribution towards future costs (distributed in proportion over stages chosen in Section 2)</t>
  </si>
  <si>
    <t>Inflation discount factor ( construction price base)
User input</t>
  </si>
  <si>
    <t>lump sum contribution in cash today's price base £
(copy to Table C)</t>
  </si>
  <si>
    <t>These calculations are provided as an aid only and are standalone from the PF Calculator and associated sheets (tabs coloured in green).   They do not replace the requirement to undertake more detailed present value calculations as part of an economic appraisal, or to agree a contribution sum with partners.</t>
  </si>
  <si>
    <t>Contribution towards up-front capital costs</t>
  </si>
  <si>
    <t>Contribution towards future costs</t>
  </si>
  <si>
    <t>contribution - up-front cash costs
(appraisal, design and build)</t>
  </si>
  <si>
    <t>contribution - future cash costs
(maintenance, operation and future capital)</t>
  </si>
  <si>
    <t>value of whole life cash lump sum contribution</t>
  </si>
  <si>
    <t>If a contribution is limited towards capital up-front costs only, the contribution should be valued over the period of time for which capital up-front FCERM GiA is proposed.  The same approach should be followed for contributions towards whole life costs, or towards maintenance and operational costs only.</t>
  </si>
  <si>
    <t>Instructions for use of this calculator</t>
  </si>
  <si>
    <t>Section 3</t>
  </si>
  <si>
    <r>
      <rPr>
        <b/>
        <sz val="12"/>
        <color indexed="8"/>
        <rFont val="Arial"/>
      </rPr>
      <t xml:space="preserve">Complete </t>
    </r>
    <r>
      <rPr>
        <b/>
        <sz val="16"/>
        <color indexed="8"/>
        <rFont val="Arial"/>
      </rPr>
      <t>Section 1</t>
    </r>
    <r>
      <rPr>
        <b/>
        <sz val="12"/>
        <color indexed="8"/>
        <rFont val="Arial"/>
      </rPr>
      <t xml:space="preserve"> first with the baseline costs (today's price base).  Results are presented in Table B</t>
    </r>
  </si>
  <si>
    <t>Enter, either a %age contribution, a present value contributions sum, or a lump sum contribution</t>
  </si>
  <si>
    <r>
      <rPr>
        <b/>
        <sz val="16"/>
        <color indexed="8"/>
        <rFont val="Arial"/>
      </rPr>
      <t>Section 2</t>
    </r>
    <r>
      <rPr>
        <b/>
        <sz val="12"/>
        <color indexed="8"/>
        <rFont val="Arial"/>
      </rPr>
      <t xml:space="preserve"> sets out the distribution of the contribution between up-front capital costs and future costs</t>
    </r>
  </si>
  <si>
    <t>The time value of a contribution</t>
  </si>
  <si>
    <r>
      <rPr>
        <b/>
        <sz val="16"/>
        <color indexed="8"/>
        <rFont val="Arial"/>
      </rPr>
      <t>Section 3</t>
    </r>
    <r>
      <rPr>
        <b/>
        <sz val="12"/>
        <color indexed="8"/>
        <rFont val="Arial"/>
      </rPr>
      <t xml:space="preserve"> should only be completed when contributors can effectively provide funding from the start of the project.  Results are presented in Table D</t>
    </r>
  </si>
  <si>
    <t>A contribution must be valued at the time it is to be spent and not at the time it is received.  In this way, contributions that are predicated on capital works only, or on maintenance only, can be valued correctly and treated in the same way as the calculation of eligible FCERM GiA.  To do otherwise would be incorrect.</t>
  </si>
  <si>
    <r>
      <rPr>
        <b/>
        <sz val="16"/>
        <color indexed="8"/>
        <rFont val="Arial"/>
      </rPr>
      <t>Section 4</t>
    </r>
    <r>
      <rPr>
        <b/>
        <sz val="12"/>
        <color indexed="8"/>
        <rFont val="Arial"/>
      </rPr>
      <t xml:space="preserve"> offers the opportunity for manual entry for contributions where there are timing considerations.  If Section 4 is required, Section 3 should be left blank.  Results are presented in Table D</t>
    </r>
  </si>
  <si>
    <t>Percentage contribution</t>
  </si>
  <si>
    <t>prior years</t>
  </si>
  <si>
    <t>Lump sum cash contribution</t>
  </si>
  <si>
    <t>this year</t>
  </si>
  <si>
    <t>The present value of project costs</t>
  </si>
  <si>
    <t>The present value of a contribution</t>
  </si>
  <si>
    <t>Lump sum contributions</t>
  </si>
  <si>
    <t>Whole life cash cost</t>
  </si>
  <si>
    <t>Whole life cash contribution</t>
  </si>
  <si>
    <t>A lump sum contribution includes for inflation over the time for which it is provided.  To calculate the cash value at the current price base requires this inflation is removed for the contribution shared over time.  The pv calculator includes a tool for this (columns Y and Z).</t>
  </si>
  <si>
    <t>Whole life present value</t>
  </si>
  <si>
    <t>Whole life present value contribution</t>
  </si>
  <si>
    <t>Section 1</t>
  </si>
  <si>
    <t>Section 4</t>
  </si>
  <si>
    <r>
      <rPr>
        <b/>
        <sz val="12"/>
        <color indexed="23"/>
        <rFont val="Calibri"/>
      </rPr>
      <t xml:space="preserve">You should ensure that the project cash data used in this calculator is for the proposed </t>
    </r>
    <r>
      <rPr>
        <b/>
        <sz val="16"/>
        <color indexed="23"/>
        <rFont val="Calibri"/>
      </rPr>
      <t>DURATION OF BENEFITS period</t>
    </r>
    <r>
      <rPr>
        <b/>
        <sz val="12"/>
        <color indexed="23"/>
        <rFont val="Calibri"/>
      </rPr>
      <t xml:space="preserve"> only.</t>
    </r>
  </si>
  <si>
    <r>
      <rPr>
        <b/>
        <sz val="12"/>
        <color indexed="23"/>
        <rFont val="Calibri"/>
      </rPr>
      <t xml:space="preserve">You should ensure that the project contribution data used in this calculator is for the proposed </t>
    </r>
    <r>
      <rPr>
        <b/>
        <sz val="16"/>
        <color indexed="23"/>
        <rFont val="Calibri"/>
      </rPr>
      <t>DURATION OF BENEFITS period</t>
    </r>
    <r>
      <rPr>
        <b/>
        <sz val="12"/>
        <color indexed="23"/>
        <rFont val="Calibri"/>
      </rPr>
      <t xml:space="preserve"> only.</t>
    </r>
  </si>
  <si>
    <t>Table A: CASH VALUE project costs at current price base</t>
  </si>
  <si>
    <t>Table B: PRESENT VALUE project costs</t>
  </si>
  <si>
    <t>Table C: CASH VALUE contribution at current price base</t>
  </si>
  <si>
    <t>Table D: PRESENT VALUE contribution</t>
  </si>
  <si>
    <t>Year after decision to invest</t>
  </si>
  <si>
    <t>whole life cash cost (current price base) £</t>
  </si>
  <si>
    <t>HMT standard discount factor (Green Book)</t>
  </si>
  <si>
    <t>whole life present value £</t>
  </si>
  <si>
    <t>Year for which contribution is provided</t>
  </si>
  <si>
    <t>whole life contribution (current price base) £</t>
  </si>
  <si>
    <t>whole life contribution present value £</t>
  </si>
  <si>
    <t>up-front costs
(appraisal, design and build)</t>
  </si>
  <si>
    <t>future costs
(maintenance, operation and future capital)</t>
  </si>
  <si>
    <t>whole life costs</t>
  </si>
  <si>
    <t>Up-front costs
(appraisal, design and build)</t>
  </si>
  <si>
    <t>present value whole life cost</t>
  </si>
  <si>
    <t>contribution - up-front costs
(appraisal, design and build)</t>
  </si>
  <si>
    <t>contribution - future costs
(maintenance, operation and future capital)</t>
  </si>
  <si>
    <t>whole life contribution</t>
  </si>
  <si>
    <t>SA1</t>
  </si>
  <si>
    <t>Partnership Funding (PF) calculator 2020 for Flood and Coastal Erosion Risk Management Grant-in-Aid (FCERM-GiA) - Sensitivity</t>
  </si>
  <si>
    <r>
      <rPr>
        <sz val="10"/>
        <color indexed="8"/>
        <rFont val="Arial"/>
      </rPr>
      <t>National Project N</t>
    </r>
    <r>
      <rPr>
        <vertAlign val="superscript"/>
        <sz val="10"/>
        <color indexed="8"/>
        <rFont val="Arial"/>
      </rPr>
      <t>o</t>
    </r>
  </si>
  <si>
    <t>Date completed</t>
  </si>
  <si>
    <t>Figures in blue to be the same as in the National FCERM Capital Programme</t>
  </si>
  <si>
    <t>lower risk</t>
  </si>
  <si>
    <t>at risk after project completion</t>
  </si>
  <si>
    <t>B57</t>
  </si>
  <si>
    <t xml:space="preserve">lower risk </t>
  </si>
  <si>
    <t>long-term loss</t>
  </si>
  <si>
    <t>Condition before the project (Ha)</t>
  </si>
  <si>
    <t>Condition after project completion (Ha)</t>
  </si>
  <si>
    <t>Type of Habitat</t>
  </si>
  <si>
    <t>Length of river habitat enhanced</t>
  </si>
  <si>
    <t>OM1</t>
  </si>
  <si>
    <t>SA2</t>
  </si>
  <si>
    <t>B58</t>
  </si>
  <si>
    <t>SA3</t>
  </si>
  <si>
    <t>Contributor or Fund</t>
  </si>
  <si>
    <t>Year today - FBC approval</t>
  </si>
  <si>
    <t>SA4</t>
  </si>
  <si>
    <t>SA5</t>
  </si>
  <si>
    <t>SA6</t>
  </si>
  <si>
    <t>No</t>
  </si>
  <si>
    <t>SA7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</si>
</sst>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0"/>
    <numFmt numFmtId="165" formatCode="dddd&quot;, &quot;mmmm&quot; &quot;dd&quot;, &quot;yyyy"/>
    <numFmt numFmtId="166" formatCode="&quot; &quot;[$£-809]* #,##0&quot; &quot;;&quot;-&quot;[$£-809]* #,##0&quot; &quot;;&quot; &quot;[$£-809]* &quot;-&quot;??&quot; &quot;"/>
    <numFmt numFmtId="167" formatCode="&quot; &quot;[$£-809]* #,##0&quot; &quot;;&quot;-&quot;[$£-809]* #,##0&quot; &quot;;&quot; &quot;[$£-809]* &quot;- &quot;"/>
    <numFmt numFmtId="168" formatCode="&quot; &quot;[$£-809]* #,##0.00&quot; &quot;;&quot;-&quot;[$£-809]* #,##0.00&quot; &quot;;&quot; &quot;[$£-809]* &quot;-&quot;??&quot; &quot;"/>
    <numFmt numFmtId="169" formatCode="0&quot; &quot;;&quot;-&quot;0&quot; &quot;"/>
    <numFmt numFmtId="170" formatCode="&quot; &quot;* #,##0&quot; &quot;;&quot;-&quot;* #,##0&quot; &quot;;&quot; &quot;* &quot;-&quot;??&quot; &quot;"/>
    <numFmt numFmtId="171" formatCode="0.0%"/>
    <numFmt numFmtId="172" formatCode="#,##0.0"/>
    <numFmt numFmtId="173" formatCode="[$£-809]#,##0;&quot;-&quot;[$£-809]#,##0"/>
    <numFmt numFmtId="174" formatCode="0.0000"/>
    <numFmt numFmtId="175" formatCode="&quot; &quot;[$£-809]* #,##0.0&quot; &quot;;&quot;-&quot;[$£-809]* #,##0.0&quot; &quot;;&quot; &quot;[$£-809]* &quot;-&quot;?&quot; &quot;"/>
  </numFmts>
  <fonts count="77">
    <font>
      <sz val="12"/>
      <color indexed="8"/>
      <name val="Arial"/>
    </font>
    <font>
      <sz val="14"/>
      <color indexed="8"/>
      <name val="Arial"/>
    </font>
    <font>
      <u/>
      <sz val="12"/>
      <color indexed="11"/>
      <name val="Arial"/>
    </font>
    <font>
      <b/>
      <sz val="18"/>
      <color indexed="8"/>
      <name val="Arial"/>
    </font>
    <font>
      <sz val="16"/>
      <color indexed="8"/>
      <name val="Arial"/>
    </font>
    <font>
      <sz val="10"/>
      <color indexed="8"/>
      <name val="Arial"/>
    </font>
    <font>
      <sz val="12"/>
      <color indexed="17"/>
      <name val="Arial"/>
    </font>
    <font>
      <b/>
      <sz val="14"/>
      <color indexed="8"/>
      <name val="Arial"/>
    </font>
    <font>
      <sz val="14"/>
      <color indexed="18"/>
      <name val="Arial"/>
    </font>
    <font>
      <u/>
      <sz val="14"/>
      <color indexed="18"/>
      <name val="Arial"/>
    </font>
    <font>
      <b/>
      <sz val="16"/>
      <color indexed="8"/>
      <name val="Arial"/>
    </font>
    <font>
      <sz val="11"/>
      <color indexed="8"/>
      <name val="Arial"/>
    </font>
    <font>
      <b/>
      <sz val="16"/>
      <color indexed="19"/>
      <name val="Arial"/>
    </font>
    <font>
      <b/>
      <sz val="26"/>
      <color indexed="8"/>
      <name val="Arial"/>
    </font>
    <font>
      <sz val="10"/>
      <color indexed="8"/>
      <name val="Arial"/>
    </font>
    <font>
      <sz val="10"/>
      <color indexed="17"/>
      <name val="Arial"/>
    </font>
    <font>
      <b/>
      <sz val="12"/>
      <color indexed="8"/>
      <name val="Arial"/>
    </font>
    <font>
      <b/>
      <i/>
      <sz val="12"/>
      <color indexed="8"/>
      <name val="Arial"/>
    </font>
    <font>
      <sz val="10"/>
      <color indexed="18"/>
      <name val="Arial"/>
    </font>
    <font>
      <b/>
      <sz val="10"/>
      <color indexed="18"/>
      <name val="Arial"/>
    </font>
    <font>
      <b/>
      <sz val="10"/>
      <color indexed="8"/>
      <name val="Arial"/>
    </font>
    <font>
      <b/>
      <sz val="10"/>
      <color indexed="8"/>
      <name val="Arial"/>
    </font>
    <font>
      <b/>
      <sz val="10"/>
      <color indexed="21"/>
      <name val="Arial"/>
    </font>
    <font>
      <b/>
      <sz val="10"/>
      <color indexed="18"/>
      <name val="Arial"/>
    </font>
    <font>
      <b/>
      <sz val="13"/>
      <color indexed="8"/>
      <name val="Arial"/>
    </font>
    <font>
      <b/>
      <sz val="10"/>
      <color indexed="22"/>
      <name val="Arial"/>
    </font>
    <font>
      <sz val="10"/>
      <color indexed="23"/>
      <name val="Arial"/>
    </font>
    <font>
      <b/>
      <sz val="10"/>
      <color indexed="23"/>
      <name val="Arial"/>
    </font>
    <font>
      <b/>
      <sz val="11"/>
      <color indexed="8"/>
      <name val="Arial"/>
    </font>
    <font>
      <b/>
      <sz val="10"/>
      <color indexed="24"/>
      <name val="Arial"/>
    </font>
    <font>
      <b/>
      <vertAlign val="superscript"/>
      <sz val="10"/>
      <color indexed="8"/>
      <name val="Arial"/>
    </font>
    <font>
      <sz val="9"/>
      <color indexed="8"/>
      <name val="Arial"/>
    </font>
    <font>
      <sz val="10"/>
      <color indexed="25"/>
      <name val="Arial"/>
    </font>
    <font>
      <b/>
      <sz val="10"/>
      <color indexed="23"/>
      <name val="Arial"/>
    </font>
    <font>
      <b/>
      <sz val="20"/>
      <color indexed="8"/>
      <name val="Arial"/>
    </font>
    <font>
      <sz val="14"/>
      <color indexed="17"/>
      <name val="Arial"/>
    </font>
    <font>
      <sz val="12"/>
      <color indexed="23"/>
      <name val="Arial"/>
    </font>
    <font>
      <b/>
      <sz val="12"/>
      <color indexed="21"/>
      <name val="Arial"/>
    </font>
    <font>
      <b/>
      <sz val="16"/>
      <color indexed="21"/>
      <name val="Arial"/>
    </font>
    <font>
      <b/>
      <sz val="12"/>
      <color indexed="26"/>
      <name val="Arial"/>
    </font>
    <font>
      <sz val="11"/>
      <color indexed="21"/>
      <name val="Arial"/>
    </font>
    <font>
      <b/>
      <sz val="11"/>
      <color indexed="21"/>
      <name val="Arial"/>
    </font>
    <font>
      <b/>
      <sz val="12"/>
      <color indexed="14"/>
      <name val="Arial"/>
    </font>
    <font>
      <vertAlign val="superscript"/>
      <sz val="11"/>
      <color indexed="8"/>
      <name val="Arial"/>
    </font>
    <font>
      <sz val="11"/>
      <color indexed="24"/>
      <name val="Arial"/>
    </font>
    <font>
      <b/>
      <vertAlign val="superscript"/>
      <sz val="16"/>
      <color indexed="8"/>
      <name val="Arial"/>
    </font>
    <font>
      <b/>
      <sz val="12"/>
      <color indexed="23"/>
      <name val="Arial"/>
    </font>
    <font>
      <sz val="11"/>
      <color indexed="17"/>
      <name val="Arial"/>
    </font>
    <font>
      <vertAlign val="subscript"/>
      <sz val="11"/>
      <color indexed="8"/>
      <name val="Arial"/>
    </font>
    <font>
      <b/>
      <sz val="16"/>
      <color indexed="14"/>
      <name val="Arial"/>
    </font>
    <font>
      <sz val="12"/>
      <color indexed="14"/>
      <name val="Arial"/>
    </font>
    <font>
      <sz val="10"/>
      <color indexed="14"/>
      <name val="Arial"/>
    </font>
    <font>
      <sz val="12"/>
      <color indexed="18"/>
      <name val="Arial"/>
    </font>
    <font>
      <u/>
      <sz val="12"/>
      <color indexed="18"/>
      <name val="Arial"/>
    </font>
    <font>
      <sz val="11"/>
      <color indexed="8"/>
      <name val="Helvetica Neue"/>
    </font>
    <font>
      <b/>
      <sz val="10"/>
      <color indexed="14"/>
      <name val="Arial"/>
    </font>
    <font>
      <b/>
      <u/>
      <sz val="18"/>
      <color indexed="8"/>
      <name val="Arial"/>
    </font>
    <font>
      <sz val="14"/>
      <color indexed="22"/>
      <name val="Arial"/>
    </font>
    <font>
      <b/>
      <sz val="18"/>
      <color indexed="8"/>
      <name val="Calibri"/>
    </font>
    <font>
      <b/>
      <u/>
      <sz val="20"/>
      <color indexed="8"/>
      <name val="Arial"/>
    </font>
    <font>
      <b/>
      <sz val="16"/>
      <color indexed="8"/>
      <name val="Calibri"/>
    </font>
    <font>
      <b/>
      <sz val="11"/>
      <color indexed="8"/>
      <name val="Calibri"/>
    </font>
    <font>
      <b/>
      <sz val="11"/>
      <color indexed="31"/>
      <name val="Calibri"/>
    </font>
    <font>
      <b/>
      <sz val="14"/>
      <color indexed="8"/>
      <name val="Calibri"/>
    </font>
    <font>
      <b/>
      <sz val="11"/>
      <color indexed="23"/>
      <name val="Calibri"/>
    </font>
    <font>
      <sz val="11"/>
      <color indexed="8"/>
      <name val="Calibri"/>
    </font>
    <font>
      <sz val="11"/>
      <color indexed="31"/>
      <name val="Calibri"/>
    </font>
    <font>
      <b/>
      <sz val="12"/>
      <color indexed="23"/>
      <name val="Calibri"/>
    </font>
    <font>
      <b/>
      <sz val="16"/>
      <color indexed="23"/>
      <name val="Calibri"/>
    </font>
    <font>
      <sz val="16"/>
      <color indexed="34"/>
      <name val="Calibri"/>
    </font>
    <font>
      <b/>
      <sz val="18"/>
      <color indexed="31"/>
      <name val="Calibri"/>
    </font>
    <font>
      <i/>
      <sz val="10"/>
      <color indexed="8"/>
      <name val="Arial"/>
    </font>
    <font>
      <b/>
      <sz val="12"/>
      <color indexed="17"/>
      <name val="Arial"/>
    </font>
    <font>
      <vertAlign val="superscript"/>
      <sz val="10"/>
      <color indexed="8"/>
      <name val="Arial"/>
    </font>
    <font>
      <b/>
      <i/>
      <sz val="10"/>
      <color indexed="8"/>
      <name val="Arial"/>
    </font>
    <font>
      <sz val="10"/>
      <color indexed="23"/>
      <name val="Arial"/>
    </font>
    <font>
      <b/>
      <i/>
      <sz val="10"/>
      <color indexed="35"/>
      <name val="Arial"/>
    </font>
  </fonts>
  <fills count="1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20"/>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2"/>
        <bgColor auto="1"/>
      </patternFill>
    </fill>
    <fill>
      <patternFill patternType="solid">
        <fgColor indexed="33"/>
        <bgColor auto="1"/>
      </patternFill>
    </fill>
    <fill>
      <patternFill patternType="solid">
        <fgColor indexed="35"/>
        <bgColor auto="1"/>
      </patternFill>
    </fill>
    <fill>
      <patternFill patternType="solid">
        <fgColor indexed="36"/>
        <bgColor auto="1"/>
      </patternFill>
    </fill>
  </fills>
  <borders count="14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style="thin">
        <color indexed="8"/>
      </bottom>
      <diagonal/>
    </border>
    <border>
      <left/>
      <right/>
      <top/>
      <bottom style="thin">
        <color indexed="8"/>
      </bottom>
      <diagonal/>
    </border>
    <border>
      <left style="thin">
        <color indexed="13"/>
      </left>
      <right/>
      <top style="thin">
        <color indexed="8"/>
      </top>
      <bottom/>
      <diagonal/>
    </border>
    <border>
      <left/>
      <right/>
      <top style="thin">
        <color indexed="8"/>
      </top>
      <bottom style="medium">
        <color indexed="8"/>
      </bottom>
      <diagonal/>
    </border>
    <border>
      <left/>
      <right/>
      <top style="thin">
        <color indexed="8"/>
      </top>
      <bottom/>
      <diagonal/>
    </border>
    <border>
      <left/>
      <right/>
      <top style="thin">
        <color indexed="8"/>
      </top>
      <bottom style="thin">
        <color indexed="8"/>
      </bottom>
      <diagonal/>
    </border>
    <border>
      <left style="thin">
        <color indexed="13"/>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bottom/>
      <diagonal/>
    </border>
    <border>
      <left style="medium">
        <color indexed="8"/>
      </left>
      <right style="medium">
        <color indexed="8"/>
      </right>
      <top style="thin">
        <color indexed="8"/>
      </top>
      <bottom style="thin">
        <color indexed="8"/>
      </bottom>
      <diagonal/>
    </border>
    <border>
      <left style="medium">
        <color indexed="8"/>
      </left>
      <right/>
      <top/>
      <bottom/>
      <diagonal/>
    </border>
    <border>
      <left/>
      <right/>
      <top/>
      <bottom/>
      <diagonal/>
    </border>
    <border>
      <left style="medium">
        <color indexed="8"/>
      </left>
      <right style="medium">
        <color indexed="8"/>
      </right>
      <top style="thin">
        <color indexed="8"/>
      </top>
      <bottom/>
      <diagonal/>
    </border>
    <border>
      <left style="medium">
        <color indexed="8"/>
      </left>
      <right style="medium">
        <color indexed="8"/>
      </right>
      <top/>
      <bottom style="medium">
        <color indexed="8"/>
      </bottom>
      <diagonal/>
    </border>
    <border>
      <left style="medium">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top/>
      <bottom/>
      <diagonal/>
    </border>
    <border>
      <left/>
      <right/>
      <top style="medium">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13"/>
      </left>
      <right style="thin">
        <color indexed="8"/>
      </right>
      <top/>
      <bottom/>
      <diagonal/>
    </border>
    <border>
      <left style="thin">
        <color indexed="8"/>
      </left>
      <right/>
      <top/>
      <bottom style="dashed">
        <color indexed="8"/>
      </bottom>
      <diagonal/>
    </border>
    <border>
      <left/>
      <right/>
      <top/>
      <bottom style="dashed">
        <color indexed="8"/>
      </bottom>
      <diagonal/>
    </border>
    <border>
      <left/>
      <right style="thin">
        <color indexed="8"/>
      </right>
      <top/>
      <bottom style="dashed">
        <color indexed="8"/>
      </bottom>
      <diagonal/>
    </border>
    <border>
      <left style="thin">
        <color indexed="8"/>
      </left>
      <right/>
      <top style="dashed">
        <color indexed="8"/>
      </top>
      <bottom/>
      <diagonal/>
    </border>
    <border>
      <left/>
      <right/>
      <top style="dashed">
        <color indexed="8"/>
      </top>
      <bottom/>
      <diagonal/>
    </border>
    <border>
      <left/>
      <right style="thin">
        <color indexed="8"/>
      </right>
      <top style="dashed">
        <color indexed="8"/>
      </top>
      <bottom/>
      <diagonal/>
    </border>
    <border>
      <left style="thin">
        <color indexed="8"/>
      </left>
      <right/>
      <top style="dashed">
        <color indexed="8"/>
      </top>
      <bottom style="dashed">
        <color indexed="8"/>
      </bottom>
      <diagonal/>
    </border>
    <border>
      <left/>
      <right/>
      <top style="dashed">
        <color indexed="8"/>
      </top>
      <bottom style="dashed">
        <color indexed="8"/>
      </bottom>
      <diagonal/>
    </border>
    <border>
      <left/>
      <right style="thin">
        <color indexed="8"/>
      </right>
      <top style="dashed">
        <color indexed="8"/>
      </top>
      <bottom style="dashed">
        <color indexed="8"/>
      </bottom>
      <diagonal/>
    </border>
    <border>
      <left style="thin">
        <color indexed="8"/>
      </left>
      <right/>
      <top style="dashed">
        <color indexed="8"/>
      </top>
      <bottom style="thin">
        <color indexed="8"/>
      </bottom>
      <diagonal/>
    </border>
    <border>
      <left/>
      <right/>
      <top style="dashed">
        <color indexed="8"/>
      </top>
      <bottom style="thin">
        <color indexed="8"/>
      </bottom>
      <diagonal/>
    </border>
    <border>
      <left/>
      <right style="thin">
        <color indexed="8"/>
      </right>
      <top style="dashed">
        <color indexed="8"/>
      </top>
      <bottom style="thin">
        <color indexed="8"/>
      </bottom>
      <diagonal/>
    </border>
    <border>
      <left style="thin">
        <color indexed="13"/>
      </left>
      <right/>
      <top/>
      <bottom style="thin">
        <color indexed="13"/>
      </bottom>
      <diagonal/>
    </border>
    <border>
      <left/>
      <right/>
      <top style="thin">
        <color indexed="8"/>
      </top>
      <bottom style="thin">
        <color indexed="13"/>
      </bottom>
      <diagonal/>
    </border>
    <border>
      <left/>
      <right/>
      <top/>
      <bottom style="thin">
        <color indexed="13"/>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diagonal/>
    </border>
    <border>
      <left/>
      <right style="thin">
        <color indexed="13"/>
      </right>
      <top/>
      <bottom/>
      <diagonal/>
    </border>
    <border>
      <left/>
      <right/>
      <top/>
      <bottom style="thick">
        <color indexed="17"/>
      </bottom>
      <diagonal/>
    </border>
    <border>
      <left/>
      <right/>
      <top style="thick">
        <color indexed="17"/>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bottom style="medium">
        <color indexed="8"/>
      </bottom>
      <diagonal/>
    </border>
    <border>
      <left/>
      <right style="medium">
        <color indexed="8"/>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diagonal/>
    </border>
    <border>
      <left style="medium">
        <color indexed="8"/>
      </left>
      <right/>
      <top/>
      <bottom style="medium">
        <color indexed="8"/>
      </bottom>
      <diagonal/>
    </border>
    <border>
      <left style="thin">
        <color indexed="8"/>
      </left>
      <right/>
      <top style="thin">
        <color indexed="8"/>
      </top>
      <bottom style="medium">
        <color indexed="8"/>
      </bottom>
      <diagonal/>
    </border>
    <border>
      <left/>
      <right style="thin">
        <color indexed="8"/>
      </right>
      <top style="thin">
        <color indexed="8"/>
      </top>
      <bottom style="medium">
        <color indexed="8"/>
      </bottom>
      <diagonal/>
    </border>
    <border>
      <left style="medium">
        <color indexed="8"/>
      </left>
      <right/>
      <top style="thin">
        <color indexed="8"/>
      </top>
      <bottom/>
      <diagonal/>
    </border>
    <border>
      <left style="medium">
        <color indexed="8"/>
      </left>
      <right style="medium">
        <color indexed="8"/>
      </right>
      <top style="medium">
        <color indexed="8"/>
      </top>
      <bottom style="medium">
        <color indexed="8"/>
      </bottom>
      <diagonal/>
    </border>
    <border>
      <left style="thin">
        <color indexed="8"/>
      </left>
      <right style="medium">
        <color indexed="8"/>
      </right>
      <top/>
      <bottom/>
      <diagonal/>
    </border>
    <border>
      <left style="thin">
        <color indexed="8"/>
      </left>
      <right style="thin">
        <color indexed="8"/>
      </right>
      <top style="dashed">
        <color indexed="8"/>
      </top>
      <bottom style="dashed">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diagonal/>
    </border>
    <border>
      <left/>
      <right/>
      <top style="medium">
        <color indexed="8"/>
      </top>
      <bottom style="thin">
        <color indexed="8"/>
      </bottom>
      <diagonal/>
    </border>
    <border>
      <left style="thin">
        <color indexed="13"/>
      </left>
      <right/>
      <top style="thin">
        <color indexed="8"/>
      </top>
      <bottom style="thin">
        <color indexed="13"/>
      </bottom>
      <diagonal/>
    </border>
    <border>
      <left/>
      <right style="thin">
        <color indexed="13"/>
      </right>
      <top/>
      <bottom style="thin">
        <color indexed="13"/>
      </bottom>
      <diagonal/>
    </border>
    <border>
      <left style="thin">
        <color indexed="13"/>
      </left>
      <right/>
      <top/>
      <bottom style="medium">
        <color indexed="17"/>
      </bottom>
      <diagonal/>
    </border>
    <border>
      <left/>
      <right/>
      <top/>
      <bottom style="medium">
        <color indexed="17"/>
      </bottom>
      <diagonal/>
    </border>
    <border>
      <left style="thin">
        <color indexed="13"/>
      </left>
      <right/>
      <top style="medium">
        <color indexed="17"/>
      </top>
      <bottom/>
      <diagonal/>
    </border>
    <border>
      <left/>
      <right/>
      <top style="medium">
        <color indexed="17"/>
      </top>
      <bottom/>
      <diagonal/>
    </border>
    <border>
      <left style="thin">
        <color indexed="13"/>
      </left>
      <right/>
      <top/>
      <bottom style="medium">
        <color indexed="8"/>
      </bottom>
      <diagonal/>
    </border>
    <border>
      <left style="thin">
        <color indexed="13"/>
      </left>
      <right style="thin">
        <color indexed="13"/>
      </right>
      <top style="thin">
        <color indexed="13"/>
      </top>
      <bottom/>
      <diagonal/>
    </border>
    <border>
      <left style="thin">
        <color indexed="8"/>
      </left>
      <right/>
      <top style="medium">
        <color indexed="8"/>
      </top>
      <bottom style="medium">
        <color indexed="8"/>
      </bottom>
      <diagonal/>
    </border>
    <border>
      <left/>
      <right style="thin">
        <color indexed="8"/>
      </right>
      <top style="medium">
        <color indexed="8"/>
      </top>
      <bottom style="medium">
        <color indexed="8"/>
      </bottom>
      <diagonal/>
    </border>
    <border>
      <left style="thin">
        <color indexed="13"/>
      </left>
      <right/>
      <top style="thin">
        <color indexed="13"/>
      </top>
      <bottom style="thin">
        <color indexed="13"/>
      </bottom>
      <diagonal/>
    </border>
    <border>
      <left style="thin">
        <color indexed="8"/>
      </left>
      <right style="thin">
        <color indexed="8"/>
      </right>
      <top style="medium">
        <color indexed="8"/>
      </top>
      <bottom style="thin">
        <color indexed="8"/>
      </bottom>
      <diagonal/>
    </border>
    <border>
      <left style="thin">
        <color indexed="13"/>
      </left>
      <right style="thin">
        <color indexed="13"/>
      </right>
      <top/>
      <bottom style="thin">
        <color indexed="13"/>
      </bottom>
      <diagonal/>
    </border>
    <border>
      <left style="thin">
        <color indexed="13"/>
      </left>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13"/>
      </left>
      <right/>
      <top style="medium">
        <color indexed="8"/>
      </top>
      <bottom/>
      <diagonal/>
    </border>
    <border>
      <left style="medium">
        <color indexed="8"/>
      </left>
      <right style="medium">
        <color indexed="8"/>
      </right>
      <top style="thin">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medium">
        <color indexed="8"/>
      </left>
      <right style="thin">
        <color indexed="13"/>
      </right>
      <top style="thin">
        <color indexed="13"/>
      </top>
      <bottom style="thin">
        <color indexed="13"/>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thin">
        <color indexed="13"/>
      </top>
      <bottom style="medium">
        <color indexed="8"/>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13"/>
      </left>
      <right/>
      <top style="medium">
        <color indexed="8"/>
      </top>
      <bottom style="thin">
        <color indexed="13"/>
      </bottom>
      <diagonal/>
    </border>
    <border>
      <left/>
      <right/>
      <top style="medium">
        <color indexed="8"/>
      </top>
      <bottom style="thin">
        <color indexed="13"/>
      </bottom>
      <diagonal/>
    </border>
    <border>
      <left/>
      <right style="thin">
        <color indexed="13"/>
      </right>
      <top/>
      <bottom style="medium">
        <color indexed="8"/>
      </bottom>
      <diagonal/>
    </border>
    <border>
      <left/>
      <right style="thin">
        <color indexed="13"/>
      </right>
      <top style="medium">
        <color indexed="8"/>
      </top>
      <bottom/>
      <diagonal/>
    </border>
    <border>
      <left/>
      <right style="medium">
        <color indexed="8"/>
      </right>
      <top style="medium">
        <color indexed="8"/>
      </top>
      <bottom/>
      <diagonal/>
    </border>
    <border>
      <left style="medium">
        <color indexed="8"/>
      </left>
      <right style="thin">
        <color indexed="13"/>
      </right>
      <top/>
      <bottom/>
      <diagonal/>
    </border>
    <border>
      <left/>
      <right style="medium">
        <color indexed="8"/>
      </right>
      <top/>
      <bottom style="medium">
        <color indexed="8"/>
      </bottom>
      <diagonal/>
    </border>
    <border>
      <left style="medium">
        <color indexed="8"/>
      </left>
      <right/>
      <top/>
      <bottom style="thin">
        <color indexed="8"/>
      </bottom>
      <diagonal/>
    </border>
    <border>
      <left/>
      <right style="medium">
        <color indexed="8"/>
      </right>
      <top/>
      <bottom style="thin">
        <color indexed="8"/>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medium">
        <color indexed="8"/>
      </right>
      <top style="thin">
        <color indexed="8"/>
      </top>
      <bottom/>
      <diagonal/>
    </border>
    <border>
      <left/>
      <right style="medium">
        <color indexed="8"/>
      </right>
      <top style="thin">
        <color indexed="8"/>
      </top>
      <bottom style="thin">
        <color indexed="8"/>
      </bottom>
      <diagonal/>
    </border>
    <border>
      <left style="medium">
        <color indexed="8"/>
      </left>
      <right style="thin">
        <color indexed="8"/>
      </right>
      <top/>
      <bottom style="thin">
        <color indexed="8"/>
      </bottom>
      <diagonal/>
    </border>
    <border>
      <left style="medium">
        <color indexed="8"/>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top/>
      <bottom style="thin">
        <color indexed="13"/>
      </bottom>
      <diagonal/>
    </border>
    <border>
      <left style="medium">
        <color indexed="8"/>
      </left>
      <right style="thin">
        <color indexed="8"/>
      </right>
      <top style="thin">
        <color indexed="8"/>
      </top>
      <bottom/>
      <diagonal/>
    </border>
    <border>
      <left style="thin">
        <color indexed="8"/>
      </left>
      <right style="thin">
        <color indexed="8"/>
      </right>
      <top/>
      <bottom style="medium">
        <color indexed="8"/>
      </bottom>
      <diagonal/>
    </border>
    <border>
      <left style="thin">
        <color indexed="8"/>
      </left>
      <right style="medium">
        <color indexed="8"/>
      </right>
      <top/>
      <bottom style="thin">
        <color indexed="8"/>
      </bottom>
      <diagonal/>
    </border>
    <border>
      <left style="medium">
        <color indexed="8"/>
      </left>
      <right style="medium">
        <color indexed="8"/>
      </right>
      <top/>
      <bottom style="thin">
        <color indexed="8"/>
      </bottom>
      <diagonal/>
    </border>
    <border>
      <left style="medium">
        <color indexed="8"/>
      </left>
      <right style="medium">
        <color indexed="8"/>
      </right>
      <top/>
      <bottom style="thin">
        <color indexed="13"/>
      </bottom>
      <diagonal/>
    </border>
    <border>
      <left/>
      <right style="medium">
        <color indexed="8"/>
      </right>
      <top/>
      <bottom style="thin">
        <color indexed="13"/>
      </bottom>
      <diagonal/>
    </border>
    <border>
      <left style="thin">
        <color indexed="8"/>
      </left>
      <right style="medium">
        <color indexed="8"/>
      </right>
      <top/>
      <bottom style="thin">
        <color indexed="13"/>
      </bottom>
      <diagonal/>
    </border>
    <border>
      <left style="medium">
        <color indexed="8"/>
      </left>
      <right/>
      <top style="thin">
        <color indexed="13"/>
      </top>
      <bottom/>
      <diagonal/>
    </border>
    <border>
      <left style="medium">
        <color indexed="8"/>
      </left>
      <right/>
      <top style="medium">
        <color indexed="8"/>
      </top>
      <bottom style="thin">
        <color indexed="13"/>
      </bottom>
      <diagonal/>
    </border>
    <border>
      <left style="medium">
        <color indexed="8"/>
      </left>
      <right/>
      <top style="thin">
        <color indexed="13"/>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top style="thin">
        <color indexed="8"/>
      </top>
      <bottom style="medium">
        <color indexed="8"/>
      </bottom>
      <diagonal/>
    </border>
  </borders>
  <cellStyleXfs count="1">
    <xf numFmtId="0" fontId="0" fillId="0" borderId="0" applyNumberFormat="0" applyFill="0" applyBorder="0" applyProtection="0"/>
  </cellStyleXfs>
  <cellXfs count="1324">
    <xf numFmtId="0" fontId="0" fillId="0" borderId="0" xfId="0"/>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2" fillId="3" borderId="0" xfId="0" applyFont="1" applyFill="1" applyAlignment="1">
      <alignment horizontal="left"/>
    </xf>
    <xf numFmtId="0" fontId="0" fillId="0" borderId="0" xfId="0" applyNumberFormat="1"/>
    <xf numFmtId="0" fontId="0" fillId="4" borderId="1" xfId="0" applyFill="1" applyBorder="1" applyAlignment="1">
      <alignment vertical="top"/>
    </xf>
    <xf numFmtId="0" fontId="0" fillId="4" borderId="2" xfId="0" applyFill="1" applyBorder="1" applyAlignment="1">
      <alignment vertical="top"/>
    </xf>
    <xf numFmtId="0" fontId="0" fillId="4" borderId="2" xfId="0" applyFill="1" applyBorder="1" applyAlignment="1">
      <alignment vertical="center"/>
    </xf>
    <xf numFmtId="0" fontId="0" fillId="5" borderId="3" xfId="0" applyFill="1" applyBorder="1" applyAlignment="1">
      <alignment vertical="top"/>
    </xf>
    <xf numFmtId="0" fontId="0" fillId="5" borderId="4" xfId="0" applyFill="1" applyBorder="1" applyAlignment="1">
      <alignment vertical="top"/>
    </xf>
    <xf numFmtId="0" fontId="0" fillId="4" borderId="5" xfId="0" applyFill="1" applyBorder="1" applyAlignment="1">
      <alignment vertical="top"/>
    </xf>
    <xf numFmtId="49" fontId="3" fillId="4" borderId="6" xfId="0" applyNumberFormat="1" applyFont="1" applyFill="1" applyBorder="1" applyAlignment="1">
      <alignment vertical="top"/>
    </xf>
    <xf numFmtId="0" fontId="0" fillId="4" borderId="6" xfId="0" applyFill="1" applyBorder="1" applyAlignment="1">
      <alignment vertical="top"/>
    </xf>
    <xf numFmtId="0" fontId="0" fillId="4" borderId="6" xfId="0" applyFill="1" applyBorder="1" applyAlignment="1">
      <alignment vertical="center"/>
    </xf>
    <xf numFmtId="0" fontId="0" fillId="4" borderId="7" xfId="0" applyFill="1" applyBorder="1" applyAlignment="1">
      <alignment vertical="top"/>
    </xf>
    <xf numFmtId="0" fontId="0" fillId="4" borderId="8" xfId="0" applyFill="1" applyBorder="1" applyAlignment="1">
      <alignment vertical="top"/>
    </xf>
    <xf numFmtId="0" fontId="0" fillId="4" borderId="9" xfId="0" applyFill="1" applyBorder="1" applyAlignment="1">
      <alignment vertical="top"/>
    </xf>
    <xf numFmtId="0" fontId="0" fillId="4" borderId="10" xfId="0" applyFill="1" applyBorder="1" applyAlignment="1">
      <alignment vertical="center"/>
    </xf>
    <xf numFmtId="0" fontId="0" fillId="4" borderId="10" xfId="0" applyFill="1" applyBorder="1" applyAlignment="1">
      <alignment vertical="top"/>
    </xf>
    <xf numFmtId="0" fontId="0" fillId="4" borderId="11" xfId="0" applyFill="1" applyBorder="1" applyAlignment="1">
      <alignment vertical="top"/>
    </xf>
    <xf numFmtId="49" fontId="4" fillId="6" borderId="12" xfId="0" applyNumberFormat="1" applyFont="1" applyFill="1" applyBorder="1" applyAlignment="1">
      <alignment vertical="top"/>
    </xf>
    <xf numFmtId="49" fontId="4" fillId="7" borderId="13" xfId="0" applyNumberFormat="1" applyFont="1" applyFill="1" applyBorder="1" applyAlignment="1">
      <alignment vertical="top"/>
    </xf>
    <xf numFmtId="0" fontId="0" fillId="4" borderId="14" xfId="0" applyFill="1" applyBorder="1" applyAlignment="1">
      <alignment vertical="top"/>
    </xf>
    <xf numFmtId="0" fontId="0" fillId="4" borderId="16" xfId="0" applyFill="1" applyBorder="1" applyAlignment="1">
      <alignment vertical="top"/>
    </xf>
    <xf numFmtId="0" fontId="5" fillId="5" borderId="4" xfId="0" applyFont="1" applyFill="1" applyBorder="1" applyAlignment="1">
      <alignment vertical="center"/>
    </xf>
    <xf numFmtId="49" fontId="4" fillId="7" borderId="18" xfId="0" applyNumberFormat="1" applyFont="1" applyFill="1" applyBorder="1" applyAlignment="1">
      <alignment vertical="top" wrapText="1"/>
    </xf>
    <xf numFmtId="0" fontId="0" fillId="4" borderId="14" xfId="0" applyFill="1" applyBorder="1" applyAlignment="1">
      <alignment vertical="top" wrapText="1"/>
    </xf>
    <xf numFmtId="49" fontId="4" fillId="7" borderId="20" xfId="0" applyNumberFormat="1" applyFont="1" applyFill="1" applyBorder="1" applyAlignment="1">
      <alignment vertical="top" wrapText="1"/>
    </xf>
    <xf numFmtId="0" fontId="0" fillId="4" borderId="21" xfId="0" applyFill="1" applyBorder="1" applyAlignment="1">
      <alignment vertical="top" wrapText="1"/>
    </xf>
    <xf numFmtId="0" fontId="0" fillId="4" borderId="22" xfId="0" applyFill="1" applyBorder="1" applyAlignment="1">
      <alignment vertical="top"/>
    </xf>
    <xf numFmtId="0" fontId="0" fillId="4" borderId="14" xfId="0" applyFill="1" applyBorder="1" applyAlignment="1">
      <alignment horizontal="left" vertical="top" wrapText="1"/>
    </xf>
    <xf numFmtId="0" fontId="0" fillId="4" borderId="21" xfId="0" applyFill="1" applyBorder="1" applyAlignment="1">
      <alignment horizontal="left" vertical="top" wrapText="1"/>
    </xf>
    <xf numFmtId="0" fontId="0" fillId="4" borderId="10" xfId="0" applyFill="1" applyBorder="1" applyAlignment="1">
      <alignment vertical="center" wrapText="1"/>
    </xf>
    <xf numFmtId="0" fontId="6" fillId="5" borderId="4" xfId="0" applyFont="1" applyFill="1" applyBorder="1" applyAlignment="1">
      <alignment vertical="top"/>
    </xf>
    <xf numFmtId="49" fontId="4" fillId="7" borderId="30" xfId="0" applyNumberFormat="1" applyFont="1" applyFill="1" applyBorder="1" applyAlignment="1">
      <alignment vertical="top"/>
    </xf>
    <xf numFmtId="0" fontId="0" fillId="4" borderId="21" xfId="0" applyFill="1" applyBorder="1" applyAlignment="1">
      <alignment vertical="top"/>
    </xf>
    <xf numFmtId="0" fontId="0" fillId="4" borderId="10" xfId="0" applyFill="1" applyBorder="1" applyAlignment="1">
      <alignment horizontal="left" vertical="center" wrapText="1"/>
    </xf>
    <xf numFmtId="49" fontId="4" fillId="7" borderId="32" xfId="0" applyNumberFormat="1" applyFont="1" applyFill="1" applyBorder="1" applyAlignment="1">
      <alignment vertical="top"/>
    </xf>
    <xf numFmtId="49" fontId="4" fillId="7" borderId="39" xfId="0" applyNumberFormat="1" applyFont="1" applyFill="1" applyBorder="1" applyAlignment="1">
      <alignment vertical="top"/>
    </xf>
    <xf numFmtId="49" fontId="10" fillId="7" borderId="13" xfId="0" applyNumberFormat="1" applyFont="1" applyFill="1" applyBorder="1" applyAlignment="1">
      <alignment vertical="top"/>
    </xf>
    <xf numFmtId="0" fontId="11" fillId="4" borderId="14" xfId="0" applyFont="1" applyFill="1" applyBorder="1" applyAlignment="1">
      <alignment vertical="top"/>
    </xf>
    <xf numFmtId="0" fontId="0" fillId="4" borderId="40" xfId="0" applyFill="1" applyBorder="1" applyAlignment="1">
      <alignment vertical="top"/>
    </xf>
    <xf numFmtId="0" fontId="0" fillId="4" borderId="37" xfId="0" applyFill="1" applyBorder="1" applyAlignment="1">
      <alignment vertical="top"/>
    </xf>
    <xf numFmtId="0" fontId="1" fillId="4" borderId="10" xfId="0" applyFont="1" applyFill="1" applyBorder="1" applyAlignment="1">
      <alignment vertical="top"/>
    </xf>
    <xf numFmtId="0" fontId="0" fillId="4" borderId="45" xfId="0" applyFill="1" applyBorder="1" applyAlignment="1">
      <alignment vertical="top"/>
    </xf>
    <xf numFmtId="0" fontId="0" fillId="4" borderId="58" xfId="0" applyFill="1" applyBorder="1" applyAlignment="1">
      <alignment vertical="top"/>
    </xf>
    <xf numFmtId="0" fontId="0" fillId="4" borderId="59" xfId="0" applyFill="1" applyBorder="1" applyAlignment="1">
      <alignment vertical="top"/>
    </xf>
    <xf numFmtId="0" fontId="0" fillId="4" borderId="59" xfId="0" applyFill="1" applyBorder="1" applyAlignment="1">
      <alignment vertical="center"/>
    </xf>
    <xf numFmtId="0" fontId="0" fillId="4" borderId="60" xfId="0" applyFill="1" applyBorder="1" applyAlignment="1">
      <alignment vertical="top"/>
    </xf>
    <xf numFmtId="0" fontId="0" fillId="5" borderId="61" xfId="0" applyFill="1" applyBorder="1" applyAlignment="1">
      <alignment vertical="center"/>
    </xf>
    <xf numFmtId="0" fontId="0" fillId="5" borderId="62" xfId="0" applyFill="1" applyBorder="1" applyAlignment="1">
      <alignment vertical="center"/>
    </xf>
    <xf numFmtId="0" fontId="0" fillId="5" borderId="2" xfId="0" applyFill="1" applyBorder="1" applyAlignment="1">
      <alignment vertical="center"/>
    </xf>
    <xf numFmtId="0" fontId="0" fillId="5" borderId="63" xfId="0" applyFill="1" applyBorder="1" applyAlignment="1">
      <alignment vertical="center"/>
    </xf>
    <xf numFmtId="0" fontId="0" fillId="4" borderId="34" xfId="0" applyFill="1" applyBorder="1" applyAlignment="1">
      <alignment vertical="center"/>
    </xf>
    <xf numFmtId="0" fontId="0" fillId="4" borderId="35" xfId="0" applyFill="1" applyBorder="1" applyAlignment="1">
      <alignment vertical="center"/>
    </xf>
    <xf numFmtId="0" fontId="0" fillId="5" borderId="16" xfId="0" applyFill="1" applyBorder="1" applyAlignment="1">
      <alignment vertical="center"/>
    </xf>
    <xf numFmtId="0" fontId="0" fillId="5" borderId="22" xfId="0" applyFill="1" applyBorder="1" applyAlignment="1">
      <alignment vertical="center"/>
    </xf>
    <xf numFmtId="0" fontId="0" fillId="5" borderId="64" xfId="0" applyFill="1" applyBorder="1" applyAlignment="1">
      <alignment vertical="center"/>
    </xf>
    <xf numFmtId="0" fontId="0" fillId="4" borderId="16" xfId="0" applyFill="1" applyBorder="1" applyAlignment="1">
      <alignment vertical="center"/>
    </xf>
    <xf numFmtId="0" fontId="3" fillId="4" borderId="22" xfId="0" applyFont="1" applyFill="1" applyBorder="1" applyAlignment="1">
      <alignment horizontal="left" vertical="center"/>
    </xf>
    <xf numFmtId="0" fontId="0" fillId="4" borderId="37" xfId="0" applyFill="1" applyBorder="1" applyAlignment="1">
      <alignment vertical="center"/>
    </xf>
    <xf numFmtId="49" fontId="14" fillId="4" borderId="37" xfId="0" applyNumberFormat="1" applyFont="1" applyFill="1" applyBorder="1" applyAlignment="1">
      <alignment horizontal="right" vertical="center"/>
    </xf>
    <xf numFmtId="49" fontId="14" fillId="5" borderId="15" xfId="0" applyNumberFormat="1" applyFont="1" applyFill="1" applyBorder="1" applyAlignment="1">
      <alignment horizontal="center" vertical="center"/>
    </xf>
    <xf numFmtId="49" fontId="14" fillId="6" borderId="15" xfId="0" applyNumberFormat="1" applyFont="1" applyFill="1" applyBorder="1" applyAlignment="1">
      <alignment horizontal="center" vertical="center"/>
    </xf>
    <xf numFmtId="0" fontId="0" fillId="4" borderId="36" xfId="0" applyFill="1" applyBorder="1" applyAlignment="1">
      <alignment vertical="center"/>
    </xf>
    <xf numFmtId="0" fontId="14" fillId="5" borderId="16" xfId="0" applyFont="1" applyFill="1" applyBorder="1" applyAlignment="1">
      <alignment vertical="center"/>
    </xf>
    <xf numFmtId="0" fontId="15" fillId="5" borderId="22" xfId="0" applyFont="1" applyFill="1" applyBorder="1" applyAlignment="1">
      <alignment vertical="center"/>
    </xf>
    <xf numFmtId="49" fontId="16" fillId="4" borderId="66" xfId="0" applyNumberFormat="1" applyFont="1" applyFill="1" applyBorder="1" applyAlignment="1">
      <alignment horizontal="left" vertical="center"/>
    </xf>
    <xf numFmtId="0" fontId="16" fillId="4" borderId="66" xfId="0" applyFont="1" applyFill="1" applyBorder="1" applyAlignment="1">
      <alignment horizontal="left" vertical="center"/>
    </xf>
    <xf numFmtId="0" fontId="0" fillId="4" borderId="66" xfId="0" applyFill="1" applyBorder="1" applyAlignment="1">
      <alignment horizontal="left" vertical="center"/>
    </xf>
    <xf numFmtId="0" fontId="0" fillId="4" borderId="66" xfId="0" applyFill="1" applyBorder="1" applyAlignment="1">
      <alignment vertical="center"/>
    </xf>
    <xf numFmtId="0" fontId="11" fillId="4" borderId="37" xfId="0" applyFont="1" applyFill="1" applyBorder="1" applyAlignment="1">
      <alignment vertical="center"/>
    </xf>
    <xf numFmtId="0" fontId="17" fillId="5" borderId="22" xfId="0" applyFont="1" applyFill="1" applyBorder="1" applyAlignment="1">
      <alignment vertical="center"/>
    </xf>
    <xf numFmtId="0" fontId="17" fillId="5" borderId="64" xfId="0" applyFont="1" applyFill="1" applyBorder="1" applyAlignment="1">
      <alignment vertical="center"/>
    </xf>
    <xf numFmtId="0" fontId="16" fillId="4" borderId="22" xfId="0" applyFont="1" applyFill="1" applyBorder="1" applyAlignment="1">
      <alignment horizontal="left" vertical="center"/>
    </xf>
    <xf numFmtId="0" fontId="0" fillId="4" borderId="69" xfId="0" applyFill="1" applyBorder="1" applyAlignment="1">
      <alignment horizontal="left" vertical="center"/>
    </xf>
    <xf numFmtId="0" fontId="0" fillId="4" borderId="22" xfId="0" applyFill="1" applyBorder="1" applyAlignment="1">
      <alignment vertical="center"/>
    </xf>
    <xf numFmtId="0" fontId="0" fillId="4" borderId="69" xfId="0" applyFill="1" applyBorder="1" applyAlignment="1">
      <alignment vertical="center"/>
    </xf>
    <xf numFmtId="0" fontId="11" fillId="4" borderId="22" xfId="0" applyFont="1" applyFill="1" applyBorder="1" applyAlignment="1">
      <alignment vertical="center"/>
    </xf>
    <xf numFmtId="0" fontId="14" fillId="4" borderId="21" xfId="0" applyFont="1" applyFill="1" applyBorder="1" applyAlignment="1">
      <alignment horizontal="left" vertical="center"/>
    </xf>
    <xf numFmtId="0" fontId="14" fillId="4" borderId="21" xfId="0" applyFont="1" applyFill="1" applyBorder="1" applyAlignment="1">
      <alignment vertical="center"/>
    </xf>
    <xf numFmtId="0" fontId="14" fillId="4" borderId="22" xfId="0" applyFont="1" applyFill="1" applyBorder="1" applyAlignment="1">
      <alignment vertical="center"/>
    </xf>
    <xf numFmtId="0" fontId="14" fillId="4" borderId="74" xfId="0" applyFont="1" applyFill="1" applyBorder="1" applyAlignment="1">
      <alignment horizontal="left" vertical="center"/>
    </xf>
    <xf numFmtId="0" fontId="14" fillId="4" borderId="41" xfId="0" applyFont="1" applyFill="1" applyBorder="1" applyAlignment="1">
      <alignment vertical="center"/>
    </xf>
    <xf numFmtId="164" fontId="18" fillId="8" borderId="15" xfId="0" applyNumberFormat="1" applyFont="1" applyFill="1" applyBorder="1" applyAlignment="1">
      <alignment horizontal="right" vertical="center"/>
    </xf>
    <xf numFmtId="49" fontId="14" fillId="8" borderId="15" xfId="0" applyNumberFormat="1" applyFont="1" applyFill="1" applyBorder="1" applyAlignment="1">
      <alignment horizontal="left" vertical="center"/>
    </xf>
    <xf numFmtId="0" fontId="14" fillId="4" borderId="75" xfId="0" applyFont="1" applyFill="1" applyBorder="1" applyAlignment="1">
      <alignment horizontal="left" vertical="center"/>
    </xf>
    <xf numFmtId="0" fontId="14" fillId="4" borderId="69" xfId="0" applyFont="1" applyFill="1" applyBorder="1" applyAlignment="1">
      <alignment vertical="center"/>
    </xf>
    <xf numFmtId="0" fontId="14" fillId="4" borderId="22" xfId="0" applyFont="1" applyFill="1" applyBorder="1" applyAlignment="1">
      <alignment horizontal="right" vertical="center"/>
    </xf>
    <xf numFmtId="164" fontId="14" fillId="8" borderId="15" xfId="0" applyNumberFormat="1" applyFont="1" applyFill="1" applyBorder="1" applyAlignment="1">
      <alignment horizontal="right" vertical="center"/>
    </xf>
    <xf numFmtId="0" fontId="14" fillId="4" borderId="22" xfId="0" applyFont="1" applyFill="1" applyBorder="1" applyAlignment="1">
      <alignment vertical="top" wrapText="1"/>
    </xf>
    <xf numFmtId="165" fontId="14" fillId="4" borderId="74" xfId="0" applyNumberFormat="1" applyFont="1" applyFill="1" applyBorder="1" applyAlignment="1">
      <alignment horizontal="left" vertical="center"/>
    </xf>
    <xf numFmtId="0" fontId="20" fillId="4" borderId="22" xfId="0" applyFont="1" applyFill="1" applyBorder="1" applyAlignment="1">
      <alignment vertical="top" wrapText="1"/>
    </xf>
    <xf numFmtId="164" fontId="14" fillId="4" borderId="9" xfId="0" applyNumberFormat="1" applyFont="1" applyFill="1" applyBorder="1" applyAlignment="1">
      <alignment vertical="center"/>
    </xf>
    <xf numFmtId="0" fontId="14" fillId="4" borderId="9" xfId="0" applyFont="1" applyFill="1" applyBorder="1" applyAlignment="1">
      <alignment vertical="center"/>
    </xf>
    <xf numFmtId="0" fontId="14" fillId="4" borderId="22" xfId="0" applyFont="1" applyFill="1" applyBorder="1" applyAlignment="1">
      <alignment vertical="top"/>
    </xf>
    <xf numFmtId="0" fontId="24" fillId="4" borderId="22" xfId="0" applyFont="1" applyFill="1" applyBorder="1" applyAlignment="1">
      <alignment vertical="center"/>
    </xf>
    <xf numFmtId="0" fontId="25" fillId="4" borderId="22" xfId="0" applyFont="1" applyFill="1" applyBorder="1" applyAlignment="1">
      <alignment vertical="top"/>
    </xf>
    <xf numFmtId="0" fontId="14" fillId="4" borderId="72" xfId="0" applyFont="1" applyFill="1" applyBorder="1" applyAlignment="1">
      <alignment vertical="center"/>
    </xf>
    <xf numFmtId="0" fontId="26" fillId="5" borderId="22" xfId="0" applyFont="1" applyFill="1" applyBorder="1" applyAlignment="1">
      <alignment vertical="center"/>
    </xf>
    <xf numFmtId="0" fontId="14" fillId="4" borderId="72" xfId="0" applyFont="1" applyFill="1" applyBorder="1" applyAlignment="1">
      <alignment horizontal="right" vertical="center"/>
    </xf>
    <xf numFmtId="0" fontId="0" fillId="4" borderId="72" xfId="0" applyFill="1" applyBorder="1" applyAlignment="1">
      <alignment vertical="center"/>
    </xf>
    <xf numFmtId="0" fontId="27" fillId="4" borderId="69" xfId="0" applyFont="1" applyFill="1" applyBorder="1" applyAlignment="1">
      <alignment vertical="center" wrapText="1"/>
    </xf>
    <xf numFmtId="0" fontId="5" fillId="4" borderId="22" xfId="0" applyFont="1" applyFill="1" applyBorder="1" applyAlignment="1">
      <alignment vertical="center"/>
    </xf>
    <xf numFmtId="0" fontId="14" fillId="4" borderId="78" xfId="0" applyFont="1" applyFill="1" applyBorder="1" applyAlignment="1">
      <alignment vertical="center"/>
    </xf>
    <xf numFmtId="0" fontId="20" fillId="5" borderId="22" xfId="0" applyFont="1" applyFill="1" applyBorder="1" applyAlignment="1">
      <alignment vertical="top" wrapText="1"/>
    </xf>
    <xf numFmtId="0" fontId="20" fillId="5" borderId="64" xfId="0" applyFont="1" applyFill="1" applyBorder="1" applyAlignment="1">
      <alignment vertical="top" wrapText="1"/>
    </xf>
    <xf numFmtId="0" fontId="26" fillId="4" borderId="69" xfId="0" applyFont="1" applyFill="1" applyBorder="1" applyAlignment="1">
      <alignment vertical="center" wrapText="1"/>
    </xf>
    <xf numFmtId="0" fontId="5" fillId="4" borderId="70" xfId="0" applyFont="1" applyFill="1" applyBorder="1" applyAlignment="1">
      <alignment horizontal="left" vertical="center"/>
    </xf>
    <xf numFmtId="0" fontId="5" fillId="6" borderId="79" xfId="0" applyFont="1" applyFill="1" applyBorder="1" applyAlignment="1">
      <alignment horizontal="center" vertical="center"/>
    </xf>
    <xf numFmtId="0" fontId="27" fillId="4" borderId="22" xfId="0" applyFont="1" applyFill="1" applyBorder="1" applyAlignment="1">
      <alignment vertical="top" wrapText="1"/>
    </xf>
    <xf numFmtId="0" fontId="0" fillId="4" borderId="41" xfId="0" applyFill="1" applyBorder="1" applyAlignment="1">
      <alignment vertical="center"/>
    </xf>
    <xf numFmtId="0" fontId="25" fillId="4" borderId="22" xfId="0" applyFont="1" applyFill="1" applyBorder="1" applyAlignment="1">
      <alignment horizontal="left" vertical="center"/>
    </xf>
    <xf numFmtId="0" fontId="25" fillId="4" borderId="72" xfId="0" applyFont="1" applyFill="1" applyBorder="1" applyAlignment="1">
      <alignment horizontal="left" vertical="center"/>
    </xf>
    <xf numFmtId="0" fontId="27" fillId="4" borderId="22" xfId="0" applyFont="1" applyFill="1" applyBorder="1" applyAlignment="1">
      <alignment horizontal="left" vertical="center" wrapText="1"/>
    </xf>
    <xf numFmtId="0" fontId="29" fillId="4" borderId="22" xfId="0" applyFont="1" applyFill="1" applyBorder="1" applyAlignment="1">
      <alignment vertical="top"/>
    </xf>
    <xf numFmtId="0" fontId="29" fillId="4" borderId="22" xfId="0" applyFont="1" applyFill="1" applyBorder="1" applyAlignment="1">
      <alignment vertical="top" wrapText="1"/>
    </xf>
    <xf numFmtId="0" fontId="14" fillId="5" borderId="22" xfId="0" applyFont="1" applyFill="1" applyBorder="1" applyAlignment="1">
      <alignment vertical="center"/>
    </xf>
    <xf numFmtId="0" fontId="29" fillId="4" borderId="69" xfId="0" applyFont="1" applyFill="1" applyBorder="1" applyAlignment="1">
      <alignment vertical="top"/>
    </xf>
    <xf numFmtId="0" fontId="28" fillId="4" borderId="22" xfId="0" applyFont="1" applyFill="1" applyBorder="1" applyAlignment="1">
      <alignment vertical="center"/>
    </xf>
    <xf numFmtId="0" fontId="14" fillId="4" borderId="16" xfId="0" applyFont="1" applyFill="1" applyBorder="1" applyAlignment="1">
      <alignment vertical="center"/>
    </xf>
    <xf numFmtId="0" fontId="14" fillId="0" borderId="15" xfId="0" applyFont="1" applyBorder="1" applyAlignment="1">
      <alignment vertical="center"/>
    </xf>
    <xf numFmtId="0" fontId="14" fillId="5" borderId="15" xfId="0" applyFont="1" applyFill="1" applyBorder="1" applyAlignment="1">
      <alignment vertical="center"/>
    </xf>
    <xf numFmtId="0" fontId="14" fillId="5" borderId="15" xfId="0" applyNumberFormat="1" applyFont="1" applyFill="1" applyBorder="1" applyAlignment="1">
      <alignment vertical="center"/>
    </xf>
    <xf numFmtId="0" fontId="14" fillId="4" borderId="36" xfId="0" applyFont="1" applyFill="1" applyBorder="1" applyAlignment="1">
      <alignment vertical="center"/>
    </xf>
    <xf numFmtId="169" fontId="14" fillId="8" borderId="15" xfId="0" applyNumberFormat="1" applyFont="1" applyFill="1" applyBorder="1" applyAlignment="1">
      <alignment vertical="center"/>
    </xf>
    <xf numFmtId="0" fontId="14" fillId="4" borderId="80" xfId="0" applyFont="1" applyFill="1" applyBorder="1" applyAlignment="1">
      <alignment vertical="center"/>
    </xf>
    <xf numFmtId="0" fontId="0" fillId="4" borderId="14" xfId="0" applyFill="1" applyBorder="1" applyAlignment="1">
      <alignment vertical="center"/>
    </xf>
    <xf numFmtId="49" fontId="14" fillId="4" borderId="9" xfId="0" applyNumberFormat="1" applyFont="1" applyFill="1" applyBorder="1" applyAlignment="1">
      <alignment horizontal="center" vertical="top" wrapText="1"/>
    </xf>
    <xf numFmtId="1" fontId="14" fillId="8" borderId="15" xfId="0" applyNumberFormat="1" applyFont="1" applyFill="1" applyBorder="1" applyAlignment="1">
      <alignment horizontal="center" vertical="center"/>
    </xf>
    <xf numFmtId="0" fontId="27" fillId="4" borderId="9" xfId="0" applyFont="1" applyFill="1" applyBorder="1" applyAlignment="1">
      <alignment vertical="center"/>
    </xf>
    <xf numFmtId="0" fontId="22" fillId="4" borderId="21" xfId="0" applyFont="1" applyFill="1" applyBorder="1" applyAlignment="1">
      <alignment vertical="center"/>
    </xf>
    <xf numFmtId="0" fontId="31" fillId="4" borderId="22" xfId="0" applyFont="1" applyFill="1" applyBorder="1" applyAlignment="1">
      <alignment horizontal="center" vertical="center"/>
    </xf>
    <xf numFmtId="0" fontId="14" fillId="4" borderId="6" xfId="0" applyFont="1" applyFill="1" applyBorder="1" applyAlignment="1">
      <alignment vertical="center"/>
    </xf>
    <xf numFmtId="166" fontId="14" fillId="8" borderId="15" xfId="0" applyNumberFormat="1" applyFont="1" applyFill="1" applyBorder="1" applyAlignment="1">
      <alignment horizontal="left" vertical="center"/>
    </xf>
    <xf numFmtId="0" fontId="32" fillId="4" borderId="16" xfId="0" applyFont="1" applyFill="1" applyBorder="1"/>
    <xf numFmtId="0" fontId="14" fillId="4" borderId="70" xfId="0" applyFont="1" applyFill="1" applyBorder="1" applyAlignment="1">
      <alignment vertical="center"/>
    </xf>
    <xf numFmtId="170" fontId="14" fillId="8" borderId="15" xfId="0" applyNumberFormat="1" applyFont="1" applyFill="1" applyBorder="1" applyAlignment="1">
      <alignment horizontal="center" vertical="center"/>
    </xf>
    <xf numFmtId="49" fontId="14" fillId="4" borderId="16" xfId="0" applyNumberFormat="1" applyFont="1" applyFill="1" applyBorder="1"/>
    <xf numFmtId="0" fontId="14" fillId="4" borderId="16" xfId="0" applyFont="1" applyFill="1" applyBorder="1"/>
    <xf numFmtId="0" fontId="14" fillId="4" borderId="22" xfId="0" applyFont="1" applyFill="1" applyBorder="1"/>
    <xf numFmtId="0" fontId="21" fillId="4" borderId="22" xfId="0" applyFont="1" applyFill="1" applyBorder="1" applyAlignment="1">
      <alignment vertical="center"/>
    </xf>
    <xf numFmtId="49" fontId="21" fillId="4" borderId="6" xfId="0" applyNumberFormat="1" applyFont="1" applyFill="1" applyBorder="1" applyAlignment="1">
      <alignment horizontal="center"/>
    </xf>
    <xf numFmtId="0" fontId="5" fillId="5" borderId="15" xfId="0" applyNumberFormat="1" applyFont="1" applyFill="1" applyBorder="1" applyAlignment="1">
      <alignment horizontal="center" vertical="top" wrapText="1"/>
    </xf>
    <xf numFmtId="0" fontId="5" fillId="5" borderId="15" xfId="0" applyFont="1" applyFill="1" applyBorder="1" applyAlignment="1">
      <alignment horizontal="center" vertical="top" wrapText="1"/>
    </xf>
    <xf numFmtId="0" fontId="0" fillId="4" borderId="21" xfId="0" applyFill="1" applyBorder="1" applyAlignment="1">
      <alignment vertical="center"/>
    </xf>
    <xf numFmtId="49" fontId="21" fillId="4" borderId="6" xfId="0" applyNumberFormat="1" applyFont="1" applyFill="1" applyBorder="1" applyAlignment="1">
      <alignment horizontal="center" vertical="center"/>
    </xf>
    <xf numFmtId="0" fontId="5" fillId="5" borderId="15" xfId="0" applyNumberFormat="1" applyFont="1" applyFill="1" applyBorder="1" applyAlignment="1">
      <alignment horizontal="center" vertical="center" wrapText="1"/>
    </xf>
    <xf numFmtId="0" fontId="5" fillId="4" borderId="80" xfId="0" applyFont="1" applyFill="1" applyBorder="1" applyAlignment="1">
      <alignment vertical="center"/>
    </xf>
    <xf numFmtId="0" fontId="5" fillId="5" borderId="15" xfId="0" applyNumberFormat="1" applyFont="1" applyFill="1" applyBorder="1" applyAlignment="1">
      <alignment horizontal="center" vertical="center"/>
    </xf>
    <xf numFmtId="0" fontId="5" fillId="4" borderId="9" xfId="0" applyFont="1" applyFill="1" applyBorder="1" applyAlignment="1">
      <alignment horizontal="center" vertical="center"/>
    </xf>
    <xf numFmtId="166" fontId="5" fillId="4" borderId="41" xfId="0" applyNumberFormat="1" applyFont="1" applyFill="1" applyBorder="1" applyAlignment="1">
      <alignment vertical="center" wrapText="1"/>
    </xf>
    <xf numFmtId="0" fontId="5" fillId="4" borderId="21" xfId="0" applyFont="1" applyFill="1" applyBorder="1" applyAlignment="1">
      <alignment vertical="top" wrapText="1"/>
    </xf>
    <xf numFmtId="0" fontId="5" fillId="4" borderId="22" xfId="0" applyFont="1" applyFill="1" applyBorder="1" applyAlignment="1">
      <alignment vertical="top" wrapText="1"/>
    </xf>
    <xf numFmtId="0" fontId="5" fillId="4" borderId="22" xfId="0" applyFont="1" applyFill="1" applyBorder="1" applyAlignment="1">
      <alignment horizontal="center" vertical="center" wrapText="1"/>
    </xf>
    <xf numFmtId="166" fontId="5" fillId="4" borderId="22" xfId="0" applyNumberFormat="1" applyFont="1" applyFill="1" applyBorder="1" applyAlignment="1">
      <alignment vertical="center" wrapText="1"/>
    </xf>
    <xf numFmtId="0" fontId="0" fillId="4" borderId="8" xfId="0" applyFill="1" applyBorder="1" applyAlignment="1">
      <alignment vertical="center"/>
    </xf>
    <xf numFmtId="49" fontId="21" fillId="4" borderId="22" xfId="0" applyNumberFormat="1" applyFont="1" applyFill="1" applyBorder="1" applyAlignment="1">
      <alignment vertical="center"/>
    </xf>
    <xf numFmtId="49" fontId="21" fillId="4" borderId="6" xfId="0" applyNumberFormat="1" applyFont="1" applyFill="1" applyBorder="1" applyAlignment="1">
      <alignment vertical="center"/>
    </xf>
    <xf numFmtId="49" fontId="0" fillId="4" borderId="47" xfId="0" applyNumberFormat="1" applyFill="1" applyBorder="1" applyAlignment="1">
      <alignment vertical="center"/>
    </xf>
    <xf numFmtId="49" fontId="0" fillId="4" borderId="48" xfId="0" applyNumberFormat="1" applyFill="1" applyBorder="1" applyAlignment="1">
      <alignment vertical="center"/>
    </xf>
    <xf numFmtId="0" fontId="5" fillId="8" borderId="15" xfId="0" applyFont="1" applyFill="1" applyBorder="1" applyAlignment="1">
      <alignment horizontal="center" vertical="center"/>
    </xf>
    <xf numFmtId="171" fontId="5" fillId="8" borderId="15" xfId="0" applyNumberFormat="1" applyFont="1" applyFill="1" applyBorder="1" applyAlignment="1">
      <alignment horizontal="center" vertical="center"/>
    </xf>
    <xf numFmtId="0" fontId="5" fillId="8" borderId="15" xfId="0" applyNumberFormat="1" applyFont="1" applyFill="1" applyBorder="1" applyAlignment="1">
      <alignment horizontal="center" vertical="center"/>
    </xf>
    <xf numFmtId="166" fontId="5" fillId="8" borderId="15" xfId="0" applyNumberFormat="1" applyFont="1" applyFill="1" applyBorder="1" applyAlignment="1">
      <alignment horizontal="left" vertical="center"/>
    </xf>
    <xf numFmtId="9" fontId="5" fillId="8" borderId="15" xfId="0" applyNumberFormat="1" applyFont="1" applyFill="1" applyBorder="1" applyAlignment="1">
      <alignment horizontal="center" vertical="center"/>
    </xf>
    <xf numFmtId="49" fontId="5" fillId="4" borderId="53" xfId="0" applyNumberFormat="1" applyFont="1" applyFill="1" applyBorder="1" applyAlignment="1">
      <alignment horizontal="left" vertical="center"/>
    </xf>
    <xf numFmtId="49" fontId="5" fillId="4" borderId="54" xfId="0" applyNumberFormat="1" applyFont="1" applyFill="1" applyBorder="1" applyAlignment="1">
      <alignment horizontal="left" vertical="center"/>
    </xf>
    <xf numFmtId="1" fontId="5" fillId="8" borderId="15" xfId="0" applyNumberFormat="1" applyFont="1" applyFill="1" applyBorder="1" applyAlignment="1">
      <alignment horizontal="center" vertical="center"/>
    </xf>
    <xf numFmtId="49" fontId="0" fillId="4" borderId="81" xfId="0" applyNumberFormat="1" applyFill="1" applyBorder="1" applyAlignment="1">
      <alignment vertical="center"/>
    </xf>
    <xf numFmtId="49" fontId="0" fillId="4" borderId="54" xfId="0" applyNumberFormat="1" applyFill="1" applyBorder="1" applyAlignment="1">
      <alignment vertical="center"/>
    </xf>
    <xf numFmtId="0" fontId="0" fillId="4" borderId="9" xfId="0" applyFill="1" applyBorder="1" applyAlignment="1">
      <alignment vertical="center"/>
    </xf>
    <xf numFmtId="0" fontId="0" fillId="4" borderId="78" xfId="0" applyFill="1" applyBorder="1" applyAlignment="1">
      <alignment vertical="center"/>
    </xf>
    <xf numFmtId="0" fontId="0" fillId="4" borderId="43" xfId="0" applyFill="1" applyBorder="1" applyAlignment="1">
      <alignment vertical="center"/>
    </xf>
    <xf numFmtId="0" fontId="0" fillId="4" borderId="84" xfId="0" applyFill="1" applyBorder="1" applyAlignment="1">
      <alignment vertical="center"/>
    </xf>
    <xf numFmtId="0" fontId="0" fillId="4" borderId="44" xfId="0" applyFill="1" applyBorder="1" applyAlignment="1">
      <alignment vertical="center"/>
    </xf>
    <xf numFmtId="0" fontId="0" fillId="5" borderId="85" xfId="0" applyFill="1" applyBorder="1" applyAlignment="1">
      <alignment vertical="center"/>
    </xf>
    <xf numFmtId="0" fontId="0" fillId="5" borderId="59" xfId="0" applyFill="1" applyBorder="1" applyAlignment="1">
      <alignment vertical="center"/>
    </xf>
    <xf numFmtId="0" fontId="0" fillId="5" borderId="60" xfId="0" applyFill="1" applyBorder="1" applyAlignment="1">
      <alignment vertical="center"/>
    </xf>
    <xf numFmtId="0" fontId="0" fillId="5" borderId="86" xfId="0" applyFill="1" applyBorder="1" applyAlignment="1">
      <alignment vertical="center"/>
    </xf>
    <xf numFmtId="0" fontId="13" fillId="5" borderId="3" xfId="0" applyFont="1" applyFill="1" applyBorder="1" applyAlignment="1">
      <alignment vertical="center"/>
    </xf>
    <xf numFmtId="0" fontId="13" fillId="5" borderId="4" xfId="0" applyFont="1" applyFill="1" applyBorder="1" applyAlignment="1">
      <alignment vertical="center"/>
    </xf>
    <xf numFmtId="49" fontId="34" fillId="4" borderId="40" xfId="0" applyNumberFormat="1" applyFont="1" applyFill="1" applyBorder="1" applyAlignment="1">
      <alignment horizontal="left" vertical="center"/>
    </xf>
    <xf numFmtId="0" fontId="0" fillId="5" borderId="3" xfId="0" applyFill="1" applyBorder="1" applyAlignment="1">
      <alignment vertical="center"/>
    </xf>
    <xf numFmtId="0" fontId="0" fillId="5" borderId="4" xfId="0" applyFill="1" applyBorder="1" applyAlignment="1">
      <alignment vertical="center"/>
    </xf>
    <xf numFmtId="49" fontId="7" fillId="4" borderId="87" xfId="0" applyNumberFormat="1" applyFont="1" applyFill="1" applyBorder="1" applyAlignment="1">
      <alignment vertical="center"/>
    </xf>
    <xf numFmtId="0" fontId="7" fillId="4" borderId="88" xfId="0" applyFont="1" applyFill="1" applyBorder="1" applyAlignment="1">
      <alignment vertical="center"/>
    </xf>
    <xf numFmtId="0" fontId="7" fillId="5" borderId="3" xfId="0" applyFont="1" applyFill="1" applyBorder="1" applyAlignment="1">
      <alignment vertical="center"/>
    </xf>
    <xf numFmtId="0" fontId="7" fillId="5" borderId="4" xfId="0" applyFont="1" applyFill="1" applyBorder="1" applyAlignment="1">
      <alignment vertical="center"/>
    </xf>
    <xf numFmtId="0" fontId="35" fillId="5" borderId="4" xfId="0" applyFont="1" applyFill="1" applyBorder="1" applyAlignment="1">
      <alignment vertical="center"/>
    </xf>
    <xf numFmtId="0" fontId="0" fillId="4" borderId="90" xfId="0" applyFill="1" applyBorder="1" applyAlignment="1">
      <alignment vertical="center"/>
    </xf>
    <xf numFmtId="0" fontId="36" fillId="5" borderId="4" xfId="0" applyFont="1" applyFill="1" applyBorder="1" applyAlignment="1">
      <alignment vertical="center"/>
    </xf>
    <xf numFmtId="0" fontId="6" fillId="5" borderId="4" xfId="0" applyFont="1" applyFill="1" applyBorder="1" applyAlignment="1">
      <alignment vertical="center"/>
    </xf>
    <xf numFmtId="0" fontId="16" fillId="4" borderId="91" xfId="0" applyFont="1" applyFill="1" applyBorder="1" applyAlignment="1">
      <alignment horizontal="left" vertical="center" wrapText="1"/>
    </xf>
    <xf numFmtId="0" fontId="16" fillId="4" borderId="69" xfId="0" applyFont="1" applyFill="1" applyBorder="1" applyAlignment="1">
      <alignment horizontal="left" vertical="center" wrapText="1"/>
    </xf>
    <xf numFmtId="0" fontId="16" fillId="4" borderId="22" xfId="0" applyFont="1" applyFill="1" applyBorder="1" applyAlignment="1">
      <alignment horizontal="left" vertical="center" wrapText="1"/>
    </xf>
    <xf numFmtId="0" fontId="0" fillId="5" borderId="92" xfId="0" applyFill="1" applyBorder="1" applyAlignment="1">
      <alignment vertical="center"/>
    </xf>
    <xf numFmtId="49" fontId="38" fillId="6" borderId="12" xfId="0" applyNumberFormat="1" applyFont="1" applyFill="1" applyBorder="1" applyAlignment="1">
      <alignment horizontal="left" vertical="center"/>
    </xf>
    <xf numFmtId="49" fontId="37" fillId="6" borderId="13" xfId="0" applyNumberFormat="1" applyFont="1" applyFill="1" applyBorder="1" applyAlignment="1">
      <alignment horizontal="center" vertical="center"/>
    </xf>
    <xf numFmtId="0" fontId="16" fillId="4" borderId="21" xfId="0" applyFont="1" applyFill="1" applyBorder="1" applyAlignment="1">
      <alignment horizontal="left" vertical="center" wrapText="1"/>
    </xf>
    <xf numFmtId="49" fontId="10" fillId="6" borderId="12" xfId="0" applyNumberFormat="1" applyFont="1" applyFill="1" applyBorder="1" applyAlignment="1">
      <alignment vertical="center"/>
    </xf>
    <xf numFmtId="49" fontId="16" fillId="6" borderId="13" xfId="0" applyNumberFormat="1" applyFont="1" applyFill="1" applyBorder="1" applyAlignment="1">
      <alignment horizontal="center" vertical="center"/>
    </xf>
    <xf numFmtId="0" fontId="0" fillId="5" borderId="95" xfId="0" applyFill="1" applyBorder="1" applyAlignment="1">
      <alignment vertical="center"/>
    </xf>
    <xf numFmtId="0" fontId="39" fillId="4" borderId="22" xfId="0" applyFont="1" applyFill="1" applyBorder="1" applyAlignment="1">
      <alignment horizontal="left" vertical="center" wrapText="1"/>
    </xf>
    <xf numFmtId="49" fontId="40" fillId="6" borderId="29" xfId="0" applyNumberFormat="1" applyFont="1" applyFill="1" applyBorder="1" applyAlignment="1">
      <alignment horizontal="left" vertical="center"/>
    </xf>
    <xf numFmtId="167" fontId="28" fillId="5" borderId="30" xfId="0" applyNumberFormat="1" applyFont="1" applyFill="1" applyBorder="1" applyAlignment="1">
      <alignment horizontal="left" vertical="center" wrapText="1"/>
    </xf>
    <xf numFmtId="49" fontId="41" fillId="6" borderId="12" xfId="0" applyNumberFormat="1" applyFont="1" applyFill="1" applyBorder="1" applyAlignment="1">
      <alignment vertical="center"/>
    </xf>
    <xf numFmtId="1" fontId="41" fillId="7" borderId="13" xfId="0" applyNumberFormat="1" applyFont="1" applyFill="1" applyBorder="1" applyAlignment="1">
      <alignment horizontal="center" vertical="center"/>
    </xf>
    <xf numFmtId="0" fontId="42" fillId="9" borderId="22" xfId="0" applyFont="1" applyFill="1" applyBorder="1" applyAlignment="1">
      <alignment horizontal="left" vertical="center" wrapText="1"/>
    </xf>
    <xf numFmtId="49" fontId="40" fillId="6" borderId="38" xfId="0" applyNumberFormat="1" applyFont="1" applyFill="1" applyBorder="1" applyAlignment="1">
      <alignment horizontal="left" vertical="center"/>
    </xf>
    <xf numFmtId="167" fontId="28" fillId="5" borderId="39" xfId="0" applyNumberFormat="1" applyFont="1" applyFill="1" applyBorder="1" applyAlignment="1">
      <alignment horizontal="left" vertical="center" wrapText="1"/>
    </xf>
    <xf numFmtId="49" fontId="11" fillId="6" borderId="29" xfId="0" applyNumberFormat="1" applyFont="1" applyFill="1" applyBorder="1" applyAlignment="1">
      <alignment vertical="center"/>
    </xf>
    <xf numFmtId="1" fontId="11" fillId="7" borderId="30" xfId="0" applyNumberFormat="1" applyFont="1" applyFill="1" applyBorder="1" applyAlignment="1">
      <alignment horizontal="center" vertical="center"/>
    </xf>
    <xf numFmtId="1" fontId="39" fillId="7" borderId="22" xfId="0" applyNumberFormat="1" applyFont="1" applyFill="1" applyBorder="1" applyAlignment="1">
      <alignment horizontal="left" vertical="center" wrapText="1"/>
    </xf>
    <xf numFmtId="0" fontId="39" fillId="7" borderId="22" xfId="0" applyFont="1" applyFill="1" applyBorder="1" applyAlignment="1">
      <alignment horizontal="left" vertical="center" wrapText="1"/>
    </xf>
    <xf numFmtId="0" fontId="44" fillId="4" borderId="71" xfId="0" applyFont="1" applyFill="1" applyBorder="1" applyAlignment="1">
      <alignment horizontal="left" vertical="center"/>
    </xf>
    <xf numFmtId="168" fontId="36" fillId="4" borderId="72" xfId="0" applyNumberFormat="1" applyFont="1" applyFill="1" applyBorder="1" applyAlignment="1">
      <alignment horizontal="center" vertical="center" wrapText="1"/>
    </xf>
    <xf numFmtId="168" fontId="36" fillId="4" borderId="72" xfId="0" applyNumberFormat="1" applyFont="1" applyFill="1" applyBorder="1" applyAlignment="1">
      <alignment horizontal="left" vertical="center" wrapText="1"/>
    </xf>
    <xf numFmtId="49" fontId="28" fillId="6" borderId="31" xfId="0" applyNumberFormat="1" applyFont="1" applyFill="1" applyBorder="1" applyAlignment="1">
      <alignment vertical="center"/>
    </xf>
    <xf numFmtId="1" fontId="28" fillId="7" borderId="32" xfId="0" applyNumberFormat="1" applyFont="1" applyFill="1" applyBorder="1" applyAlignment="1">
      <alignment horizontal="center" vertical="center"/>
    </xf>
    <xf numFmtId="0" fontId="39" fillId="6" borderId="22" xfId="0" applyFont="1" applyFill="1" applyBorder="1" applyAlignment="1">
      <alignment horizontal="left" vertical="center" wrapText="1"/>
    </xf>
    <xf numFmtId="49" fontId="10" fillId="6" borderId="12" xfId="0" applyNumberFormat="1" applyFont="1" applyFill="1" applyBorder="1" applyAlignment="1">
      <alignment horizontal="left" vertical="center"/>
    </xf>
    <xf numFmtId="49" fontId="11" fillId="6" borderId="31" xfId="0" applyNumberFormat="1" applyFont="1" applyFill="1" applyBorder="1" applyAlignment="1">
      <alignment vertical="center"/>
    </xf>
    <xf numFmtId="1" fontId="11" fillId="7" borderId="32" xfId="0" applyNumberFormat="1" applyFont="1" applyFill="1" applyBorder="1" applyAlignment="1">
      <alignment horizontal="center" vertical="center"/>
    </xf>
    <xf numFmtId="9" fontId="39" fillId="4" borderId="22" xfId="0" applyNumberFormat="1" applyFont="1" applyFill="1" applyBorder="1" applyAlignment="1">
      <alignment horizontal="left" vertical="center" wrapText="1"/>
    </xf>
    <xf numFmtId="49" fontId="11" fillId="6" borderId="29" xfId="0" applyNumberFormat="1" applyFont="1" applyFill="1" applyBorder="1" applyAlignment="1">
      <alignment horizontal="left" vertical="center"/>
    </xf>
    <xf numFmtId="167" fontId="11" fillId="5" borderId="30" xfId="0" applyNumberFormat="1" applyFont="1" applyFill="1" applyBorder="1" applyAlignment="1">
      <alignment horizontal="left" vertical="center" wrapText="1"/>
    </xf>
    <xf numFmtId="0" fontId="0" fillId="4" borderId="70" xfId="0" applyFill="1" applyBorder="1" applyAlignment="1">
      <alignment vertical="center"/>
    </xf>
    <xf numFmtId="3" fontId="11" fillId="7" borderId="32" xfId="0" applyNumberFormat="1" applyFont="1" applyFill="1" applyBorder="1" applyAlignment="1">
      <alignment horizontal="center" vertical="center"/>
    </xf>
    <xf numFmtId="0" fontId="46" fillId="4" borderId="22" xfId="0" applyFont="1" applyFill="1" applyBorder="1" applyAlignment="1">
      <alignment horizontal="left" vertical="center" wrapText="1"/>
    </xf>
    <xf numFmtId="49" fontId="11" fillId="6" borderId="31" xfId="0" applyNumberFormat="1" applyFont="1" applyFill="1" applyBorder="1" applyAlignment="1">
      <alignment horizontal="left" vertical="center"/>
    </xf>
    <xf numFmtId="167" fontId="11" fillId="5" borderId="32" xfId="0" applyNumberFormat="1" applyFont="1" applyFill="1" applyBorder="1" applyAlignment="1">
      <alignment horizontal="left" vertical="center" wrapText="1"/>
    </xf>
    <xf numFmtId="49" fontId="11" fillId="6" borderId="38" xfId="0" applyNumberFormat="1" applyFont="1" applyFill="1" applyBorder="1" applyAlignment="1">
      <alignment vertical="center"/>
    </xf>
    <xf numFmtId="1" fontId="11" fillId="7" borderId="39" xfId="0" applyNumberFormat="1" applyFont="1" applyFill="1" applyBorder="1" applyAlignment="1">
      <alignment horizontal="center" vertical="center"/>
    </xf>
    <xf numFmtId="0" fontId="16" fillId="4" borderId="41" xfId="0" applyFont="1" applyFill="1" applyBorder="1" applyAlignment="1">
      <alignment horizontal="left" vertical="center" wrapText="1"/>
    </xf>
    <xf numFmtId="0" fontId="47" fillId="5" borderId="4" xfId="0" applyFont="1" applyFill="1" applyBorder="1" applyAlignment="1">
      <alignment vertical="center"/>
    </xf>
    <xf numFmtId="3" fontId="39" fillId="7" borderId="22" xfId="0" applyNumberFormat="1" applyFont="1" applyFill="1" applyBorder="1" applyAlignment="1">
      <alignment horizontal="left" vertical="center" wrapText="1"/>
    </xf>
    <xf numFmtId="9" fontId="39" fillId="4" borderId="22" xfId="0" applyNumberFormat="1" applyFont="1" applyFill="1" applyBorder="1" applyAlignment="1">
      <alignment horizontal="left" vertical="center"/>
    </xf>
    <xf numFmtId="0" fontId="0" fillId="5" borderId="97" xfId="0" applyFill="1" applyBorder="1" applyAlignment="1">
      <alignment vertical="center"/>
    </xf>
    <xf numFmtId="49" fontId="11" fillId="6" borderId="38" xfId="0" applyNumberFormat="1" applyFont="1" applyFill="1" applyBorder="1" applyAlignment="1">
      <alignment horizontal="left" vertical="center"/>
    </xf>
    <xf numFmtId="167" fontId="11" fillId="5" borderId="39" xfId="0" applyNumberFormat="1" applyFont="1" applyFill="1" applyBorder="1" applyAlignment="1">
      <alignment horizontal="left" vertical="center" wrapText="1"/>
    </xf>
    <xf numFmtId="49" fontId="11" fillId="4" borderId="98" xfId="0" applyNumberFormat="1" applyFont="1" applyFill="1" applyBorder="1" applyAlignment="1">
      <alignment vertical="top"/>
    </xf>
    <xf numFmtId="49" fontId="16" fillId="6" borderId="99" xfId="0" applyNumberFormat="1" applyFont="1" applyFill="1" applyBorder="1" applyAlignment="1">
      <alignment horizontal="center" vertical="center"/>
    </xf>
    <xf numFmtId="49" fontId="16" fillId="6" borderId="13" xfId="0" applyNumberFormat="1" applyFont="1" applyFill="1" applyBorder="1" applyAlignment="1">
      <alignment horizontal="left" vertical="center"/>
    </xf>
    <xf numFmtId="0" fontId="0" fillId="4" borderId="19" xfId="0" applyFill="1" applyBorder="1" applyAlignment="1">
      <alignment vertical="center"/>
    </xf>
    <xf numFmtId="49" fontId="16" fillId="6" borderId="29" xfId="0" applyNumberFormat="1" applyFont="1" applyFill="1" applyBorder="1" applyAlignment="1">
      <alignment horizontal="left" vertical="center"/>
    </xf>
    <xf numFmtId="166" fontId="16" fillId="8" borderId="96" xfId="0" applyNumberFormat="1" applyFont="1" applyFill="1" applyBorder="1" applyAlignment="1">
      <alignment horizontal="right" vertical="center"/>
    </xf>
    <xf numFmtId="9" fontId="16" fillId="8" borderId="96" xfId="0" applyNumberFormat="1" applyFont="1" applyFill="1" applyBorder="1" applyAlignment="1">
      <alignment horizontal="center" vertical="center"/>
    </xf>
    <xf numFmtId="0" fontId="0" fillId="6" borderId="30" xfId="0" applyFill="1" applyBorder="1" applyAlignment="1">
      <alignment vertical="center"/>
    </xf>
    <xf numFmtId="49" fontId="0" fillId="6" borderId="31" xfId="0" applyNumberFormat="1" applyFill="1" applyBorder="1" applyAlignment="1">
      <alignment vertical="center"/>
    </xf>
    <xf numFmtId="49" fontId="0" fillId="10" borderId="15" xfId="0" applyNumberFormat="1" applyFill="1" applyBorder="1" applyAlignment="1">
      <alignment vertical="center"/>
    </xf>
    <xf numFmtId="0" fontId="0" fillId="10" borderId="15" xfId="0" applyFill="1" applyBorder="1" applyAlignment="1">
      <alignment horizontal="center" vertical="center"/>
    </xf>
    <xf numFmtId="0" fontId="0" fillId="10" borderId="32" xfId="0" applyFill="1" applyBorder="1" applyAlignment="1">
      <alignment vertical="center"/>
    </xf>
    <xf numFmtId="172" fontId="11" fillId="5" borderId="96" xfId="0" applyNumberFormat="1" applyFont="1" applyFill="1" applyBorder="1" applyAlignment="1">
      <alignment horizontal="center" vertical="center"/>
    </xf>
    <xf numFmtId="0" fontId="11" fillId="5" borderId="30" xfId="0" applyFont="1" applyFill="1" applyBorder="1" applyAlignment="1">
      <alignment horizontal="left" vertical="center"/>
    </xf>
    <xf numFmtId="172" fontId="11" fillId="5" borderId="82" xfId="0" applyNumberFormat="1" applyFont="1" applyFill="1" applyBorder="1" applyAlignment="1">
      <alignment horizontal="center" vertical="center"/>
    </xf>
    <xf numFmtId="0" fontId="11" fillId="5" borderId="39" xfId="0" applyFont="1" applyFill="1" applyBorder="1" applyAlignment="1">
      <alignment horizontal="left" vertical="center"/>
    </xf>
    <xf numFmtId="167" fontId="11" fillId="5" borderId="15" xfId="0" applyNumberFormat="1" applyFont="1" applyFill="1" applyBorder="1" applyAlignment="1">
      <alignment horizontal="right" vertical="center"/>
    </xf>
    <xf numFmtId="9" fontId="11" fillId="10" borderId="15" xfId="0" applyNumberFormat="1" applyFont="1" applyFill="1" applyBorder="1" applyAlignment="1">
      <alignment horizontal="center" vertical="center"/>
    </xf>
    <xf numFmtId="0" fontId="11" fillId="5" borderId="32" xfId="0" applyFont="1" applyFill="1" applyBorder="1" applyAlignment="1">
      <alignment horizontal="left" vertical="center"/>
    </xf>
    <xf numFmtId="172" fontId="11" fillId="5" borderId="15" xfId="0" applyNumberFormat="1" applyFont="1" applyFill="1" applyBorder="1" applyAlignment="1">
      <alignment horizontal="center" vertical="center"/>
    </xf>
    <xf numFmtId="49" fontId="11" fillId="5" borderId="31" xfId="0" applyNumberFormat="1" applyFont="1" applyFill="1" applyBorder="1" applyAlignment="1">
      <alignment horizontal="left" vertical="center"/>
    </xf>
    <xf numFmtId="49" fontId="11" fillId="5" borderId="38" xfId="0" applyNumberFormat="1" applyFont="1" applyFill="1" applyBorder="1" applyAlignment="1">
      <alignment horizontal="left" vertical="center"/>
    </xf>
    <xf numFmtId="167" fontId="11" fillId="5" borderId="82" xfId="0" applyNumberFormat="1" applyFont="1" applyFill="1" applyBorder="1" applyAlignment="1">
      <alignment horizontal="right" vertical="center"/>
    </xf>
    <xf numFmtId="167" fontId="11" fillId="5" borderId="30" xfId="0" applyNumberFormat="1" applyFont="1" applyFill="1" applyBorder="1" applyAlignment="1">
      <alignment horizontal="right" vertical="center"/>
    </xf>
    <xf numFmtId="9" fontId="11" fillId="10" borderId="18" xfId="0" applyNumberFormat="1" applyFont="1" applyFill="1" applyBorder="1" applyAlignment="1">
      <alignment horizontal="center" vertical="center"/>
    </xf>
    <xf numFmtId="49" fontId="11" fillId="6" borderId="18" xfId="0" applyNumberFormat="1" applyFont="1" applyFill="1" applyBorder="1" applyAlignment="1">
      <alignment horizontal="left" vertical="center"/>
    </xf>
    <xf numFmtId="167" fontId="11" fillId="5" borderId="32" xfId="0" applyNumberFormat="1" applyFont="1" applyFill="1" applyBorder="1" applyAlignment="1">
      <alignment horizontal="right" vertical="center"/>
    </xf>
    <xf numFmtId="9" fontId="11" fillId="10" borderId="20" xfId="0" applyNumberFormat="1" applyFont="1" applyFill="1" applyBorder="1" applyAlignment="1">
      <alignment horizontal="center" vertical="center"/>
    </xf>
    <xf numFmtId="49" fontId="11" fillId="6" borderId="20" xfId="0" applyNumberFormat="1" applyFont="1" applyFill="1" applyBorder="1" applyAlignment="1">
      <alignment horizontal="left" vertical="center"/>
    </xf>
    <xf numFmtId="0" fontId="11" fillId="5" borderId="31" xfId="0" applyFont="1" applyFill="1" applyBorder="1" applyAlignment="1">
      <alignment horizontal="left" vertical="center"/>
    </xf>
    <xf numFmtId="0" fontId="11" fillId="5" borderId="20" xfId="0" applyFont="1" applyFill="1" applyBorder="1" applyAlignment="1">
      <alignment horizontal="left" vertical="center"/>
    </xf>
    <xf numFmtId="0" fontId="11" fillId="5" borderId="38" xfId="0" applyFont="1" applyFill="1" applyBorder="1" applyAlignment="1">
      <alignment horizontal="left" vertical="center"/>
    </xf>
    <xf numFmtId="167" fontId="11" fillId="5" borderId="39" xfId="0" applyNumberFormat="1" applyFont="1" applyFill="1" applyBorder="1" applyAlignment="1">
      <alignment horizontal="right" vertical="center"/>
    </xf>
    <xf numFmtId="9" fontId="11" fillId="10" borderId="101" xfId="0" applyNumberFormat="1" applyFont="1" applyFill="1" applyBorder="1" applyAlignment="1">
      <alignment horizontal="center" vertical="center"/>
    </xf>
    <xf numFmtId="0" fontId="11" fillId="5" borderId="101" xfId="0" applyFont="1" applyFill="1" applyBorder="1" applyAlignment="1">
      <alignment horizontal="left" vertical="center"/>
    </xf>
    <xf numFmtId="0" fontId="0" fillId="4" borderId="98" xfId="0" applyFill="1" applyBorder="1" applyAlignment="1">
      <alignment vertical="center"/>
    </xf>
    <xf numFmtId="49" fontId="11" fillId="6" borderId="30" xfId="0" applyNumberFormat="1" applyFont="1" applyFill="1" applyBorder="1" applyAlignment="1">
      <alignment horizontal="left" vertical="center"/>
    </xf>
    <xf numFmtId="49" fontId="11" fillId="6" borderId="39" xfId="0" applyNumberFormat="1" applyFont="1" applyFill="1" applyBorder="1" applyAlignment="1">
      <alignment horizontal="left" vertical="center"/>
    </xf>
    <xf numFmtId="0" fontId="11" fillId="5" borderId="29" xfId="0" applyFont="1" applyFill="1" applyBorder="1" applyAlignment="1">
      <alignment horizontal="left" vertical="center"/>
    </xf>
    <xf numFmtId="0" fontId="0" fillId="4" borderId="110" xfId="0" applyFill="1" applyBorder="1" applyAlignment="1">
      <alignment vertical="center"/>
    </xf>
    <xf numFmtId="0" fontId="0" fillId="4" borderId="111" xfId="0" applyFill="1" applyBorder="1" applyAlignment="1">
      <alignment vertical="center"/>
    </xf>
    <xf numFmtId="0" fontId="0" fillId="4" borderId="60" xfId="0" applyFill="1" applyBorder="1" applyAlignment="1">
      <alignment vertical="center"/>
    </xf>
    <xf numFmtId="0" fontId="0" fillId="4" borderId="63" xfId="0" applyFill="1" applyBorder="1" applyAlignment="1">
      <alignment vertical="center"/>
    </xf>
    <xf numFmtId="0" fontId="0" fillId="4" borderId="64" xfId="0" applyFill="1" applyBorder="1" applyAlignment="1">
      <alignment vertical="center"/>
    </xf>
    <xf numFmtId="49" fontId="7" fillId="4" borderId="91" xfId="0" applyNumberFormat="1" applyFont="1" applyFill="1" applyBorder="1" applyAlignment="1">
      <alignment vertical="center"/>
    </xf>
    <xf numFmtId="0" fontId="34" fillId="4" borderId="69" xfId="0" applyFont="1" applyFill="1" applyBorder="1" applyAlignment="1">
      <alignment horizontal="left" vertical="center"/>
    </xf>
    <xf numFmtId="0" fontId="3" fillId="4" borderId="69" xfId="0" applyFont="1" applyFill="1" applyBorder="1" applyAlignment="1">
      <alignment horizontal="left" vertical="center"/>
    </xf>
    <xf numFmtId="0" fontId="0" fillId="4" borderId="112" xfId="0" applyFill="1" applyBorder="1" applyAlignment="1">
      <alignment vertical="center"/>
    </xf>
    <xf numFmtId="0" fontId="0" fillId="4" borderId="113" xfId="0" applyFill="1" applyBorder="1" applyAlignment="1">
      <alignment vertical="center"/>
    </xf>
    <xf numFmtId="49" fontId="49" fillId="9" borderId="74" xfId="0" applyNumberFormat="1" applyFont="1" applyFill="1" applyBorder="1" applyAlignment="1">
      <alignment horizontal="left" vertical="center"/>
    </xf>
    <xf numFmtId="0" fontId="50" fillId="9" borderId="41" xfId="0" applyFont="1" applyFill="1" applyBorder="1" applyAlignment="1">
      <alignment horizontal="left" vertical="center"/>
    </xf>
    <xf numFmtId="0" fontId="50" fillId="9" borderId="114" xfId="0" applyFont="1" applyFill="1" applyBorder="1" applyAlignment="1">
      <alignment horizontal="left" vertical="center"/>
    </xf>
    <xf numFmtId="49" fontId="49" fillId="9" borderId="74" xfId="0" applyNumberFormat="1" applyFont="1" applyFill="1" applyBorder="1" applyAlignment="1">
      <alignment vertical="center"/>
    </xf>
    <xf numFmtId="0" fontId="50" fillId="9" borderId="41" xfId="0" applyFont="1" applyFill="1" applyBorder="1" applyAlignment="1">
      <alignment vertical="center"/>
    </xf>
    <xf numFmtId="0" fontId="51" fillId="9" borderId="41" xfId="0" applyFont="1" applyFill="1" applyBorder="1" applyAlignment="1">
      <alignment vertical="center"/>
    </xf>
    <xf numFmtId="0" fontId="51" fillId="9" borderId="114" xfId="0" applyFont="1" applyFill="1" applyBorder="1" applyAlignment="1">
      <alignment vertical="center"/>
    </xf>
    <xf numFmtId="0" fontId="51" fillId="9" borderId="41" xfId="0" applyFont="1" applyFill="1" applyBorder="1" applyAlignment="1">
      <alignment horizontal="left" vertical="center"/>
    </xf>
    <xf numFmtId="0" fontId="51" fillId="9" borderId="114" xfId="0" applyFont="1" applyFill="1" applyBorder="1" applyAlignment="1">
      <alignment horizontal="left" vertical="center"/>
    </xf>
    <xf numFmtId="0" fontId="0" fillId="4" borderId="115" xfId="0" applyFill="1" applyBorder="1" applyAlignment="1">
      <alignment vertical="center"/>
    </xf>
    <xf numFmtId="0" fontId="51" fillId="9" borderId="22" xfId="0" applyFont="1" applyFill="1" applyBorder="1" applyAlignment="1">
      <alignment vertical="center"/>
    </xf>
    <xf numFmtId="0" fontId="51" fillId="9" borderId="70" xfId="0" applyFont="1" applyFill="1" applyBorder="1" applyAlignment="1">
      <alignment vertical="center"/>
    </xf>
    <xf numFmtId="0" fontId="51" fillId="9" borderId="22" xfId="0" applyFont="1" applyFill="1" applyBorder="1" applyAlignment="1">
      <alignment horizontal="left" vertical="center"/>
    </xf>
    <xf numFmtId="0" fontId="51" fillId="9" borderId="70" xfId="0" applyFont="1" applyFill="1" applyBorder="1" applyAlignment="1">
      <alignment horizontal="left" vertical="center"/>
    </xf>
    <xf numFmtId="0" fontId="0" fillId="9" borderId="16" xfId="0" applyFill="1" applyBorder="1" applyAlignment="1">
      <alignment vertical="center"/>
    </xf>
    <xf numFmtId="0" fontId="0" fillId="9" borderId="22" xfId="0" applyFill="1" applyBorder="1" applyAlignment="1">
      <alignment vertical="center"/>
    </xf>
    <xf numFmtId="0" fontId="0" fillId="9" borderId="70" xfId="0" applyFill="1" applyBorder="1" applyAlignment="1">
      <alignment vertical="center"/>
    </xf>
    <xf numFmtId="0" fontId="51" fillId="9" borderId="16" xfId="0" applyFont="1" applyFill="1" applyBorder="1" applyAlignment="1">
      <alignment horizontal="left" vertical="center"/>
    </xf>
    <xf numFmtId="49" fontId="21" fillId="6" borderId="31" xfId="0" applyNumberFormat="1" applyFont="1" applyFill="1" applyBorder="1" applyAlignment="1">
      <alignment horizontal="center" vertical="center"/>
    </xf>
    <xf numFmtId="49" fontId="21" fillId="6" borderId="15" xfId="0" applyNumberFormat="1" applyFont="1" applyFill="1" applyBorder="1" applyAlignment="1">
      <alignment horizontal="center" vertical="center" wrapText="1"/>
    </xf>
    <xf numFmtId="49" fontId="21" fillId="6" borderId="15" xfId="0" applyNumberFormat="1" applyFont="1" applyFill="1" applyBorder="1" applyAlignment="1">
      <alignment horizontal="center" vertical="center"/>
    </xf>
    <xf numFmtId="49" fontId="21" fillId="6" borderId="32" xfId="0" applyNumberFormat="1" applyFont="1" applyFill="1" applyBorder="1" applyAlignment="1">
      <alignment horizontal="center" vertical="center"/>
    </xf>
    <xf numFmtId="0" fontId="0" fillId="8" borderId="31" xfId="0" applyNumberFormat="1" applyFill="1" applyBorder="1" applyAlignment="1">
      <alignment vertical="center"/>
    </xf>
    <xf numFmtId="10" fontId="0" fillId="8" borderId="15" xfId="0" applyNumberFormat="1" applyFill="1" applyBorder="1" applyAlignment="1">
      <alignment vertical="center"/>
    </xf>
    <xf numFmtId="174" fontId="0" fillId="8" borderId="15" xfId="0" applyNumberFormat="1" applyFill="1" applyBorder="1" applyAlignment="1">
      <alignment vertical="center"/>
    </xf>
    <xf numFmtId="174" fontId="0" fillId="8" borderId="32" xfId="0" applyNumberFormat="1" applyFill="1" applyBorder="1" applyAlignment="1">
      <alignment vertical="center"/>
    </xf>
    <xf numFmtId="0" fontId="5" fillId="4" borderId="70" xfId="0" applyFont="1" applyFill="1" applyBorder="1" applyAlignment="1">
      <alignment horizontal="center" vertical="center"/>
    </xf>
    <xf numFmtId="0" fontId="5" fillId="4" borderId="19" xfId="0" applyFont="1" applyFill="1" applyBorder="1" applyAlignment="1">
      <alignment horizontal="center" vertical="center"/>
    </xf>
    <xf numFmtId="0" fontId="0" fillId="9" borderId="121" xfId="0" applyFill="1" applyBorder="1" applyAlignment="1">
      <alignment vertical="center"/>
    </xf>
    <xf numFmtId="0" fontId="0" fillId="9" borderId="10" xfId="0" applyFill="1" applyBorder="1" applyAlignment="1">
      <alignment vertical="center"/>
    </xf>
    <xf numFmtId="0" fontId="51" fillId="9" borderId="121" xfId="0" applyFont="1" applyFill="1" applyBorder="1" applyAlignment="1">
      <alignment horizontal="left" vertical="center"/>
    </xf>
    <xf numFmtId="0" fontId="51" fillId="9" borderId="10" xfId="0" applyFont="1" applyFill="1" applyBorder="1" applyAlignment="1">
      <alignment horizontal="left" vertical="center"/>
    </xf>
    <xf numFmtId="0" fontId="5" fillId="4" borderId="115" xfId="0" applyFont="1" applyFill="1" applyBorder="1" applyAlignment="1">
      <alignment horizontal="center" vertical="center"/>
    </xf>
    <xf numFmtId="49" fontId="5" fillId="6" borderId="15" xfId="0" applyNumberFormat="1" applyFont="1" applyFill="1" applyBorder="1" applyAlignment="1">
      <alignment horizontal="center" vertical="center"/>
    </xf>
    <xf numFmtId="0" fontId="5" fillId="4" borderId="69" xfId="0" applyFont="1" applyFill="1" applyBorder="1" applyAlignment="1">
      <alignment horizontal="left" vertical="center"/>
    </xf>
    <xf numFmtId="0" fontId="5" fillId="4" borderId="72" xfId="0" applyFont="1" applyFill="1" applyBorder="1" applyAlignment="1">
      <alignment horizontal="left" vertical="center"/>
    </xf>
    <xf numFmtId="0" fontId="51" fillId="9" borderId="78" xfId="0" applyFont="1" applyFill="1" applyBorder="1" applyAlignment="1">
      <alignment vertical="center"/>
    </xf>
    <xf numFmtId="0" fontId="51" fillId="9" borderId="9" xfId="0" applyFont="1" applyFill="1" applyBorder="1" applyAlignment="1">
      <alignment vertical="center"/>
    </xf>
    <xf numFmtId="0" fontId="5" fillId="4" borderId="19" xfId="0" applyFont="1" applyFill="1" applyBorder="1" applyAlignment="1">
      <alignment horizontal="left" vertical="center"/>
    </xf>
    <xf numFmtId="0" fontId="51" fillId="9" borderId="78" xfId="0" applyFont="1" applyFill="1" applyBorder="1" applyAlignment="1">
      <alignment horizontal="left" vertical="center"/>
    </xf>
    <xf numFmtId="0" fontId="51" fillId="9" borderId="9" xfId="0" applyFont="1" applyFill="1" applyBorder="1" applyAlignment="1">
      <alignment horizontal="left" vertical="center"/>
    </xf>
    <xf numFmtId="0" fontId="51" fillId="9" borderId="22" xfId="0" applyFont="1" applyFill="1" applyBorder="1" applyAlignment="1">
      <alignment horizontal="center" vertical="center"/>
    </xf>
    <xf numFmtId="0" fontId="51" fillId="9" borderId="70" xfId="0" applyFont="1" applyFill="1" applyBorder="1" applyAlignment="1">
      <alignment horizontal="center" vertical="center"/>
    </xf>
    <xf numFmtId="0" fontId="5" fillId="9" borderId="16" xfId="0" applyFont="1" applyFill="1" applyBorder="1" applyAlignment="1">
      <alignment horizontal="left" vertical="center"/>
    </xf>
    <xf numFmtId="0" fontId="5" fillId="9" borderId="22" xfId="0" applyFont="1" applyFill="1" applyBorder="1" applyAlignment="1">
      <alignment horizontal="left" vertical="center"/>
    </xf>
    <xf numFmtId="0" fontId="5" fillId="9" borderId="70" xfId="0" applyFont="1" applyFill="1" applyBorder="1" applyAlignment="1">
      <alignment horizontal="left" vertical="center"/>
    </xf>
    <xf numFmtId="0" fontId="21" fillId="4" borderId="115" xfId="0" applyFont="1" applyFill="1" applyBorder="1" applyAlignment="1">
      <alignment vertical="center"/>
    </xf>
    <xf numFmtId="0" fontId="51" fillId="9" borderId="6" xfId="0" applyFont="1" applyFill="1" applyBorder="1" applyAlignment="1">
      <alignment horizontal="left" vertical="center"/>
    </xf>
    <xf numFmtId="0" fontId="0" fillId="9" borderId="21" xfId="0" applyFill="1" applyBorder="1" applyAlignment="1">
      <alignment vertical="center"/>
    </xf>
    <xf numFmtId="0" fontId="0" fillId="9" borderId="37" xfId="0" applyFill="1" applyBorder="1" applyAlignment="1">
      <alignment vertical="center"/>
    </xf>
    <xf numFmtId="0" fontId="0" fillId="9" borderId="117" xfId="0" applyFill="1" applyBorder="1" applyAlignment="1">
      <alignment vertical="center"/>
    </xf>
    <xf numFmtId="0" fontId="0" fillId="9" borderId="44" xfId="0" applyFill="1" applyBorder="1" applyAlignment="1">
      <alignment vertical="center"/>
    </xf>
    <xf numFmtId="0" fontId="5" fillId="4" borderId="22" xfId="0" applyFont="1" applyFill="1" applyBorder="1" applyAlignment="1">
      <alignment horizontal="center" vertical="center"/>
    </xf>
    <xf numFmtId="0" fontId="5" fillId="4" borderId="64" xfId="0" applyFont="1" applyFill="1" applyBorder="1" applyAlignment="1">
      <alignment horizontal="center" vertical="center"/>
    </xf>
    <xf numFmtId="0" fontId="0" fillId="9" borderId="78" xfId="0" applyFill="1" applyBorder="1" applyAlignment="1">
      <alignment vertical="center"/>
    </xf>
    <xf numFmtId="0" fontId="0" fillId="9" borderId="9" xfId="0" applyFill="1" applyBorder="1" applyAlignment="1">
      <alignment vertical="center"/>
    </xf>
    <xf numFmtId="49" fontId="55" fillId="9" borderId="21" xfId="0" applyNumberFormat="1" applyFont="1" applyFill="1" applyBorder="1" applyAlignment="1">
      <alignment horizontal="left" vertical="center"/>
    </xf>
    <xf numFmtId="0" fontId="21" fillId="9" borderId="22" xfId="0" applyFont="1" applyFill="1" applyBorder="1" applyAlignment="1">
      <alignment horizontal="left" vertical="center"/>
    </xf>
    <xf numFmtId="0" fontId="21" fillId="9" borderId="21" xfId="0" applyFont="1" applyFill="1" applyBorder="1" applyAlignment="1">
      <alignment horizontal="left" vertical="center"/>
    </xf>
    <xf numFmtId="0" fontId="21" fillId="9" borderId="6" xfId="0" applyFont="1" applyFill="1" applyBorder="1" applyAlignment="1">
      <alignment horizontal="left" vertical="center"/>
    </xf>
    <xf numFmtId="0" fontId="5" fillId="9" borderId="6" xfId="0" applyFont="1" applyFill="1" applyBorder="1" applyAlignment="1">
      <alignment horizontal="left" vertical="center"/>
    </xf>
    <xf numFmtId="0" fontId="5" fillId="9" borderId="118" xfId="0" applyFont="1" applyFill="1" applyBorder="1" applyAlignment="1">
      <alignment horizontal="left" vertical="center"/>
    </xf>
    <xf numFmtId="0" fontId="0" fillId="9" borderId="6" xfId="0" applyFill="1" applyBorder="1" applyAlignment="1">
      <alignment vertical="center"/>
    </xf>
    <xf numFmtId="2" fontId="5" fillId="8" borderId="15" xfId="0" applyNumberFormat="1" applyFont="1" applyFill="1" applyBorder="1" applyAlignment="1">
      <alignment horizontal="center" vertical="center"/>
    </xf>
    <xf numFmtId="2" fontId="5" fillId="8" borderId="32" xfId="0" applyNumberFormat="1" applyFont="1" applyFill="1" applyBorder="1" applyAlignment="1">
      <alignment horizontal="center" vertical="center"/>
    </xf>
    <xf numFmtId="2" fontId="5" fillId="6" borderId="33" xfId="0" applyNumberFormat="1" applyFont="1" applyFill="1" applyBorder="1" applyAlignment="1">
      <alignment horizontal="center" vertical="center"/>
    </xf>
    <xf numFmtId="2" fontId="5" fillId="6" borderId="16" xfId="0" applyNumberFormat="1" applyFont="1" applyFill="1" applyBorder="1" applyAlignment="1">
      <alignment horizontal="center" vertical="center"/>
    </xf>
    <xf numFmtId="2" fontId="5" fillId="6" borderId="35" xfId="0" applyNumberFormat="1" applyFont="1" applyFill="1" applyBorder="1" applyAlignment="1">
      <alignment horizontal="center" vertical="center"/>
    </xf>
    <xf numFmtId="2" fontId="5" fillId="6" borderId="22" xfId="0" applyNumberFormat="1" applyFont="1" applyFill="1" applyBorder="1" applyAlignment="1">
      <alignment horizontal="center" vertical="center"/>
    </xf>
    <xf numFmtId="2" fontId="5" fillId="6" borderId="43" xfId="0" applyNumberFormat="1" applyFont="1" applyFill="1" applyBorder="1" applyAlignment="1">
      <alignment horizontal="center" vertical="center"/>
    </xf>
    <xf numFmtId="2" fontId="5" fillId="6" borderId="6" xfId="0" applyNumberFormat="1" applyFont="1" applyFill="1" applyBorder="1" applyAlignment="1">
      <alignment horizontal="center" vertical="center"/>
    </xf>
    <xf numFmtId="2" fontId="5" fillId="6" borderId="68" xfId="0" applyNumberFormat="1" applyFont="1" applyFill="1" applyBorder="1" applyAlignment="1">
      <alignment horizontal="center" vertical="center"/>
    </xf>
    <xf numFmtId="0" fontId="51" fillId="9" borderId="122" xfId="0" applyFont="1" applyFill="1" applyBorder="1" applyAlignment="1">
      <alignment vertical="center"/>
    </xf>
    <xf numFmtId="0" fontId="51" fillId="9" borderId="117" xfId="0" applyFont="1" applyFill="1" applyBorder="1" applyAlignment="1">
      <alignment vertical="center"/>
    </xf>
    <xf numFmtId="0" fontId="51" fillId="9" borderId="6" xfId="0" applyFont="1" applyFill="1" applyBorder="1" applyAlignment="1">
      <alignment vertical="center"/>
    </xf>
    <xf numFmtId="0" fontId="51" fillId="9" borderId="44" xfId="0" applyFont="1" applyFill="1" applyBorder="1" applyAlignment="1">
      <alignment vertical="center"/>
    </xf>
    <xf numFmtId="1" fontId="5" fillId="8" borderId="32" xfId="0" applyNumberFormat="1" applyFont="1" applyFill="1" applyBorder="1" applyAlignment="1">
      <alignment horizontal="center" vertical="center"/>
    </xf>
    <xf numFmtId="1" fontId="5" fillId="6" borderId="33" xfId="0" applyNumberFormat="1" applyFont="1" applyFill="1" applyBorder="1" applyAlignment="1">
      <alignment horizontal="center" vertical="center"/>
    </xf>
    <xf numFmtId="1" fontId="5" fillId="6" borderId="16" xfId="0" applyNumberFormat="1" applyFont="1" applyFill="1" applyBorder="1" applyAlignment="1">
      <alignment horizontal="center" vertical="center"/>
    </xf>
    <xf numFmtId="1" fontId="5" fillId="6" borderId="35" xfId="0" applyNumberFormat="1" applyFont="1" applyFill="1" applyBorder="1" applyAlignment="1">
      <alignment horizontal="center" vertical="center"/>
    </xf>
    <xf numFmtId="1" fontId="5" fillId="6" borderId="22" xfId="0" applyNumberFormat="1" applyFont="1" applyFill="1" applyBorder="1" applyAlignment="1">
      <alignment horizontal="center" vertical="center"/>
    </xf>
    <xf numFmtId="1" fontId="5" fillId="6" borderId="43" xfId="0" applyNumberFormat="1" applyFont="1" applyFill="1" applyBorder="1" applyAlignment="1">
      <alignment horizontal="center" vertical="center"/>
    </xf>
    <xf numFmtId="1" fontId="5" fillId="6" borderId="6" xfId="0" applyNumberFormat="1" applyFont="1" applyFill="1" applyBorder="1" applyAlignment="1">
      <alignment horizontal="center" vertical="center"/>
    </xf>
    <xf numFmtId="1" fontId="5" fillId="6" borderId="68" xfId="0" applyNumberFormat="1" applyFont="1" applyFill="1" applyBorder="1" applyAlignment="1">
      <alignment horizontal="center" vertical="center"/>
    </xf>
    <xf numFmtId="1" fontId="5" fillId="4" borderId="22" xfId="0" applyNumberFormat="1" applyFont="1" applyFill="1" applyBorder="1" applyAlignment="1">
      <alignment horizontal="center" vertical="center"/>
    </xf>
    <xf numFmtId="0" fontId="0" fillId="8" borderId="38" xfId="0" applyNumberFormat="1" applyFill="1" applyBorder="1" applyAlignment="1">
      <alignment vertical="center"/>
    </xf>
    <xf numFmtId="10" fontId="0" fillId="8" borderId="82" xfId="0" applyNumberFormat="1" applyFill="1" applyBorder="1" applyAlignment="1">
      <alignment vertical="center"/>
    </xf>
    <xf numFmtId="174" fontId="0" fillId="8" borderId="82" xfId="0" applyNumberFormat="1" applyFill="1" applyBorder="1" applyAlignment="1">
      <alignment vertical="center"/>
    </xf>
    <xf numFmtId="174" fontId="0" fillId="8" borderId="39" xfId="0" applyNumberFormat="1" applyFill="1" applyBorder="1" applyAlignment="1">
      <alignment vertical="center"/>
    </xf>
    <xf numFmtId="0" fontId="0" fillId="4" borderId="127" xfId="0" applyFill="1" applyBorder="1" applyAlignment="1">
      <alignment vertical="center"/>
    </xf>
    <xf numFmtId="0" fontId="0" fillId="4" borderId="86" xfId="0" applyFill="1" applyBorder="1" applyAlignment="1">
      <alignment vertical="center"/>
    </xf>
    <xf numFmtId="49" fontId="13" fillId="11" borderId="1" xfId="0" applyNumberFormat="1" applyFont="1" applyFill="1" applyBorder="1" applyAlignment="1">
      <alignment vertical="center"/>
    </xf>
    <xf numFmtId="174" fontId="0" fillId="11" borderId="2" xfId="0" applyNumberFormat="1" applyFill="1" applyBorder="1" applyAlignment="1">
      <alignment vertical="center"/>
    </xf>
    <xf numFmtId="0" fontId="0" fillId="11" borderId="2" xfId="0" applyFill="1" applyBorder="1" applyAlignment="1">
      <alignment vertical="center"/>
    </xf>
    <xf numFmtId="49" fontId="56" fillId="11" borderId="2" xfId="0" applyNumberFormat="1" applyFont="1" applyFill="1" applyBorder="1" applyAlignment="1">
      <alignment vertical="center"/>
    </xf>
    <xf numFmtId="49" fontId="34" fillId="11" borderId="40" xfId="0" applyNumberFormat="1" applyFont="1" applyFill="1" applyBorder="1" applyAlignment="1">
      <alignment horizontal="left" vertical="center"/>
    </xf>
    <xf numFmtId="0" fontId="13" fillId="11" borderId="22" xfId="0" applyFont="1" applyFill="1" applyBorder="1" applyAlignment="1">
      <alignment vertical="center"/>
    </xf>
    <xf numFmtId="0" fontId="13" fillId="11" borderId="6" xfId="0" applyFont="1" applyFill="1" applyBorder="1" applyAlignment="1">
      <alignment vertical="center"/>
    </xf>
    <xf numFmtId="49" fontId="1" fillId="11" borderId="22" xfId="0" applyNumberFormat="1" applyFont="1" applyFill="1" applyBorder="1" applyAlignment="1">
      <alignment vertical="center"/>
    </xf>
    <xf numFmtId="49" fontId="7" fillId="11" borderId="22" xfId="0" applyNumberFormat="1" applyFont="1" applyFill="1" applyBorder="1" applyAlignment="1">
      <alignment vertical="center"/>
    </xf>
    <xf numFmtId="49" fontId="7" fillId="11" borderId="40" xfId="0" applyNumberFormat="1" applyFont="1" applyFill="1" applyBorder="1" applyAlignment="1">
      <alignment vertical="center"/>
    </xf>
    <xf numFmtId="0" fontId="34" fillId="11" borderId="22" xfId="0" applyFont="1" applyFill="1" applyBorder="1" applyAlignment="1">
      <alignment horizontal="left" vertical="center"/>
    </xf>
    <xf numFmtId="49" fontId="14" fillId="11" borderId="37" xfId="0" applyNumberFormat="1" applyFont="1" applyFill="1" applyBorder="1" applyAlignment="1">
      <alignment horizontal="right" vertical="center"/>
    </xf>
    <xf numFmtId="0" fontId="14" fillId="11" borderId="16" xfId="0" applyFont="1" applyFill="1" applyBorder="1" applyAlignment="1">
      <alignment horizontal="center" vertical="center"/>
    </xf>
    <xf numFmtId="0" fontId="14" fillId="11" borderId="22" xfId="0" applyFont="1" applyFill="1" applyBorder="1" applyAlignment="1">
      <alignment horizontal="center" vertical="center"/>
    </xf>
    <xf numFmtId="49" fontId="24" fillId="11" borderId="22" xfId="0" applyNumberFormat="1" applyFont="1" applyFill="1" applyBorder="1" applyAlignment="1">
      <alignment vertical="center"/>
    </xf>
    <xf numFmtId="0" fontId="57" fillId="11" borderId="22" xfId="0" applyFont="1" applyFill="1" applyBorder="1" applyAlignment="1">
      <alignment vertical="center"/>
    </xf>
    <xf numFmtId="0" fontId="14" fillId="11" borderId="16" xfId="0" applyFont="1" applyFill="1" applyBorder="1" applyAlignment="1">
      <alignment vertical="center"/>
    </xf>
    <xf numFmtId="49" fontId="10" fillId="12" borderId="6" xfId="0" applyNumberFormat="1" applyFont="1" applyFill="1" applyBorder="1" applyAlignment="1">
      <alignment vertical="center"/>
    </xf>
    <xf numFmtId="0" fontId="24" fillId="12" borderId="6" xfId="0" applyFont="1" applyFill="1" applyBorder="1" applyAlignment="1">
      <alignment vertical="center"/>
    </xf>
    <xf numFmtId="0" fontId="0" fillId="12" borderId="6" xfId="0" applyFill="1" applyBorder="1" applyAlignment="1">
      <alignment vertical="center"/>
    </xf>
    <xf numFmtId="0" fontId="0" fillId="11" borderId="22" xfId="0" applyFill="1" applyBorder="1" applyAlignment="1">
      <alignment horizontal="left" vertical="center" wrapText="1"/>
    </xf>
    <xf numFmtId="0" fontId="0" fillId="11" borderId="37" xfId="0" applyFill="1" applyBorder="1" applyAlignment="1">
      <alignment horizontal="left" vertical="center" wrapText="1"/>
    </xf>
    <xf numFmtId="49" fontId="14" fillId="13" borderId="15" xfId="0" applyNumberFormat="1" applyFont="1" applyFill="1" applyBorder="1" applyAlignment="1">
      <alignment horizontal="center" vertical="center"/>
    </xf>
    <xf numFmtId="0" fontId="11" fillId="11" borderId="37" xfId="0" applyFont="1" applyFill="1" applyBorder="1" applyAlignment="1">
      <alignment vertical="center"/>
    </xf>
    <xf numFmtId="49" fontId="14" fillId="8" borderId="15" xfId="0" applyNumberFormat="1" applyFont="1" applyFill="1" applyBorder="1" applyAlignment="1">
      <alignment horizontal="center" vertical="center"/>
    </xf>
    <xf numFmtId="0" fontId="14" fillId="11" borderId="36" xfId="0" applyFont="1" applyFill="1" applyBorder="1" applyAlignment="1">
      <alignment vertical="center"/>
    </xf>
    <xf numFmtId="0" fontId="0" fillId="11" borderId="9" xfId="0" applyFill="1" applyBorder="1" applyAlignment="1">
      <alignment vertical="center" wrapText="1"/>
    </xf>
    <xf numFmtId="0" fontId="0" fillId="11" borderId="22" xfId="0" applyFill="1" applyBorder="1" applyAlignment="1">
      <alignment vertical="center" wrapText="1"/>
    </xf>
    <xf numFmtId="49" fontId="59" fillId="11" borderId="22" xfId="0" applyNumberFormat="1" applyFont="1" applyFill="1" applyBorder="1" applyAlignment="1">
      <alignment vertical="center"/>
    </xf>
    <xf numFmtId="0" fontId="0" fillId="11" borderId="8" xfId="0" applyFill="1" applyBorder="1" applyAlignment="1">
      <alignment horizontal="left" vertical="center" wrapText="1"/>
    </xf>
    <xf numFmtId="0" fontId="0" fillId="5" borderId="79" xfId="0" applyFill="1" applyBorder="1" applyAlignment="1">
      <alignment vertical="center"/>
    </xf>
    <xf numFmtId="0" fontId="0" fillId="11" borderId="14" xfId="0" applyFill="1" applyBorder="1" applyAlignment="1">
      <alignment horizontal="left" vertical="center" wrapText="1"/>
    </xf>
    <xf numFmtId="0" fontId="0" fillId="11" borderId="40" xfId="0" applyFill="1" applyBorder="1" applyAlignment="1">
      <alignment vertical="center"/>
    </xf>
    <xf numFmtId="174" fontId="0" fillId="11" borderId="22" xfId="0" applyNumberFormat="1" applyFill="1" applyBorder="1" applyAlignment="1">
      <alignment vertical="center"/>
    </xf>
    <xf numFmtId="0" fontId="0" fillId="11" borderId="22" xfId="0" applyFill="1" applyBorder="1" applyAlignment="1">
      <alignment vertical="center"/>
    </xf>
    <xf numFmtId="0" fontId="0" fillId="11" borderId="41" xfId="0" applyFill="1" applyBorder="1" applyAlignment="1">
      <alignment vertical="center"/>
    </xf>
    <xf numFmtId="0" fontId="63" fillId="11" borderId="37" xfId="0" applyFont="1" applyFill="1" applyBorder="1" applyAlignment="1">
      <alignment vertical="center" wrapText="1"/>
    </xf>
    <xf numFmtId="49" fontId="3" fillId="11" borderId="91" xfId="0" applyNumberFormat="1" applyFont="1" applyFill="1" applyBorder="1" applyAlignment="1">
      <alignment horizontal="left" vertical="center"/>
    </xf>
    <xf numFmtId="174" fontId="0" fillId="11" borderId="69" xfId="0" applyNumberFormat="1" applyFill="1" applyBorder="1" applyAlignment="1">
      <alignment vertical="center"/>
    </xf>
    <xf numFmtId="0" fontId="0" fillId="11" borderId="69" xfId="0" applyFill="1" applyBorder="1" applyAlignment="1">
      <alignment vertical="center"/>
    </xf>
    <xf numFmtId="0" fontId="0" fillId="11" borderId="69" xfId="0" applyFill="1" applyBorder="1" applyAlignment="1">
      <alignment vertical="center" wrapText="1"/>
    </xf>
    <xf numFmtId="0" fontId="0" fillId="11" borderId="21" xfId="0" applyFill="1" applyBorder="1" applyAlignment="1">
      <alignment horizontal="left" vertical="center" wrapText="1"/>
    </xf>
    <xf numFmtId="0" fontId="24" fillId="11" borderId="22" xfId="0" applyFont="1" applyFill="1" applyBorder="1" applyAlignment="1">
      <alignment vertical="center"/>
    </xf>
    <xf numFmtId="168" fontId="0" fillId="5" borderId="16" xfId="0" applyNumberFormat="1" applyFill="1" applyBorder="1" applyAlignment="1">
      <alignment vertical="center"/>
    </xf>
    <xf numFmtId="0" fontId="11" fillId="11" borderId="21" xfId="0" applyFont="1" applyFill="1" applyBorder="1" applyAlignment="1">
      <alignment horizontal="left" vertical="center" wrapText="1"/>
    </xf>
    <xf numFmtId="0" fontId="11" fillId="11" borderId="22" xfId="0" applyFont="1" applyFill="1" applyBorder="1" applyAlignment="1">
      <alignment horizontal="left" vertical="center" wrapText="1"/>
    </xf>
    <xf numFmtId="0" fontId="11" fillId="11" borderId="37" xfId="0" applyFont="1" applyFill="1" applyBorder="1" applyAlignment="1">
      <alignment horizontal="left" vertical="center" wrapText="1"/>
    </xf>
    <xf numFmtId="166" fontId="61" fillId="8" borderId="15" xfId="0" applyNumberFormat="1" applyFont="1" applyFill="1" applyBorder="1" applyAlignment="1">
      <alignment vertical="center" wrapText="1"/>
    </xf>
    <xf numFmtId="171" fontId="64" fillId="5" borderId="15" xfId="0" applyNumberFormat="1" applyFont="1" applyFill="1" applyBorder="1" applyAlignment="1">
      <alignment horizontal="center" vertical="center" wrapText="1"/>
    </xf>
    <xf numFmtId="166" fontId="61" fillId="8" borderId="15" xfId="0" applyNumberFormat="1" applyFont="1" applyFill="1" applyBorder="1" applyAlignment="1">
      <alignment horizontal="center" vertical="center"/>
    </xf>
    <xf numFmtId="9" fontId="65" fillId="5" borderId="79" xfId="0" applyNumberFormat="1" applyFont="1" applyFill="1" applyBorder="1" applyAlignment="1">
      <alignment horizontal="center" vertical="center" wrapText="1"/>
    </xf>
    <xf numFmtId="0" fontId="11" fillId="11" borderId="14" xfId="0" applyFont="1" applyFill="1" applyBorder="1" applyAlignment="1">
      <alignment horizontal="left" vertical="center" wrapText="1"/>
    </xf>
    <xf numFmtId="49" fontId="65" fillId="6" borderId="15" xfId="0" applyNumberFormat="1" applyFont="1" applyFill="1" applyBorder="1" applyAlignment="1">
      <alignment horizontal="center" vertical="center"/>
    </xf>
    <xf numFmtId="166" fontId="65" fillId="5" borderId="15" xfId="0" applyNumberFormat="1" applyFont="1" applyFill="1" applyBorder="1" applyAlignment="1">
      <alignment horizontal="center" vertical="center"/>
    </xf>
    <xf numFmtId="2" fontId="66" fillId="6" borderId="15" xfId="0" applyNumberFormat="1" applyFont="1" applyFill="1" applyBorder="1" applyAlignment="1">
      <alignment horizontal="center" vertical="center"/>
    </xf>
    <xf numFmtId="166" fontId="65" fillId="15" borderId="15" xfId="0" applyNumberFormat="1" applyFont="1" applyFill="1" applyBorder="1" applyAlignment="1">
      <alignment horizontal="center" vertical="center"/>
    </xf>
    <xf numFmtId="166" fontId="65" fillId="6" borderId="15" xfId="0" applyNumberFormat="1" applyFont="1" applyFill="1" applyBorder="1" applyAlignment="1">
      <alignment horizontal="center" vertical="center"/>
    </xf>
    <xf numFmtId="166" fontId="65" fillId="8" borderId="15" xfId="0" applyNumberFormat="1" applyFont="1" applyFill="1" applyBorder="1" applyAlignment="1">
      <alignment horizontal="center" vertical="center"/>
    </xf>
    <xf numFmtId="166" fontId="11" fillId="5" borderId="79" xfId="0" applyNumberFormat="1" applyFont="1" applyFill="1" applyBorder="1" applyAlignment="1">
      <alignment vertical="center"/>
    </xf>
    <xf numFmtId="0" fontId="16" fillId="11" borderId="100" xfId="0" applyFont="1" applyFill="1" applyBorder="1" applyAlignment="1">
      <alignment horizontal="left" vertical="center" wrapText="1"/>
    </xf>
    <xf numFmtId="0" fontId="16" fillId="11" borderId="41" xfId="0" applyFont="1" applyFill="1" applyBorder="1" applyAlignment="1">
      <alignment horizontal="left" vertical="center" wrapText="1"/>
    </xf>
    <xf numFmtId="0" fontId="65" fillId="6" borderId="15" xfId="0" applyNumberFormat="1" applyFont="1" applyFill="1" applyBorder="1" applyAlignment="1">
      <alignment horizontal="center" vertical="center"/>
    </xf>
    <xf numFmtId="49" fontId="28" fillId="11" borderId="69" xfId="0" applyNumberFormat="1" applyFont="1" applyFill="1" applyBorder="1" applyAlignment="1">
      <alignment horizontal="center" vertical="center"/>
    </xf>
    <xf numFmtId="166" fontId="21" fillId="13" borderId="79" xfId="0" applyNumberFormat="1" applyFont="1" applyFill="1" applyBorder="1" applyAlignment="1">
      <alignment horizontal="right" vertical="center"/>
    </xf>
    <xf numFmtId="0" fontId="0" fillId="11" borderId="21" xfId="0" applyFill="1" applyBorder="1" applyAlignment="1">
      <alignment vertical="center"/>
    </xf>
    <xf numFmtId="166" fontId="21" fillId="8" borderId="79" xfId="0" applyNumberFormat="1" applyFont="1" applyFill="1" applyBorder="1" applyAlignment="1">
      <alignment horizontal="right" vertical="center"/>
    </xf>
    <xf numFmtId="168" fontId="0" fillId="5" borderId="64" xfId="0" applyNumberFormat="1" applyFill="1" applyBorder="1" applyAlignment="1">
      <alignment vertical="center"/>
    </xf>
    <xf numFmtId="0" fontId="5" fillId="11" borderId="40" xfId="0" applyFont="1" applyFill="1" applyBorder="1" applyAlignment="1">
      <alignment vertical="center"/>
    </xf>
    <xf numFmtId="0" fontId="5" fillId="11" borderId="22" xfId="0" applyFont="1" applyFill="1" applyBorder="1" applyAlignment="1">
      <alignment vertical="center"/>
    </xf>
    <xf numFmtId="0" fontId="5" fillId="11" borderId="22" xfId="0" applyFont="1" applyFill="1" applyBorder="1" applyAlignment="1">
      <alignment horizontal="center" vertical="center" wrapText="1"/>
    </xf>
    <xf numFmtId="0" fontId="65" fillId="11" borderId="22" xfId="0" applyFont="1" applyFill="1" applyBorder="1" applyAlignment="1">
      <alignment vertical="center"/>
    </xf>
    <xf numFmtId="175" fontId="65" fillId="11" borderId="22" xfId="0" applyNumberFormat="1" applyFont="1" applyFill="1" applyBorder="1" applyAlignment="1">
      <alignment horizontal="left" vertical="center" wrapText="1"/>
    </xf>
    <xf numFmtId="0" fontId="5" fillId="11" borderId="22" xfId="0" applyFont="1" applyFill="1" applyBorder="1" applyAlignment="1">
      <alignment horizontal="center" vertical="center"/>
    </xf>
    <xf numFmtId="49" fontId="59" fillId="11" borderId="40" xfId="0" applyNumberFormat="1" applyFont="1" applyFill="1" applyBorder="1" applyAlignment="1">
      <alignment vertical="center"/>
    </xf>
    <xf numFmtId="0" fontId="65" fillId="11" borderId="22" xfId="0" applyFont="1" applyFill="1" applyBorder="1" applyAlignment="1">
      <alignment horizontal="left" vertical="center" wrapText="1"/>
    </xf>
    <xf numFmtId="49" fontId="67" fillId="11" borderId="91" xfId="0" applyNumberFormat="1" applyFont="1" applyFill="1" applyBorder="1" applyAlignment="1">
      <alignment horizontal="left" vertical="top"/>
    </xf>
    <xf numFmtId="0" fontId="69" fillId="11" borderId="69" xfId="0" applyFont="1" applyFill="1" applyBorder="1" applyAlignment="1">
      <alignment vertical="center"/>
    </xf>
    <xf numFmtId="0" fontId="69" fillId="11" borderId="22" xfId="0" applyFont="1" applyFill="1" applyBorder="1" applyAlignment="1">
      <alignment vertical="center"/>
    </xf>
    <xf numFmtId="49" fontId="67" fillId="11" borderId="69" xfId="0" applyNumberFormat="1" applyFont="1" applyFill="1" applyBorder="1" applyAlignment="1">
      <alignment horizontal="left" vertical="top"/>
    </xf>
    <xf numFmtId="0" fontId="0" fillId="11" borderId="37" xfId="0" applyFill="1" applyBorder="1" applyAlignment="1">
      <alignment vertical="center"/>
    </xf>
    <xf numFmtId="0" fontId="65" fillId="11" borderId="19" xfId="0" applyFont="1" applyFill="1" applyBorder="1" applyAlignment="1">
      <alignment vertical="center"/>
    </xf>
    <xf numFmtId="166" fontId="58" fillId="11" borderId="21" xfId="0" applyNumberFormat="1" applyFont="1" applyFill="1" applyBorder="1" applyAlignment="1">
      <alignment horizontal="left" vertical="center"/>
    </xf>
    <xf numFmtId="166" fontId="58" fillId="11" borderId="70" xfId="0" applyNumberFormat="1" applyFont="1" applyFill="1" applyBorder="1" applyAlignment="1">
      <alignment horizontal="left" vertical="center"/>
    </xf>
    <xf numFmtId="0" fontId="65" fillId="12" borderId="19" xfId="0" applyFont="1" applyFill="1" applyBorder="1" applyAlignment="1">
      <alignment vertical="center"/>
    </xf>
    <xf numFmtId="166" fontId="58" fillId="11" borderId="14" xfId="0" applyNumberFormat="1" applyFont="1" applyFill="1" applyBorder="1" applyAlignment="1">
      <alignment horizontal="left" vertical="center"/>
    </xf>
    <xf numFmtId="166" fontId="60" fillId="11" borderId="21" xfId="0" applyNumberFormat="1" applyFont="1" applyFill="1" applyBorder="1" applyAlignment="1">
      <alignment horizontal="center" vertical="center" wrapText="1"/>
    </xf>
    <xf numFmtId="166" fontId="60" fillId="11" borderId="70" xfId="0" applyNumberFormat="1" applyFont="1" applyFill="1" applyBorder="1" applyAlignment="1">
      <alignment horizontal="center" vertical="center" wrapText="1"/>
    </xf>
    <xf numFmtId="166" fontId="60" fillId="11" borderId="14" xfId="0" applyNumberFormat="1" applyFont="1" applyFill="1" applyBorder="1" applyAlignment="1">
      <alignment horizontal="center" vertical="center" wrapText="1"/>
    </xf>
    <xf numFmtId="166" fontId="61" fillId="11" borderId="21" xfId="0" applyNumberFormat="1" applyFont="1" applyFill="1" applyBorder="1" applyAlignment="1">
      <alignment horizontal="center" vertical="center" wrapText="1"/>
    </xf>
    <xf numFmtId="166" fontId="61" fillId="11" borderId="70" xfId="0" applyNumberFormat="1" applyFont="1" applyFill="1" applyBorder="1" applyAlignment="1">
      <alignment horizontal="center" vertical="center" wrapText="1"/>
    </xf>
    <xf numFmtId="166" fontId="61" fillId="11" borderId="14" xfId="0" applyNumberFormat="1" applyFont="1" applyFill="1" applyBorder="1" applyAlignment="1">
      <alignment horizontal="center" vertical="center" wrapText="1"/>
    </xf>
    <xf numFmtId="166" fontId="61" fillId="13" borderId="12" xfId="0" applyNumberFormat="1" applyFont="1" applyFill="1" applyBorder="1" applyAlignment="1">
      <alignment horizontal="center" vertical="center"/>
    </xf>
    <xf numFmtId="166" fontId="61" fillId="13" borderId="13" xfId="0" applyNumberFormat="1" applyFont="1" applyFill="1" applyBorder="1" applyAlignment="1">
      <alignment horizontal="center" vertical="center"/>
    </xf>
    <xf numFmtId="166" fontId="61" fillId="13" borderId="79" xfId="0" applyNumberFormat="1" applyFont="1" applyFill="1" applyBorder="1" applyAlignment="1">
      <alignment horizontal="center" vertical="center"/>
    </xf>
    <xf numFmtId="166" fontId="61" fillId="11" borderId="21" xfId="0" applyNumberFormat="1" applyFont="1" applyFill="1" applyBorder="1" applyAlignment="1">
      <alignment horizontal="center" vertical="center"/>
    </xf>
    <xf numFmtId="166" fontId="61" fillId="11" borderId="70" xfId="0" applyNumberFormat="1" applyFont="1" applyFill="1" applyBorder="1" applyAlignment="1">
      <alignment horizontal="center" vertical="center"/>
    </xf>
    <xf numFmtId="0" fontId="65" fillId="12" borderId="80" xfId="0" applyFont="1" applyFill="1" applyBorder="1" applyAlignment="1">
      <alignment vertical="center"/>
    </xf>
    <xf numFmtId="166" fontId="61" fillId="8" borderId="29" xfId="0" applyNumberFormat="1" applyFont="1" applyFill="1" applyBorder="1" applyAlignment="1">
      <alignment horizontal="center" vertical="center"/>
    </xf>
    <xf numFmtId="166" fontId="61" fillId="8" borderId="13" xfId="0" applyNumberFormat="1" applyFont="1" applyFill="1" applyBorder="1" applyAlignment="1">
      <alignment horizontal="center" vertical="center"/>
    </xf>
    <xf numFmtId="166" fontId="61" fillId="8" borderId="79" xfId="0" applyNumberFormat="1" applyFont="1" applyFill="1" applyBorder="1" applyAlignment="1">
      <alignment horizontal="center" vertical="center"/>
    </xf>
    <xf numFmtId="166" fontId="61" fillId="11" borderId="14" xfId="0" applyNumberFormat="1" applyFont="1" applyFill="1" applyBorder="1" applyAlignment="1">
      <alignment horizontal="center" vertical="center"/>
    </xf>
    <xf numFmtId="49" fontId="65" fillId="6" borderId="29" xfId="0" applyNumberFormat="1" applyFont="1" applyFill="1" applyBorder="1" applyAlignment="1">
      <alignment horizontal="center" vertical="center"/>
    </xf>
    <xf numFmtId="166" fontId="65" fillId="5" borderId="96" xfId="0" applyNumberFormat="1" applyFont="1" applyFill="1" applyBorder="1" applyAlignment="1">
      <alignment horizontal="center" vertical="center"/>
    </xf>
    <xf numFmtId="166" fontId="65" fillId="7" borderId="30" xfId="0" applyNumberFormat="1" applyFont="1" applyFill="1" applyBorder="1" applyAlignment="1">
      <alignment horizontal="center" vertical="center"/>
    </xf>
    <xf numFmtId="166" fontId="65" fillId="13" borderId="18" xfId="0" applyNumberFormat="1" applyFont="1" applyFill="1" applyBorder="1" applyAlignment="1">
      <alignment horizontal="center" vertical="center"/>
    </xf>
    <xf numFmtId="2" fontId="65" fillId="6" borderId="30" xfId="0" applyNumberFormat="1" applyFont="1" applyFill="1" applyBorder="1" applyAlignment="1">
      <alignment horizontal="center" vertical="center"/>
    </xf>
    <xf numFmtId="166" fontId="65" fillId="13" borderId="29" xfId="0" applyNumberFormat="1" applyFont="1" applyFill="1" applyBorder="1" applyAlignment="1">
      <alignment horizontal="center" vertical="center"/>
    </xf>
    <xf numFmtId="166" fontId="65" fillId="11" borderId="21" xfId="0" applyNumberFormat="1" applyFont="1" applyFill="1" applyBorder="1" applyAlignment="1">
      <alignment horizontal="center" vertical="center"/>
    </xf>
    <xf numFmtId="166" fontId="65" fillId="11" borderId="70" xfId="0" applyNumberFormat="1" applyFont="1" applyFill="1" applyBorder="1" applyAlignment="1">
      <alignment horizontal="center" vertical="center"/>
    </xf>
    <xf numFmtId="166" fontId="65" fillId="8" borderId="31" xfId="0" applyNumberFormat="1" applyFont="1" applyFill="1" applyBorder="1" applyAlignment="1">
      <alignment horizontal="center" vertical="center"/>
    </xf>
    <xf numFmtId="166" fontId="65" fillId="6" borderId="30" xfId="0" applyNumberFormat="1" applyFont="1" applyFill="1" applyBorder="1" applyAlignment="1">
      <alignment horizontal="center" vertical="center"/>
    </xf>
    <xf numFmtId="166" fontId="65" fillId="8" borderId="18" xfId="0" applyNumberFormat="1" applyFont="1" applyFill="1" applyBorder="1" applyAlignment="1">
      <alignment horizontal="center" vertical="center"/>
    </xf>
    <xf numFmtId="166" fontId="65" fillId="11" borderId="14" xfId="0" applyNumberFormat="1" applyFont="1" applyFill="1" applyBorder="1" applyAlignment="1">
      <alignment horizontal="center" vertical="center"/>
    </xf>
    <xf numFmtId="49" fontId="65" fillId="6" borderId="31" xfId="0" applyNumberFormat="1" applyFont="1" applyFill="1" applyBorder="1" applyAlignment="1">
      <alignment horizontal="center" vertical="center"/>
    </xf>
    <xf numFmtId="166" fontId="65" fillId="5" borderId="32" xfId="0" applyNumberFormat="1" applyFont="1" applyFill="1" applyBorder="1" applyAlignment="1">
      <alignment horizontal="center" vertical="center"/>
    </xf>
    <xf numFmtId="166" fontId="65" fillId="13" borderId="20" xfId="0" applyNumberFormat="1" applyFont="1" applyFill="1" applyBorder="1" applyAlignment="1">
      <alignment horizontal="center" vertical="center"/>
    </xf>
    <xf numFmtId="2" fontId="65" fillId="6" borderId="32" xfId="0" applyNumberFormat="1" applyFont="1" applyFill="1" applyBorder="1" applyAlignment="1">
      <alignment horizontal="center" vertical="center"/>
    </xf>
    <xf numFmtId="166" fontId="65" fillId="13" borderId="31" xfId="0" applyNumberFormat="1" applyFont="1" applyFill="1" applyBorder="1" applyAlignment="1">
      <alignment horizontal="center" vertical="center"/>
    </xf>
    <xf numFmtId="166" fontId="65" fillId="13" borderId="32" xfId="0" applyNumberFormat="1" applyFont="1" applyFill="1" applyBorder="1" applyAlignment="1">
      <alignment horizontal="center" vertical="center"/>
    </xf>
    <xf numFmtId="166" fontId="65" fillId="8" borderId="32" xfId="0" applyNumberFormat="1" applyFont="1" applyFill="1" applyBorder="1" applyAlignment="1">
      <alignment horizontal="center" vertical="center"/>
    </xf>
    <xf numFmtId="166" fontId="65" fillId="8" borderId="20" xfId="0" applyNumberFormat="1" applyFont="1" applyFill="1" applyBorder="1" applyAlignment="1">
      <alignment horizontal="center" vertical="center"/>
    </xf>
    <xf numFmtId="0" fontId="65" fillId="6" borderId="31" xfId="0" applyNumberFormat="1" applyFont="1" applyFill="1" applyBorder="1" applyAlignment="1">
      <alignment horizontal="center" vertical="center"/>
    </xf>
    <xf numFmtId="0" fontId="0" fillId="12" borderId="9" xfId="0" applyFill="1" applyBorder="1" applyAlignment="1">
      <alignment vertical="center"/>
    </xf>
    <xf numFmtId="0" fontId="0" fillId="12" borderId="22" xfId="0" applyFill="1" applyBorder="1" applyAlignment="1">
      <alignment vertical="center"/>
    </xf>
    <xf numFmtId="0" fontId="65" fillId="6" borderId="38" xfId="0" applyNumberFormat="1" applyFont="1" applyFill="1" applyBorder="1" applyAlignment="1">
      <alignment horizontal="center" vertical="center"/>
    </xf>
    <xf numFmtId="166" fontId="65" fillId="5" borderId="82" xfId="0" applyNumberFormat="1" applyFont="1" applyFill="1" applyBorder="1" applyAlignment="1">
      <alignment horizontal="center" vertical="center"/>
    </xf>
    <xf numFmtId="166" fontId="65" fillId="5" borderId="39" xfId="0" applyNumberFormat="1" applyFont="1" applyFill="1" applyBorder="1" applyAlignment="1">
      <alignment horizontal="center" vertical="center"/>
    </xf>
    <xf numFmtId="166" fontId="65" fillId="13" borderId="101" xfId="0" applyNumberFormat="1" applyFont="1" applyFill="1" applyBorder="1" applyAlignment="1">
      <alignment horizontal="center" vertical="center"/>
    </xf>
    <xf numFmtId="0" fontId="65" fillId="11" borderId="132" xfId="0" applyFont="1" applyFill="1" applyBorder="1" applyAlignment="1">
      <alignment vertical="center"/>
    </xf>
    <xf numFmtId="2" fontId="65" fillId="6" borderId="39" xfId="0" applyNumberFormat="1" applyFont="1" applyFill="1" applyBorder="1" applyAlignment="1">
      <alignment horizontal="center" vertical="center"/>
    </xf>
    <xf numFmtId="166" fontId="65" fillId="13" borderId="38" xfId="0" applyNumberFormat="1" applyFont="1" applyFill="1" applyBorder="1" applyAlignment="1">
      <alignment horizontal="center" vertical="center"/>
    </xf>
    <xf numFmtId="166" fontId="65" fillId="13" borderId="39" xfId="0" applyNumberFormat="1" applyFont="1" applyFill="1" applyBorder="1" applyAlignment="1">
      <alignment horizontal="center" vertical="center"/>
    </xf>
    <xf numFmtId="166" fontId="65" fillId="11" borderId="127" xfId="0" applyNumberFormat="1" applyFont="1" applyFill="1" applyBorder="1" applyAlignment="1">
      <alignment horizontal="center" vertical="center"/>
    </xf>
    <xf numFmtId="166" fontId="65" fillId="11" borderId="133" xfId="0" applyNumberFormat="1" applyFont="1" applyFill="1" applyBorder="1" applyAlignment="1">
      <alignment horizontal="center" vertical="center"/>
    </xf>
    <xf numFmtId="0" fontId="65" fillId="12" borderId="134" xfId="0" applyFont="1" applyFill="1" applyBorder="1" applyAlignment="1">
      <alignment vertical="center"/>
    </xf>
    <xf numFmtId="166" fontId="65" fillId="8" borderId="101" xfId="0" applyNumberFormat="1" applyFont="1" applyFill="1" applyBorder="1" applyAlignment="1">
      <alignment horizontal="center" vertical="center"/>
    </xf>
    <xf numFmtId="0" fontId="0" fillId="12" borderId="60" xfId="0" applyFill="1" applyBorder="1" applyAlignment="1">
      <alignment vertical="center"/>
    </xf>
    <xf numFmtId="0" fontId="0" fillId="5" borderId="74" xfId="0" applyFill="1" applyBorder="1" applyAlignment="1">
      <alignment vertical="center"/>
    </xf>
    <xf numFmtId="0" fontId="0" fillId="5" borderId="114" xfId="0" applyFill="1" applyBorder="1" applyAlignment="1">
      <alignment vertical="center"/>
    </xf>
    <xf numFmtId="0" fontId="0" fillId="5" borderId="135" xfId="0" applyFill="1" applyBorder="1" applyAlignment="1">
      <alignment vertical="center"/>
    </xf>
    <xf numFmtId="0" fontId="0" fillId="5" borderId="21" xfId="0" applyFill="1" applyBorder="1" applyAlignment="1">
      <alignment vertical="center"/>
    </xf>
    <xf numFmtId="0" fontId="0" fillId="5" borderId="70" xfId="0" applyFill="1" applyBorder="1" applyAlignment="1">
      <alignment vertical="center"/>
    </xf>
    <xf numFmtId="49" fontId="71" fillId="16" borderId="37" xfId="0" applyNumberFormat="1" applyFont="1" applyFill="1" applyBorder="1" applyAlignment="1">
      <alignment horizontal="right" vertical="center"/>
    </xf>
    <xf numFmtId="0" fontId="0" fillId="5" borderId="80" xfId="0" applyFill="1" applyBorder="1" applyAlignment="1">
      <alignment vertical="center"/>
    </xf>
    <xf numFmtId="0" fontId="16" fillId="16" borderId="9" xfId="0" applyFont="1" applyFill="1" applyBorder="1" applyAlignment="1">
      <alignment horizontal="left" vertical="center"/>
    </xf>
    <xf numFmtId="0" fontId="72" fillId="16" borderId="9" xfId="0" applyFont="1" applyFill="1" applyBorder="1" applyAlignment="1">
      <alignment horizontal="left" vertical="center"/>
    </xf>
    <xf numFmtId="0" fontId="71" fillId="16" borderId="37" xfId="0" applyFont="1" applyFill="1" applyBorder="1" applyAlignment="1">
      <alignment horizontal="right" vertical="center"/>
    </xf>
    <xf numFmtId="0" fontId="0" fillId="16" borderId="22" xfId="0" applyFill="1" applyBorder="1" applyAlignment="1">
      <alignment vertical="center"/>
    </xf>
    <xf numFmtId="0" fontId="0" fillId="16" borderId="69" xfId="0" applyFill="1" applyBorder="1" applyAlignment="1">
      <alignment vertical="center"/>
    </xf>
    <xf numFmtId="0" fontId="11" fillId="16" borderId="22" xfId="0" applyFont="1" applyFill="1" applyBorder="1" applyAlignment="1">
      <alignment vertical="center"/>
    </xf>
    <xf numFmtId="0" fontId="14" fillId="16" borderId="21" xfId="0" applyFont="1" applyFill="1" applyBorder="1" applyAlignment="1">
      <alignment horizontal="left" vertical="center"/>
    </xf>
    <xf numFmtId="0" fontId="14" fillId="16" borderId="21" xfId="0" applyFont="1" applyFill="1" applyBorder="1" applyAlignment="1">
      <alignment vertical="center"/>
    </xf>
    <xf numFmtId="0" fontId="14" fillId="16" borderId="22" xfId="0" applyFont="1" applyFill="1" applyBorder="1" applyAlignment="1">
      <alignment vertical="center"/>
    </xf>
    <xf numFmtId="0" fontId="14" fillId="16" borderId="74" xfId="0" applyFont="1" applyFill="1" applyBorder="1" applyAlignment="1">
      <alignment horizontal="left" vertical="center"/>
    </xf>
    <xf numFmtId="0" fontId="14" fillId="16" borderId="41" xfId="0" applyFont="1" applyFill="1" applyBorder="1" applyAlignment="1">
      <alignment vertical="center"/>
    </xf>
    <xf numFmtId="0" fontId="14" fillId="16" borderId="22" xfId="0" applyFont="1" applyFill="1" applyBorder="1" applyAlignment="1">
      <alignment horizontal="right" vertical="center"/>
    </xf>
    <xf numFmtId="164" fontId="14" fillId="13" borderId="15" xfId="0" applyNumberFormat="1" applyFont="1" applyFill="1" applyBorder="1" applyAlignment="1">
      <alignment horizontal="right" vertical="center"/>
    </xf>
    <xf numFmtId="49" fontId="14" fillId="13" borderId="15" xfId="0" applyNumberFormat="1" applyFont="1" applyFill="1" applyBorder="1" applyAlignment="1">
      <alignment horizontal="left" vertical="center"/>
    </xf>
    <xf numFmtId="0" fontId="14" fillId="16" borderId="75" xfId="0" applyFont="1" applyFill="1" applyBorder="1" applyAlignment="1">
      <alignment horizontal="left" vertical="center"/>
    </xf>
    <xf numFmtId="0" fontId="14" fillId="16" borderId="69" xfId="0" applyFont="1" applyFill="1" applyBorder="1" applyAlignment="1">
      <alignment vertical="center"/>
    </xf>
    <xf numFmtId="0" fontId="14" fillId="13" borderId="15" xfId="0" applyFont="1" applyFill="1" applyBorder="1" applyAlignment="1">
      <alignment horizontal="right" vertical="center"/>
    </xf>
    <xf numFmtId="49" fontId="14" fillId="16" borderId="74" xfId="0" applyNumberFormat="1" applyFont="1" applyFill="1" applyBorder="1" applyAlignment="1">
      <alignment horizontal="left" vertical="center"/>
    </xf>
    <xf numFmtId="49" fontId="14" fillId="16" borderId="41" xfId="0" applyNumberFormat="1" applyFont="1" applyFill="1" applyBorder="1" applyAlignment="1">
      <alignment vertical="center"/>
    </xf>
    <xf numFmtId="164" fontId="14" fillId="16" borderId="9" xfId="0" applyNumberFormat="1" applyFont="1" applyFill="1" applyBorder="1" applyAlignment="1">
      <alignment vertical="center"/>
    </xf>
    <xf numFmtId="0" fontId="14" fillId="16" borderId="9" xfId="0" applyFont="1" applyFill="1" applyBorder="1" applyAlignment="1">
      <alignment vertical="center"/>
    </xf>
    <xf numFmtId="49" fontId="74" fillId="16" borderId="22" xfId="0" applyNumberFormat="1" applyFont="1" applyFill="1" applyBorder="1" applyAlignment="1">
      <alignment vertical="center"/>
    </xf>
    <xf numFmtId="49" fontId="76" fillId="16" borderId="22" xfId="0" applyNumberFormat="1" applyFont="1" applyFill="1" applyBorder="1" applyAlignment="1">
      <alignment vertical="center"/>
    </xf>
    <xf numFmtId="0" fontId="0" fillId="16" borderId="6" xfId="0" applyFill="1" applyBorder="1" applyAlignment="1">
      <alignment vertical="center"/>
    </xf>
    <xf numFmtId="0" fontId="24" fillId="16" borderId="22" xfId="0" applyFont="1" applyFill="1" applyBorder="1" applyAlignment="1">
      <alignment vertical="center"/>
    </xf>
    <xf numFmtId="0" fontId="27" fillId="16" borderId="21" xfId="0" applyFont="1" applyFill="1" applyBorder="1" applyAlignment="1">
      <alignment vertical="center"/>
    </xf>
    <xf numFmtId="0" fontId="14" fillId="16" borderId="72" xfId="0" applyFont="1" applyFill="1" applyBorder="1" applyAlignment="1">
      <alignment vertical="center"/>
    </xf>
    <xf numFmtId="0" fontId="14" fillId="16" borderId="72" xfId="0" applyFont="1" applyFill="1" applyBorder="1" applyAlignment="1">
      <alignment horizontal="right" vertical="center"/>
    </xf>
    <xf numFmtId="0" fontId="14" fillId="16" borderId="22" xfId="0" applyFont="1" applyFill="1" applyBorder="1" applyAlignment="1">
      <alignment horizontal="left" vertical="center"/>
    </xf>
    <xf numFmtId="0" fontId="36" fillId="5" borderId="22" xfId="0" applyFont="1" applyFill="1" applyBorder="1" applyAlignment="1">
      <alignment vertical="center"/>
    </xf>
    <xf numFmtId="0" fontId="6" fillId="5" borderId="64" xfId="0" applyFont="1" applyFill="1" applyBorder="1" applyAlignment="1">
      <alignment vertical="center"/>
    </xf>
    <xf numFmtId="0" fontId="75" fillId="16" borderId="22" xfId="0" applyFont="1" applyFill="1" applyBorder="1" applyAlignment="1">
      <alignment vertical="center" wrapText="1"/>
    </xf>
    <xf numFmtId="0" fontId="0" fillId="16" borderId="84" xfId="0" applyFill="1" applyBorder="1" applyAlignment="1">
      <alignment vertical="center"/>
    </xf>
    <xf numFmtId="0" fontId="5" fillId="16" borderId="22" xfId="0" applyFont="1" applyFill="1" applyBorder="1" applyAlignment="1">
      <alignment vertical="center"/>
    </xf>
    <xf numFmtId="0" fontId="14" fillId="16" borderId="78" xfId="0" applyFont="1" applyFill="1" applyBorder="1" applyAlignment="1">
      <alignment vertical="center"/>
    </xf>
    <xf numFmtId="0" fontId="26" fillId="16" borderId="6" xfId="0" applyFont="1" applyFill="1" applyBorder="1" applyAlignment="1">
      <alignment vertical="center" wrapText="1"/>
    </xf>
    <xf numFmtId="0" fontId="14" fillId="16" borderId="72" xfId="0" applyFont="1" applyFill="1" applyBorder="1" applyAlignment="1">
      <alignment horizontal="left" vertical="center"/>
    </xf>
    <xf numFmtId="0" fontId="14" fillId="16" borderId="84" xfId="0" applyFont="1" applyFill="1" applyBorder="1" applyAlignment="1">
      <alignment vertical="center"/>
    </xf>
    <xf numFmtId="0" fontId="14" fillId="16" borderId="6" xfId="0" applyFont="1" applyFill="1" applyBorder="1" applyAlignment="1">
      <alignment vertical="center"/>
    </xf>
    <xf numFmtId="0" fontId="28" fillId="16" borderId="22" xfId="0" applyFont="1" applyFill="1" applyBorder="1" applyAlignment="1">
      <alignment vertical="center"/>
    </xf>
    <xf numFmtId="0" fontId="14" fillId="5" borderId="21" xfId="0" applyFont="1" applyFill="1" applyBorder="1" applyAlignment="1">
      <alignment vertical="center"/>
    </xf>
    <xf numFmtId="0" fontId="14" fillId="13" borderId="15" xfId="0" applyNumberFormat="1" applyFont="1" applyFill="1" applyBorder="1" applyAlignment="1">
      <alignment vertical="center"/>
    </xf>
    <xf numFmtId="0" fontId="14" fillId="16" borderId="36" xfId="0" applyFont="1" applyFill="1" applyBorder="1" applyAlignment="1">
      <alignment vertical="center"/>
    </xf>
    <xf numFmtId="169" fontId="14" fillId="13" borderId="15" xfId="0" applyNumberFormat="1" applyFont="1" applyFill="1" applyBorder="1" applyAlignment="1">
      <alignment vertical="center"/>
    </xf>
    <xf numFmtId="0" fontId="14" fillId="16" borderId="80" xfId="0" applyFont="1" applyFill="1" applyBorder="1" applyAlignment="1">
      <alignment vertical="center"/>
    </xf>
    <xf numFmtId="0" fontId="0" fillId="5" borderId="19" xfId="0" applyFill="1" applyBorder="1" applyAlignment="1">
      <alignment vertical="center"/>
    </xf>
    <xf numFmtId="49" fontId="31" fillId="16" borderId="9" xfId="0" applyNumberFormat="1" applyFont="1" applyFill="1" applyBorder="1" applyAlignment="1">
      <alignment horizontal="center" vertical="top" wrapText="1"/>
    </xf>
    <xf numFmtId="0" fontId="0" fillId="16" borderId="41" xfId="0" applyFill="1" applyBorder="1" applyAlignment="1">
      <alignment vertical="center"/>
    </xf>
    <xf numFmtId="0" fontId="14" fillId="16" borderId="16" xfId="0" applyFont="1" applyFill="1" applyBorder="1" applyAlignment="1">
      <alignment vertical="center"/>
    </xf>
    <xf numFmtId="1" fontId="14" fillId="13" borderId="15" xfId="0" applyNumberFormat="1" applyFont="1" applyFill="1" applyBorder="1" applyAlignment="1">
      <alignment horizontal="center" vertical="center"/>
    </xf>
    <xf numFmtId="0" fontId="0" fillId="16" borderId="16" xfId="0" applyFill="1" applyBorder="1" applyAlignment="1">
      <alignment vertical="center"/>
    </xf>
    <xf numFmtId="0" fontId="75" fillId="16" borderId="9" xfId="0" applyFont="1" applyFill="1" applyBorder="1" applyAlignment="1">
      <alignment vertical="center"/>
    </xf>
    <xf numFmtId="49" fontId="0" fillId="5" borderId="21" xfId="0" applyNumberFormat="1" applyFill="1" applyBorder="1" applyAlignment="1">
      <alignment vertical="center"/>
    </xf>
    <xf numFmtId="0" fontId="31" fillId="16" borderId="22" xfId="0" applyFont="1" applyFill="1" applyBorder="1" applyAlignment="1">
      <alignment horizontal="center" vertical="center"/>
    </xf>
    <xf numFmtId="166" fontId="14" fillId="13" borderId="15" xfId="0" applyNumberFormat="1" applyFont="1" applyFill="1" applyBorder="1"/>
    <xf numFmtId="0" fontId="32" fillId="16" borderId="16" xfId="0" applyFont="1" applyFill="1" applyBorder="1"/>
    <xf numFmtId="0" fontId="14" fillId="16" borderId="70" xfId="0" applyFont="1" applyFill="1" applyBorder="1" applyAlignment="1">
      <alignment vertical="center"/>
    </xf>
    <xf numFmtId="170" fontId="14" fillId="13" borderId="15" xfId="0" applyNumberFormat="1" applyFont="1" applyFill="1" applyBorder="1" applyAlignment="1">
      <alignment horizontal="center"/>
    </xf>
    <xf numFmtId="49" fontId="14" fillId="16" borderId="16" xfId="0" applyNumberFormat="1" applyFont="1" applyFill="1" applyBorder="1"/>
    <xf numFmtId="0" fontId="14" fillId="16" borderId="16" xfId="0" applyFont="1" applyFill="1" applyBorder="1"/>
    <xf numFmtId="0" fontId="14" fillId="16" borderId="22" xfId="0" applyFont="1" applyFill="1" applyBorder="1"/>
    <xf numFmtId="0" fontId="21" fillId="16" borderId="22" xfId="0" applyFont="1" applyFill="1" applyBorder="1" applyAlignment="1">
      <alignment vertical="center"/>
    </xf>
    <xf numFmtId="49" fontId="21" fillId="16" borderId="6" xfId="0" applyNumberFormat="1" applyFont="1" applyFill="1" applyBorder="1" applyAlignment="1">
      <alignment horizontal="center"/>
    </xf>
    <xf numFmtId="49" fontId="21" fillId="16" borderId="22" xfId="0" applyNumberFormat="1" applyFont="1" applyFill="1" applyBorder="1"/>
    <xf numFmtId="0" fontId="5" fillId="13" borderId="15" xfId="0" applyNumberFormat="1" applyFont="1" applyFill="1" applyBorder="1" applyAlignment="1">
      <alignment horizontal="center" vertical="top" wrapText="1"/>
    </xf>
    <xf numFmtId="0" fontId="0" fillId="16" borderId="21" xfId="0" applyFill="1" applyBorder="1" applyAlignment="1">
      <alignment vertical="center"/>
    </xf>
    <xf numFmtId="49" fontId="21" fillId="16" borderId="6" xfId="0" applyNumberFormat="1" applyFont="1" applyFill="1" applyBorder="1" applyAlignment="1">
      <alignment horizontal="center" vertical="center"/>
    </xf>
    <xf numFmtId="0" fontId="5" fillId="13" borderId="15" xfId="0" applyNumberFormat="1" applyFont="1" applyFill="1" applyBorder="1" applyAlignment="1">
      <alignment horizontal="center" vertical="center" wrapText="1"/>
    </xf>
    <xf numFmtId="0" fontId="5" fillId="16" borderId="80" xfId="0" applyFont="1" applyFill="1" applyBorder="1" applyAlignment="1">
      <alignment vertical="center"/>
    </xf>
    <xf numFmtId="0" fontId="5" fillId="16" borderId="9" xfId="0" applyFont="1" applyFill="1" applyBorder="1" applyAlignment="1">
      <alignment horizontal="center" vertical="center"/>
    </xf>
    <xf numFmtId="166" fontId="5" fillId="16" borderId="41" xfId="0" applyNumberFormat="1" applyFont="1" applyFill="1" applyBorder="1" applyAlignment="1">
      <alignment vertical="center" wrapText="1"/>
    </xf>
    <xf numFmtId="0" fontId="5" fillId="16" borderId="21" xfId="0" applyFont="1" applyFill="1" applyBorder="1" applyAlignment="1">
      <alignment vertical="top" wrapText="1"/>
    </xf>
    <xf numFmtId="0" fontId="5" fillId="16" borderId="22" xfId="0" applyFont="1" applyFill="1" applyBorder="1" applyAlignment="1">
      <alignment vertical="top" wrapText="1"/>
    </xf>
    <xf numFmtId="0" fontId="5" fillId="16" borderId="22" xfId="0" applyFont="1" applyFill="1" applyBorder="1" applyAlignment="1">
      <alignment horizontal="center" vertical="center" wrapText="1"/>
    </xf>
    <xf numFmtId="166" fontId="5" fillId="16" borderId="22" xfId="0" applyNumberFormat="1" applyFont="1" applyFill="1" applyBorder="1" applyAlignment="1">
      <alignment vertical="center" wrapText="1"/>
    </xf>
    <xf numFmtId="0" fontId="0" fillId="16" borderId="10" xfId="0" applyFill="1" applyBorder="1" applyAlignment="1">
      <alignment vertical="center"/>
    </xf>
    <xf numFmtId="49" fontId="21" fillId="16" borderId="22" xfId="0" applyNumberFormat="1" applyFont="1" applyFill="1" applyBorder="1" applyAlignment="1">
      <alignment vertical="center"/>
    </xf>
    <xf numFmtId="49" fontId="0" fillId="16" borderId="47" xfId="0" applyNumberFormat="1" applyFill="1" applyBorder="1" applyAlignment="1">
      <alignment vertical="center"/>
    </xf>
    <xf numFmtId="49" fontId="0" fillId="16" borderId="48" xfId="0" applyNumberFormat="1" applyFill="1" applyBorder="1" applyAlignment="1">
      <alignment vertical="center"/>
    </xf>
    <xf numFmtId="0" fontId="5" fillId="16" borderId="53" xfId="0" applyFont="1" applyFill="1" applyBorder="1" applyAlignment="1">
      <alignment horizontal="left" vertical="center"/>
    </xf>
    <xf numFmtId="49" fontId="5" fillId="16" borderId="54" xfId="0" applyNumberFormat="1" applyFont="1" applyFill="1" applyBorder="1" applyAlignment="1">
      <alignment horizontal="left" vertical="center"/>
    </xf>
    <xf numFmtId="49" fontId="0" fillId="16" borderId="81" xfId="0" applyNumberFormat="1" applyFill="1" applyBorder="1" applyAlignment="1">
      <alignment vertical="center"/>
    </xf>
    <xf numFmtId="49" fontId="0" fillId="16" borderId="54" xfId="0" applyNumberFormat="1" applyFill="1" applyBorder="1" applyAlignment="1">
      <alignment vertical="center"/>
    </xf>
    <xf numFmtId="0" fontId="0" fillId="5" borderId="75" xfId="0" applyFill="1" applyBorder="1" applyAlignment="1">
      <alignment vertical="center"/>
    </xf>
    <xf numFmtId="0" fontId="0" fillId="5" borderId="116" xfId="0" applyFill="1" applyBorder="1" applyAlignment="1">
      <alignment vertical="center"/>
    </xf>
    <xf numFmtId="0" fontId="0" fillId="5" borderId="127" xfId="0" applyFill="1" applyBorder="1" applyAlignment="1">
      <alignment vertical="center"/>
    </xf>
    <xf numFmtId="0" fontId="14" fillId="17" borderId="15" xfId="0" applyNumberFormat="1" applyFont="1" applyFill="1" applyBorder="1" applyAlignment="1">
      <alignment vertical="center"/>
    </xf>
    <xf numFmtId="0" fontId="14" fillId="13" borderId="15" xfId="0" applyFont="1" applyFill="1" applyBorder="1" applyAlignment="1">
      <alignment horizontal="center" vertical="center"/>
    </xf>
    <xf numFmtId="49" fontId="0" fillId="16" borderId="6" xfId="0" applyNumberFormat="1" applyFill="1" applyBorder="1" applyAlignment="1">
      <alignment vertical="center"/>
    </xf>
    <xf numFmtId="1" fontId="14" fillId="16" borderId="21" xfId="0" applyNumberFormat="1" applyFont="1" applyFill="1" applyBorder="1" applyAlignment="1">
      <alignment vertical="center"/>
    </xf>
    <xf numFmtId="0" fontId="0" fillId="5" borderId="136" xfId="0" applyFill="1" applyBorder="1" applyAlignment="1">
      <alignment vertical="center"/>
    </xf>
    <xf numFmtId="0" fontId="0" fillId="5" borderId="105" xfId="0" applyFill="1" applyBorder="1" applyAlignment="1">
      <alignment vertical="center"/>
    </xf>
    <xf numFmtId="0" fontId="0" fillId="5" borderId="137" xfId="0" applyFill="1" applyBorder="1" applyAlignment="1">
      <alignment vertical="center"/>
    </xf>
    <xf numFmtId="0" fontId="15" fillId="5" borderId="4" xfId="0" applyFont="1" applyFill="1" applyBorder="1" applyAlignment="1">
      <alignment vertical="center"/>
    </xf>
    <xf numFmtId="0" fontId="14" fillId="5" borderId="137" xfId="0" applyFont="1" applyFill="1" applyBorder="1" applyAlignment="1">
      <alignment vertical="center"/>
    </xf>
    <xf numFmtId="0" fontId="5" fillId="17" borderId="15" xfId="0" applyNumberFormat="1" applyFont="1" applyFill="1" applyBorder="1" applyAlignment="1">
      <alignment horizontal="center" vertical="top" wrapText="1"/>
    </xf>
    <xf numFmtId="0" fontId="0" fillId="5" borderId="107" xfId="0" applyFill="1" applyBorder="1" applyAlignment="1">
      <alignment vertical="center"/>
    </xf>
    <xf numFmtId="0" fontId="0" fillId="0" borderId="0" xfId="0" applyAlignment="1">
      <alignment horizontal="left" wrapText="1"/>
    </xf>
    <xf numFmtId="0" fontId="0" fillId="0" borderId="0" xfId="0"/>
    <xf numFmtId="49" fontId="7" fillId="6" borderId="33" xfId="0" applyNumberFormat="1" applyFont="1" applyFill="1" applyBorder="1" applyAlignment="1">
      <alignment horizontal="left" vertical="top"/>
    </xf>
    <xf numFmtId="0" fontId="7" fillId="6" borderId="36" xfId="0" applyFont="1" applyFill="1" applyBorder="1" applyAlignment="1">
      <alignment horizontal="left" vertical="top"/>
    </xf>
    <xf numFmtId="0" fontId="7" fillId="6" borderId="42" xfId="0" applyFont="1" applyFill="1" applyBorder="1" applyAlignment="1">
      <alignment horizontal="left" vertical="top"/>
    </xf>
    <xf numFmtId="0" fontId="0" fillId="7" borderId="55" xfId="0" applyFill="1" applyBorder="1" applyAlignment="1">
      <alignment horizontal="left" vertical="top" wrapText="1"/>
    </xf>
    <xf numFmtId="0" fontId="0" fillId="7" borderId="56" xfId="0" applyFill="1" applyBorder="1" applyAlignment="1">
      <alignment horizontal="left" vertical="top" wrapText="1"/>
    </xf>
    <xf numFmtId="0" fontId="0" fillId="7" borderId="57" xfId="0" applyFill="1" applyBorder="1" applyAlignment="1">
      <alignment horizontal="left" vertical="top" wrapText="1"/>
    </xf>
    <xf numFmtId="0" fontId="0" fillId="7" borderId="52" xfId="0" applyFill="1" applyBorder="1" applyAlignment="1">
      <alignment horizontal="left" vertical="top" wrapText="1"/>
    </xf>
    <xf numFmtId="0" fontId="0" fillId="7" borderId="53" xfId="0" applyFill="1" applyBorder="1" applyAlignment="1">
      <alignment horizontal="left" vertical="top" wrapText="1"/>
    </xf>
    <xf numFmtId="0" fontId="0" fillId="7" borderId="54" xfId="0" applyFill="1" applyBorder="1" applyAlignment="1">
      <alignment horizontal="left" vertical="top" wrapText="1"/>
    </xf>
    <xf numFmtId="49" fontId="0" fillId="7" borderId="34" xfId="0" applyNumberFormat="1" applyFill="1" applyBorder="1" applyAlignment="1">
      <alignment horizontal="left" vertical="center" wrapText="1"/>
    </xf>
    <xf numFmtId="0" fontId="0" fillId="7" borderId="9" xfId="0" applyFill="1" applyBorder="1" applyAlignment="1">
      <alignment horizontal="left" vertical="center" wrapText="1"/>
    </xf>
    <xf numFmtId="0" fontId="0" fillId="7" borderId="35" xfId="0" applyFill="1" applyBorder="1" applyAlignment="1">
      <alignment horizontal="left" vertical="center" wrapText="1"/>
    </xf>
    <xf numFmtId="0" fontId="0" fillId="7" borderId="46" xfId="0" applyFill="1" applyBorder="1" applyAlignment="1">
      <alignment horizontal="left" vertical="center" wrapText="1"/>
    </xf>
    <xf numFmtId="0" fontId="0" fillId="7" borderId="47" xfId="0" applyFill="1" applyBorder="1" applyAlignment="1">
      <alignment horizontal="left" vertical="center" wrapText="1"/>
    </xf>
    <xf numFmtId="0" fontId="0" fillId="7" borderId="48" xfId="0" applyFill="1" applyBorder="1" applyAlignment="1">
      <alignment horizontal="left" vertical="center" wrapText="1"/>
    </xf>
    <xf numFmtId="49" fontId="0" fillId="7" borderId="49" xfId="0" applyNumberFormat="1" applyFill="1" applyBorder="1" applyAlignment="1">
      <alignment horizontal="left" vertical="center" wrapText="1"/>
    </xf>
    <xf numFmtId="0" fontId="0" fillId="7" borderId="50" xfId="0" applyFill="1" applyBorder="1" applyAlignment="1">
      <alignment horizontal="left" vertical="center" wrapText="1"/>
    </xf>
    <xf numFmtId="0" fontId="0" fillId="7" borderId="51" xfId="0" applyFill="1" applyBorder="1" applyAlignment="1">
      <alignment horizontal="left" vertical="center" wrapText="1"/>
    </xf>
    <xf numFmtId="0" fontId="0" fillId="7" borderId="16" xfId="0" applyFill="1" applyBorder="1" applyAlignment="1">
      <alignment horizontal="left" vertical="center" wrapText="1"/>
    </xf>
    <xf numFmtId="0" fontId="0" fillId="7" borderId="22" xfId="0" applyFill="1" applyBorder="1" applyAlignment="1">
      <alignment horizontal="left" vertical="center" wrapText="1"/>
    </xf>
    <xf numFmtId="0" fontId="0" fillId="7" borderId="37" xfId="0" applyFill="1" applyBorder="1" applyAlignment="1">
      <alignment horizontal="left" vertical="center" wrapText="1"/>
    </xf>
    <xf numFmtId="49" fontId="8" fillId="7" borderId="16" xfId="0" applyNumberFormat="1" applyFont="1" applyFill="1" applyBorder="1" applyAlignment="1">
      <alignment horizontal="left" vertical="center"/>
    </xf>
    <xf numFmtId="0" fontId="8" fillId="7" borderId="22" xfId="0" applyFont="1" applyFill="1" applyBorder="1" applyAlignment="1">
      <alignment horizontal="left" vertical="center"/>
    </xf>
    <xf numFmtId="0" fontId="8" fillId="7" borderId="37" xfId="0" applyFont="1" applyFill="1" applyBorder="1" applyAlignment="1">
      <alignment horizontal="left" vertical="center"/>
    </xf>
    <xf numFmtId="49" fontId="8" fillId="7" borderId="43" xfId="0" applyNumberFormat="1" applyFont="1" applyFill="1" applyBorder="1" applyAlignment="1">
      <alignment horizontal="left" vertical="center" wrapText="1"/>
    </xf>
    <xf numFmtId="0" fontId="8" fillId="7" borderId="6" xfId="0" applyFont="1" applyFill="1" applyBorder="1" applyAlignment="1">
      <alignment horizontal="left" vertical="center" wrapText="1"/>
    </xf>
    <xf numFmtId="0" fontId="8" fillId="7" borderId="44" xfId="0" applyFont="1" applyFill="1" applyBorder="1" applyAlignment="1">
      <alignment horizontal="left" vertical="center" wrapText="1"/>
    </xf>
    <xf numFmtId="49" fontId="10" fillId="4" borderId="41" xfId="0" applyNumberFormat="1" applyFont="1" applyFill="1" applyBorder="1" applyAlignment="1">
      <alignment horizontal="left" vertical="center"/>
    </xf>
    <xf numFmtId="0" fontId="10" fillId="4" borderId="41" xfId="0" applyFont="1" applyFill="1" applyBorder="1" applyAlignment="1">
      <alignment horizontal="left" vertical="center"/>
    </xf>
    <xf numFmtId="0" fontId="10" fillId="4" borderId="22" xfId="0" applyFont="1" applyFill="1" applyBorder="1" applyAlignment="1">
      <alignment horizontal="left" vertical="center"/>
    </xf>
    <xf numFmtId="49" fontId="4" fillId="6" borderId="29" xfId="0" applyNumberFormat="1" applyFont="1" applyFill="1" applyBorder="1" applyAlignment="1">
      <alignment horizontal="left" vertical="top"/>
    </xf>
    <xf numFmtId="0" fontId="4" fillId="6" borderId="31" xfId="0" applyFont="1" applyFill="1" applyBorder="1" applyAlignment="1">
      <alignment horizontal="left" vertical="top"/>
    </xf>
    <xf numFmtId="0" fontId="4" fillId="6" borderId="38" xfId="0" applyFont="1" applyFill="1" applyBorder="1" applyAlignment="1">
      <alignment horizontal="left" vertical="top"/>
    </xf>
    <xf numFmtId="49" fontId="7" fillId="7" borderId="34" xfId="0" applyNumberFormat="1" applyFont="1" applyFill="1" applyBorder="1" applyAlignment="1">
      <alignment horizontal="left" vertical="center" wrapText="1"/>
    </xf>
    <xf numFmtId="0" fontId="7" fillId="7" borderId="9" xfId="0" applyFont="1" applyFill="1" applyBorder="1" applyAlignment="1">
      <alignment horizontal="left" vertical="center" wrapText="1"/>
    </xf>
    <xf numFmtId="0" fontId="7" fillId="7" borderId="35" xfId="0" applyFont="1" applyFill="1" applyBorder="1" applyAlignment="1">
      <alignment horizontal="left" vertical="center" wrapText="1"/>
    </xf>
    <xf numFmtId="49" fontId="8" fillId="7" borderId="16" xfId="0" applyNumberFormat="1" applyFont="1" applyFill="1" applyBorder="1" applyAlignment="1">
      <alignment horizontal="left" vertical="top"/>
    </xf>
    <xf numFmtId="0" fontId="8" fillId="7" borderId="22" xfId="0" applyFont="1" applyFill="1" applyBorder="1" applyAlignment="1">
      <alignment horizontal="left" vertical="top"/>
    </xf>
    <xf numFmtId="0" fontId="8" fillId="7" borderId="37" xfId="0" applyFont="1" applyFill="1" applyBorder="1" applyAlignment="1">
      <alignment horizontal="left" vertical="top"/>
    </xf>
    <xf numFmtId="0" fontId="1" fillId="6" borderId="33" xfId="0" applyNumberFormat="1" applyFont="1" applyFill="1" applyBorder="1" applyAlignment="1">
      <alignment horizontal="center" vertical="top"/>
    </xf>
    <xf numFmtId="0" fontId="1" fillId="6" borderId="36" xfId="0" applyFont="1" applyFill="1" applyBorder="1" applyAlignment="1">
      <alignment horizontal="center" vertical="top"/>
    </xf>
    <xf numFmtId="0" fontId="1" fillId="6" borderId="42" xfId="0" applyFont="1" applyFill="1" applyBorder="1" applyAlignment="1">
      <alignment horizontal="center" vertical="top"/>
    </xf>
    <xf numFmtId="49" fontId="8" fillId="7" borderId="16" xfId="0" applyNumberFormat="1" applyFont="1" applyFill="1" applyBorder="1" applyAlignment="1">
      <alignment horizontal="left" vertical="center" wrapText="1"/>
    </xf>
    <xf numFmtId="0" fontId="8" fillId="7" borderId="22" xfId="0" applyFont="1" applyFill="1" applyBorder="1" applyAlignment="1">
      <alignment horizontal="left" vertical="center" wrapText="1"/>
    </xf>
    <xf numFmtId="0" fontId="8" fillId="7" borderId="37" xfId="0" applyFont="1" applyFill="1" applyBorder="1" applyAlignment="1">
      <alignment horizontal="left" vertical="center" wrapText="1"/>
    </xf>
    <xf numFmtId="0" fontId="8" fillId="7" borderId="16" xfId="0" applyFont="1" applyFill="1" applyBorder="1" applyAlignment="1">
      <alignment horizontal="left" vertical="center" wrapText="1"/>
    </xf>
    <xf numFmtId="49" fontId="4" fillId="6" borderId="17" xfId="0" applyNumberFormat="1" applyFont="1" applyFill="1" applyBorder="1" applyAlignment="1">
      <alignment horizontal="left" vertical="top"/>
    </xf>
    <xf numFmtId="0" fontId="4" fillId="6" borderId="19" xfId="0" applyFont="1" applyFill="1" applyBorder="1" applyAlignment="1">
      <alignment horizontal="left" vertical="top"/>
    </xf>
    <xf numFmtId="0" fontId="4" fillId="6" borderId="24" xfId="0" applyFont="1" applyFill="1" applyBorder="1" applyAlignment="1">
      <alignment horizontal="left" vertical="top"/>
    </xf>
    <xf numFmtId="49" fontId="4" fillId="7" borderId="23" xfId="0" applyNumberFormat="1" applyFont="1" applyFill="1" applyBorder="1" applyAlignment="1">
      <alignment horizontal="left" vertical="top" wrapText="1"/>
    </xf>
    <xf numFmtId="0" fontId="4" fillId="7" borderId="19" xfId="0" applyFont="1" applyFill="1" applyBorder="1" applyAlignment="1">
      <alignment horizontal="left" vertical="top" wrapText="1"/>
    </xf>
    <xf numFmtId="0" fontId="4" fillId="7" borderId="24" xfId="0" applyFont="1" applyFill="1" applyBorder="1" applyAlignment="1">
      <alignment horizontal="left" vertical="top" wrapText="1"/>
    </xf>
    <xf numFmtId="0" fontId="1" fillId="6" borderId="15" xfId="0" applyNumberFormat="1" applyFont="1" applyFill="1" applyBorder="1" applyAlignment="1">
      <alignment horizontal="center" vertical="top"/>
    </xf>
    <xf numFmtId="0" fontId="1" fillId="6" borderId="15" xfId="0" applyFont="1" applyFill="1" applyBorder="1" applyAlignment="1">
      <alignment horizontal="center" vertical="top"/>
    </xf>
    <xf numFmtId="49" fontId="1" fillId="7" borderId="15" xfId="0" applyNumberFormat="1" applyFont="1" applyFill="1" applyBorder="1" applyAlignment="1">
      <alignment horizontal="left" vertical="center" wrapText="1"/>
    </xf>
    <xf numFmtId="0" fontId="1" fillId="7" borderId="15" xfId="0" applyFont="1" applyFill="1" applyBorder="1" applyAlignment="1">
      <alignment horizontal="left" vertical="center" wrapText="1"/>
    </xf>
    <xf numFmtId="49" fontId="4" fillId="6" borderId="25" xfId="0" applyNumberFormat="1" applyFont="1" applyFill="1" applyBorder="1" applyAlignment="1">
      <alignment horizontal="left" vertical="top"/>
    </xf>
    <xf numFmtId="0" fontId="4" fillId="6" borderId="27" xfId="0" applyFont="1" applyFill="1" applyBorder="1" applyAlignment="1">
      <alignment horizontal="left" vertical="top"/>
    </xf>
    <xf numFmtId="49" fontId="4" fillId="7" borderId="26" xfId="0" applyNumberFormat="1" applyFont="1" applyFill="1" applyBorder="1" applyAlignment="1">
      <alignment horizontal="left" vertical="top" wrapText="1"/>
    </xf>
    <xf numFmtId="0" fontId="4" fillId="7" borderId="28" xfId="0" applyFont="1" applyFill="1" applyBorder="1" applyAlignment="1">
      <alignment horizontal="left" vertical="top" wrapText="1"/>
    </xf>
    <xf numFmtId="0" fontId="20" fillId="4" borderId="22" xfId="0" applyFont="1" applyFill="1" applyBorder="1" applyAlignment="1">
      <alignment horizontal="left" vertical="center" wrapText="1"/>
    </xf>
    <xf numFmtId="0" fontId="20" fillId="4" borderId="21" xfId="0" applyFont="1" applyFill="1" applyBorder="1" applyAlignment="1">
      <alignment horizontal="left" vertical="center" wrapText="1"/>
    </xf>
    <xf numFmtId="0" fontId="20" fillId="4" borderId="69" xfId="0" applyFont="1" applyFill="1" applyBorder="1" applyAlignment="1">
      <alignment horizontal="left" vertical="center" wrapText="1"/>
    </xf>
    <xf numFmtId="49" fontId="14" fillId="4" borderId="22" xfId="0" applyNumberFormat="1" applyFont="1" applyFill="1" applyBorder="1" applyAlignment="1">
      <alignment horizontal="left" vertical="center"/>
    </xf>
    <xf numFmtId="0" fontId="14" fillId="4" borderId="22" xfId="0" applyFont="1" applyFill="1" applyBorder="1" applyAlignment="1">
      <alignment horizontal="left" vertical="center"/>
    </xf>
    <xf numFmtId="0" fontId="14" fillId="4" borderId="70" xfId="0" applyFont="1" applyFill="1" applyBorder="1" applyAlignment="1">
      <alignment horizontal="left" vertical="center"/>
    </xf>
    <xf numFmtId="49" fontId="18" fillId="4" borderId="22" xfId="0" applyNumberFormat="1" applyFont="1" applyFill="1" applyBorder="1" applyAlignment="1">
      <alignment horizontal="left" vertical="center"/>
    </xf>
    <xf numFmtId="0" fontId="18" fillId="4" borderId="22" xfId="0" applyFont="1" applyFill="1" applyBorder="1" applyAlignment="1">
      <alignment horizontal="left" vertical="center"/>
    </xf>
    <xf numFmtId="0" fontId="18" fillId="4" borderId="70" xfId="0" applyFont="1" applyFill="1" applyBorder="1" applyAlignment="1">
      <alignment horizontal="left" vertical="center"/>
    </xf>
    <xf numFmtId="166" fontId="14" fillId="5" borderId="67" xfId="0" applyNumberFormat="1" applyFont="1" applyFill="1" applyBorder="1" applyAlignment="1">
      <alignment horizontal="left" vertical="center"/>
    </xf>
    <xf numFmtId="166" fontId="14" fillId="5" borderId="68" xfId="0" applyNumberFormat="1" applyFont="1" applyFill="1" applyBorder="1" applyAlignment="1">
      <alignment horizontal="left" vertical="center"/>
    </xf>
    <xf numFmtId="166" fontId="14" fillId="5" borderId="76" xfId="0" applyNumberFormat="1" applyFont="1" applyFill="1" applyBorder="1" applyAlignment="1">
      <alignment horizontal="left" vertical="center"/>
    </xf>
    <xf numFmtId="166" fontId="14" fillId="5" borderId="77" xfId="0" applyNumberFormat="1" applyFont="1" applyFill="1" applyBorder="1" applyAlignment="1">
      <alignment horizontal="left" vertical="center"/>
    </xf>
    <xf numFmtId="166" fontId="20" fillId="8" borderId="71" xfId="0" applyNumberFormat="1" applyFont="1" applyFill="1" applyBorder="1" applyAlignment="1">
      <alignment horizontal="left" vertical="center"/>
    </xf>
    <xf numFmtId="166" fontId="20" fillId="8" borderId="73" xfId="0" applyNumberFormat="1" applyFont="1" applyFill="1" applyBorder="1" applyAlignment="1">
      <alignment horizontal="left" vertical="center"/>
    </xf>
    <xf numFmtId="166" fontId="14" fillId="8" borderId="71" xfId="0" applyNumberFormat="1" applyFont="1" applyFill="1" applyBorder="1" applyAlignment="1">
      <alignment horizontal="left" vertical="center"/>
    </xf>
    <xf numFmtId="166" fontId="14" fillId="8" borderId="73" xfId="0" applyNumberFormat="1" applyFont="1" applyFill="1" applyBorder="1" applyAlignment="1">
      <alignment horizontal="left" vertical="center"/>
    </xf>
    <xf numFmtId="166" fontId="19" fillId="8" borderId="71" xfId="0" applyNumberFormat="1" applyFont="1" applyFill="1" applyBorder="1" applyAlignment="1">
      <alignment horizontal="left" vertical="center"/>
    </xf>
    <xf numFmtId="166" fontId="19" fillId="8" borderId="73" xfId="0" applyNumberFormat="1" applyFont="1" applyFill="1" applyBorder="1" applyAlignment="1">
      <alignment horizontal="left" vertical="center"/>
    </xf>
    <xf numFmtId="166" fontId="14" fillId="8" borderId="71" xfId="0" applyNumberFormat="1" applyFont="1" applyFill="1" applyBorder="1" applyAlignment="1">
      <alignment horizontal="right" vertical="center"/>
    </xf>
    <xf numFmtId="166" fontId="14" fillId="8" borderId="73" xfId="0" applyNumberFormat="1" applyFont="1" applyFill="1" applyBorder="1" applyAlignment="1">
      <alignment horizontal="right" vertical="center"/>
    </xf>
    <xf numFmtId="166" fontId="14" fillId="5" borderId="71" xfId="0" applyNumberFormat="1" applyFont="1" applyFill="1" applyBorder="1" applyAlignment="1">
      <alignment horizontal="left" vertical="center"/>
    </xf>
    <xf numFmtId="166" fontId="14" fillId="5" borderId="73" xfId="0" applyNumberFormat="1" applyFont="1" applyFill="1" applyBorder="1" applyAlignment="1">
      <alignment horizontal="left" vertical="center"/>
    </xf>
    <xf numFmtId="0" fontId="14" fillId="4" borderId="37" xfId="0" applyFont="1" applyFill="1" applyBorder="1" applyAlignment="1">
      <alignment horizontal="left" vertical="center"/>
    </xf>
    <xf numFmtId="49" fontId="20" fillId="4" borderId="22" xfId="0" applyNumberFormat="1" applyFont="1" applyFill="1" applyBorder="1" applyAlignment="1">
      <alignment horizontal="left" vertical="center"/>
    </xf>
    <xf numFmtId="0" fontId="20" fillId="4" borderId="22" xfId="0" applyFont="1" applyFill="1" applyBorder="1" applyAlignment="1">
      <alignment horizontal="left" vertical="center"/>
    </xf>
    <xf numFmtId="0" fontId="20" fillId="4" borderId="70" xfId="0" applyFont="1" applyFill="1" applyBorder="1" applyAlignment="1">
      <alignment horizontal="left" vertical="center"/>
    </xf>
    <xf numFmtId="168" fontId="14" fillId="5" borderId="67" xfId="0" applyNumberFormat="1" applyFont="1" applyFill="1" applyBorder="1" applyAlignment="1">
      <alignment horizontal="left" vertical="center"/>
    </xf>
    <xf numFmtId="168" fontId="14" fillId="5" borderId="68" xfId="0" applyNumberFormat="1" applyFont="1" applyFill="1" applyBorder="1" applyAlignment="1">
      <alignment horizontal="left" vertical="center"/>
    </xf>
    <xf numFmtId="0" fontId="22" fillId="4" borderId="21" xfId="0" applyFont="1" applyFill="1" applyBorder="1" applyAlignment="1">
      <alignment horizontal="left" vertical="center" wrapText="1"/>
    </xf>
    <xf numFmtId="0" fontId="22" fillId="4" borderId="22" xfId="0" applyFont="1" applyFill="1" applyBorder="1" applyAlignment="1">
      <alignment horizontal="left" vertical="center" wrapText="1"/>
    </xf>
    <xf numFmtId="49" fontId="5" fillId="4" borderId="22" xfId="0" applyNumberFormat="1" applyFont="1" applyFill="1" applyBorder="1" applyAlignment="1">
      <alignment horizontal="left" vertical="center"/>
    </xf>
    <xf numFmtId="0" fontId="5" fillId="4" borderId="22" xfId="0" applyFont="1" applyFill="1" applyBorder="1" applyAlignment="1">
      <alignment horizontal="left" vertical="center"/>
    </xf>
    <xf numFmtId="0" fontId="5" fillId="4" borderId="70" xfId="0" applyFont="1" applyFill="1" applyBorder="1" applyAlignment="1">
      <alignment horizontal="left" vertical="center"/>
    </xf>
    <xf numFmtId="49" fontId="14" fillId="4" borderId="22" xfId="0" applyNumberFormat="1" applyFont="1" applyFill="1" applyBorder="1" applyAlignment="1">
      <alignment horizontal="center" vertical="center" wrapText="1"/>
    </xf>
    <xf numFmtId="0" fontId="14" fillId="4" borderId="22" xfId="0" applyFont="1" applyFill="1" applyBorder="1" applyAlignment="1">
      <alignment horizontal="center" vertical="center" wrapText="1"/>
    </xf>
    <xf numFmtId="0" fontId="14" fillId="4" borderId="6" xfId="0" applyFont="1" applyFill="1" applyBorder="1" applyAlignment="1">
      <alignment horizontal="center" vertical="center" wrapText="1"/>
    </xf>
    <xf numFmtId="49" fontId="20" fillId="4" borderId="6" xfId="0" applyNumberFormat="1" applyFont="1" applyFill="1" applyBorder="1" applyAlignment="1">
      <alignment horizontal="center" vertical="center"/>
    </xf>
    <xf numFmtId="0" fontId="20" fillId="4" borderId="6" xfId="0" applyFont="1" applyFill="1" applyBorder="1" applyAlignment="1">
      <alignment horizontal="center" vertical="center"/>
    </xf>
    <xf numFmtId="49" fontId="20" fillId="4" borderId="22" xfId="0" applyNumberFormat="1" applyFont="1" applyFill="1" applyBorder="1" applyAlignment="1">
      <alignment horizontal="center" vertical="center" wrapText="1"/>
    </xf>
    <xf numFmtId="0" fontId="20" fillId="4" borderId="22" xfId="0" applyFont="1" applyFill="1" applyBorder="1" applyAlignment="1">
      <alignment horizontal="center" vertical="center" wrapText="1"/>
    </xf>
    <xf numFmtId="0" fontId="20" fillId="4" borderId="6" xfId="0" applyFont="1" applyFill="1" applyBorder="1" applyAlignment="1">
      <alignment horizontal="center" vertical="center" wrapText="1"/>
    </xf>
    <xf numFmtId="0" fontId="24" fillId="4" borderId="41" xfId="0" applyFont="1" applyFill="1" applyBorder="1" applyAlignment="1">
      <alignment horizontal="left" vertical="center"/>
    </xf>
    <xf numFmtId="0" fontId="28" fillId="4" borderId="22" xfId="0" applyFont="1" applyFill="1" applyBorder="1" applyAlignment="1">
      <alignment horizontal="left" vertical="center" wrapText="1"/>
    </xf>
    <xf numFmtId="0" fontId="22" fillId="4" borderId="21" xfId="0" applyFont="1" applyFill="1" applyBorder="1" applyAlignment="1">
      <alignment horizontal="left" vertical="center"/>
    </xf>
    <xf numFmtId="0" fontId="22" fillId="4" borderId="22" xfId="0" applyFont="1" applyFill="1" applyBorder="1" applyAlignment="1">
      <alignment horizontal="left" vertical="center"/>
    </xf>
    <xf numFmtId="167" fontId="20" fillId="8" borderId="71" xfId="0" applyNumberFormat="1" applyFont="1" applyFill="1" applyBorder="1" applyAlignment="1">
      <alignment horizontal="left" vertical="center"/>
    </xf>
    <xf numFmtId="167" fontId="20" fillId="8" borderId="73" xfId="0" applyNumberFormat="1" applyFont="1" applyFill="1" applyBorder="1" applyAlignment="1">
      <alignment horizontal="left" vertical="center"/>
    </xf>
    <xf numFmtId="0" fontId="20" fillId="4" borderId="74" xfId="0" applyFont="1" applyFill="1" applyBorder="1" applyAlignment="1">
      <alignment horizontal="left" vertical="top" wrapText="1"/>
    </xf>
    <xf numFmtId="0" fontId="20" fillId="4" borderId="41" xfId="0" applyFont="1" applyFill="1" applyBorder="1" applyAlignment="1">
      <alignment horizontal="left" vertical="top" wrapText="1"/>
    </xf>
    <xf numFmtId="0" fontId="20" fillId="4" borderId="22" xfId="0" applyFont="1" applyFill="1" applyBorder="1" applyAlignment="1">
      <alignment horizontal="left" vertical="top" wrapText="1"/>
    </xf>
    <xf numFmtId="0" fontId="20" fillId="4" borderId="69" xfId="0" applyFont="1" applyFill="1" applyBorder="1" applyAlignment="1">
      <alignment horizontal="left" vertical="top" wrapText="1"/>
    </xf>
    <xf numFmtId="0" fontId="14" fillId="5" borderId="67" xfId="0" applyFont="1" applyFill="1" applyBorder="1" applyAlignment="1">
      <alignment horizontal="left" vertical="center"/>
    </xf>
    <xf numFmtId="0" fontId="14" fillId="5" borderId="10" xfId="0" applyFont="1" applyFill="1" applyBorder="1" applyAlignment="1">
      <alignment horizontal="left" vertical="center"/>
    </xf>
    <xf numFmtId="0" fontId="14" fillId="5" borderId="68" xfId="0" applyFont="1" applyFill="1" applyBorder="1" applyAlignment="1">
      <alignment horizontal="left" vertical="center"/>
    </xf>
    <xf numFmtId="0" fontId="14" fillId="6" borderId="67" xfId="0" applyFont="1" applyFill="1" applyBorder="1" applyAlignment="1">
      <alignment horizontal="left" vertical="center"/>
    </xf>
    <xf numFmtId="0" fontId="14" fillId="6" borderId="10" xfId="0" applyFont="1" applyFill="1" applyBorder="1" applyAlignment="1">
      <alignment horizontal="left" vertical="center"/>
    </xf>
    <xf numFmtId="0" fontId="14" fillId="6" borderId="68" xfId="0" applyFont="1" applyFill="1" applyBorder="1" applyAlignment="1">
      <alignment horizontal="left" vertical="center"/>
    </xf>
    <xf numFmtId="49" fontId="14" fillId="4" borderId="43" xfId="0" applyNumberFormat="1" applyFont="1" applyFill="1" applyBorder="1" applyAlignment="1">
      <alignment horizontal="center" vertical="center"/>
    </xf>
    <xf numFmtId="0" fontId="14" fillId="4" borderId="6" xfId="0" applyFont="1" applyFill="1" applyBorder="1" applyAlignment="1">
      <alignment horizontal="center" vertical="center"/>
    </xf>
    <xf numFmtId="166" fontId="5" fillId="8" borderId="71" xfId="0" applyNumberFormat="1" applyFont="1" applyFill="1" applyBorder="1" applyAlignment="1">
      <alignment horizontal="center" vertical="center" wrapText="1"/>
    </xf>
    <xf numFmtId="166" fontId="5" fillId="8" borderId="73" xfId="0" applyNumberFormat="1" applyFont="1" applyFill="1" applyBorder="1" applyAlignment="1">
      <alignment horizontal="center" vertical="center" wrapText="1"/>
    </xf>
    <xf numFmtId="49" fontId="5" fillId="4" borderId="21" xfId="0" applyNumberFormat="1" applyFont="1" applyFill="1" applyBorder="1" applyAlignment="1">
      <alignment horizontal="right" vertical="center" wrapText="1"/>
    </xf>
    <xf numFmtId="0" fontId="5" fillId="4" borderId="37" xfId="0" applyFont="1" applyFill="1" applyBorder="1" applyAlignment="1">
      <alignment horizontal="right" vertical="center" wrapText="1"/>
    </xf>
    <xf numFmtId="49" fontId="21" fillId="4" borderId="22" xfId="0" applyNumberFormat="1" applyFont="1" applyFill="1" applyBorder="1" applyAlignment="1">
      <alignment horizontal="center"/>
    </xf>
    <xf numFmtId="0" fontId="21" fillId="4" borderId="22" xfId="0" applyFont="1" applyFill="1" applyBorder="1" applyAlignment="1">
      <alignment horizontal="center"/>
    </xf>
    <xf numFmtId="0" fontId="27" fillId="4" borderId="80" xfId="0" applyFont="1" applyFill="1" applyBorder="1" applyAlignment="1">
      <alignment horizontal="center" vertical="center" wrapText="1"/>
    </xf>
    <xf numFmtId="49" fontId="20" fillId="4" borderId="22" xfId="0" applyNumberFormat="1" applyFont="1" applyFill="1" applyBorder="1" applyAlignment="1">
      <alignment horizontal="left" wrapText="1"/>
    </xf>
    <xf numFmtId="0" fontId="20" fillId="4" borderId="22" xfId="0" applyFont="1" applyFill="1" applyBorder="1" applyAlignment="1">
      <alignment horizontal="left" wrapText="1"/>
    </xf>
    <xf numFmtId="0" fontId="20" fillId="4" borderId="70" xfId="0" applyFont="1" applyFill="1" applyBorder="1" applyAlignment="1">
      <alignment horizontal="left" wrapText="1"/>
    </xf>
    <xf numFmtId="49" fontId="14" fillId="4" borderId="22" xfId="0" applyNumberFormat="1" applyFont="1" applyFill="1" applyBorder="1" applyAlignment="1">
      <alignment horizontal="left" vertical="center" wrapText="1"/>
    </xf>
    <xf numFmtId="0" fontId="14" fillId="4" borderId="22" xfId="0" applyFont="1" applyFill="1" applyBorder="1" applyAlignment="1">
      <alignment horizontal="left" vertical="center" wrapText="1"/>
    </xf>
    <xf numFmtId="49" fontId="5" fillId="4" borderId="22" xfId="0" applyNumberFormat="1" applyFont="1" applyFill="1" applyBorder="1" applyAlignment="1">
      <alignment horizontal="left" vertical="center" wrapText="1"/>
    </xf>
    <xf numFmtId="0" fontId="5" fillId="4" borderId="37" xfId="0" applyFont="1" applyFill="1" applyBorder="1" applyAlignment="1">
      <alignment horizontal="left" vertical="center" wrapText="1"/>
    </xf>
    <xf numFmtId="49" fontId="20" fillId="4" borderId="69" xfId="0" applyNumberFormat="1" applyFont="1" applyFill="1" applyBorder="1" applyAlignment="1">
      <alignment horizontal="center" vertical="center"/>
    </xf>
    <xf numFmtId="0" fontId="20" fillId="4" borderId="69" xfId="0" applyFont="1" applyFill="1" applyBorder="1" applyAlignment="1">
      <alignment horizontal="center" vertical="center"/>
    </xf>
    <xf numFmtId="0" fontId="14" fillId="4" borderId="37" xfId="0" applyFont="1" applyFill="1" applyBorder="1" applyAlignment="1">
      <alignment horizontal="left" vertical="center" wrapText="1"/>
    </xf>
    <xf numFmtId="166" fontId="5" fillId="8" borderId="67" xfId="0" applyNumberFormat="1" applyFont="1" applyFill="1" applyBorder="1" applyAlignment="1">
      <alignment horizontal="left" vertical="center"/>
    </xf>
    <xf numFmtId="166" fontId="5" fillId="8" borderId="68" xfId="0" applyNumberFormat="1" applyFont="1" applyFill="1" applyBorder="1" applyAlignment="1">
      <alignment horizontal="left" vertical="center"/>
    </xf>
    <xf numFmtId="0" fontId="5" fillId="8" borderId="67" xfId="0" applyFont="1" applyFill="1" applyBorder="1" applyAlignment="1">
      <alignment horizontal="left" vertical="center"/>
    </xf>
    <xf numFmtId="0" fontId="5" fillId="4" borderId="22" xfId="0" applyFont="1" applyFill="1" applyBorder="1" applyAlignment="1">
      <alignment horizontal="left" vertical="center" wrapText="1"/>
    </xf>
    <xf numFmtId="0" fontId="0" fillId="4" borderId="37" xfId="0" applyFill="1" applyBorder="1" applyAlignment="1">
      <alignment vertical="center"/>
    </xf>
    <xf numFmtId="49" fontId="24" fillId="4" borderId="41" xfId="0" applyNumberFormat="1" applyFont="1" applyFill="1" applyBorder="1" applyAlignment="1">
      <alignment horizontal="left" vertical="center"/>
    </xf>
    <xf numFmtId="0" fontId="5" fillId="4" borderId="37" xfId="0" applyFont="1" applyFill="1" applyBorder="1" applyAlignment="1">
      <alignment horizontal="left" vertical="center"/>
    </xf>
    <xf numFmtId="49" fontId="21" fillId="4" borderId="69" xfId="0" applyNumberFormat="1" applyFont="1" applyFill="1" applyBorder="1" applyAlignment="1">
      <alignment horizontal="center" vertical="center"/>
    </xf>
    <xf numFmtId="0" fontId="21" fillId="4" borderId="69" xfId="0" applyFont="1" applyFill="1" applyBorder="1" applyAlignment="1">
      <alignment horizontal="center" vertical="center"/>
    </xf>
    <xf numFmtId="49" fontId="19" fillId="4" borderId="22" xfId="0" applyNumberFormat="1" applyFont="1" applyFill="1" applyBorder="1" applyAlignment="1">
      <alignment horizontal="left" vertical="center"/>
    </xf>
    <xf numFmtId="0" fontId="19" fillId="4" borderId="22" xfId="0" applyFont="1" applyFill="1" applyBorder="1" applyAlignment="1">
      <alignment horizontal="left" vertical="center"/>
    </xf>
    <xf numFmtId="0" fontId="19" fillId="4" borderId="70" xfId="0" applyFont="1" applyFill="1" applyBorder="1" applyAlignment="1">
      <alignment horizontal="left" vertical="center"/>
    </xf>
    <xf numFmtId="1" fontId="19" fillId="5" borderId="71" xfId="0" applyNumberFormat="1" applyFont="1" applyFill="1" applyBorder="1" applyAlignment="1">
      <alignment horizontal="right" vertical="center"/>
    </xf>
    <xf numFmtId="1" fontId="19" fillId="5" borderId="73" xfId="0" applyNumberFormat="1" applyFont="1" applyFill="1" applyBorder="1" applyAlignment="1">
      <alignment horizontal="right" vertical="center"/>
    </xf>
    <xf numFmtId="0" fontId="20" fillId="4" borderId="21" xfId="0" applyFont="1" applyFill="1" applyBorder="1" applyAlignment="1">
      <alignment horizontal="left" vertical="top" wrapText="1"/>
    </xf>
    <xf numFmtId="0" fontId="14" fillId="8" borderId="73" xfId="0" applyFont="1" applyFill="1" applyBorder="1" applyAlignment="1">
      <alignment horizontal="left" vertical="center"/>
    </xf>
    <xf numFmtId="166" fontId="19" fillId="5" borderId="71" xfId="0" applyNumberFormat="1" applyFont="1" applyFill="1" applyBorder="1" applyAlignment="1">
      <alignment horizontal="left" vertical="center"/>
    </xf>
    <xf numFmtId="166" fontId="19" fillId="5" borderId="73" xfId="0" applyNumberFormat="1" applyFont="1" applyFill="1" applyBorder="1" applyAlignment="1">
      <alignment horizontal="left" vertical="center"/>
    </xf>
    <xf numFmtId="166" fontId="20" fillId="5" borderId="71" xfId="0" applyNumberFormat="1" applyFont="1" applyFill="1" applyBorder="1" applyAlignment="1">
      <alignment horizontal="left" vertical="center"/>
    </xf>
    <xf numFmtId="166" fontId="20" fillId="5" borderId="73" xfId="0" applyNumberFormat="1" applyFont="1" applyFill="1" applyBorder="1" applyAlignment="1">
      <alignment horizontal="left" vertical="center"/>
    </xf>
    <xf numFmtId="49" fontId="24" fillId="4" borderId="9" xfId="0" applyNumberFormat="1" applyFont="1" applyFill="1" applyBorder="1" applyAlignment="1">
      <alignment horizontal="left" vertical="center"/>
    </xf>
    <xf numFmtId="0" fontId="24" fillId="4" borderId="9" xfId="0" applyFont="1" applyFill="1" applyBorder="1" applyAlignment="1">
      <alignment horizontal="left" vertical="center"/>
    </xf>
    <xf numFmtId="49" fontId="21" fillId="4" borderId="6" xfId="0" applyNumberFormat="1" applyFont="1" applyFill="1" applyBorder="1" applyAlignment="1">
      <alignment horizontal="center" vertical="center"/>
    </xf>
    <xf numFmtId="0" fontId="21" fillId="4" borderId="6" xfId="0" applyFont="1" applyFill="1" applyBorder="1" applyAlignment="1">
      <alignment horizontal="center" vertical="center"/>
    </xf>
    <xf numFmtId="166" fontId="5" fillId="8" borderId="15" xfId="0" applyNumberFormat="1" applyFont="1" applyFill="1" applyBorder="1" applyAlignment="1">
      <alignment horizontal="left" vertical="center"/>
    </xf>
    <xf numFmtId="166" fontId="5" fillId="8" borderId="12" xfId="0" applyNumberFormat="1" applyFont="1" applyFill="1" applyBorder="1" applyAlignment="1">
      <alignment horizontal="left" vertical="center" wrapText="1"/>
    </xf>
    <xf numFmtId="166" fontId="5" fillId="8" borderId="13" xfId="0" applyNumberFormat="1" applyFont="1" applyFill="1" applyBorder="1" applyAlignment="1">
      <alignment horizontal="left" vertical="center" wrapText="1"/>
    </xf>
    <xf numFmtId="0" fontId="33" fillId="4" borderId="36" xfId="0" applyFont="1" applyFill="1" applyBorder="1" applyAlignment="1">
      <alignment horizontal="center" vertical="center" wrapText="1"/>
    </xf>
    <xf numFmtId="49" fontId="5" fillId="4" borderId="21" xfId="0" applyNumberFormat="1" applyFont="1" applyFill="1" applyBorder="1" applyAlignment="1">
      <alignment horizontal="right" vertical="top" wrapText="1"/>
    </xf>
    <xf numFmtId="0" fontId="5" fillId="4" borderId="37" xfId="0" applyFont="1" applyFill="1" applyBorder="1" applyAlignment="1">
      <alignment horizontal="right" vertical="top" wrapText="1"/>
    </xf>
    <xf numFmtId="0" fontId="5" fillId="4" borderId="21" xfId="0" applyFont="1" applyFill="1" applyBorder="1" applyAlignment="1">
      <alignment horizontal="right" vertical="top" wrapText="1"/>
    </xf>
    <xf numFmtId="0" fontId="5" fillId="4" borderId="22" xfId="0" applyFont="1" applyFill="1" applyBorder="1" applyAlignment="1">
      <alignment horizontal="right" vertical="top" wrapText="1"/>
    </xf>
    <xf numFmtId="49" fontId="21" fillId="4" borderId="41" xfId="0" applyNumberFormat="1" applyFont="1" applyFill="1" applyBorder="1" applyAlignment="1">
      <alignment horizontal="center" wrapText="1"/>
    </xf>
    <xf numFmtId="0" fontId="21" fillId="4" borderId="22" xfId="0" applyFont="1" applyFill="1" applyBorder="1" applyAlignment="1">
      <alignment horizontal="center" wrapText="1"/>
    </xf>
    <xf numFmtId="0" fontId="21" fillId="4" borderId="6" xfId="0" applyFont="1" applyFill="1" applyBorder="1" applyAlignment="1">
      <alignment horizontal="center" wrapText="1"/>
    </xf>
    <xf numFmtId="49" fontId="12" fillId="5" borderId="62" xfId="0" applyNumberFormat="1" applyFont="1" applyFill="1" applyBorder="1" applyAlignment="1">
      <alignment horizontal="left" vertical="center"/>
    </xf>
    <xf numFmtId="0" fontId="12" fillId="5" borderId="62" xfId="0" applyFont="1" applyFill="1" applyBorder="1" applyAlignment="1">
      <alignment horizontal="left" vertical="center"/>
    </xf>
    <xf numFmtId="49" fontId="13" fillId="4" borderId="9" xfId="0" applyNumberFormat="1" applyFont="1" applyFill="1" applyBorder="1" applyAlignment="1">
      <alignment horizontal="left" vertical="center"/>
    </xf>
    <xf numFmtId="0" fontId="13" fillId="4" borderId="9" xfId="0" applyFont="1" applyFill="1" applyBorder="1" applyAlignment="1">
      <alignment horizontal="left" vertical="center"/>
    </xf>
    <xf numFmtId="49" fontId="3" fillId="4" borderId="22" xfId="0" applyNumberFormat="1" applyFont="1" applyFill="1" applyBorder="1" applyAlignment="1">
      <alignment horizontal="left" vertical="center"/>
    </xf>
    <xf numFmtId="0" fontId="3" fillId="4" borderId="22" xfId="0" applyFont="1" applyFill="1" applyBorder="1" applyAlignment="1">
      <alignment horizontal="left" vertical="center"/>
    </xf>
    <xf numFmtId="0" fontId="3" fillId="4" borderId="6" xfId="0" applyFont="1" applyFill="1" applyBorder="1" applyAlignment="1">
      <alignment horizontal="left" vertical="center"/>
    </xf>
    <xf numFmtId="49" fontId="7" fillId="4" borderId="65" xfId="0" applyNumberFormat="1" applyFont="1" applyFill="1" applyBorder="1" applyAlignment="1">
      <alignment horizontal="left" vertical="center"/>
    </xf>
    <xf numFmtId="0" fontId="7" fillId="4" borderId="65" xfId="0" applyFont="1" applyFill="1" applyBorder="1" applyAlignment="1">
      <alignment horizontal="left" vertical="center"/>
    </xf>
    <xf numFmtId="49" fontId="14" fillId="4" borderId="22" xfId="0" applyNumberFormat="1" applyFont="1" applyFill="1" applyBorder="1" applyAlignment="1">
      <alignment horizontal="right" vertical="center"/>
    </xf>
    <xf numFmtId="0" fontId="14" fillId="4" borderId="22" xfId="0" applyFont="1" applyFill="1" applyBorder="1" applyAlignment="1">
      <alignment horizontal="right" vertical="center"/>
    </xf>
    <xf numFmtId="0" fontId="14" fillId="4" borderId="37" xfId="0" applyFont="1" applyFill="1" applyBorder="1" applyAlignment="1">
      <alignment horizontal="right" vertical="center"/>
    </xf>
    <xf numFmtId="49" fontId="19" fillId="4" borderId="21" xfId="0" applyNumberFormat="1" applyFont="1" applyFill="1" applyBorder="1" applyAlignment="1">
      <alignment horizontal="right" vertical="center"/>
    </xf>
    <xf numFmtId="0" fontId="19" fillId="4" borderId="22" xfId="0" applyFont="1" applyFill="1" applyBorder="1" applyAlignment="1">
      <alignment horizontal="right" vertical="center"/>
    </xf>
    <xf numFmtId="0" fontId="19" fillId="4" borderId="37" xfId="0" applyFont="1" applyFill="1" applyBorder="1" applyAlignment="1">
      <alignment horizontal="right" vertical="center"/>
    </xf>
    <xf numFmtId="49" fontId="14" fillId="8" borderId="67" xfId="0" applyNumberFormat="1" applyFont="1" applyFill="1" applyBorder="1" applyAlignment="1">
      <alignment horizontal="center" vertical="center"/>
    </xf>
    <xf numFmtId="0" fontId="14" fillId="8" borderId="68" xfId="0" applyFont="1" applyFill="1" applyBorder="1" applyAlignment="1">
      <alignment horizontal="center" vertical="center"/>
    </xf>
    <xf numFmtId="0" fontId="28" fillId="4" borderId="22" xfId="0" applyFont="1" applyFill="1" applyBorder="1" applyAlignment="1">
      <alignment horizontal="left" vertical="center"/>
    </xf>
    <xf numFmtId="49" fontId="14" fillId="4" borderId="69" xfId="0" applyNumberFormat="1" applyFont="1" applyFill="1" applyBorder="1" applyAlignment="1">
      <alignment horizontal="center" vertical="center"/>
    </xf>
    <xf numFmtId="0" fontId="14" fillId="4" borderId="69" xfId="0" applyFont="1" applyFill="1" applyBorder="1" applyAlignment="1">
      <alignment horizontal="center" vertical="center"/>
    </xf>
    <xf numFmtId="49" fontId="18" fillId="5" borderId="71" xfId="0" applyNumberFormat="1" applyFont="1" applyFill="1" applyBorder="1" applyAlignment="1">
      <alignment horizontal="left" vertical="center"/>
    </xf>
    <xf numFmtId="0" fontId="18" fillId="5" borderId="72" xfId="0" applyFont="1" applyFill="1" applyBorder="1" applyAlignment="1">
      <alignment horizontal="left" vertical="center"/>
    </xf>
    <xf numFmtId="0" fontId="18" fillId="5" borderId="73" xfId="0" applyFont="1" applyFill="1" applyBorder="1" applyAlignment="1">
      <alignment horizontal="left" vertical="center"/>
    </xf>
    <xf numFmtId="0" fontId="14" fillId="5" borderId="71" xfId="0" applyFont="1" applyFill="1" applyBorder="1" applyAlignment="1">
      <alignment horizontal="left" vertical="center"/>
    </xf>
    <xf numFmtId="0" fontId="14" fillId="5" borderId="73" xfId="0" applyFont="1" applyFill="1" applyBorder="1" applyAlignment="1">
      <alignment horizontal="left" vertical="center"/>
    </xf>
    <xf numFmtId="49" fontId="18" fillId="6" borderId="71" xfId="0" applyNumberFormat="1" applyFont="1" applyFill="1" applyBorder="1" applyAlignment="1">
      <alignment horizontal="left" vertical="center"/>
    </xf>
    <xf numFmtId="0" fontId="18" fillId="6" borderId="72" xfId="0" applyFont="1" applyFill="1" applyBorder="1" applyAlignment="1">
      <alignment horizontal="left" vertical="center"/>
    </xf>
    <xf numFmtId="0" fontId="18" fillId="6" borderId="73" xfId="0" applyFont="1" applyFill="1" applyBorder="1" applyAlignment="1">
      <alignment horizontal="left" vertical="center"/>
    </xf>
    <xf numFmtId="49" fontId="21" fillId="4" borderId="22" xfId="0" applyNumberFormat="1" applyFont="1" applyFill="1" applyBorder="1" applyAlignment="1">
      <alignment horizontal="left" vertical="center"/>
    </xf>
    <xf numFmtId="0" fontId="21" fillId="4" borderId="22" xfId="0" applyFont="1" applyFill="1" applyBorder="1" applyAlignment="1">
      <alignment horizontal="left" vertical="center"/>
    </xf>
    <xf numFmtId="0" fontId="21" fillId="4" borderId="41" xfId="0" applyFont="1" applyFill="1" applyBorder="1" applyAlignment="1">
      <alignment horizontal="left" vertical="center"/>
    </xf>
    <xf numFmtId="165" fontId="14" fillId="5" borderId="71" xfId="0" applyNumberFormat="1" applyFont="1" applyFill="1" applyBorder="1" applyAlignment="1">
      <alignment horizontal="left" vertical="center"/>
    </xf>
    <xf numFmtId="165" fontId="14" fillId="5" borderId="72" xfId="0" applyNumberFormat="1" applyFont="1" applyFill="1" applyBorder="1" applyAlignment="1">
      <alignment horizontal="left" vertical="center"/>
    </xf>
    <xf numFmtId="165" fontId="14" fillId="5" borderId="73" xfId="0" applyNumberFormat="1" applyFont="1" applyFill="1" applyBorder="1" applyAlignment="1">
      <alignment horizontal="left" vertical="center"/>
    </xf>
    <xf numFmtId="49" fontId="18" fillId="5" borderId="72" xfId="0" applyNumberFormat="1" applyFont="1" applyFill="1" applyBorder="1" applyAlignment="1">
      <alignment horizontal="left" vertical="center"/>
    </xf>
    <xf numFmtId="49" fontId="18" fillId="5" borderId="73" xfId="0" applyNumberFormat="1" applyFont="1" applyFill="1" applyBorder="1" applyAlignment="1">
      <alignment horizontal="left" vertical="center"/>
    </xf>
    <xf numFmtId="49" fontId="14" fillId="4" borderId="9" xfId="0" applyNumberFormat="1" applyFont="1" applyFill="1" applyBorder="1" applyAlignment="1">
      <alignment horizontal="center"/>
    </xf>
    <xf numFmtId="0" fontId="14" fillId="4" borderId="9" xfId="0" applyFont="1" applyFill="1" applyBorder="1" applyAlignment="1">
      <alignment horizontal="center"/>
    </xf>
    <xf numFmtId="0" fontId="14" fillId="4" borderId="6" xfId="0" applyFont="1" applyFill="1" applyBorder="1" applyAlignment="1">
      <alignment horizontal="center"/>
    </xf>
    <xf numFmtId="9" fontId="20" fillId="8" borderId="71" xfId="0" applyNumberFormat="1" applyFont="1" applyFill="1" applyBorder="1" applyAlignment="1">
      <alignment horizontal="center" vertical="center"/>
    </xf>
    <xf numFmtId="9" fontId="20" fillId="8" borderId="73" xfId="0" applyNumberFormat="1" applyFont="1" applyFill="1" applyBorder="1" applyAlignment="1">
      <alignment horizontal="center" vertical="center"/>
    </xf>
    <xf numFmtId="49" fontId="20" fillId="6" borderId="71" xfId="0" applyNumberFormat="1" applyFont="1" applyFill="1" applyBorder="1" applyAlignment="1">
      <alignment horizontal="center" vertical="center"/>
    </xf>
    <xf numFmtId="0" fontId="20" fillId="6" borderId="73" xfId="0" applyFont="1" applyFill="1" applyBorder="1" applyAlignment="1">
      <alignment horizontal="center" vertical="center"/>
    </xf>
    <xf numFmtId="49" fontId="19" fillId="5" borderId="71" xfId="0" applyNumberFormat="1" applyFont="1" applyFill="1" applyBorder="1" applyAlignment="1">
      <alignment horizontal="left" vertical="center" wrapText="1"/>
    </xf>
    <xf numFmtId="0" fontId="19" fillId="5" borderId="72" xfId="0" applyFont="1" applyFill="1" applyBorder="1" applyAlignment="1">
      <alignment horizontal="left" vertical="center" wrapText="1"/>
    </xf>
    <xf numFmtId="0" fontId="19" fillId="5" borderId="73" xfId="0" applyFont="1" applyFill="1" applyBorder="1" applyAlignment="1">
      <alignment horizontal="left" vertical="center" wrapText="1"/>
    </xf>
    <xf numFmtId="49" fontId="14" fillId="6" borderId="71" xfId="0" applyNumberFormat="1" applyFont="1" applyFill="1" applyBorder="1" applyAlignment="1">
      <alignment horizontal="left" vertical="center"/>
    </xf>
    <xf numFmtId="0" fontId="14" fillId="6" borderId="73" xfId="0" applyFont="1" applyFill="1" applyBorder="1" applyAlignment="1">
      <alignment horizontal="left" vertical="center"/>
    </xf>
    <xf numFmtId="0" fontId="22" fillId="4" borderId="22" xfId="0" applyFont="1" applyFill="1" applyBorder="1" applyAlignment="1">
      <alignment horizontal="right" vertical="top" wrapText="1"/>
    </xf>
    <xf numFmtId="49" fontId="23" fillId="4" borderId="22" xfId="0" applyNumberFormat="1" applyFont="1" applyFill="1" applyBorder="1" applyAlignment="1">
      <alignment horizontal="left" vertical="center"/>
    </xf>
    <xf numFmtId="0" fontId="23" fillId="4" borderId="22" xfId="0" applyFont="1" applyFill="1" applyBorder="1" applyAlignment="1">
      <alignment horizontal="left" vertical="center"/>
    </xf>
    <xf numFmtId="166" fontId="5" fillId="8" borderId="67" xfId="0" applyNumberFormat="1" applyFont="1" applyFill="1" applyBorder="1" applyAlignment="1">
      <alignment horizontal="center" vertical="center"/>
    </xf>
    <xf numFmtId="166" fontId="5" fillId="8" borderId="68" xfId="0" applyNumberFormat="1" applyFont="1" applyFill="1" applyBorder="1" applyAlignment="1">
      <alignment horizontal="center" vertical="center"/>
    </xf>
    <xf numFmtId="166" fontId="5" fillId="8" borderId="15" xfId="0" applyNumberFormat="1" applyFont="1" applyFill="1" applyBorder="1" applyAlignment="1">
      <alignment horizontal="center" vertical="center"/>
    </xf>
    <xf numFmtId="0" fontId="5" fillId="8" borderId="15" xfId="0" applyFont="1" applyFill="1" applyBorder="1" applyAlignment="1">
      <alignment horizontal="center" vertical="center"/>
    </xf>
    <xf numFmtId="49" fontId="5" fillId="5" borderId="59" xfId="0" applyNumberFormat="1" applyFont="1" applyFill="1" applyBorder="1" applyAlignment="1">
      <alignment horizontal="left" vertical="center"/>
    </xf>
    <xf numFmtId="0" fontId="5" fillId="5" borderId="59" xfId="0" applyFont="1" applyFill="1" applyBorder="1" applyAlignment="1">
      <alignment horizontal="left" vertical="center"/>
    </xf>
    <xf numFmtId="49" fontId="14" fillId="4" borderId="22" xfId="0" applyNumberFormat="1" applyFont="1" applyFill="1" applyBorder="1" applyAlignment="1">
      <alignment horizontal="left" vertical="top" wrapText="1"/>
    </xf>
    <xf numFmtId="0" fontId="14" fillId="4" borderId="22" xfId="0" applyFont="1" applyFill="1" applyBorder="1" applyAlignment="1">
      <alignment horizontal="left" vertical="top" wrapText="1"/>
    </xf>
    <xf numFmtId="0" fontId="14" fillId="4" borderId="70" xfId="0" applyFont="1" applyFill="1" applyBorder="1" applyAlignment="1">
      <alignment horizontal="left" vertical="top" wrapText="1"/>
    </xf>
    <xf numFmtId="0" fontId="14" fillId="4" borderId="69" xfId="0" applyFont="1" applyFill="1" applyBorder="1" applyAlignment="1">
      <alignment horizontal="left" vertical="top" wrapText="1"/>
    </xf>
    <xf numFmtId="49" fontId="21" fillId="4" borderId="22" xfId="0" applyNumberFormat="1" applyFont="1" applyFill="1" applyBorder="1" applyAlignment="1">
      <alignment horizontal="center" wrapText="1"/>
    </xf>
    <xf numFmtId="49" fontId="21" fillId="4" borderId="50" xfId="0" applyNumberFormat="1" applyFont="1" applyFill="1" applyBorder="1" applyAlignment="1">
      <alignment horizontal="left" vertical="center"/>
    </xf>
    <xf numFmtId="0" fontId="21" fillId="4" borderId="51" xfId="0" applyFont="1" applyFill="1" applyBorder="1" applyAlignment="1">
      <alignment horizontal="left" vertical="center"/>
    </xf>
    <xf numFmtId="166" fontId="21" fillId="8" borderId="15" xfId="0" applyNumberFormat="1" applyFont="1" applyFill="1" applyBorder="1" applyAlignment="1">
      <alignment horizontal="center" vertical="center"/>
    </xf>
    <xf numFmtId="49" fontId="21" fillId="4" borderId="33" xfId="0" applyNumberFormat="1" applyFont="1" applyFill="1" applyBorder="1" applyAlignment="1">
      <alignment horizontal="right" vertical="center"/>
    </xf>
    <xf numFmtId="0" fontId="21" fillId="4" borderId="83" xfId="0" applyFont="1" applyFill="1" applyBorder="1" applyAlignment="1">
      <alignment horizontal="right" vertical="center"/>
    </xf>
    <xf numFmtId="166" fontId="21" fillId="8" borderId="12" xfId="0" applyNumberFormat="1" applyFont="1" applyFill="1" applyBorder="1" applyAlignment="1">
      <alignment horizontal="left" vertical="center"/>
    </xf>
    <xf numFmtId="0" fontId="21" fillId="8" borderId="13" xfId="0" applyFont="1" applyFill="1" applyBorder="1" applyAlignment="1">
      <alignment horizontal="left" vertical="center"/>
    </xf>
    <xf numFmtId="49" fontId="5" fillId="4" borderId="50" xfId="0" applyNumberFormat="1" applyFont="1" applyFill="1" applyBorder="1" applyAlignment="1">
      <alignment horizontal="left" vertical="center"/>
    </xf>
    <xf numFmtId="0" fontId="5" fillId="4" borderId="47" xfId="0" applyFont="1" applyFill="1" applyBorder="1" applyAlignment="1">
      <alignment horizontal="left" vertical="center"/>
    </xf>
    <xf numFmtId="166" fontId="5" fillId="8" borderId="82" xfId="0" applyNumberFormat="1" applyFont="1" applyFill="1" applyBorder="1" applyAlignment="1">
      <alignment horizontal="left" vertical="center"/>
    </xf>
    <xf numFmtId="0" fontId="14" fillId="6" borderId="71" xfId="0" applyNumberFormat="1" applyFont="1" applyFill="1" applyBorder="1" applyAlignment="1">
      <alignment horizontal="right" vertical="center"/>
    </xf>
    <xf numFmtId="0" fontId="14" fillId="6" borderId="73" xfId="0" applyFont="1" applyFill="1" applyBorder="1" applyAlignment="1">
      <alignment horizontal="right" vertical="center"/>
    </xf>
    <xf numFmtId="166" fontId="5" fillId="8" borderId="67" xfId="0" applyNumberFormat="1" applyFont="1" applyFill="1" applyBorder="1" applyAlignment="1">
      <alignment horizontal="right" vertical="center"/>
    </xf>
    <xf numFmtId="166" fontId="5" fillId="8" borderId="68" xfId="0" applyNumberFormat="1" applyFont="1" applyFill="1" applyBorder="1" applyAlignment="1">
      <alignment horizontal="right" vertical="center"/>
    </xf>
    <xf numFmtId="49" fontId="5" fillId="4" borderId="54" xfId="0" applyNumberFormat="1" applyFont="1" applyFill="1" applyBorder="1" applyAlignment="1">
      <alignment horizontal="left" vertical="center"/>
    </xf>
    <xf numFmtId="0" fontId="5" fillId="4" borderId="54" xfId="0" applyFont="1" applyFill="1" applyBorder="1" applyAlignment="1">
      <alignment horizontal="left" vertical="center"/>
    </xf>
    <xf numFmtId="49" fontId="21" fillId="4" borderId="22" xfId="0" applyNumberFormat="1" applyFont="1" applyFill="1" applyBorder="1" applyAlignment="1">
      <alignment horizontal="left" vertical="center" wrapText="1"/>
    </xf>
    <xf numFmtId="0" fontId="21" fillId="4" borderId="22" xfId="0" applyFont="1" applyFill="1" applyBorder="1" applyAlignment="1">
      <alignment horizontal="left" vertical="center" wrapText="1"/>
    </xf>
    <xf numFmtId="167" fontId="11" fillId="5" borderId="96" xfId="0" applyNumberFormat="1" applyFont="1" applyFill="1" applyBorder="1" applyAlignment="1">
      <alignment horizontal="center" vertical="center" wrapText="1"/>
    </xf>
    <xf numFmtId="167" fontId="28" fillId="5" borderId="82" xfId="0" applyNumberFormat="1" applyFont="1" applyFill="1" applyBorder="1" applyAlignment="1">
      <alignment horizontal="center" vertical="center" wrapText="1"/>
    </xf>
    <xf numFmtId="49" fontId="16" fillId="6" borderId="93" xfId="0" applyNumberFormat="1" applyFont="1" applyFill="1" applyBorder="1" applyAlignment="1">
      <alignment horizontal="center" vertical="center"/>
    </xf>
    <xf numFmtId="0" fontId="16" fillId="6" borderId="94" xfId="0" applyFont="1" applyFill="1" applyBorder="1" applyAlignment="1">
      <alignment horizontal="center" vertical="center"/>
    </xf>
    <xf numFmtId="49" fontId="16" fillId="6" borderId="71" xfId="0" applyNumberFormat="1" applyFont="1" applyFill="1" applyBorder="1" applyAlignment="1">
      <alignment horizontal="left" vertical="center"/>
    </xf>
    <xf numFmtId="0" fontId="16" fillId="6" borderId="72" xfId="0" applyFont="1" applyFill="1" applyBorder="1" applyAlignment="1">
      <alignment horizontal="left" vertical="center"/>
    </xf>
    <xf numFmtId="0" fontId="16" fillId="6" borderId="73" xfId="0" applyFont="1" applyFill="1" applyBorder="1" applyAlignment="1">
      <alignment horizontal="left" vertical="center"/>
    </xf>
    <xf numFmtId="167" fontId="11" fillId="5" borderId="15" xfId="0" applyNumberFormat="1" applyFont="1" applyFill="1" applyBorder="1" applyAlignment="1">
      <alignment horizontal="center" vertical="center" wrapText="1"/>
    </xf>
    <xf numFmtId="49" fontId="0" fillId="4" borderId="70" xfId="0" applyNumberFormat="1" applyFill="1" applyBorder="1" applyAlignment="1">
      <alignment vertical="top" wrapText="1"/>
    </xf>
    <xf numFmtId="0" fontId="0" fillId="4" borderId="70" xfId="0" applyFill="1" applyBorder="1" applyAlignment="1">
      <alignment vertical="top" wrapText="1"/>
    </xf>
    <xf numFmtId="49" fontId="13" fillId="4" borderId="1" xfId="0" applyNumberFormat="1" applyFont="1" applyFill="1" applyBorder="1" applyAlignment="1">
      <alignment horizontal="left" vertical="center"/>
    </xf>
    <xf numFmtId="0" fontId="13" fillId="4" borderId="2" xfId="0" applyFont="1" applyFill="1" applyBorder="1" applyAlignment="1">
      <alignment horizontal="left" vertical="center"/>
    </xf>
    <xf numFmtId="0" fontId="0" fillId="4" borderId="72" xfId="0" applyFill="1" applyBorder="1" applyAlignment="1">
      <alignment horizontal="center" vertical="center"/>
    </xf>
    <xf numFmtId="49" fontId="11" fillId="4" borderId="89" xfId="0" applyNumberFormat="1" applyFont="1" applyFill="1" applyBorder="1" applyAlignment="1">
      <alignment horizontal="left" vertical="center" wrapText="1"/>
    </xf>
    <xf numFmtId="0" fontId="11" fillId="4" borderId="90" xfId="0" applyFont="1" applyFill="1" applyBorder="1" applyAlignment="1">
      <alignment horizontal="left" vertical="center" wrapText="1"/>
    </xf>
    <xf numFmtId="0" fontId="11" fillId="4" borderId="40" xfId="0" applyFont="1" applyFill="1" applyBorder="1" applyAlignment="1">
      <alignment horizontal="left" vertical="center" wrapText="1"/>
    </xf>
    <xf numFmtId="0" fontId="11" fillId="4" borderId="22" xfId="0" applyFont="1" applyFill="1" applyBorder="1" applyAlignment="1">
      <alignment horizontal="left" vertical="center" wrapText="1"/>
    </xf>
    <xf numFmtId="49" fontId="16" fillId="4" borderId="40" xfId="0" applyNumberFormat="1" applyFont="1" applyFill="1" applyBorder="1" applyAlignment="1">
      <alignment horizontal="left" vertical="top" wrapText="1"/>
    </xf>
    <xf numFmtId="0" fontId="16" fillId="4" borderId="22" xfId="0" applyFont="1" applyFill="1" applyBorder="1" applyAlignment="1">
      <alignment horizontal="left" vertical="top" wrapText="1"/>
    </xf>
    <xf numFmtId="49" fontId="37" fillId="4" borderId="40" xfId="0" applyNumberFormat="1" applyFont="1" applyFill="1" applyBorder="1" applyAlignment="1">
      <alignment horizontal="left" vertical="top" wrapText="1"/>
    </xf>
    <xf numFmtId="0" fontId="37" fillId="4" borderId="22" xfId="0" applyFont="1" applyFill="1" applyBorder="1" applyAlignment="1">
      <alignment horizontal="left" vertical="top" wrapText="1"/>
    </xf>
    <xf numFmtId="0" fontId="11" fillId="5" borderId="102" xfId="0" applyFont="1" applyFill="1" applyBorder="1" applyAlignment="1">
      <alignment horizontal="left" vertical="top" wrapText="1"/>
    </xf>
    <xf numFmtId="0" fontId="11" fillId="5" borderId="103" xfId="0" applyFont="1" applyFill="1" applyBorder="1" applyAlignment="1">
      <alignment horizontal="left" vertical="top" wrapText="1"/>
    </xf>
    <xf numFmtId="0" fontId="11" fillId="5" borderId="104" xfId="0" applyFont="1" applyFill="1" applyBorder="1" applyAlignment="1">
      <alignment horizontal="left" vertical="top" wrapText="1"/>
    </xf>
    <xf numFmtId="0" fontId="11" fillId="5" borderId="105" xfId="0" applyFont="1" applyFill="1" applyBorder="1" applyAlignment="1">
      <alignment horizontal="left" vertical="top" wrapText="1"/>
    </xf>
    <xf numFmtId="0" fontId="11" fillId="5" borderId="4" xfId="0" applyFont="1" applyFill="1" applyBorder="1" applyAlignment="1">
      <alignment horizontal="left" vertical="top" wrapText="1"/>
    </xf>
    <xf numFmtId="0" fontId="11" fillId="5" borderId="106" xfId="0" applyFont="1" applyFill="1" applyBorder="1" applyAlignment="1">
      <alignment horizontal="left" vertical="top" wrapText="1"/>
    </xf>
    <xf numFmtId="0" fontId="11" fillId="5" borderId="107" xfId="0" applyFont="1" applyFill="1" applyBorder="1" applyAlignment="1">
      <alignment horizontal="left" vertical="top" wrapText="1"/>
    </xf>
    <xf numFmtId="0" fontId="11" fillId="5" borderId="108" xfId="0" applyFont="1" applyFill="1" applyBorder="1" applyAlignment="1">
      <alignment horizontal="left" vertical="top" wrapText="1"/>
    </xf>
    <xf numFmtId="0" fontId="11" fillId="5" borderId="109" xfId="0" applyFont="1" applyFill="1" applyBorder="1" applyAlignment="1">
      <alignment horizontal="left" vertical="top" wrapText="1"/>
    </xf>
    <xf numFmtId="49" fontId="11" fillId="4" borderId="100" xfId="0" applyNumberFormat="1" applyFont="1" applyFill="1" applyBorder="1" applyAlignment="1">
      <alignment horizontal="left" vertical="center" wrapText="1"/>
    </xf>
    <xf numFmtId="0" fontId="11" fillId="4" borderId="41" xfId="0" applyFont="1" applyFill="1" applyBorder="1" applyAlignment="1">
      <alignment horizontal="left" vertical="center" wrapText="1"/>
    </xf>
    <xf numFmtId="0" fontId="11" fillId="4" borderId="9" xfId="0" applyFont="1" applyFill="1" applyBorder="1" applyAlignment="1">
      <alignment horizontal="left" vertical="center" wrapText="1"/>
    </xf>
    <xf numFmtId="49" fontId="11" fillId="4" borderId="40" xfId="0" applyNumberFormat="1" applyFont="1" applyFill="1" applyBorder="1" applyAlignment="1">
      <alignment horizontal="left" vertical="center"/>
    </xf>
    <xf numFmtId="0" fontId="11" fillId="4" borderId="22" xfId="0" applyFont="1" applyFill="1" applyBorder="1" applyAlignment="1">
      <alignment horizontal="left" vertical="center"/>
    </xf>
    <xf numFmtId="0" fontId="11" fillId="4" borderId="91" xfId="0" applyFont="1" applyFill="1" applyBorder="1" applyAlignment="1">
      <alignment horizontal="left" vertical="center"/>
    </xf>
    <xf numFmtId="0" fontId="11" fillId="4" borderId="69" xfId="0" applyFont="1" applyFill="1" applyBorder="1" applyAlignment="1">
      <alignment horizontal="left" vertical="center"/>
    </xf>
    <xf numFmtId="49" fontId="16" fillId="6" borderId="12" xfId="0" applyNumberFormat="1" applyFont="1" applyFill="1" applyBorder="1" applyAlignment="1">
      <alignment horizontal="left" vertical="center"/>
    </xf>
    <xf numFmtId="0" fontId="16" fillId="6" borderId="99" xfId="0" applyFont="1" applyFill="1" applyBorder="1" applyAlignment="1">
      <alignment horizontal="left" vertical="center"/>
    </xf>
    <xf numFmtId="0" fontId="16" fillId="6" borderId="13" xfId="0" applyFont="1" applyFill="1" applyBorder="1" applyAlignment="1">
      <alignment horizontal="left" vertical="center"/>
    </xf>
    <xf numFmtId="49" fontId="37" fillId="6" borderId="93" xfId="0" applyNumberFormat="1" applyFont="1" applyFill="1" applyBorder="1" applyAlignment="1">
      <alignment horizontal="center" vertical="center"/>
    </xf>
    <xf numFmtId="0" fontId="37" fillId="6" borderId="94" xfId="0" applyFont="1" applyFill="1" applyBorder="1" applyAlignment="1">
      <alignment horizontal="center" vertical="center"/>
    </xf>
    <xf numFmtId="167" fontId="28" fillId="5" borderId="96" xfId="0" applyNumberFormat="1" applyFont="1" applyFill="1" applyBorder="1" applyAlignment="1">
      <alignment horizontal="center" vertical="center" wrapText="1"/>
    </xf>
    <xf numFmtId="167" fontId="11" fillId="5" borderId="82" xfId="0" applyNumberFormat="1" applyFont="1" applyFill="1" applyBorder="1" applyAlignment="1">
      <alignment horizontal="center" vertical="center" wrapText="1"/>
    </xf>
    <xf numFmtId="49" fontId="5" fillId="8" borderId="31" xfId="0" applyNumberFormat="1" applyFont="1" applyFill="1" applyBorder="1" applyAlignment="1">
      <alignment horizontal="left" vertical="center" wrapText="1"/>
    </xf>
    <xf numFmtId="0" fontId="5" fillId="8" borderId="15" xfId="0" applyFont="1" applyFill="1" applyBorder="1" applyAlignment="1">
      <alignment horizontal="left" vertical="center" wrapText="1"/>
    </xf>
    <xf numFmtId="0" fontId="5" fillId="8" borderId="31" xfId="0" applyFont="1" applyFill="1" applyBorder="1" applyAlignment="1">
      <alignment horizontal="left" vertical="center" wrapText="1"/>
    </xf>
    <xf numFmtId="49" fontId="5" fillId="8" borderId="31" xfId="0" applyNumberFormat="1" applyFont="1" applyFill="1" applyBorder="1" applyAlignment="1">
      <alignment horizontal="left" vertical="center"/>
    </xf>
    <xf numFmtId="0" fontId="5" fillId="8" borderId="15" xfId="0" applyFont="1" applyFill="1" applyBorder="1" applyAlignment="1">
      <alignment horizontal="left" vertical="center"/>
    </xf>
    <xf numFmtId="0" fontId="5" fillId="8" borderId="38" xfId="0" applyFont="1" applyFill="1" applyBorder="1" applyAlignment="1">
      <alignment horizontal="left" vertical="center"/>
    </xf>
    <xf numFmtId="0" fontId="5" fillId="8" borderId="82" xfId="0" applyFont="1" applyFill="1" applyBorder="1" applyAlignment="1">
      <alignment horizontal="left" vertical="center"/>
    </xf>
    <xf numFmtId="49" fontId="5" fillId="8" borderId="15" xfId="0" applyNumberFormat="1" applyFont="1" applyFill="1" applyBorder="1" applyAlignment="1">
      <alignment horizontal="left" vertical="center" wrapText="1"/>
    </xf>
    <xf numFmtId="0" fontId="5" fillId="8" borderId="32" xfId="0" applyFont="1" applyFill="1" applyBorder="1" applyAlignment="1">
      <alignment horizontal="left" vertical="center" wrapText="1"/>
    </xf>
    <xf numFmtId="0" fontId="5" fillId="8" borderId="33" xfId="0" applyNumberFormat="1" applyFont="1" applyFill="1" applyBorder="1" applyAlignment="1">
      <alignment horizontal="center" vertical="center"/>
    </xf>
    <xf numFmtId="0" fontId="5" fillId="8" borderId="42" xfId="0" applyFont="1" applyFill="1" applyBorder="1" applyAlignment="1">
      <alignment horizontal="center" vertical="center"/>
    </xf>
    <xf numFmtId="49" fontId="42" fillId="9" borderId="117" xfId="0" applyNumberFormat="1" applyFont="1" applyFill="1" applyBorder="1" applyAlignment="1">
      <alignment horizontal="left" vertical="center"/>
    </xf>
    <xf numFmtId="0" fontId="42" fillId="9" borderId="6" xfId="0" applyFont="1" applyFill="1" applyBorder="1" applyAlignment="1">
      <alignment horizontal="left" vertical="center"/>
    </xf>
    <xf numFmtId="0" fontId="42" fillId="9" borderId="118" xfId="0" applyFont="1" applyFill="1" applyBorder="1" applyAlignment="1">
      <alignment horizontal="left" vertical="center"/>
    </xf>
    <xf numFmtId="49" fontId="5" fillId="6" borderId="78" xfId="0" applyNumberFormat="1" applyFont="1" applyFill="1" applyBorder="1" applyAlignment="1">
      <alignment horizontal="left" vertical="center" wrapText="1"/>
    </xf>
    <xf numFmtId="0" fontId="5" fillId="6" borderId="9" xfId="0" applyFont="1" applyFill="1" applyBorder="1" applyAlignment="1">
      <alignment horizontal="left" vertical="center" wrapText="1"/>
    </xf>
    <xf numFmtId="0" fontId="5" fillId="6" borderId="35" xfId="0" applyFont="1" applyFill="1" applyBorder="1" applyAlignment="1">
      <alignment horizontal="left" vertical="center" wrapText="1"/>
    </xf>
    <xf numFmtId="0" fontId="5" fillId="6" borderId="117" xfId="0" applyFont="1" applyFill="1" applyBorder="1" applyAlignment="1">
      <alignment horizontal="left" vertical="center" wrapText="1"/>
    </xf>
    <xf numFmtId="0" fontId="5" fillId="6" borderId="6" xfId="0" applyFont="1" applyFill="1" applyBorder="1" applyAlignment="1">
      <alignment horizontal="left" vertical="center" wrapText="1"/>
    </xf>
    <xf numFmtId="0" fontId="5" fillId="6" borderId="44" xfId="0" applyFont="1" applyFill="1" applyBorder="1" applyAlignment="1">
      <alignment horizontal="left" vertical="center" wrapText="1"/>
    </xf>
    <xf numFmtId="0" fontId="5" fillId="8" borderId="34" xfId="0" applyNumberFormat="1" applyFont="1" applyFill="1" applyBorder="1" applyAlignment="1">
      <alignment horizontal="center" vertical="center"/>
    </xf>
    <xf numFmtId="0" fontId="5" fillId="8" borderId="35" xfId="0" applyFont="1" applyFill="1" applyBorder="1" applyAlignment="1">
      <alignment horizontal="center" vertical="center"/>
    </xf>
    <xf numFmtId="0" fontId="5" fillId="8" borderId="43" xfId="0" applyFont="1" applyFill="1" applyBorder="1" applyAlignment="1">
      <alignment horizontal="center" vertical="center"/>
    </xf>
    <xf numFmtId="0" fontId="5" fillId="8" borderId="44" xfId="0" applyFont="1" applyFill="1" applyBorder="1" applyAlignment="1">
      <alignment horizontal="center" vertical="center"/>
    </xf>
    <xf numFmtId="173" fontId="5" fillId="8" borderId="15" xfId="0" applyNumberFormat="1" applyFont="1" applyFill="1" applyBorder="1" applyAlignment="1">
      <alignment horizontal="center" vertical="center"/>
    </xf>
    <xf numFmtId="173" fontId="5" fillId="8" borderId="32" xfId="0" applyNumberFormat="1" applyFont="1" applyFill="1" applyBorder="1" applyAlignment="1">
      <alignment horizontal="center" vertical="center"/>
    </xf>
    <xf numFmtId="173" fontId="5" fillId="8" borderId="82" xfId="0" applyNumberFormat="1" applyFont="1" applyFill="1" applyBorder="1" applyAlignment="1">
      <alignment horizontal="center" vertical="center"/>
    </xf>
    <xf numFmtId="173" fontId="5" fillId="8" borderId="39" xfId="0" applyNumberFormat="1" applyFont="1" applyFill="1" applyBorder="1" applyAlignment="1">
      <alignment horizontal="center" vertical="center"/>
    </xf>
    <xf numFmtId="49" fontId="5" fillId="6" borderId="31" xfId="0" applyNumberFormat="1" applyFont="1" applyFill="1" applyBorder="1" applyAlignment="1">
      <alignment horizontal="left" vertical="center"/>
    </xf>
    <xf numFmtId="0" fontId="5" fillId="6" borderId="15" xfId="0" applyFont="1" applyFill="1" applyBorder="1" applyAlignment="1">
      <alignment horizontal="left" vertical="center"/>
    </xf>
    <xf numFmtId="0" fontId="5" fillId="6" borderId="31" xfId="0" applyFont="1" applyFill="1" applyBorder="1" applyAlignment="1">
      <alignment horizontal="left" vertical="center"/>
    </xf>
    <xf numFmtId="0" fontId="5" fillId="8" borderId="15" xfId="0" applyNumberFormat="1" applyFont="1" applyFill="1" applyBorder="1" applyAlignment="1">
      <alignment horizontal="center" vertical="center"/>
    </xf>
    <xf numFmtId="49" fontId="5" fillId="6" borderId="32" xfId="0" applyNumberFormat="1" applyFont="1" applyFill="1" applyBorder="1" applyAlignment="1">
      <alignment horizontal="left" vertical="center"/>
    </xf>
    <xf numFmtId="0" fontId="5" fillId="6" borderId="32" xfId="0" applyFont="1" applyFill="1" applyBorder="1" applyAlignment="1">
      <alignment horizontal="left" vertical="center"/>
    </xf>
    <xf numFmtId="49" fontId="5" fillId="8" borderId="33" xfId="0" applyNumberFormat="1" applyFont="1" applyFill="1" applyBorder="1" applyAlignment="1">
      <alignment horizontal="center" vertical="center"/>
    </xf>
    <xf numFmtId="49" fontId="5" fillId="8" borderId="34" xfId="0" applyNumberFormat="1" applyFont="1" applyFill="1" applyBorder="1" applyAlignment="1">
      <alignment horizontal="left" vertical="center"/>
    </xf>
    <xf numFmtId="0" fontId="5" fillId="8" borderId="9" xfId="0" applyFont="1" applyFill="1" applyBorder="1" applyAlignment="1">
      <alignment horizontal="left" vertical="center"/>
    </xf>
    <xf numFmtId="0" fontId="5" fillId="8" borderId="35" xfId="0" applyFont="1" applyFill="1" applyBorder="1" applyAlignment="1">
      <alignment horizontal="left" vertical="center"/>
    </xf>
    <xf numFmtId="0" fontId="5" fillId="8" borderId="43" xfId="0" applyFont="1" applyFill="1" applyBorder="1" applyAlignment="1">
      <alignment horizontal="left" vertical="center"/>
    </xf>
    <xf numFmtId="0" fontId="5" fillId="8" borderId="6" xfId="0" applyFont="1" applyFill="1" applyBorder="1" applyAlignment="1">
      <alignment horizontal="left" vertical="center"/>
    </xf>
    <xf numFmtId="0" fontId="5" fillId="8" borderId="44" xfId="0" applyFont="1" applyFill="1" applyBorder="1" applyAlignment="1">
      <alignment horizontal="left" vertical="center"/>
    </xf>
    <xf numFmtId="49" fontId="55" fillId="9" borderId="21" xfId="0" applyNumberFormat="1" applyFont="1" applyFill="1" applyBorder="1" applyAlignment="1">
      <alignment horizontal="left" vertical="center" wrapText="1"/>
    </xf>
    <xf numFmtId="0" fontId="55" fillId="9" borderId="22" xfId="0" applyFont="1" applyFill="1" applyBorder="1" applyAlignment="1">
      <alignment horizontal="left" vertical="center" wrapText="1"/>
    </xf>
    <xf numFmtId="0" fontId="55" fillId="9" borderId="21" xfId="0" applyFont="1" applyFill="1" applyBorder="1" applyAlignment="1">
      <alignment horizontal="left" vertical="center" wrapText="1"/>
    </xf>
    <xf numFmtId="0" fontId="55" fillId="9" borderId="117" xfId="0" applyFont="1" applyFill="1" applyBorder="1" applyAlignment="1">
      <alignment horizontal="left" vertical="center" wrapText="1"/>
    </xf>
    <xf numFmtId="0" fontId="55" fillId="9" borderId="6" xfId="0" applyFont="1" applyFill="1" applyBorder="1" applyAlignment="1">
      <alignment horizontal="left" vertical="center" wrapText="1"/>
    </xf>
    <xf numFmtId="2" fontId="5" fillId="8" borderId="34" xfId="0" applyNumberFormat="1" applyFont="1" applyFill="1" applyBorder="1" applyAlignment="1">
      <alignment horizontal="center" vertical="center"/>
    </xf>
    <xf numFmtId="2" fontId="5" fillId="8" borderId="35" xfId="0" applyNumberFormat="1" applyFont="1" applyFill="1" applyBorder="1" applyAlignment="1">
      <alignment horizontal="center" vertical="center"/>
    </xf>
    <xf numFmtId="2" fontId="5" fillId="8" borderId="43" xfId="0" applyNumberFormat="1" applyFont="1" applyFill="1" applyBorder="1" applyAlignment="1">
      <alignment horizontal="center" vertical="center"/>
    </xf>
    <xf numFmtId="2" fontId="5" fillId="8" borderId="44" xfId="0" applyNumberFormat="1" applyFont="1" applyFill="1" applyBorder="1" applyAlignment="1">
      <alignment horizontal="center" vertical="center"/>
    </xf>
    <xf numFmtId="0" fontId="5" fillId="4" borderId="22" xfId="0" applyFont="1" applyFill="1" applyBorder="1" applyAlignment="1">
      <alignment horizontal="center" vertical="center" wrapText="1"/>
    </xf>
    <xf numFmtId="49" fontId="5" fillId="6" borderId="31" xfId="0" applyNumberFormat="1" applyFont="1" applyFill="1" applyBorder="1" applyAlignment="1">
      <alignment horizontal="left" vertical="center" wrapText="1"/>
    </xf>
    <xf numFmtId="0" fontId="5" fillId="6" borderId="15" xfId="0" applyFont="1" applyFill="1" applyBorder="1" applyAlignment="1">
      <alignment horizontal="left" vertical="center" wrapText="1"/>
    </xf>
    <xf numFmtId="0" fontId="5" fillId="6" borderId="31" xfId="0" applyFont="1" applyFill="1" applyBorder="1" applyAlignment="1">
      <alignment horizontal="left" vertical="center" wrapText="1"/>
    </xf>
    <xf numFmtId="49" fontId="5" fillId="6" borderId="78" xfId="0" applyNumberFormat="1" applyFont="1" applyFill="1" applyBorder="1" applyAlignment="1">
      <alignment horizontal="center" vertical="center" wrapText="1"/>
    </xf>
    <xf numFmtId="0" fontId="5" fillId="6" borderId="35" xfId="0" applyFont="1" applyFill="1" applyBorder="1" applyAlignment="1">
      <alignment horizontal="center" vertical="center" wrapText="1"/>
    </xf>
    <xf numFmtId="0" fontId="5" fillId="6" borderId="21"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5" fillId="6" borderId="117" xfId="0" applyFont="1" applyFill="1" applyBorder="1" applyAlignment="1">
      <alignment horizontal="center" vertical="center" wrapText="1"/>
    </xf>
    <xf numFmtId="0" fontId="5" fillId="6" borderId="44" xfId="0" applyFont="1" applyFill="1" applyBorder="1" applyAlignment="1">
      <alignment horizontal="center" vertical="center" wrapText="1"/>
    </xf>
    <xf numFmtId="49" fontId="5" fillId="6" borderId="67" xfId="0" applyNumberFormat="1" applyFont="1" applyFill="1" applyBorder="1" applyAlignment="1">
      <alignment horizontal="center" vertical="center"/>
    </xf>
    <xf numFmtId="0" fontId="5" fillId="6" borderId="10" xfId="0" applyFont="1" applyFill="1" applyBorder="1" applyAlignment="1">
      <alignment horizontal="center" vertical="center"/>
    </xf>
    <xf numFmtId="0" fontId="5" fillId="6" borderId="123" xfId="0" applyFont="1" applyFill="1" applyBorder="1" applyAlignment="1">
      <alignment horizontal="center" vertical="center"/>
    </xf>
    <xf numFmtId="49" fontId="5" fillId="6" borderId="32" xfId="0" applyNumberFormat="1"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39" xfId="0" applyFont="1" applyFill="1" applyBorder="1" applyAlignment="1">
      <alignment horizontal="center" vertical="center" wrapText="1"/>
    </xf>
    <xf numFmtId="49" fontId="5" fillId="6" borderId="15" xfId="0" applyNumberFormat="1" applyFont="1" applyFill="1" applyBorder="1" applyAlignment="1">
      <alignment horizontal="center" vertical="center" wrapText="1"/>
    </xf>
    <xf numFmtId="0" fontId="5" fillId="6" borderId="15" xfId="0" applyFont="1" applyFill="1" applyBorder="1" applyAlignment="1">
      <alignment horizontal="center" vertical="center" wrapText="1"/>
    </xf>
    <xf numFmtId="0" fontId="5" fillId="6" borderId="82" xfId="0" applyFont="1" applyFill="1" applyBorder="1" applyAlignment="1">
      <alignment horizontal="center" vertical="center" wrapText="1"/>
    </xf>
    <xf numFmtId="49" fontId="5" fillId="6" borderId="31"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5" fillId="6" borderId="31" xfId="0" applyFont="1" applyFill="1" applyBorder="1" applyAlignment="1">
      <alignment horizontal="center" vertical="center"/>
    </xf>
    <xf numFmtId="0" fontId="5" fillId="6" borderId="38" xfId="0" applyFont="1" applyFill="1" applyBorder="1" applyAlignment="1">
      <alignment horizontal="center" vertical="center"/>
    </xf>
    <xf numFmtId="0" fontId="5" fillId="6" borderId="82" xfId="0" applyFont="1" applyFill="1" applyBorder="1" applyAlignment="1">
      <alignment horizontal="center" vertical="center"/>
    </xf>
    <xf numFmtId="49" fontId="5" fillId="6" borderId="67" xfId="0" applyNumberFormat="1" applyFont="1" applyFill="1" applyBorder="1" applyAlignment="1">
      <alignment horizontal="left" vertical="center"/>
    </xf>
    <xf numFmtId="0" fontId="5" fillId="6" borderId="10" xfId="0" applyFont="1" applyFill="1" applyBorder="1" applyAlignment="1">
      <alignment horizontal="left" vertical="center"/>
    </xf>
    <xf numFmtId="0" fontId="5" fillId="6" borderId="68" xfId="0" applyFont="1" applyFill="1" applyBorder="1" applyAlignment="1">
      <alignment horizontal="left" vertical="center"/>
    </xf>
    <xf numFmtId="0" fontId="5" fillId="8" borderId="82" xfId="0" applyFont="1" applyFill="1" applyBorder="1" applyAlignment="1">
      <alignment horizontal="left" vertical="center" wrapText="1"/>
    </xf>
    <xf numFmtId="0" fontId="5" fillId="8" borderId="39" xfId="0" applyFont="1" applyFill="1" applyBorder="1" applyAlignment="1">
      <alignment horizontal="left" vertical="center" wrapText="1"/>
    </xf>
    <xf numFmtId="49" fontId="14" fillId="8" borderId="31" xfId="0" applyNumberFormat="1" applyFont="1" applyFill="1" applyBorder="1" applyAlignment="1">
      <alignment horizontal="left" vertical="center" wrapText="1"/>
    </xf>
    <xf numFmtId="0" fontId="14" fillId="8" borderId="15" xfId="0" applyFont="1" applyFill="1" applyBorder="1" applyAlignment="1">
      <alignment horizontal="left" vertical="center" wrapText="1"/>
    </xf>
    <xf numFmtId="0" fontId="14" fillId="8" borderId="31" xfId="0" applyFont="1" applyFill="1" applyBorder="1" applyAlignment="1">
      <alignment horizontal="left" vertical="center" wrapText="1"/>
    </xf>
    <xf numFmtId="0" fontId="5" fillId="6" borderId="38" xfId="0" applyFont="1" applyFill="1" applyBorder="1" applyAlignment="1">
      <alignment horizontal="left" vertical="center" wrapText="1"/>
    </xf>
    <xf numFmtId="0" fontId="5" fillId="6" borderId="82" xfId="0" applyFont="1" applyFill="1" applyBorder="1" applyAlignment="1">
      <alignment horizontal="left" vertical="center" wrapText="1"/>
    </xf>
    <xf numFmtId="0" fontId="5" fillId="8" borderId="82" xfId="0" applyFont="1" applyFill="1" applyBorder="1" applyAlignment="1">
      <alignment horizontal="center" vertical="center"/>
    </xf>
    <xf numFmtId="49" fontId="5" fillId="6" borderId="32" xfId="0" applyNumberFormat="1" applyFont="1" applyFill="1" applyBorder="1" applyAlignment="1">
      <alignment horizontal="center" vertical="center"/>
    </xf>
    <xf numFmtId="0" fontId="5" fillId="6" borderId="39" xfId="0" applyFont="1" applyFill="1" applyBorder="1" applyAlignment="1">
      <alignment horizontal="center" vertical="center"/>
    </xf>
    <xf numFmtId="49" fontId="5" fillId="9" borderId="21" xfId="0" applyNumberFormat="1" applyFont="1" applyFill="1" applyBorder="1" applyAlignment="1">
      <alignment horizontal="left" vertical="center" wrapText="1"/>
    </xf>
    <xf numFmtId="0" fontId="5" fillId="9" borderId="22" xfId="0" applyFont="1" applyFill="1" applyBorder="1" applyAlignment="1">
      <alignment horizontal="left" vertical="center" wrapText="1"/>
    </xf>
    <xf numFmtId="0" fontId="5" fillId="9" borderId="70" xfId="0" applyFont="1" applyFill="1" applyBorder="1" applyAlignment="1">
      <alignment horizontal="left" vertical="center" wrapText="1"/>
    </xf>
    <xf numFmtId="0" fontId="5" fillId="9" borderId="21" xfId="0" applyFont="1" applyFill="1" applyBorder="1" applyAlignment="1">
      <alignment horizontal="left" vertical="center" wrapText="1"/>
    </xf>
    <xf numFmtId="0" fontId="5" fillId="9" borderId="6" xfId="0" applyFont="1" applyFill="1" applyBorder="1" applyAlignment="1">
      <alignment horizontal="left" vertical="center" wrapText="1"/>
    </xf>
    <xf numFmtId="0" fontId="5" fillId="9" borderId="118" xfId="0" applyFont="1" applyFill="1" applyBorder="1" applyAlignment="1">
      <alignment horizontal="left" vertical="center" wrapText="1"/>
    </xf>
    <xf numFmtId="49" fontId="5" fillId="6" borderId="15" xfId="0" applyNumberFormat="1" applyFont="1" applyFill="1" applyBorder="1" applyAlignment="1">
      <alignment horizontal="left" vertical="center"/>
    </xf>
    <xf numFmtId="173" fontId="5" fillId="8" borderId="34" xfId="0" applyNumberFormat="1" applyFont="1" applyFill="1" applyBorder="1" applyAlignment="1">
      <alignment horizontal="center" vertical="center"/>
    </xf>
    <xf numFmtId="49" fontId="55" fillId="9" borderId="78" xfId="0" applyNumberFormat="1" applyFont="1" applyFill="1" applyBorder="1" applyAlignment="1">
      <alignment horizontal="left" vertical="center" wrapText="1"/>
    </xf>
    <xf numFmtId="0" fontId="55" fillId="9" borderId="9" xfId="0" applyFont="1" applyFill="1" applyBorder="1" applyAlignment="1">
      <alignment horizontal="left" vertical="center" wrapText="1"/>
    </xf>
    <xf numFmtId="0" fontId="55" fillId="9" borderId="70" xfId="0" applyFont="1" applyFill="1" applyBorder="1" applyAlignment="1">
      <alignment horizontal="left" vertical="center" wrapText="1"/>
    </xf>
    <xf numFmtId="0" fontId="55" fillId="9" borderId="118" xfId="0" applyFont="1" applyFill="1" applyBorder="1" applyAlignment="1">
      <alignment horizontal="left" vertical="center" wrapText="1"/>
    </xf>
    <xf numFmtId="0" fontId="5" fillId="6" borderId="83" xfId="0" applyFont="1" applyFill="1" applyBorder="1" applyAlignment="1">
      <alignment horizontal="center" vertical="center" wrapText="1"/>
    </xf>
    <xf numFmtId="0" fontId="5" fillId="6" borderId="67" xfId="0" applyFont="1" applyFill="1" applyBorder="1" applyAlignment="1">
      <alignment horizontal="center" vertical="center" wrapText="1"/>
    </xf>
    <xf numFmtId="0" fontId="5" fillId="6" borderId="118" xfId="0" applyFont="1" applyFill="1" applyBorder="1" applyAlignment="1">
      <alignment horizontal="center" vertical="center" wrapText="1"/>
    </xf>
    <xf numFmtId="49" fontId="5" fillId="6" borderId="34" xfId="0" applyNumberFormat="1" applyFont="1" applyFill="1" applyBorder="1" applyAlignment="1">
      <alignment horizontal="center" vertical="center" wrapText="1"/>
    </xf>
    <xf numFmtId="0" fontId="5" fillId="6" borderId="43" xfId="0" applyFont="1" applyFill="1" applyBorder="1" applyAlignment="1">
      <alignment horizontal="center" vertical="center" wrapText="1"/>
    </xf>
    <xf numFmtId="49" fontId="5" fillId="8" borderId="34" xfId="0" applyNumberFormat="1" applyFont="1" applyFill="1" applyBorder="1" applyAlignment="1">
      <alignment horizontal="center" vertical="center"/>
    </xf>
    <xf numFmtId="0" fontId="5" fillId="6" borderId="9" xfId="0" applyFont="1" applyFill="1" applyBorder="1" applyAlignment="1">
      <alignment horizontal="center" vertical="center" wrapText="1"/>
    </xf>
    <xf numFmtId="0" fontId="5" fillId="6" borderId="6" xfId="0" applyFont="1" applyFill="1" applyBorder="1" applyAlignment="1">
      <alignment horizontal="center" vertical="center" wrapText="1"/>
    </xf>
    <xf numFmtId="49" fontId="5" fillId="6" borderId="15" xfId="0" applyNumberFormat="1" applyFont="1" applyFill="1" applyBorder="1" applyAlignment="1">
      <alignment horizontal="center" vertical="center"/>
    </xf>
    <xf numFmtId="0" fontId="5" fillId="6" borderId="38" xfId="0" applyFont="1" applyFill="1" applyBorder="1" applyAlignment="1">
      <alignment horizontal="left" vertical="center"/>
    </xf>
    <xf numFmtId="0" fontId="5" fillId="6" borderId="82" xfId="0" applyFont="1" applyFill="1" applyBorder="1" applyAlignment="1">
      <alignment horizontal="left" vertical="center"/>
    </xf>
    <xf numFmtId="49" fontId="5" fillId="8" borderId="15" xfId="0" applyNumberFormat="1" applyFont="1" applyFill="1" applyBorder="1" applyAlignment="1">
      <alignment horizontal="center" vertical="center"/>
    </xf>
    <xf numFmtId="49" fontId="5" fillId="8" borderId="15" xfId="0" applyNumberFormat="1" applyFont="1" applyFill="1" applyBorder="1" applyAlignment="1">
      <alignment horizontal="left" vertical="center"/>
    </xf>
    <xf numFmtId="0" fontId="5" fillId="6" borderId="32" xfId="0" applyFont="1" applyFill="1" applyBorder="1" applyAlignment="1">
      <alignment horizontal="center" vertical="center"/>
    </xf>
    <xf numFmtId="166" fontId="5" fillId="8" borderId="32" xfId="0" applyNumberFormat="1" applyFont="1" applyFill="1" applyBorder="1" applyAlignment="1">
      <alignment horizontal="left" vertical="center"/>
    </xf>
    <xf numFmtId="49" fontId="5" fillId="6" borderId="125" xfId="0" applyNumberFormat="1" applyFont="1" applyFill="1" applyBorder="1" applyAlignment="1">
      <alignment horizontal="left" vertical="center" wrapText="1"/>
    </xf>
    <xf numFmtId="0" fontId="5" fillId="6" borderId="8" xfId="0" applyFont="1" applyFill="1" applyBorder="1" applyAlignment="1">
      <alignment horizontal="left" vertical="center" wrapText="1"/>
    </xf>
    <xf numFmtId="0" fontId="5" fillId="6" borderId="77" xfId="0" applyFont="1" applyFill="1" applyBorder="1" applyAlignment="1">
      <alignment horizontal="left" vertical="center" wrapText="1"/>
    </xf>
    <xf numFmtId="0" fontId="5" fillId="4" borderId="41" xfId="0" applyFont="1" applyFill="1" applyBorder="1" applyAlignment="1">
      <alignment horizontal="left" vertical="center"/>
    </xf>
    <xf numFmtId="49" fontId="49" fillId="9" borderId="74" xfId="0" applyNumberFormat="1" applyFont="1" applyFill="1" applyBorder="1" applyAlignment="1">
      <alignment horizontal="left" vertical="top"/>
    </xf>
    <xf numFmtId="0" fontId="49" fillId="9" borderId="41" xfId="0" applyFont="1" applyFill="1" applyBorder="1" applyAlignment="1">
      <alignment horizontal="left" vertical="top"/>
    </xf>
    <xf numFmtId="0" fontId="49" fillId="9" borderId="114" xfId="0" applyFont="1" applyFill="1" applyBorder="1" applyAlignment="1">
      <alignment horizontal="left" vertical="top"/>
    </xf>
    <xf numFmtId="0" fontId="49" fillId="9" borderId="117" xfId="0" applyFont="1" applyFill="1" applyBorder="1" applyAlignment="1">
      <alignment horizontal="left" vertical="top"/>
    </xf>
    <xf numFmtId="0" fontId="49" fillId="9" borderId="6" xfId="0" applyFont="1" applyFill="1" applyBorder="1" applyAlignment="1">
      <alignment horizontal="left" vertical="top"/>
    </xf>
    <xf numFmtId="0" fontId="49" fillId="9" borderId="118" xfId="0" applyFont="1" applyFill="1" applyBorder="1" applyAlignment="1">
      <alignment horizontal="left" vertical="top"/>
    </xf>
    <xf numFmtId="49" fontId="55" fillId="9" borderId="78" xfId="0" applyNumberFormat="1" applyFont="1" applyFill="1" applyBorder="1" applyAlignment="1">
      <alignment horizontal="left" vertical="center"/>
    </xf>
    <xf numFmtId="0" fontId="55" fillId="9" borderId="9" xfId="0" applyFont="1" applyFill="1" applyBorder="1" applyAlignment="1">
      <alignment horizontal="left" vertical="center"/>
    </xf>
    <xf numFmtId="0" fontId="55" fillId="9" borderId="22" xfId="0" applyFont="1" applyFill="1" applyBorder="1" applyAlignment="1">
      <alignment horizontal="left" vertical="center"/>
    </xf>
    <xf numFmtId="0" fontId="55" fillId="9" borderId="21" xfId="0" applyFont="1" applyFill="1" applyBorder="1" applyAlignment="1">
      <alignment horizontal="left" vertical="center"/>
    </xf>
    <xf numFmtId="0" fontId="55" fillId="9" borderId="6" xfId="0" applyFont="1" applyFill="1" applyBorder="1" applyAlignment="1">
      <alignment horizontal="left" vertical="center"/>
    </xf>
    <xf numFmtId="0" fontId="55" fillId="9" borderId="122" xfId="0" applyFont="1" applyFill="1" applyBorder="1" applyAlignment="1">
      <alignment horizontal="left" vertical="center" wrapText="1"/>
    </xf>
    <xf numFmtId="0" fontId="55" fillId="9" borderId="122" xfId="0" applyFont="1" applyFill="1" applyBorder="1" applyAlignment="1">
      <alignment horizontal="left" vertical="center"/>
    </xf>
    <xf numFmtId="0" fontId="55" fillId="9" borderId="117" xfId="0" applyFont="1" applyFill="1" applyBorder="1" applyAlignment="1">
      <alignment horizontal="left" vertical="center"/>
    </xf>
    <xf numFmtId="0" fontId="55" fillId="9" borderId="118" xfId="0" applyFont="1" applyFill="1" applyBorder="1" applyAlignment="1">
      <alignment horizontal="left" vertical="center"/>
    </xf>
    <xf numFmtId="49" fontId="49" fillId="9" borderId="74" xfId="0" applyNumberFormat="1" applyFont="1" applyFill="1" applyBorder="1" applyAlignment="1">
      <alignment horizontal="left" vertical="center"/>
    </xf>
    <xf numFmtId="0" fontId="49" fillId="9" borderId="41" xfId="0" applyFont="1" applyFill="1" applyBorder="1" applyAlignment="1">
      <alignment horizontal="left" vertical="center"/>
    </xf>
    <xf numFmtId="0" fontId="49" fillId="9" borderId="114" xfId="0" applyFont="1" applyFill="1" applyBorder="1" applyAlignment="1">
      <alignment horizontal="left" vertical="center"/>
    </xf>
    <xf numFmtId="0" fontId="49" fillId="9" borderId="75" xfId="0" applyFont="1" applyFill="1" applyBorder="1" applyAlignment="1">
      <alignment horizontal="left" vertical="center"/>
    </xf>
    <xf numFmtId="0" fontId="49" fillId="9" borderId="69" xfId="0" applyFont="1" applyFill="1" applyBorder="1" applyAlignment="1">
      <alignment horizontal="left" vertical="center"/>
    </xf>
    <xf numFmtId="0" fontId="49" fillId="9" borderId="116" xfId="0" applyFont="1" applyFill="1" applyBorder="1" applyAlignment="1">
      <alignment horizontal="left" vertical="center"/>
    </xf>
    <xf numFmtId="49" fontId="14" fillId="8" borderId="15" xfId="0" applyNumberFormat="1" applyFont="1" applyFill="1" applyBorder="1" applyAlignment="1">
      <alignment horizontal="left" vertical="center" wrapText="1"/>
    </xf>
    <xf numFmtId="0" fontId="14" fillId="8" borderId="32" xfId="0" applyFont="1" applyFill="1" applyBorder="1" applyAlignment="1">
      <alignment horizontal="left" vertical="center" wrapText="1"/>
    </xf>
    <xf numFmtId="49" fontId="34" fillId="4" borderId="40" xfId="0" applyNumberFormat="1" applyFont="1" applyFill="1" applyBorder="1" applyAlignment="1">
      <alignment horizontal="left" vertical="center"/>
    </xf>
    <xf numFmtId="0" fontId="34" fillId="4" borderId="22" xfId="0" applyFont="1" applyFill="1" applyBorder="1" applyAlignment="1">
      <alignment horizontal="left" vertical="center"/>
    </xf>
    <xf numFmtId="49" fontId="42" fillId="9" borderId="74" xfId="0" applyNumberFormat="1" applyFont="1" applyFill="1" applyBorder="1" applyAlignment="1">
      <alignment horizontal="left" vertical="center" wrapText="1"/>
    </xf>
    <xf numFmtId="0" fontId="42" fillId="9" borderId="41" xfId="0" applyFont="1" applyFill="1" applyBorder="1" applyAlignment="1">
      <alignment horizontal="left" vertical="center" wrapText="1"/>
    </xf>
    <xf numFmtId="0" fontId="42" fillId="9" borderId="114" xfId="0" applyFont="1" applyFill="1" applyBorder="1" applyAlignment="1">
      <alignment horizontal="left" vertical="center" wrapText="1"/>
    </xf>
    <xf numFmtId="0" fontId="42" fillId="9" borderId="75" xfId="0" applyFont="1" applyFill="1" applyBorder="1" applyAlignment="1">
      <alignment horizontal="left" vertical="center" wrapText="1"/>
    </xf>
    <xf numFmtId="0" fontId="42" fillId="9" borderId="69" xfId="0" applyFont="1" applyFill="1" applyBorder="1" applyAlignment="1">
      <alignment horizontal="left" vertical="center" wrapText="1"/>
    </xf>
    <xf numFmtId="0" fontId="42" fillId="9" borderId="116" xfId="0" applyFont="1" applyFill="1" applyBorder="1" applyAlignment="1">
      <alignment horizontal="left" vertical="center" wrapText="1"/>
    </xf>
    <xf numFmtId="49" fontId="21" fillId="6" borderId="29" xfId="0" applyNumberFormat="1" applyFont="1" applyFill="1" applyBorder="1" applyAlignment="1">
      <alignment horizontal="left" vertical="center"/>
    </xf>
    <xf numFmtId="0" fontId="21" fillId="6" borderId="96" xfId="0" applyFont="1" applyFill="1" applyBorder="1" applyAlignment="1">
      <alignment horizontal="left" vertical="center"/>
    </xf>
    <xf numFmtId="49" fontId="21" fillId="6" borderId="96" xfId="0" applyNumberFormat="1" applyFont="1" applyFill="1" applyBorder="1" applyAlignment="1">
      <alignment horizontal="left" vertical="center"/>
    </xf>
    <xf numFmtId="0" fontId="21" fillId="6" borderId="30" xfId="0" applyFont="1" applyFill="1" applyBorder="1" applyAlignment="1">
      <alignment horizontal="left" vertical="center"/>
    </xf>
    <xf numFmtId="0" fontId="5" fillId="8" borderId="32" xfId="0" applyFont="1" applyFill="1" applyBorder="1" applyAlignment="1">
      <alignment horizontal="left" vertical="center"/>
    </xf>
    <xf numFmtId="0" fontId="5" fillId="8" borderId="31" xfId="0" applyFont="1" applyFill="1" applyBorder="1" applyAlignment="1">
      <alignment horizontal="left" vertical="center"/>
    </xf>
    <xf numFmtId="49" fontId="52" fillId="6" borderId="119" xfId="0" applyNumberFormat="1" applyFont="1" applyFill="1" applyBorder="1" applyAlignment="1">
      <alignment horizontal="center" vertical="center"/>
    </xf>
    <xf numFmtId="0" fontId="52" fillId="6" borderId="84" xfId="0" applyFont="1" applyFill="1" applyBorder="1" applyAlignment="1">
      <alignment horizontal="center" vertical="center"/>
    </xf>
    <xf numFmtId="0" fontId="52" fillId="6" borderId="120" xfId="0" applyFont="1" applyFill="1" applyBorder="1" applyAlignment="1">
      <alignment horizontal="center" vertical="center"/>
    </xf>
    <xf numFmtId="49" fontId="0" fillId="6" borderId="32" xfId="0" applyNumberFormat="1" applyFill="1" applyBorder="1" applyAlignment="1">
      <alignment vertical="center"/>
    </xf>
    <xf numFmtId="0" fontId="0" fillId="6" borderId="39" xfId="0" applyFill="1" applyBorder="1" applyAlignment="1">
      <alignment vertical="center"/>
    </xf>
    <xf numFmtId="166" fontId="5" fillId="8" borderId="76" xfId="0" applyNumberFormat="1" applyFont="1" applyFill="1" applyBorder="1" applyAlignment="1">
      <alignment horizontal="center" vertical="center"/>
    </xf>
    <xf numFmtId="166" fontId="5" fillId="8" borderId="126" xfId="0" applyNumberFormat="1" applyFont="1" applyFill="1" applyBorder="1" applyAlignment="1">
      <alignment horizontal="center" vertical="center"/>
    </xf>
    <xf numFmtId="166" fontId="5" fillId="8" borderId="123" xfId="0" applyNumberFormat="1" applyFont="1" applyFill="1" applyBorder="1" applyAlignment="1">
      <alignment horizontal="center" vertical="center"/>
    </xf>
    <xf numFmtId="49" fontId="21" fillId="6" borderId="67" xfId="0" applyNumberFormat="1" applyFont="1" applyFill="1" applyBorder="1" applyAlignment="1">
      <alignment horizontal="center" vertical="center" wrapText="1"/>
    </xf>
    <xf numFmtId="0" fontId="21" fillId="6" borderId="123" xfId="0" applyFont="1" applyFill="1" applyBorder="1" applyAlignment="1">
      <alignment horizontal="center" vertical="center" wrapText="1"/>
    </xf>
    <xf numFmtId="49" fontId="21" fillId="6" borderId="121" xfId="0" applyNumberFormat="1" applyFont="1" applyFill="1" applyBorder="1" applyAlignment="1">
      <alignment horizontal="left" vertical="center"/>
    </xf>
    <xf numFmtId="0" fontId="21" fillId="6" borderId="10" xfId="0" applyFont="1" applyFill="1" applyBorder="1" applyAlignment="1">
      <alignment horizontal="left" vertical="center"/>
    </xf>
    <xf numFmtId="0" fontId="21" fillId="6" borderId="68" xfId="0" applyFont="1" applyFill="1" applyBorder="1" applyAlignment="1">
      <alignment horizontal="left" vertical="center"/>
    </xf>
    <xf numFmtId="49" fontId="5" fillId="6" borderId="121" xfId="0" applyNumberFormat="1" applyFont="1" applyFill="1" applyBorder="1" applyAlignment="1">
      <alignment horizontal="left" vertical="center" wrapText="1"/>
    </xf>
    <xf numFmtId="0" fontId="5" fillId="6" borderId="10" xfId="0" applyFont="1" applyFill="1" applyBorder="1" applyAlignment="1">
      <alignment horizontal="left" vertical="center" wrapText="1"/>
    </xf>
    <xf numFmtId="0" fontId="5" fillId="6" borderId="68" xfId="0" applyFont="1" applyFill="1" applyBorder="1" applyAlignment="1">
      <alignment horizontal="left" vertical="center" wrapText="1"/>
    </xf>
    <xf numFmtId="49" fontId="51" fillId="9" borderId="124" xfId="0" applyNumberFormat="1" applyFont="1" applyFill="1" applyBorder="1" applyAlignment="1">
      <alignment horizontal="left" vertical="center" wrapText="1"/>
    </xf>
    <xf numFmtId="0" fontId="51" fillId="9" borderId="42" xfId="0" applyFont="1" applyFill="1" applyBorder="1" applyAlignment="1">
      <alignment horizontal="left" vertical="center" wrapText="1"/>
    </xf>
    <xf numFmtId="0" fontId="51" fillId="9" borderId="31" xfId="0" applyFont="1" applyFill="1" applyBorder="1" applyAlignment="1">
      <alignment horizontal="left" vertical="center" wrapText="1"/>
    </xf>
    <xf numFmtId="0" fontId="51" fillId="9" borderId="15" xfId="0" applyFont="1" applyFill="1" applyBorder="1" applyAlignment="1">
      <alignment horizontal="left" vertical="center" wrapText="1"/>
    </xf>
    <xf numFmtId="49" fontId="61" fillId="6" borderId="33" xfId="0" applyNumberFormat="1" applyFont="1" applyFill="1" applyBorder="1" applyAlignment="1">
      <alignment horizontal="center" vertical="center" wrapText="1"/>
    </xf>
    <xf numFmtId="166" fontId="61" fillId="6" borderId="42" xfId="0" applyNumberFormat="1" applyFont="1" applyFill="1" applyBorder="1" applyAlignment="1">
      <alignment horizontal="center" vertical="center" wrapText="1"/>
    </xf>
    <xf numFmtId="49" fontId="61" fillId="6" borderId="83" xfId="0" applyNumberFormat="1" applyFont="1" applyFill="1" applyBorder="1" applyAlignment="1">
      <alignment horizontal="center" vertical="center" wrapText="1"/>
    </xf>
    <xf numFmtId="166" fontId="61" fillId="6" borderId="130" xfId="0" applyNumberFormat="1" applyFont="1" applyFill="1" applyBorder="1" applyAlignment="1">
      <alignment horizontal="center" vertical="center" wrapText="1"/>
    </xf>
    <xf numFmtId="49" fontId="61" fillId="6" borderId="17" xfId="0" applyNumberFormat="1" applyFont="1" applyFill="1" applyBorder="1" applyAlignment="1">
      <alignment horizontal="center" vertical="center" wrapText="1"/>
    </xf>
    <xf numFmtId="166" fontId="61" fillId="6" borderId="131" xfId="0" applyNumberFormat="1" applyFont="1" applyFill="1" applyBorder="1" applyAlignment="1">
      <alignment horizontal="center" vertical="center" wrapText="1"/>
    </xf>
    <xf numFmtId="0" fontId="61" fillId="6" borderId="36" xfId="0" applyFont="1" applyFill="1" applyBorder="1" applyAlignment="1">
      <alignment horizontal="center" vertical="center" wrapText="1"/>
    </xf>
    <xf numFmtId="0" fontId="61" fillId="6" borderId="42" xfId="0" applyFont="1" applyFill="1" applyBorder="1" applyAlignment="1">
      <alignment horizontal="center" vertical="center" wrapText="1"/>
    </xf>
    <xf numFmtId="166" fontId="61" fillId="6" borderId="129" xfId="0" applyNumberFormat="1" applyFont="1" applyFill="1" applyBorder="1" applyAlignment="1">
      <alignment horizontal="center" vertical="center" wrapText="1"/>
    </xf>
    <xf numFmtId="166" fontId="61" fillId="6" borderId="28" xfId="0" applyNumberFormat="1" applyFont="1" applyFill="1" applyBorder="1" applyAlignment="1">
      <alignment horizontal="center" vertical="center" wrapText="1"/>
    </xf>
    <xf numFmtId="49" fontId="70" fillId="6" borderId="29" xfId="0" applyNumberFormat="1" applyFont="1" applyFill="1" applyBorder="1" applyAlignment="1">
      <alignment horizontal="left" vertical="center"/>
    </xf>
    <xf numFmtId="166" fontId="70" fillId="6" borderId="96" xfId="0" applyNumberFormat="1" applyFont="1" applyFill="1" applyBorder="1" applyAlignment="1">
      <alignment horizontal="left" vertical="center"/>
    </xf>
    <xf numFmtId="166" fontId="70" fillId="6" borderId="30" xfId="0" applyNumberFormat="1" applyFont="1" applyFill="1" applyBorder="1" applyAlignment="1">
      <alignment horizontal="left" vertical="center"/>
    </xf>
    <xf numFmtId="49" fontId="60" fillId="6" borderId="128" xfId="0" applyNumberFormat="1" applyFont="1" applyFill="1" applyBorder="1" applyAlignment="1">
      <alignment horizontal="center" vertical="center" wrapText="1"/>
    </xf>
    <xf numFmtId="0" fontId="60" fillId="6" borderId="14" xfId="0" applyFont="1" applyFill="1" applyBorder="1" applyAlignment="1">
      <alignment horizontal="center" vertical="center" wrapText="1"/>
    </xf>
    <xf numFmtId="0" fontId="60" fillId="6" borderId="27" xfId="0" applyFont="1" applyFill="1" applyBorder="1" applyAlignment="1">
      <alignment horizontal="center" vertical="center" wrapText="1"/>
    </xf>
    <xf numFmtId="0" fontId="61" fillId="6" borderId="28" xfId="0" applyFont="1" applyFill="1" applyBorder="1" applyAlignment="1">
      <alignment horizontal="center" vertical="center" wrapText="1"/>
    </xf>
    <xf numFmtId="49" fontId="60" fillId="6" borderId="67" xfId="0" applyNumberFormat="1" applyFont="1" applyFill="1" applyBorder="1" applyAlignment="1">
      <alignment horizontal="center" vertical="center" wrapText="1"/>
    </xf>
    <xf numFmtId="166" fontId="60" fillId="6" borderId="10" xfId="0" applyNumberFormat="1" applyFont="1" applyFill="1" applyBorder="1" applyAlignment="1">
      <alignment horizontal="center" vertical="center" wrapText="1"/>
    </xf>
    <xf numFmtId="166" fontId="60" fillId="6" borderId="126" xfId="0" applyNumberFormat="1" applyFont="1" applyFill="1" applyBorder="1" applyAlignment="1">
      <alignment horizontal="center" vertical="center" wrapText="1"/>
    </xf>
    <xf numFmtId="166" fontId="61" fillId="6" borderId="24" xfId="0" applyNumberFormat="1" applyFont="1" applyFill="1" applyBorder="1" applyAlignment="1">
      <alignment horizontal="center" vertical="center" wrapText="1"/>
    </xf>
    <xf numFmtId="49" fontId="28" fillId="11" borderId="22" xfId="0" applyNumberFormat="1" applyFont="1" applyFill="1" applyBorder="1" applyAlignment="1">
      <alignment horizontal="left" vertical="center"/>
    </xf>
    <xf numFmtId="0" fontId="28" fillId="11" borderId="22" xfId="0" applyFont="1" applyFill="1" applyBorder="1" applyAlignment="1">
      <alignment horizontal="left" vertical="center"/>
    </xf>
    <xf numFmtId="0" fontId="28" fillId="11" borderId="70" xfId="0" applyFont="1" applyFill="1" applyBorder="1" applyAlignment="1">
      <alignment horizontal="left" vertical="center"/>
    </xf>
    <xf numFmtId="49" fontId="0" fillId="11" borderId="22" xfId="0" applyNumberFormat="1" applyFill="1" applyBorder="1" applyAlignment="1">
      <alignment horizontal="left" vertical="center" wrapText="1"/>
    </xf>
    <xf numFmtId="0" fontId="0" fillId="11" borderId="22" xfId="0" applyFill="1" applyBorder="1" applyAlignment="1">
      <alignment horizontal="left" vertical="center" wrapText="1"/>
    </xf>
    <xf numFmtId="49" fontId="10" fillId="11" borderId="22" xfId="0" applyNumberFormat="1" applyFont="1" applyFill="1" applyBorder="1" applyAlignment="1">
      <alignment horizontal="left" vertical="center"/>
    </xf>
    <xf numFmtId="0" fontId="10" fillId="11" borderId="22" xfId="0" applyFont="1" applyFill="1" applyBorder="1" applyAlignment="1">
      <alignment horizontal="left" vertical="center"/>
    </xf>
    <xf numFmtId="49" fontId="0" fillId="11" borderId="22" xfId="0" applyNumberFormat="1" applyFill="1" applyBorder="1" applyAlignment="1">
      <alignment horizontal="left" vertical="center"/>
    </xf>
    <xf numFmtId="0" fontId="0" fillId="11" borderId="70" xfId="0" applyFill="1" applyBorder="1" applyAlignment="1">
      <alignment horizontal="left" vertical="center"/>
    </xf>
    <xf numFmtId="49" fontId="63" fillId="11" borderId="22" xfId="0" applyNumberFormat="1" applyFont="1" applyFill="1" applyBorder="1" applyAlignment="1">
      <alignment horizontal="left" vertical="center" wrapText="1"/>
    </xf>
    <xf numFmtId="0" fontId="63" fillId="11" borderId="22" xfId="0" applyFont="1" applyFill="1" applyBorder="1" applyAlignment="1">
      <alignment horizontal="left" vertical="center" wrapText="1"/>
    </xf>
    <xf numFmtId="49" fontId="28" fillId="11" borderId="40" xfId="0" applyNumberFormat="1" applyFont="1" applyFill="1" applyBorder="1" applyAlignment="1">
      <alignment horizontal="left" vertical="center"/>
    </xf>
    <xf numFmtId="49" fontId="0" fillId="11" borderId="40" xfId="0" applyNumberFormat="1" applyFill="1" applyBorder="1" applyAlignment="1">
      <alignment horizontal="left" vertical="center" wrapText="1"/>
    </xf>
    <xf numFmtId="0" fontId="0" fillId="11" borderId="37" xfId="0" applyFill="1" applyBorder="1" applyAlignment="1">
      <alignment horizontal="left" vertical="center" wrapText="1"/>
    </xf>
    <xf numFmtId="49" fontId="16" fillId="14" borderId="74" xfId="0" applyNumberFormat="1" applyFont="1" applyFill="1" applyBorder="1" applyAlignment="1">
      <alignment horizontal="left" vertical="center" wrapText="1"/>
    </xf>
    <xf numFmtId="0" fontId="16" fillId="14" borderId="41" xfId="0" applyFont="1" applyFill="1" applyBorder="1" applyAlignment="1">
      <alignment horizontal="left" vertical="center" wrapText="1"/>
    </xf>
    <xf numFmtId="0" fontId="16" fillId="14" borderId="114" xfId="0" applyFont="1" applyFill="1" applyBorder="1" applyAlignment="1">
      <alignment horizontal="left" vertical="center" wrapText="1"/>
    </xf>
    <xf numFmtId="49" fontId="16" fillId="14" borderId="21" xfId="0" applyNumberFormat="1" applyFont="1" applyFill="1" applyBorder="1" applyAlignment="1">
      <alignment horizontal="left" vertical="center" wrapText="1"/>
    </xf>
    <xf numFmtId="0" fontId="16" fillId="14" borderId="22" xfId="0" applyFont="1" applyFill="1" applyBorder="1" applyAlignment="1">
      <alignment horizontal="left" vertical="center" wrapText="1"/>
    </xf>
    <xf numFmtId="0" fontId="16" fillId="14" borderId="70" xfId="0" applyFont="1" applyFill="1" applyBorder="1" applyAlignment="1">
      <alignment horizontal="left" vertical="center" wrapText="1"/>
    </xf>
    <xf numFmtId="0" fontId="0" fillId="11" borderId="40" xfId="0" applyFill="1" applyBorder="1" applyAlignment="1">
      <alignment horizontal="left" vertical="center" wrapText="1"/>
    </xf>
    <xf numFmtId="0" fontId="16" fillId="14" borderId="75" xfId="0" applyFont="1" applyFill="1" applyBorder="1" applyAlignment="1">
      <alignment horizontal="left" vertical="center" wrapText="1"/>
    </xf>
    <xf numFmtId="0" fontId="16" fillId="14" borderId="69" xfId="0" applyFont="1" applyFill="1" applyBorder="1" applyAlignment="1">
      <alignment horizontal="left" vertical="center" wrapText="1"/>
    </xf>
    <xf numFmtId="0" fontId="16" fillId="14" borderId="116" xfId="0" applyFont="1" applyFill="1" applyBorder="1" applyAlignment="1">
      <alignment horizontal="left" vertical="center" wrapText="1"/>
    </xf>
    <xf numFmtId="49" fontId="10" fillId="11" borderId="40" xfId="0" applyNumberFormat="1" applyFont="1" applyFill="1" applyBorder="1" applyAlignment="1">
      <alignment horizontal="left" vertical="center"/>
    </xf>
    <xf numFmtId="49" fontId="70" fillId="6" borderId="119" xfId="0" applyNumberFormat="1" applyFont="1" applyFill="1" applyBorder="1" applyAlignment="1">
      <alignment horizontal="left" vertical="center"/>
    </xf>
    <xf numFmtId="0" fontId="70" fillId="6" borderId="84" xfId="0" applyFont="1" applyFill="1" applyBorder="1" applyAlignment="1">
      <alignment horizontal="left" vertical="center"/>
    </xf>
    <xf numFmtId="0" fontId="70" fillId="6" borderId="120" xfId="0" applyFont="1" applyFill="1" applyBorder="1" applyAlignment="1">
      <alignment horizontal="left" vertical="center"/>
    </xf>
    <xf numFmtId="0" fontId="60" fillId="6" borderId="24" xfId="0" applyFont="1" applyFill="1" applyBorder="1" applyAlignment="1">
      <alignment horizontal="center" vertical="center" wrapText="1"/>
    </xf>
    <xf numFmtId="49" fontId="60" fillId="6" borderId="31" xfId="0" applyNumberFormat="1" applyFont="1" applyFill="1" applyBorder="1" applyAlignment="1">
      <alignment horizontal="center" vertical="center" wrapText="1"/>
    </xf>
    <xf numFmtId="0" fontId="60" fillId="6" borderId="31" xfId="0" applyFont="1" applyFill="1" applyBorder="1" applyAlignment="1">
      <alignment horizontal="center" vertical="center" wrapText="1"/>
    </xf>
    <xf numFmtId="0" fontId="60" fillId="6" borderId="38" xfId="0" applyFont="1" applyFill="1" applyBorder="1" applyAlignment="1">
      <alignment horizontal="center" vertical="center" wrapText="1"/>
    </xf>
    <xf numFmtId="49" fontId="0" fillId="12" borderId="2" xfId="0" applyNumberFormat="1" applyFill="1" applyBorder="1" applyAlignment="1">
      <alignment horizontal="left" vertical="center" wrapText="1"/>
    </xf>
    <xf numFmtId="0" fontId="0" fillId="12" borderId="2" xfId="0" applyFill="1" applyBorder="1" applyAlignment="1">
      <alignment horizontal="left" vertical="center" wrapText="1"/>
    </xf>
    <xf numFmtId="0" fontId="0" fillId="12" borderId="22" xfId="0" applyFill="1" applyBorder="1" applyAlignment="1">
      <alignment horizontal="left" vertical="center" wrapText="1"/>
    </xf>
    <xf numFmtId="49" fontId="60" fillId="6" borderId="15" xfId="0" applyNumberFormat="1" applyFont="1" applyFill="1" applyBorder="1" applyAlignment="1">
      <alignment horizontal="center" vertical="center" wrapText="1"/>
    </xf>
    <xf numFmtId="0" fontId="60" fillId="6" borderId="15" xfId="0" applyFont="1" applyFill="1" applyBorder="1" applyAlignment="1">
      <alignment horizontal="center" vertical="center" wrapText="1"/>
    </xf>
    <xf numFmtId="166" fontId="60" fillId="6" borderId="15" xfId="0" applyNumberFormat="1" applyFont="1" applyFill="1" applyBorder="1" applyAlignment="1">
      <alignment horizontal="center" vertical="center" wrapText="1"/>
    </xf>
    <xf numFmtId="49" fontId="61" fillId="6" borderId="15" xfId="0" applyNumberFormat="1" applyFont="1" applyFill="1" applyBorder="1" applyAlignment="1">
      <alignment horizontal="center" vertical="center" wrapText="1"/>
    </xf>
    <xf numFmtId="166" fontId="61" fillId="6" borderId="15" xfId="0" applyNumberFormat="1" applyFont="1" applyFill="1" applyBorder="1" applyAlignment="1">
      <alignment horizontal="center" vertical="center" wrapText="1"/>
    </xf>
    <xf numFmtId="49" fontId="58" fillId="6" borderId="15" xfId="0" applyNumberFormat="1" applyFont="1" applyFill="1" applyBorder="1" applyAlignment="1">
      <alignment horizontal="left" vertical="center"/>
    </xf>
    <xf numFmtId="166" fontId="58" fillId="6" borderId="15" xfId="0" applyNumberFormat="1" applyFont="1" applyFill="1" applyBorder="1" applyAlignment="1">
      <alignment horizontal="left" vertical="center"/>
    </xf>
    <xf numFmtId="49" fontId="62" fillId="6" borderId="33" xfId="0" applyNumberFormat="1" applyFont="1" applyFill="1" applyBorder="1" applyAlignment="1">
      <alignment horizontal="center" vertical="center" wrapText="1"/>
    </xf>
    <xf numFmtId="0" fontId="62" fillId="6" borderId="36" xfId="0" applyFont="1" applyFill="1" applyBorder="1" applyAlignment="1">
      <alignment horizontal="center" vertical="center" wrapText="1"/>
    </xf>
    <xf numFmtId="0" fontId="62" fillId="6" borderId="42" xfId="0" applyFont="1" applyFill="1" applyBorder="1" applyAlignment="1">
      <alignment horizontal="center" vertical="center" wrapText="1"/>
    </xf>
    <xf numFmtId="166" fontId="5" fillId="13" borderId="12" xfId="0" applyNumberFormat="1" applyFont="1" applyFill="1" applyBorder="1" applyAlignment="1">
      <alignment horizontal="left" vertical="center" wrapText="1"/>
    </xf>
    <xf numFmtId="166" fontId="5" fillId="13" borderId="13" xfId="0" applyNumberFormat="1" applyFont="1" applyFill="1" applyBorder="1" applyAlignment="1">
      <alignment horizontal="left" vertical="center" wrapText="1"/>
    </xf>
    <xf numFmtId="49" fontId="5" fillId="16" borderId="50" xfId="0" applyNumberFormat="1" applyFont="1" applyFill="1" applyBorder="1" applyAlignment="1">
      <alignment horizontal="left" vertical="center"/>
    </xf>
    <xf numFmtId="0" fontId="5" fillId="16" borderId="51" xfId="0" applyFont="1" applyFill="1" applyBorder="1" applyAlignment="1">
      <alignment horizontal="left" vertical="center"/>
    </xf>
    <xf numFmtId="166" fontId="5" fillId="13" borderId="67" xfId="0" applyNumberFormat="1" applyFont="1" applyFill="1" applyBorder="1" applyAlignment="1">
      <alignment horizontal="center" vertical="center"/>
    </xf>
    <xf numFmtId="166" fontId="5" fillId="13" borderId="68" xfId="0" applyNumberFormat="1" applyFont="1" applyFill="1" applyBorder="1" applyAlignment="1">
      <alignment horizontal="center" vertical="center"/>
    </xf>
    <xf numFmtId="0" fontId="5" fillId="16" borderId="34" xfId="0" applyFont="1" applyFill="1" applyBorder="1" applyAlignment="1">
      <alignment horizontal="right" vertical="center"/>
    </xf>
    <xf numFmtId="0" fontId="5" fillId="16" borderId="122" xfId="0" applyFont="1" applyFill="1" applyBorder="1" applyAlignment="1">
      <alignment horizontal="right" vertical="center"/>
    </xf>
    <xf numFmtId="166" fontId="5" fillId="13" borderId="71" xfId="0" applyNumberFormat="1" applyFont="1" applyFill="1" applyBorder="1" applyAlignment="1">
      <alignment horizontal="center" vertical="center"/>
    </xf>
    <xf numFmtId="166" fontId="5" fillId="13" borderId="73" xfId="0" applyNumberFormat="1" applyFont="1" applyFill="1" applyBorder="1" applyAlignment="1">
      <alignment horizontal="center" vertical="center"/>
    </xf>
    <xf numFmtId="49" fontId="5" fillId="16" borderId="51" xfId="0" applyNumberFormat="1" applyFont="1" applyFill="1" applyBorder="1" applyAlignment="1">
      <alignment horizontal="left" vertical="center"/>
    </xf>
    <xf numFmtId="0" fontId="5" fillId="16" borderId="37" xfId="0" applyFont="1" applyFill="1" applyBorder="1" applyAlignment="1">
      <alignment horizontal="left" vertical="center"/>
    </xf>
    <xf numFmtId="0" fontId="5" fillId="16" borderId="48" xfId="0" applyFont="1" applyFill="1" applyBorder="1" applyAlignment="1">
      <alignment horizontal="left" vertical="center"/>
    </xf>
    <xf numFmtId="166" fontId="5" fillId="13" borderId="15" xfId="0" applyNumberFormat="1" applyFont="1" applyFill="1" applyBorder="1" applyAlignment="1">
      <alignment horizontal="center" vertical="center"/>
    </xf>
    <xf numFmtId="0" fontId="5" fillId="13" borderId="15" xfId="0" applyFont="1" applyFill="1" applyBorder="1" applyAlignment="1">
      <alignment horizontal="center" vertical="center"/>
    </xf>
    <xf numFmtId="0" fontId="5" fillId="13" borderId="67" xfId="0" applyNumberFormat="1" applyFont="1" applyFill="1" applyBorder="1" applyAlignment="1">
      <alignment horizontal="center" vertical="center"/>
    </xf>
    <xf numFmtId="0" fontId="5" fillId="13" borderId="68" xfId="0" applyFont="1" applyFill="1" applyBorder="1" applyAlignment="1">
      <alignment horizontal="center" vertical="center"/>
    </xf>
    <xf numFmtId="49" fontId="5" fillId="5" borderId="8" xfId="0" applyNumberFormat="1" applyFont="1" applyFill="1" applyBorder="1" applyAlignment="1">
      <alignment horizontal="left" vertical="center"/>
    </xf>
    <xf numFmtId="0" fontId="5" fillId="5" borderId="8" xfId="0" applyFont="1" applyFill="1" applyBorder="1" applyAlignment="1">
      <alignment horizontal="left" vertical="center"/>
    </xf>
    <xf numFmtId="0" fontId="5" fillId="16" borderId="47" xfId="0" applyFont="1" applyFill="1" applyBorder="1" applyAlignment="1">
      <alignment horizontal="left" vertical="center"/>
    </xf>
    <xf numFmtId="166" fontId="5" fillId="13" borderId="76" xfId="0" applyNumberFormat="1" applyFont="1" applyFill="1" applyBorder="1" applyAlignment="1">
      <alignment horizontal="center" vertical="center"/>
    </xf>
    <xf numFmtId="166" fontId="5" fillId="13" borderId="77" xfId="0" applyNumberFormat="1" applyFont="1" applyFill="1" applyBorder="1" applyAlignment="1">
      <alignment horizontal="center" vertical="center"/>
    </xf>
    <xf numFmtId="166" fontId="5" fillId="13" borderId="71" xfId="0" applyNumberFormat="1" applyFont="1" applyFill="1" applyBorder="1" applyAlignment="1">
      <alignment horizontal="center" vertical="center" wrapText="1"/>
    </xf>
    <xf numFmtId="166" fontId="5" fillId="13" borderId="73" xfId="0" applyNumberFormat="1" applyFont="1" applyFill="1" applyBorder="1" applyAlignment="1">
      <alignment horizontal="center" vertical="center" wrapText="1"/>
    </xf>
    <xf numFmtId="166" fontId="5" fillId="13" borderId="67" xfId="0" applyNumberFormat="1" applyFont="1" applyFill="1" applyBorder="1" applyAlignment="1">
      <alignment horizontal="right" vertical="center"/>
    </xf>
    <xf numFmtId="166" fontId="5" fillId="13" borderId="68" xfId="0" applyNumberFormat="1" applyFont="1" applyFill="1" applyBorder="1" applyAlignment="1">
      <alignment horizontal="right" vertical="center"/>
    </xf>
    <xf numFmtId="49" fontId="5" fillId="16" borderId="22" xfId="0" applyNumberFormat="1" applyFont="1" applyFill="1" applyBorder="1" applyAlignment="1">
      <alignment horizontal="left" vertical="center" wrapText="1"/>
    </xf>
    <xf numFmtId="0" fontId="5" fillId="16" borderId="37" xfId="0" applyFont="1" applyFill="1" applyBorder="1" applyAlignment="1">
      <alignment horizontal="left" vertical="center" wrapText="1"/>
    </xf>
    <xf numFmtId="0" fontId="24" fillId="16" borderId="9" xfId="0" applyFont="1" applyFill="1" applyBorder="1" applyAlignment="1">
      <alignment horizontal="left" vertical="center"/>
    </xf>
    <xf numFmtId="49" fontId="21" fillId="16" borderId="6" xfId="0" applyNumberFormat="1" applyFont="1" applyFill="1" applyBorder="1" applyAlignment="1">
      <alignment horizontal="center" vertical="center"/>
    </xf>
    <xf numFmtId="0" fontId="21" fillId="16" borderId="6" xfId="0" applyFont="1" applyFill="1" applyBorder="1" applyAlignment="1">
      <alignment horizontal="center" vertical="center"/>
    </xf>
    <xf numFmtId="0" fontId="33" fillId="16" borderId="36" xfId="0" applyFont="1" applyFill="1" applyBorder="1" applyAlignment="1">
      <alignment horizontal="center" vertical="center" wrapText="1"/>
    </xf>
    <xf numFmtId="0" fontId="27" fillId="16" borderId="80" xfId="0" applyFont="1" applyFill="1" applyBorder="1" applyAlignment="1">
      <alignment horizontal="center" vertical="center" wrapText="1"/>
    </xf>
    <xf numFmtId="49" fontId="5" fillId="16" borderId="21" xfId="0" applyNumberFormat="1" applyFont="1" applyFill="1" applyBorder="1" applyAlignment="1">
      <alignment horizontal="right" vertical="top" wrapText="1"/>
    </xf>
    <xf numFmtId="0" fontId="5" fillId="16" borderId="37" xfId="0" applyFont="1" applyFill="1" applyBorder="1" applyAlignment="1">
      <alignment horizontal="right" vertical="top" wrapText="1"/>
    </xf>
    <xf numFmtId="0" fontId="5" fillId="16" borderId="21" xfId="0" applyFont="1" applyFill="1" applyBorder="1" applyAlignment="1">
      <alignment horizontal="right" vertical="top" wrapText="1"/>
    </xf>
    <xf numFmtId="0" fontId="5" fillId="16" borderId="22" xfId="0" applyFont="1" applyFill="1" applyBorder="1" applyAlignment="1">
      <alignment horizontal="right" vertical="top" wrapText="1"/>
    </xf>
    <xf numFmtId="49" fontId="21" fillId="16" borderId="22" xfId="0" applyNumberFormat="1" applyFont="1" applyFill="1" applyBorder="1" applyAlignment="1">
      <alignment horizontal="center"/>
    </xf>
    <xf numFmtId="0" fontId="21" fillId="16" borderId="22" xfId="0" applyFont="1" applyFill="1" applyBorder="1" applyAlignment="1">
      <alignment horizontal="center"/>
    </xf>
    <xf numFmtId="49" fontId="21" fillId="16" borderId="22" xfId="0" applyNumberFormat="1" applyFont="1" applyFill="1" applyBorder="1" applyAlignment="1">
      <alignment horizontal="left" vertical="center" wrapText="1"/>
    </xf>
    <xf numFmtId="0" fontId="21" fillId="16" borderId="22" xfId="0" applyFont="1" applyFill="1" applyBorder="1" applyAlignment="1">
      <alignment horizontal="left" vertical="center" wrapText="1"/>
    </xf>
    <xf numFmtId="49" fontId="21" fillId="16" borderId="69" xfId="0" applyNumberFormat="1" applyFont="1" applyFill="1" applyBorder="1" applyAlignment="1">
      <alignment horizontal="center" vertical="center"/>
    </xf>
    <xf numFmtId="0" fontId="21" fillId="16" borderId="69" xfId="0" applyFont="1" applyFill="1" applyBorder="1" applyAlignment="1">
      <alignment horizontal="center" vertical="center"/>
    </xf>
    <xf numFmtId="49" fontId="21" fillId="16" borderId="69" xfId="0" applyNumberFormat="1" applyFont="1" applyFill="1" applyBorder="1" applyAlignment="1">
      <alignment horizontal="center"/>
    </xf>
    <xf numFmtId="0" fontId="21" fillId="16" borderId="69" xfId="0" applyFont="1" applyFill="1" applyBorder="1" applyAlignment="1">
      <alignment horizontal="center"/>
    </xf>
    <xf numFmtId="49" fontId="5" fillId="16" borderId="21" xfId="0" applyNumberFormat="1" applyFont="1" applyFill="1" applyBorder="1" applyAlignment="1">
      <alignment horizontal="right" vertical="center" wrapText="1"/>
    </xf>
    <xf numFmtId="0" fontId="5" fillId="16" borderId="37" xfId="0" applyFont="1" applyFill="1" applyBorder="1" applyAlignment="1">
      <alignment horizontal="right" vertical="center" wrapText="1"/>
    </xf>
    <xf numFmtId="49" fontId="14" fillId="16" borderId="22" xfId="0" applyNumberFormat="1" applyFont="1" applyFill="1" applyBorder="1" applyAlignment="1">
      <alignment horizontal="left" vertical="center"/>
    </xf>
    <xf numFmtId="0" fontId="14" fillId="16" borderId="22" xfId="0" applyFont="1" applyFill="1" applyBorder="1" applyAlignment="1">
      <alignment horizontal="left" vertical="center"/>
    </xf>
    <xf numFmtId="0" fontId="14" fillId="16" borderId="37" xfId="0" applyFont="1" applyFill="1" applyBorder="1" applyAlignment="1">
      <alignment horizontal="left" vertical="center"/>
    </xf>
    <xf numFmtId="166" fontId="14" fillId="13" borderId="71" xfId="0" applyNumberFormat="1" applyFont="1" applyFill="1" applyBorder="1" applyAlignment="1">
      <alignment horizontal="right" vertical="center"/>
    </xf>
    <xf numFmtId="166" fontId="14" fillId="13" borderId="73" xfId="0" applyNumberFormat="1" applyFont="1" applyFill="1" applyBorder="1" applyAlignment="1">
      <alignment horizontal="right" vertical="center"/>
    </xf>
    <xf numFmtId="49" fontId="14" fillId="16" borderId="22" xfId="0" applyNumberFormat="1" applyFont="1" applyFill="1" applyBorder="1" applyAlignment="1">
      <alignment horizontal="left" vertical="center" wrapText="1"/>
    </xf>
    <xf numFmtId="0" fontId="14" fillId="16" borderId="22" xfId="0" applyFont="1" applyFill="1" applyBorder="1" applyAlignment="1">
      <alignment horizontal="left" vertical="center" wrapText="1"/>
    </xf>
    <xf numFmtId="0" fontId="14" fillId="16" borderId="37" xfId="0" applyFont="1" applyFill="1" applyBorder="1" applyAlignment="1">
      <alignment horizontal="left" vertical="center" wrapText="1"/>
    </xf>
    <xf numFmtId="49" fontId="20" fillId="16" borderId="22" xfId="0" applyNumberFormat="1" applyFont="1" applyFill="1" applyBorder="1" applyAlignment="1">
      <alignment horizontal="left" vertical="center"/>
    </xf>
    <xf numFmtId="0" fontId="20" fillId="16" borderId="22" xfId="0" applyFont="1" applyFill="1" applyBorder="1" applyAlignment="1">
      <alignment horizontal="left" vertical="center"/>
    </xf>
    <xf numFmtId="49" fontId="20" fillId="16" borderId="6" xfId="0" applyNumberFormat="1" applyFont="1" applyFill="1" applyBorder="1" applyAlignment="1">
      <alignment horizontal="center" vertical="center"/>
    </xf>
    <xf numFmtId="0" fontId="20" fillId="16" borderId="6" xfId="0" applyFont="1" applyFill="1" applyBorder="1" applyAlignment="1">
      <alignment horizontal="center" vertical="center"/>
    </xf>
    <xf numFmtId="49" fontId="20" fillId="16" borderId="69" xfId="0" applyNumberFormat="1" applyFont="1" applyFill="1" applyBorder="1" applyAlignment="1">
      <alignment horizontal="center" vertical="center"/>
    </xf>
    <xf numFmtId="0" fontId="20" fillId="16" borderId="69" xfId="0" applyFont="1" applyFill="1" applyBorder="1" applyAlignment="1">
      <alignment horizontal="center" vertical="center"/>
    </xf>
    <xf numFmtId="49" fontId="20" fillId="16" borderId="22" xfId="0" applyNumberFormat="1" applyFont="1" applyFill="1" applyBorder="1" applyAlignment="1">
      <alignment horizontal="center" vertical="center" wrapText="1"/>
    </xf>
    <xf numFmtId="0" fontId="20" fillId="16" borderId="22" xfId="0" applyFont="1" applyFill="1" applyBorder="1" applyAlignment="1">
      <alignment horizontal="center" vertical="center" wrapText="1"/>
    </xf>
    <xf numFmtId="0" fontId="20" fillId="16" borderId="6" xfId="0" applyFont="1" applyFill="1" applyBorder="1" applyAlignment="1">
      <alignment horizontal="center" vertical="center" wrapText="1"/>
    </xf>
    <xf numFmtId="0" fontId="14" fillId="13" borderId="73" xfId="0" applyFont="1" applyFill="1" applyBorder="1" applyAlignment="1">
      <alignment horizontal="right" vertical="center"/>
    </xf>
    <xf numFmtId="0" fontId="20" fillId="16" borderId="70" xfId="0" applyFont="1" applyFill="1" applyBorder="1" applyAlignment="1">
      <alignment horizontal="left" vertical="center"/>
    </xf>
    <xf numFmtId="0" fontId="14" fillId="13" borderId="71" xfId="0" applyNumberFormat="1" applyFont="1" applyFill="1" applyBorder="1" applyAlignment="1">
      <alignment horizontal="right" vertical="center"/>
    </xf>
    <xf numFmtId="0" fontId="14" fillId="16" borderId="70" xfId="0" applyFont="1" applyFill="1" applyBorder="1" applyAlignment="1">
      <alignment horizontal="left" vertical="center"/>
    </xf>
    <xf numFmtId="166" fontId="20" fillId="13" borderId="71" xfId="0" applyNumberFormat="1" applyFont="1" applyFill="1" applyBorder="1" applyAlignment="1">
      <alignment horizontal="right" vertical="center"/>
    </xf>
    <xf numFmtId="166" fontId="20" fillId="13" borderId="73" xfId="0" applyNumberFormat="1" applyFont="1" applyFill="1" applyBorder="1" applyAlignment="1">
      <alignment horizontal="right" vertical="center"/>
    </xf>
    <xf numFmtId="0" fontId="14" fillId="16" borderId="22" xfId="0" applyFont="1" applyFill="1" applyBorder="1" applyAlignment="1">
      <alignment horizontal="left" vertical="top" wrapText="1"/>
    </xf>
    <xf numFmtId="0" fontId="14" fillId="16" borderId="70" xfId="0" applyFont="1" applyFill="1" applyBorder="1" applyAlignment="1">
      <alignment horizontal="left" vertical="top" wrapText="1"/>
    </xf>
    <xf numFmtId="0" fontId="14" fillId="16" borderId="6" xfId="0" applyFont="1" applyFill="1" applyBorder="1" applyAlignment="1">
      <alignment horizontal="left" vertical="top" wrapText="1"/>
    </xf>
    <xf numFmtId="0" fontId="75" fillId="16" borderId="22" xfId="0" applyFont="1" applyFill="1" applyBorder="1" applyAlignment="1">
      <alignment horizontal="left" vertical="center"/>
    </xf>
    <xf numFmtId="1" fontId="20" fillId="13" borderId="71" xfId="0" applyNumberFormat="1" applyFont="1" applyFill="1" applyBorder="1" applyAlignment="1">
      <alignment horizontal="right" vertical="center"/>
    </xf>
    <xf numFmtId="1" fontId="20" fillId="13" borderId="73" xfId="0" applyNumberFormat="1" applyFont="1" applyFill="1" applyBorder="1" applyAlignment="1">
      <alignment horizontal="right" vertical="center"/>
    </xf>
    <xf numFmtId="166" fontId="20" fillId="13" borderId="71" xfId="0" applyNumberFormat="1" applyFont="1" applyFill="1" applyBorder="1" applyAlignment="1">
      <alignment horizontal="center" vertical="center"/>
    </xf>
    <xf numFmtId="166" fontId="20" fillId="13" borderId="73" xfId="0" applyNumberFormat="1" applyFont="1" applyFill="1" applyBorder="1" applyAlignment="1">
      <alignment horizontal="center" vertical="center"/>
    </xf>
    <xf numFmtId="0" fontId="75" fillId="16" borderId="74" xfId="0" applyFont="1" applyFill="1" applyBorder="1" applyAlignment="1">
      <alignment horizontal="left" vertical="center" wrapText="1"/>
    </xf>
    <xf numFmtId="0" fontId="75" fillId="16" borderId="41" xfId="0" applyFont="1" applyFill="1" applyBorder="1" applyAlignment="1">
      <alignment horizontal="left" vertical="center" wrapText="1"/>
    </xf>
    <xf numFmtId="0" fontId="75" fillId="16" borderId="22" xfId="0" applyFont="1" applyFill="1" applyBorder="1" applyAlignment="1">
      <alignment horizontal="left" vertical="center" wrapText="1"/>
    </xf>
    <xf numFmtId="166" fontId="14" fillId="17" borderId="71" xfId="0" applyNumberFormat="1" applyFont="1" applyFill="1" applyBorder="1" applyAlignment="1">
      <alignment horizontal="right" vertical="center"/>
    </xf>
    <xf numFmtId="166" fontId="14" fillId="17" borderId="73" xfId="0" applyNumberFormat="1" applyFont="1" applyFill="1" applyBorder="1" applyAlignment="1">
      <alignment horizontal="right" vertical="center"/>
    </xf>
    <xf numFmtId="166" fontId="14" fillId="13" borderId="71" xfId="0" applyNumberFormat="1" applyFont="1" applyFill="1" applyBorder="1" applyAlignment="1">
      <alignment horizontal="center" vertical="center"/>
    </xf>
    <xf numFmtId="166" fontId="14" fillId="13" borderId="73" xfId="0" applyNumberFormat="1" applyFont="1" applyFill="1" applyBorder="1" applyAlignment="1">
      <alignment horizontal="center" vertical="center"/>
    </xf>
    <xf numFmtId="0" fontId="14" fillId="13" borderId="67" xfId="0" applyNumberFormat="1" applyFont="1" applyFill="1" applyBorder="1" applyAlignment="1">
      <alignment horizontal="left" vertical="center"/>
    </xf>
    <xf numFmtId="0" fontId="14" fillId="13" borderId="10" xfId="0" applyFont="1" applyFill="1" applyBorder="1" applyAlignment="1">
      <alignment horizontal="left" vertical="center"/>
    </xf>
    <xf numFmtId="0" fontId="14" fillId="13" borderId="68" xfId="0" applyFont="1" applyFill="1" applyBorder="1" applyAlignment="1">
      <alignment horizontal="left" vertical="center"/>
    </xf>
    <xf numFmtId="166" fontId="14" fillId="13" borderId="76" xfId="0" applyNumberFormat="1" applyFont="1" applyFill="1" applyBorder="1" applyAlignment="1">
      <alignment horizontal="center" vertical="center"/>
    </xf>
    <xf numFmtId="166" fontId="14" fillId="13" borderId="77" xfId="0" applyNumberFormat="1" applyFont="1" applyFill="1" applyBorder="1" applyAlignment="1">
      <alignment horizontal="center" vertical="center"/>
    </xf>
    <xf numFmtId="166" fontId="14" fillId="13" borderId="67" xfId="0" applyNumberFormat="1" applyFont="1" applyFill="1" applyBorder="1" applyAlignment="1">
      <alignment horizontal="center" vertical="center"/>
    </xf>
    <xf numFmtId="166" fontId="14" fillId="13" borderId="68" xfId="0" applyNumberFormat="1" applyFont="1" applyFill="1" applyBorder="1" applyAlignment="1">
      <alignment horizontal="center" vertical="center"/>
    </xf>
    <xf numFmtId="0" fontId="14" fillId="16" borderId="43" xfId="0" applyFont="1" applyFill="1" applyBorder="1" applyAlignment="1">
      <alignment horizontal="center" vertical="center"/>
    </xf>
    <xf numFmtId="0" fontId="14" fillId="16" borderId="6" xfId="0" applyFont="1" applyFill="1" applyBorder="1" applyAlignment="1">
      <alignment horizontal="center" vertical="center"/>
    </xf>
    <xf numFmtId="49" fontId="14" fillId="16" borderId="22" xfId="0" applyNumberFormat="1" applyFont="1" applyFill="1" applyBorder="1" applyAlignment="1">
      <alignment horizontal="center" vertical="center" wrapText="1"/>
    </xf>
    <xf numFmtId="0" fontId="14" fillId="16" borderId="22" xfId="0" applyFont="1" applyFill="1" applyBorder="1" applyAlignment="1">
      <alignment horizontal="center" vertical="center" wrapText="1"/>
    </xf>
    <xf numFmtId="0" fontId="14" fillId="16" borderId="6" xfId="0" applyFont="1" applyFill="1" applyBorder="1" applyAlignment="1">
      <alignment horizontal="center" vertical="center" wrapText="1"/>
    </xf>
    <xf numFmtId="0" fontId="28" fillId="16" borderId="22" xfId="0" applyFont="1" applyFill="1" applyBorder="1" applyAlignment="1">
      <alignment horizontal="left" vertical="center"/>
    </xf>
    <xf numFmtId="49" fontId="14" fillId="16" borderId="69" xfId="0" applyNumberFormat="1" applyFont="1" applyFill="1" applyBorder="1" applyAlignment="1">
      <alignment horizontal="center" vertical="center"/>
    </xf>
    <xf numFmtId="0" fontId="14" fillId="16" borderId="69" xfId="0" applyFont="1" applyFill="1" applyBorder="1" applyAlignment="1">
      <alignment horizontal="center" vertical="center"/>
    </xf>
    <xf numFmtId="0" fontId="28" fillId="16" borderId="22" xfId="0" applyFont="1" applyFill="1" applyBorder="1" applyAlignment="1">
      <alignment horizontal="left" vertical="center" wrapText="1"/>
    </xf>
    <xf numFmtId="167" fontId="20" fillId="13" borderId="71" xfId="0" applyNumberFormat="1" applyFont="1" applyFill="1" applyBorder="1" applyAlignment="1">
      <alignment horizontal="right" vertical="center"/>
    </xf>
    <xf numFmtId="167" fontId="20" fillId="13" borderId="73" xfId="0" applyNumberFormat="1" applyFont="1" applyFill="1" applyBorder="1" applyAlignment="1">
      <alignment horizontal="right" vertical="center"/>
    </xf>
    <xf numFmtId="0" fontId="75" fillId="16" borderId="21" xfId="0" applyFont="1" applyFill="1" applyBorder="1" applyAlignment="1">
      <alignment horizontal="left" vertical="center"/>
    </xf>
    <xf numFmtId="9" fontId="20" fillId="13" borderId="71" xfId="0" applyNumberFormat="1" applyFont="1" applyFill="1" applyBorder="1" applyAlignment="1">
      <alignment horizontal="right" vertical="center"/>
    </xf>
    <xf numFmtId="9" fontId="20" fillId="13" borderId="73" xfId="0" applyNumberFormat="1" applyFont="1" applyFill="1" applyBorder="1" applyAlignment="1">
      <alignment horizontal="right" vertical="center"/>
    </xf>
    <xf numFmtId="0" fontId="14" fillId="13" borderId="71" xfId="0" applyFont="1" applyFill="1" applyBorder="1" applyAlignment="1">
      <alignment horizontal="left" vertical="center"/>
    </xf>
    <xf numFmtId="0" fontId="14" fillId="13" borderId="72" xfId="0" applyFont="1" applyFill="1" applyBorder="1" applyAlignment="1">
      <alignment horizontal="left" vertical="center"/>
    </xf>
    <xf numFmtId="0" fontId="14" fillId="13" borderId="73" xfId="0" applyFont="1" applyFill="1" applyBorder="1" applyAlignment="1">
      <alignment horizontal="left" vertical="center"/>
    </xf>
    <xf numFmtId="0" fontId="14" fillId="13" borderId="71" xfId="0" applyNumberFormat="1" applyFont="1" applyFill="1" applyBorder="1" applyAlignment="1">
      <alignment horizontal="left" vertical="center"/>
    </xf>
    <xf numFmtId="0" fontId="14" fillId="16" borderId="21" xfId="0" applyFont="1" applyFill="1" applyBorder="1" applyAlignment="1">
      <alignment horizontal="right" vertical="center"/>
    </xf>
    <xf numFmtId="0" fontId="14" fillId="16" borderId="22" xfId="0" applyFont="1" applyFill="1" applyBorder="1" applyAlignment="1">
      <alignment horizontal="right" vertical="center"/>
    </xf>
    <xf numFmtId="0" fontId="14" fillId="16" borderId="37" xfId="0" applyFont="1" applyFill="1" applyBorder="1" applyAlignment="1">
      <alignment horizontal="right" vertical="center"/>
    </xf>
    <xf numFmtId="0" fontId="20" fillId="13" borderId="71" xfId="0" applyFont="1" applyFill="1" applyBorder="1" applyAlignment="1">
      <alignment horizontal="center" vertical="center"/>
    </xf>
    <xf numFmtId="0" fontId="20" fillId="13" borderId="73" xfId="0" applyFont="1" applyFill="1" applyBorder="1" applyAlignment="1">
      <alignment horizontal="center" vertical="center"/>
    </xf>
    <xf numFmtId="165" fontId="14" fillId="13" borderId="71" xfId="0" applyNumberFormat="1" applyFont="1" applyFill="1" applyBorder="1" applyAlignment="1">
      <alignment horizontal="left" vertical="center"/>
    </xf>
    <xf numFmtId="165" fontId="14" fillId="13" borderId="72" xfId="0" applyNumberFormat="1" applyFont="1" applyFill="1" applyBorder="1" applyAlignment="1">
      <alignment horizontal="left" vertical="center"/>
    </xf>
    <xf numFmtId="165" fontId="14" fillId="13" borderId="73" xfId="0" applyNumberFormat="1" applyFont="1" applyFill="1" applyBorder="1" applyAlignment="1">
      <alignment horizontal="left" vertical="center"/>
    </xf>
    <xf numFmtId="49" fontId="71" fillId="16" borderId="22" xfId="0" applyNumberFormat="1" applyFont="1" applyFill="1" applyBorder="1" applyAlignment="1">
      <alignment horizontal="right" vertical="center"/>
    </xf>
    <xf numFmtId="0" fontId="71" fillId="16" borderId="22" xfId="0" applyFont="1" applyFill="1" applyBorder="1" applyAlignment="1">
      <alignment horizontal="right" vertical="center"/>
    </xf>
    <xf numFmtId="0" fontId="71" fillId="16" borderId="37" xfId="0" applyFont="1" applyFill="1" applyBorder="1" applyAlignment="1">
      <alignment horizontal="right" vertical="center"/>
    </xf>
    <xf numFmtId="49" fontId="14" fillId="13" borderId="71" xfId="0" applyNumberFormat="1" applyFont="1" applyFill="1" applyBorder="1" applyAlignment="1">
      <alignment horizontal="left" vertical="center"/>
    </xf>
    <xf numFmtId="49" fontId="14" fillId="13" borderId="72" xfId="0" applyNumberFormat="1" applyFont="1" applyFill="1" applyBorder="1" applyAlignment="1">
      <alignment horizontal="left" vertical="center"/>
    </xf>
    <xf numFmtId="49" fontId="14" fillId="13" borderId="73" xfId="0" applyNumberFormat="1" applyFont="1" applyFill="1" applyBorder="1" applyAlignment="1">
      <alignment horizontal="left" vertical="center"/>
    </xf>
    <xf numFmtId="0" fontId="75" fillId="16" borderId="22" xfId="0" applyFont="1" applyFill="1" applyBorder="1" applyAlignment="1">
      <alignment horizontal="right" vertical="top" wrapText="1"/>
    </xf>
    <xf numFmtId="0" fontId="0" fillId="5" borderId="41" xfId="0" applyFill="1" applyBorder="1" applyAlignment="1">
      <alignment horizontal="center" vertical="center"/>
    </xf>
    <xf numFmtId="49" fontId="13" fillId="16" borderId="22" xfId="0" applyNumberFormat="1" applyFont="1" applyFill="1" applyBorder="1" applyAlignment="1">
      <alignment horizontal="left" vertical="center"/>
    </xf>
    <xf numFmtId="0" fontId="13" fillId="16" borderId="22" xfId="0" applyFont="1" applyFill="1" applyBorder="1" applyAlignment="1">
      <alignment horizontal="left" vertical="center"/>
    </xf>
    <xf numFmtId="49" fontId="3" fillId="16" borderId="22" xfId="0" applyNumberFormat="1" applyFont="1" applyFill="1" applyBorder="1" applyAlignment="1">
      <alignment horizontal="left" vertical="center"/>
    </xf>
    <xf numFmtId="0" fontId="3" fillId="16" borderId="22" xfId="0" applyFont="1" applyFill="1" applyBorder="1" applyAlignment="1">
      <alignment horizontal="left" vertical="center"/>
    </xf>
    <xf numFmtId="0" fontId="3" fillId="16" borderId="6" xfId="0" applyFont="1" applyFill="1" applyBorder="1" applyAlignment="1">
      <alignment horizontal="left" vertical="center"/>
    </xf>
    <xf numFmtId="0" fontId="16" fillId="16" borderId="6" xfId="0" applyFont="1" applyFill="1" applyBorder="1" applyAlignment="1">
      <alignment horizontal="left" vertical="center"/>
    </xf>
    <xf numFmtId="49" fontId="71" fillId="0" borderId="15" xfId="0" applyNumberFormat="1" applyFont="1" applyBorder="1" applyAlignment="1">
      <alignment horizontal="center" vertical="center"/>
    </xf>
    <xf numFmtId="0" fontId="71" fillId="0" borderId="15" xfId="0" applyFont="1" applyBorder="1" applyAlignment="1">
      <alignment horizontal="center" vertical="center"/>
    </xf>
    <xf numFmtId="49" fontId="71" fillId="13" borderId="67" xfId="0" applyNumberFormat="1" applyFont="1" applyFill="1" applyBorder="1" applyAlignment="1">
      <alignment horizontal="center" vertical="center"/>
    </xf>
    <xf numFmtId="0" fontId="71" fillId="13" borderId="68" xfId="0" applyFont="1" applyFill="1" applyBorder="1" applyAlignment="1">
      <alignment horizontal="center" vertical="center"/>
    </xf>
    <xf numFmtId="0" fontId="14" fillId="13" borderId="71" xfId="0" applyFont="1" applyFill="1" applyBorder="1" applyAlignment="1">
      <alignment horizontal="left" vertical="center" wrapText="1"/>
    </xf>
    <xf numFmtId="0" fontId="14" fillId="13" borderId="72" xfId="0" applyFont="1" applyFill="1" applyBorder="1" applyAlignment="1">
      <alignment horizontal="left" vertical="center" wrapText="1"/>
    </xf>
    <xf numFmtId="0" fontId="14" fillId="13" borderId="73" xfId="0" applyFont="1" applyFill="1" applyBorder="1" applyAlignment="1">
      <alignment horizontal="left" vertical="center" wrapText="1"/>
    </xf>
    <xf numFmtId="49" fontId="14" fillId="16" borderId="9" xfId="0" applyNumberFormat="1" applyFont="1" applyFill="1" applyBorder="1" applyAlignment="1">
      <alignment horizontal="center"/>
    </xf>
    <xf numFmtId="0" fontId="14" fillId="16" borderId="9" xfId="0" applyFont="1" applyFill="1" applyBorder="1" applyAlignment="1">
      <alignment horizontal="center"/>
    </xf>
    <xf numFmtId="0" fontId="14" fillId="16" borderId="6" xfId="0" applyFont="1" applyFill="1" applyBorder="1" applyAlignment="1">
      <alignment horizontal="center"/>
    </xf>
    <xf numFmtId="49" fontId="71" fillId="0" borderId="67" xfId="0" applyNumberFormat="1" applyFont="1" applyBorder="1" applyAlignment="1">
      <alignment horizontal="center" vertical="center"/>
    </xf>
    <xf numFmtId="0" fontId="71" fillId="0" borderId="68" xfId="0" applyFont="1" applyBorder="1" applyAlignment="1">
      <alignment horizontal="center" vertical="center"/>
    </xf>
    <xf numFmtId="0" fontId="5" fillId="16" borderId="33" xfId="0" applyFont="1" applyFill="1" applyBorder="1" applyAlignment="1">
      <alignment horizontal="right" vertical="center"/>
    </xf>
    <xf numFmtId="0" fontId="5" fillId="16" borderId="83" xfId="0" applyFont="1" applyFill="1" applyBorder="1" applyAlignment="1">
      <alignment horizontal="right" vertical="center"/>
    </xf>
    <xf numFmtId="166" fontId="5" fillId="13" borderId="12" xfId="0" applyNumberFormat="1" applyFont="1" applyFill="1" applyBorder="1" applyAlignment="1">
      <alignment horizontal="center" vertical="center"/>
    </xf>
    <xf numFmtId="0" fontId="5" fillId="13" borderId="13" xfId="0" applyFont="1" applyFill="1" applyBorder="1" applyAlignment="1">
      <alignment horizontal="center" vertical="center"/>
    </xf>
    <xf numFmtId="166" fontId="5" fillId="13" borderId="82" xfId="0" applyNumberFormat="1" applyFont="1" applyFill="1" applyBorder="1" applyAlignment="1">
      <alignment horizontal="center" vertical="center"/>
    </xf>
    <xf numFmtId="49" fontId="5" fillId="16" borderId="54" xfId="0" applyNumberFormat="1" applyFont="1" applyFill="1" applyBorder="1" applyAlignment="1">
      <alignment horizontal="left" vertical="center"/>
    </xf>
    <xf numFmtId="0" fontId="5" fillId="16" borderId="54" xfId="0" applyFont="1" applyFill="1" applyBorder="1" applyAlignment="1">
      <alignment horizontal="left" vertical="center"/>
    </xf>
    <xf numFmtId="49" fontId="14" fillId="16" borderId="43" xfId="0" applyNumberFormat="1" applyFont="1" applyFill="1" applyBorder="1" applyAlignment="1">
      <alignment horizontal="center" vertical="center"/>
    </xf>
    <xf numFmtId="166" fontId="5" fillId="13" borderId="71" xfId="0" applyNumberFormat="1" applyFont="1" applyFill="1" applyBorder="1" applyAlignment="1">
      <alignment horizontal="left" vertical="center" wrapText="1"/>
    </xf>
    <xf numFmtId="166" fontId="5" fillId="13" borderId="73" xfId="0" applyNumberFormat="1" applyFont="1" applyFill="1" applyBorder="1" applyAlignment="1">
      <alignment horizontal="left" vertical="center" wrapText="1"/>
    </xf>
    <xf numFmtId="1" fontId="20" fillId="17" borderId="71" xfId="0" applyNumberFormat="1" applyFont="1" applyFill="1" applyBorder="1" applyAlignment="1">
      <alignment horizontal="right" vertical="center"/>
    </xf>
    <xf numFmtId="1" fontId="20" fillId="17" borderId="73" xfId="0" applyNumberFormat="1" applyFont="1" applyFill="1" applyBorder="1" applyAlignment="1">
      <alignment horizontal="right" vertical="center"/>
    </xf>
    <xf numFmtId="0" fontId="20" fillId="17" borderId="73" xfId="0" applyFont="1" applyFill="1" applyBorder="1" applyAlignment="1">
      <alignment horizontal="right" vertical="center"/>
    </xf>
    <xf numFmtId="49" fontId="20" fillId="17" borderId="71" xfId="0" applyNumberFormat="1" applyFont="1" applyFill="1" applyBorder="1" applyAlignment="1">
      <alignment horizontal="center" vertical="center"/>
    </xf>
    <xf numFmtId="0" fontId="20" fillId="17" borderId="73" xfId="0" applyFont="1" applyFill="1" applyBorder="1" applyAlignment="1">
      <alignment horizontal="center" vertical="center"/>
    </xf>
    <xf numFmtId="49" fontId="5" fillId="5" borderId="138" xfId="0" applyNumberFormat="1" applyFont="1" applyFill="1" applyBorder="1" applyAlignment="1">
      <alignment horizontal="left" vertical="center"/>
    </xf>
    <xf numFmtId="0" fontId="5" fillId="5" borderId="138" xfId="0" applyFont="1" applyFill="1" applyBorder="1" applyAlignment="1">
      <alignment horizontal="left" vertical="center"/>
    </xf>
    <xf numFmtId="0" fontId="5" fillId="5" borderId="139" xfId="0" applyFont="1" applyFill="1" applyBorder="1" applyAlignment="1">
      <alignment horizontal="left" vertical="center"/>
    </xf>
  </cellXfs>
  <cellStyles count="1">
    <cellStyle name="Normal" xfId="0" builtinId="0"/>
  </cellStyles>
  <dxfs count="9">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E3F1D2"/>
      <rgbColor rgb="FFAAAAAA"/>
      <rgbColor rgb="FFFFFFFF"/>
      <rgbColor rgb="FFBFBFBF"/>
      <rgbColor rgb="FFD8D8D8"/>
      <rgbColor rgb="FF008631"/>
      <rgbColor rgb="FF0000CC"/>
      <rgbColor rgb="FF595959"/>
      <rgbColor rgb="FFFFD8A1"/>
      <rgbColor rgb="FFCC0000"/>
      <rgbColor rgb="FF0070C0"/>
      <rgbColor rgb="FFFF0000"/>
      <rgbColor rgb="FFA782AC"/>
      <rgbColor rgb="FFCCFFCC"/>
      <rgbColor rgb="FF7F7F7F"/>
      <rgbColor rgb="FFA5A5A5"/>
      <rgbColor rgb="FFCCFFFF"/>
      <rgbColor rgb="FFCBE4F1"/>
      <rgbColor rgb="FFFFC473"/>
      <rgbColor rgb="FFC00000"/>
      <rgbColor rgb="FF98CAE3"/>
      <rgbColor rgb="FFFFFF66"/>
      <rgbColor rgb="FF003E5D"/>
      <rgbColor rgb="FFC8E4A5"/>
      <rgbColor rgb="FFD9262E"/>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8</v>
    <v>1</v>
  </rv>
  <rv s="1">
    <v>14</v>
    <v>8</v>
    <v>0</v>
    <v>6</v>
  </rv>
  <rv s="1">
    <v>2</v>
    <v>8</v>
    <v>0</v>
    <v>6</v>
  </rv>
  <rv s="1">
    <v>17</v>
    <v>8</v>
    <v>0</v>
    <v>6</v>
  </rv>
  <rv s="1">
    <v>1</v>
    <v>8</v>
    <v>0</v>
    <v>6</v>
  </rv>
  <rv s="1">
    <v>2</v>
    <v>8</v>
    <v>1</v>
    <v>6</v>
  </rv>
  <rv s="1">
    <v>8</v>
    <v>8</v>
    <v>0</v>
    <v>6</v>
  </rv>
</rvData>
</file>

<file path=xl/richData/rdrichvaluestructure.xml><?xml version="1.0" encoding="utf-8"?>
<rvStructures xmlns="http://schemas.microsoft.com/office/spreadsheetml/2017/richdata" count="2">
  <s t="_error">
    <k n="errorType" t="i"/>
    <k n="propagated" t="b"/>
  </s>
  <s t="_error">
    <k n="colOffset" t="i"/>
    <k n="errorType" t="i"/>
    <k n="rwOffset" t="i"/>
    <k n="subType" t="i"/>
  </s>
</rvStructure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77BC1F"/>
      </a:accent1>
      <a:accent2>
        <a:srgbClr val="FFCC00"/>
      </a:accent2>
      <a:accent3>
        <a:srgbClr val="D9262E"/>
      </a:accent3>
      <a:accent4>
        <a:srgbClr val="6D3075"/>
      </a:accent4>
      <a:accent5>
        <a:srgbClr val="FF9E16"/>
      </a:accent5>
      <a:accent6>
        <a:srgbClr val="007CBA"/>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gov.uk/guidance/fcerm-appraisal-guidance" TargetMode="External"/><Relationship Id="rId2" Type="http://schemas.openxmlformats.org/officeDocument/2006/relationships/hyperlink" Target="https://www.gov.uk/government/publications/operational-principles-for-fcerm-funding-partnerships" TargetMode="External"/><Relationship Id="rId1" Type="http://schemas.openxmlformats.org/officeDocument/2006/relationships/hyperlink" Target="https://www.gov.uk/government/publications/calculate-gia-funding-for-fcerm-projects-2020" TargetMode="External"/><Relationship Id="rId6" Type="http://schemas.openxmlformats.org/officeDocument/2006/relationships/hyperlink" Target="https://eur03.safelinks.protection.outlook.com/ap/b-59584e83/?url=https://defra.sharepoint.com/:b:/s/Community511/EYqcIaNpjl5NqHOX-8bDdoIBEZNTYrOqRop-p0H-p_zBWg?e=l9bU8S&amp;data=04%7C01%7Cmartin.smalls@environment-agency.gov.uk%7Cf9337570acf14c4d3ac208d9e705f255%7C770a245002274c6290c74e38537f1102%7C0%7C0%7C637794834985052133%7CUnknown%7CTWFpbGZsb3d8eyJWIjoiMC4wLjAwMDAiLCJQIjoiV2luMzIiLCJBTiI6Ik1haWwiLCJXVCI6Mn0=%7C3000&amp;sdata=hZGeZ5/Plagl5iLVLJExu3fb833XVGT7NJnAGoe5W88=&amp;reserved=0" TargetMode="External"/><Relationship Id="rId5" Type="http://schemas.openxmlformats.org/officeDocument/2006/relationships/hyperlink" Target="https://www.gov.uk/government/statistics/english-indices-of-deprivation-2019" TargetMode="External"/><Relationship Id="rId4" Type="http://schemas.openxmlformats.org/officeDocument/2006/relationships/hyperlink" Target="https://www.mcm-online.co.uk/"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gov.uk/government/publications/the-green-book-appraisal-and-evaluation-in-central-govern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32"/>
  <sheetViews>
    <sheetView showGridLines="0" workbookViewId="0"/>
  </sheetViews>
  <sheetFormatPr defaultColWidth="10" defaultRowHeight="13" customHeight="1"/>
  <cols>
    <col min="1" max="1" width="2" customWidth="1"/>
    <col min="2" max="4" width="28" customWidth="1"/>
  </cols>
  <sheetData>
    <row r="3" spans="2:4" ht="0" hidden="1" customHeight="1">
      <c r="B3" s="623" t="s">
        <v>0</v>
      </c>
      <c r="C3" s="624"/>
      <c r="D3" s="624"/>
    </row>
    <row r="7" spans="2:4" ht="17.5">
      <c r="B7" s="1" t="s">
        <v>1</v>
      </c>
      <c r="C7" s="1" t="s">
        <v>2</v>
      </c>
      <c r="D7" s="1" t="s">
        <v>3</v>
      </c>
    </row>
    <row r="9" spans="2:4" ht="15.5">
      <c r="B9" s="2" t="s">
        <v>4</v>
      </c>
      <c r="C9" s="2"/>
      <c r="D9" s="2"/>
    </row>
    <row r="10" spans="2:4" ht="15.5">
      <c r="B10" s="3"/>
      <c r="C10" s="3" t="s">
        <v>5</v>
      </c>
      <c r="D10" s="4" t="s">
        <v>4</v>
      </c>
    </row>
    <row r="11" spans="2:4" ht="15.5">
      <c r="B11" s="2" t="s">
        <v>43</v>
      </c>
      <c r="C11" s="2"/>
      <c r="D11" s="2"/>
    </row>
    <row r="12" spans="2:4" ht="15.5">
      <c r="B12" s="3"/>
      <c r="C12" s="3" t="s">
        <v>5</v>
      </c>
      <c r="D12" s="4" t="s">
        <v>43</v>
      </c>
    </row>
    <row r="13" spans="2:4" ht="15.5">
      <c r="B13" s="2" t="s">
        <v>191</v>
      </c>
      <c r="C13" s="2"/>
      <c r="D13" s="2"/>
    </row>
    <row r="14" spans="2:4" ht="15.5">
      <c r="B14" s="3"/>
      <c r="C14" s="3" t="s">
        <v>5</v>
      </c>
      <c r="D14" s="4" t="s">
        <v>191</v>
      </c>
    </row>
    <row r="15" spans="2:4" ht="15.5">
      <c r="B15" s="2" t="s">
        <v>284</v>
      </c>
      <c r="C15" s="2"/>
      <c r="D15" s="2"/>
    </row>
    <row r="16" spans="2:4" ht="15.5">
      <c r="B16" s="3"/>
      <c r="C16" s="3" t="s">
        <v>5</v>
      </c>
      <c r="D16" s="4" t="s">
        <v>284</v>
      </c>
    </row>
    <row r="17" spans="2:4" ht="15.5">
      <c r="B17" s="2" t="s">
        <v>389</v>
      </c>
      <c r="C17" s="2"/>
      <c r="D17" s="2"/>
    </row>
    <row r="18" spans="2:4" ht="15.5">
      <c r="B18" s="3"/>
      <c r="C18" s="3" t="s">
        <v>5</v>
      </c>
      <c r="D18" s="4" t="s">
        <v>389</v>
      </c>
    </row>
    <row r="19" spans="2:4" ht="15.5">
      <c r="B19" s="2" t="s">
        <v>459</v>
      </c>
      <c r="C19" s="2"/>
      <c r="D19" s="2"/>
    </row>
    <row r="20" spans="2:4" ht="15.5">
      <c r="B20" s="3"/>
      <c r="C20" s="3" t="s">
        <v>5</v>
      </c>
      <c r="D20" s="4" t="s">
        <v>459</v>
      </c>
    </row>
    <row r="21" spans="2:4" ht="15.5">
      <c r="B21" s="2" t="s">
        <v>474</v>
      </c>
      <c r="C21" s="2"/>
      <c r="D21" s="2"/>
    </row>
    <row r="22" spans="2:4" ht="15.5">
      <c r="B22" s="3"/>
      <c r="C22" s="3" t="s">
        <v>5</v>
      </c>
      <c r="D22" s="4" t="s">
        <v>474</v>
      </c>
    </row>
    <row r="23" spans="2:4" ht="15.5">
      <c r="B23" s="2" t="s">
        <v>476</v>
      </c>
      <c r="C23" s="2"/>
      <c r="D23" s="2"/>
    </row>
    <row r="24" spans="2:4" ht="15.5">
      <c r="B24" s="3"/>
      <c r="C24" s="3" t="s">
        <v>5</v>
      </c>
      <c r="D24" s="4" t="s">
        <v>476</v>
      </c>
    </row>
    <row r="25" spans="2:4" ht="15.5">
      <c r="B25" s="2" t="s">
        <v>479</v>
      </c>
      <c r="C25" s="2"/>
      <c r="D25" s="2"/>
    </row>
    <row r="26" spans="2:4" ht="15.5">
      <c r="B26" s="3"/>
      <c r="C26" s="3" t="s">
        <v>5</v>
      </c>
      <c r="D26" s="4" t="s">
        <v>479</v>
      </c>
    </row>
    <row r="27" spans="2:4" ht="15.5">
      <c r="B27" s="2" t="s">
        <v>480</v>
      </c>
      <c r="C27" s="2"/>
      <c r="D27" s="2"/>
    </row>
    <row r="28" spans="2:4" ht="15.5">
      <c r="B28" s="3"/>
      <c r="C28" s="3" t="s">
        <v>5</v>
      </c>
      <c r="D28" s="4" t="s">
        <v>480</v>
      </c>
    </row>
    <row r="29" spans="2:4" ht="15.5">
      <c r="B29" s="2" t="s">
        <v>481</v>
      </c>
      <c r="C29" s="2"/>
      <c r="D29" s="2"/>
    </row>
    <row r="30" spans="2:4" ht="15.5">
      <c r="B30" s="3"/>
      <c r="C30" s="3" t="s">
        <v>5</v>
      </c>
      <c r="D30" s="4" t="s">
        <v>481</v>
      </c>
    </row>
    <row r="31" spans="2:4" ht="15.5">
      <c r="B31" s="2" t="s">
        <v>483</v>
      </c>
      <c r="C31" s="2"/>
      <c r="D31" s="2"/>
    </row>
    <row r="32" spans="2:4" ht="15.5">
      <c r="B32" s="3"/>
      <c r="C32" s="3" t="s">
        <v>5</v>
      </c>
      <c r="D32" s="4" t="s">
        <v>483</v>
      </c>
    </row>
  </sheetData>
  <mergeCells count="1">
    <mergeCell ref="B3:D3"/>
  </mergeCells>
  <hyperlinks>
    <hyperlink ref="D10" location="'Guidance and version'!R1C1" display="Guidance and version" xr:uid="{00000000-0004-0000-0000-000000000000}"/>
    <hyperlink ref="D12" location="'PF calculator'!R1C1" display="PF calculator" xr:uid="{00000000-0004-0000-0000-000001000000}"/>
    <hyperlink ref="D14" location="'Economic summary'!R1C1" display="Economic summary" xr:uid="{00000000-0004-0000-0000-000002000000}"/>
    <hyperlink ref="D16" location="'Policy assumptions and formulae'!R1C1" display="Policy assumptions and formulae" xr:uid="{00000000-0004-0000-0000-000003000000}"/>
    <hyperlink ref="D18" location="'pv calculator'!R1C1" display="pv calculator" xr:uid="{00000000-0004-0000-0000-000004000000}"/>
    <hyperlink ref="D20" location="'SA1'!R1C1" display="SA1" xr:uid="{00000000-0004-0000-0000-000005000000}"/>
    <hyperlink ref="D22" location="'SA2'!R1C1" display="SA2" xr:uid="{00000000-0004-0000-0000-000006000000}"/>
    <hyperlink ref="D24" location="'SA3'!R1C1" display="SA3" xr:uid="{00000000-0004-0000-0000-000007000000}"/>
    <hyperlink ref="D26" location="'SA4'!R1C1" display="SA4" xr:uid="{00000000-0004-0000-0000-000008000000}"/>
    <hyperlink ref="D28" location="'SA5'!R1C1" display="SA5" xr:uid="{00000000-0004-0000-0000-000009000000}"/>
    <hyperlink ref="D30" location="'SA6'!R1C1" display="SA6" xr:uid="{00000000-0004-0000-0000-00000A000000}"/>
    <hyperlink ref="D32" location="'SA7'!R1C1" display="SA7" xr:uid="{00000000-0004-0000-00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6"/>
  <sheetViews>
    <sheetView showGridLines="0" workbookViewId="0"/>
  </sheetViews>
  <sheetFormatPr defaultColWidth="8.84375" defaultRowHeight="15" customHeight="1"/>
  <cols>
    <col min="1" max="1" width="1.84375" style="5" customWidth="1"/>
    <col min="2" max="2" width="20.84375" style="5" customWidth="1"/>
    <col min="3" max="3" width="79.15234375" style="5" customWidth="1"/>
    <col min="4" max="4" width="2.84375" style="5" customWidth="1"/>
    <col min="5" max="5" width="8.84375" style="5" customWidth="1"/>
    <col min="6" max="6" width="30.84375" style="5" customWidth="1"/>
    <col min="7" max="8" width="11.15234375" style="5" customWidth="1"/>
    <col min="9" max="9" width="11.4609375" style="5" customWidth="1"/>
    <col min="10" max="10" width="12.53515625" style="5" customWidth="1"/>
    <col min="11" max="11" width="8.84375" style="5" customWidth="1"/>
    <col min="12" max="12" width="2.84375" style="5" customWidth="1"/>
    <col min="13" max="15" width="8.84375" style="5" customWidth="1"/>
    <col min="16" max="16384" width="8.84375" style="5"/>
  </cols>
  <sheetData>
    <row r="1" spans="1:14" ht="8" customHeight="1">
      <c r="A1" s="6"/>
      <c r="B1" s="7"/>
      <c r="C1" s="7"/>
      <c r="D1" s="7"/>
      <c r="E1" s="8"/>
      <c r="F1" s="7"/>
      <c r="G1" s="7"/>
      <c r="H1" s="7"/>
      <c r="I1" s="7"/>
      <c r="J1" s="7"/>
      <c r="K1" s="7"/>
      <c r="L1" s="7"/>
      <c r="M1" s="9"/>
      <c r="N1" s="10"/>
    </row>
    <row r="2" spans="1:14" ht="23.25" customHeight="1">
      <c r="A2" s="11"/>
      <c r="B2" s="12" t="s">
        <v>6</v>
      </c>
      <c r="C2" s="13"/>
      <c r="D2" s="13"/>
      <c r="E2" s="14"/>
      <c r="F2" s="12" t="s">
        <v>7</v>
      </c>
      <c r="G2" s="13"/>
      <c r="H2" s="13"/>
      <c r="I2" s="13"/>
      <c r="J2" s="13"/>
      <c r="K2" s="13"/>
      <c r="L2" s="13"/>
      <c r="M2" s="9"/>
      <c r="N2" s="10"/>
    </row>
    <row r="3" spans="1:14" ht="8" customHeight="1">
      <c r="A3" s="15"/>
      <c r="B3" s="16"/>
      <c r="C3" s="16"/>
      <c r="D3" s="17"/>
      <c r="E3" s="18"/>
      <c r="F3" s="19"/>
      <c r="G3" s="19"/>
      <c r="H3" s="19"/>
      <c r="I3" s="19"/>
      <c r="J3" s="19"/>
      <c r="K3" s="19"/>
      <c r="L3" s="17"/>
      <c r="M3" s="9"/>
      <c r="N3" s="10"/>
    </row>
    <row r="4" spans="1:14" ht="24.75" customHeight="1">
      <c r="A4" s="20"/>
      <c r="B4" s="21" t="s">
        <v>8</v>
      </c>
      <c r="C4" s="22" t="s">
        <v>9</v>
      </c>
      <c r="D4" s="23"/>
      <c r="E4" s="677">
        <v>1</v>
      </c>
      <c r="F4" s="679" t="s">
        <v>10</v>
      </c>
      <c r="G4" s="680"/>
      <c r="H4" s="680"/>
      <c r="I4" s="680"/>
      <c r="J4" s="680"/>
      <c r="K4" s="680"/>
      <c r="L4" s="24"/>
      <c r="M4" s="9"/>
      <c r="N4" s="25"/>
    </row>
    <row r="5" spans="1:14" ht="24.75" customHeight="1">
      <c r="A5" s="20"/>
      <c r="B5" s="671" t="s">
        <v>11</v>
      </c>
      <c r="C5" s="26" t="s">
        <v>12</v>
      </c>
      <c r="D5" s="27"/>
      <c r="E5" s="678"/>
      <c r="F5" s="680"/>
      <c r="G5" s="680"/>
      <c r="H5" s="680"/>
      <c r="I5" s="680"/>
      <c r="J5" s="680"/>
      <c r="K5" s="680"/>
      <c r="L5" s="24"/>
      <c r="M5" s="9"/>
      <c r="N5" s="10"/>
    </row>
    <row r="6" spans="1:14" ht="24.75" customHeight="1">
      <c r="A6" s="20"/>
      <c r="B6" s="672"/>
      <c r="C6" s="28" t="s">
        <v>13</v>
      </c>
      <c r="D6" s="27"/>
      <c r="E6" s="678"/>
      <c r="F6" s="680"/>
      <c r="G6" s="680"/>
      <c r="H6" s="680"/>
      <c r="I6" s="680"/>
      <c r="J6" s="680"/>
      <c r="K6" s="680"/>
      <c r="L6" s="24"/>
      <c r="M6" s="9"/>
      <c r="N6" s="10"/>
    </row>
    <row r="7" spans="1:14" ht="24.75" customHeight="1">
      <c r="A7" s="20"/>
      <c r="B7" s="672"/>
      <c r="C7" s="28" t="s">
        <v>14</v>
      </c>
      <c r="D7" s="29"/>
      <c r="E7" s="18"/>
      <c r="F7" s="19"/>
      <c r="G7" s="19"/>
      <c r="H7" s="19"/>
      <c r="I7" s="19"/>
      <c r="J7" s="19"/>
      <c r="K7" s="19"/>
      <c r="L7" s="30"/>
      <c r="M7" s="9"/>
      <c r="N7" s="10"/>
    </row>
    <row r="8" spans="1:14" ht="24.75" customHeight="1">
      <c r="A8" s="20"/>
      <c r="B8" s="672"/>
      <c r="C8" s="674" t="s">
        <v>15</v>
      </c>
      <c r="D8" s="31"/>
      <c r="E8" s="677">
        <v>2</v>
      </c>
      <c r="F8" s="679" t="s">
        <v>16</v>
      </c>
      <c r="G8" s="680"/>
      <c r="H8" s="680"/>
      <c r="I8" s="680"/>
      <c r="J8" s="680"/>
      <c r="K8" s="680"/>
      <c r="L8" s="24"/>
      <c r="M8" s="9"/>
      <c r="N8" s="10"/>
    </row>
    <row r="9" spans="1:14" ht="24.75" customHeight="1">
      <c r="A9" s="20"/>
      <c r="B9" s="672"/>
      <c r="C9" s="675"/>
      <c r="D9" s="31"/>
      <c r="E9" s="678"/>
      <c r="F9" s="680"/>
      <c r="G9" s="680"/>
      <c r="H9" s="680"/>
      <c r="I9" s="680"/>
      <c r="J9" s="680"/>
      <c r="K9" s="680"/>
      <c r="L9" s="24"/>
      <c r="M9" s="9"/>
      <c r="N9" s="10"/>
    </row>
    <row r="10" spans="1:14" ht="24.75" customHeight="1">
      <c r="A10" s="20"/>
      <c r="B10" s="673"/>
      <c r="C10" s="676"/>
      <c r="D10" s="31"/>
      <c r="E10" s="678"/>
      <c r="F10" s="680"/>
      <c r="G10" s="680"/>
      <c r="H10" s="680"/>
      <c r="I10" s="680"/>
      <c r="J10" s="680"/>
      <c r="K10" s="680"/>
      <c r="L10" s="24"/>
      <c r="M10" s="9"/>
      <c r="N10" s="10"/>
    </row>
    <row r="11" spans="1:14" ht="24.75" customHeight="1">
      <c r="A11" s="20"/>
      <c r="B11" s="681" t="s">
        <v>17</v>
      </c>
      <c r="C11" s="683" t="s">
        <v>18</v>
      </c>
      <c r="D11" s="32"/>
      <c r="E11" s="18"/>
      <c r="F11" s="33"/>
      <c r="G11" s="33"/>
      <c r="H11" s="33"/>
      <c r="I11" s="33"/>
      <c r="J11" s="33"/>
      <c r="K11" s="33"/>
      <c r="L11" s="30"/>
      <c r="M11" s="9"/>
      <c r="N11" s="10"/>
    </row>
    <row r="12" spans="1:14" ht="24.75" customHeight="1">
      <c r="A12" s="20"/>
      <c r="B12" s="682"/>
      <c r="C12" s="684"/>
      <c r="D12" s="23"/>
      <c r="E12" s="677">
        <v>3</v>
      </c>
      <c r="F12" s="679" t="s">
        <v>19</v>
      </c>
      <c r="G12" s="680"/>
      <c r="H12" s="680"/>
      <c r="I12" s="680"/>
      <c r="J12" s="680"/>
      <c r="K12" s="680"/>
      <c r="L12" s="24"/>
      <c r="M12" s="9"/>
      <c r="N12" s="34"/>
    </row>
    <row r="13" spans="1:14" ht="24.75" customHeight="1">
      <c r="A13" s="20"/>
      <c r="B13" s="21" t="s">
        <v>20</v>
      </c>
      <c r="C13" s="22" t="s">
        <v>21</v>
      </c>
      <c r="D13" s="23"/>
      <c r="E13" s="678"/>
      <c r="F13" s="680"/>
      <c r="G13" s="680"/>
      <c r="H13" s="680"/>
      <c r="I13" s="680"/>
      <c r="J13" s="680"/>
      <c r="K13" s="680"/>
      <c r="L13" s="24"/>
      <c r="M13" s="9"/>
      <c r="N13" s="10"/>
    </row>
    <row r="14" spans="1:14" ht="24.75" customHeight="1">
      <c r="A14" s="20"/>
      <c r="B14" s="21" t="s">
        <v>22</v>
      </c>
      <c r="C14" s="22" t="s">
        <v>23</v>
      </c>
      <c r="D14" s="23"/>
      <c r="E14" s="678"/>
      <c r="F14" s="680"/>
      <c r="G14" s="680"/>
      <c r="H14" s="680"/>
      <c r="I14" s="680"/>
      <c r="J14" s="680"/>
      <c r="K14" s="680"/>
      <c r="L14" s="24"/>
      <c r="M14" s="9"/>
      <c r="N14" s="10"/>
    </row>
    <row r="15" spans="1:14" ht="24.75" customHeight="1">
      <c r="A15" s="20"/>
      <c r="B15" s="655" t="s">
        <v>24</v>
      </c>
      <c r="C15" s="35" t="s">
        <v>25</v>
      </c>
      <c r="D15" s="36"/>
      <c r="E15" s="18"/>
      <c r="F15" s="37"/>
      <c r="G15" s="37"/>
      <c r="H15" s="37"/>
      <c r="I15" s="37"/>
      <c r="J15" s="37"/>
      <c r="K15" s="37"/>
      <c r="L15" s="30"/>
      <c r="M15" s="9"/>
      <c r="N15" s="34"/>
    </row>
    <row r="16" spans="1:14" ht="24.75" customHeight="1">
      <c r="A16" s="20"/>
      <c r="B16" s="656"/>
      <c r="C16" s="38" t="s">
        <v>26</v>
      </c>
      <c r="D16" s="23"/>
      <c r="E16" s="664">
        <v>4</v>
      </c>
      <c r="F16" s="658" t="s">
        <v>27</v>
      </c>
      <c r="G16" s="659"/>
      <c r="H16" s="659"/>
      <c r="I16" s="659"/>
      <c r="J16" s="659"/>
      <c r="K16" s="660"/>
      <c r="L16" s="24"/>
      <c r="M16" s="9"/>
      <c r="N16" s="34"/>
    </row>
    <row r="17" spans="1:14" ht="24.75" customHeight="1">
      <c r="A17" s="20"/>
      <c r="B17" s="656"/>
      <c r="C17" s="38" t="s">
        <v>28</v>
      </c>
      <c r="D17" s="23"/>
      <c r="E17" s="665"/>
      <c r="F17" s="667" t="s">
        <v>29</v>
      </c>
      <c r="G17" s="668"/>
      <c r="H17" s="668"/>
      <c r="I17" s="668"/>
      <c r="J17" s="668"/>
      <c r="K17" s="669"/>
      <c r="L17" s="24"/>
      <c r="M17" s="9"/>
      <c r="N17" s="34"/>
    </row>
    <row r="18" spans="1:14" ht="24.75" customHeight="1">
      <c r="A18" s="20"/>
      <c r="B18" s="656"/>
      <c r="C18" s="38" t="s">
        <v>30</v>
      </c>
      <c r="D18" s="23"/>
      <c r="E18" s="665"/>
      <c r="F18" s="667" t="s">
        <v>31</v>
      </c>
      <c r="G18" s="668"/>
      <c r="H18" s="668"/>
      <c r="I18" s="668"/>
      <c r="J18" s="668"/>
      <c r="K18" s="669"/>
      <c r="L18" s="24"/>
      <c r="M18" s="9"/>
      <c r="N18" s="34"/>
    </row>
    <row r="19" spans="1:14" ht="24.75" customHeight="1">
      <c r="A19" s="20"/>
      <c r="B19" s="657"/>
      <c r="C19" s="39" t="s">
        <v>32</v>
      </c>
      <c r="D19" s="23"/>
      <c r="E19" s="665"/>
      <c r="F19" s="670"/>
      <c r="G19" s="668"/>
      <c r="H19" s="668"/>
      <c r="I19" s="668"/>
      <c r="J19" s="668"/>
      <c r="K19" s="669"/>
      <c r="L19" s="24"/>
      <c r="M19" s="9"/>
      <c r="N19" s="34"/>
    </row>
    <row r="20" spans="1:14" ht="24.75" customHeight="1">
      <c r="A20" s="20"/>
      <c r="B20" s="21" t="s">
        <v>33</v>
      </c>
      <c r="C20" s="40" t="s">
        <v>34</v>
      </c>
      <c r="D20" s="41"/>
      <c r="E20" s="665"/>
      <c r="F20" s="646" t="s">
        <v>35</v>
      </c>
      <c r="G20" s="647"/>
      <c r="H20" s="647"/>
      <c r="I20" s="647"/>
      <c r="J20" s="647"/>
      <c r="K20" s="648"/>
      <c r="L20" s="24"/>
      <c r="M20" s="9"/>
      <c r="N20" s="34"/>
    </row>
    <row r="21" spans="1:14" ht="24.75" customHeight="1">
      <c r="A21" s="42"/>
      <c r="B21" s="652" t="s">
        <v>36</v>
      </c>
      <c r="C21" s="653"/>
      <c r="D21" s="43"/>
      <c r="E21" s="665"/>
      <c r="F21" s="646" t="s">
        <v>37</v>
      </c>
      <c r="G21" s="647"/>
      <c r="H21" s="647"/>
      <c r="I21" s="647"/>
      <c r="J21" s="647"/>
      <c r="K21" s="648"/>
      <c r="L21" s="24"/>
      <c r="M21" s="9"/>
      <c r="N21" s="10"/>
    </row>
    <row r="22" spans="1:14" ht="24.75" customHeight="1">
      <c r="A22" s="42"/>
      <c r="B22" s="654"/>
      <c r="C22" s="654"/>
      <c r="D22" s="43"/>
      <c r="E22" s="665"/>
      <c r="F22" s="661" t="s">
        <v>38</v>
      </c>
      <c r="G22" s="662"/>
      <c r="H22" s="662"/>
      <c r="I22" s="662"/>
      <c r="J22" s="662"/>
      <c r="K22" s="663"/>
      <c r="L22" s="24"/>
      <c r="M22" s="9"/>
      <c r="N22" s="10"/>
    </row>
    <row r="23" spans="1:14" ht="24.75" customHeight="1">
      <c r="A23" s="42"/>
      <c r="B23" s="30"/>
      <c r="C23" s="30"/>
      <c r="D23" s="43"/>
      <c r="E23" s="666"/>
      <c r="F23" s="649" t="s">
        <v>39</v>
      </c>
      <c r="G23" s="650"/>
      <c r="H23" s="650"/>
      <c r="I23" s="650"/>
      <c r="J23" s="650"/>
      <c r="K23" s="651"/>
      <c r="L23" s="24"/>
      <c r="M23" s="9"/>
      <c r="N23" s="34"/>
    </row>
    <row r="24" spans="1:14" ht="24.75" customHeight="1">
      <c r="A24" s="42"/>
      <c r="B24" s="13"/>
      <c r="C24" s="13"/>
      <c r="D24" s="13"/>
      <c r="E24" s="44"/>
      <c r="F24" s="19"/>
      <c r="G24" s="19"/>
      <c r="H24" s="19"/>
      <c r="I24" s="19"/>
      <c r="J24" s="19"/>
      <c r="K24" s="19"/>
      <c r="L24" s="30"/>
      <c r="M24" s="9"/>
      <c r="N24" s="10"/>
    </row>
    <row r="25" spans="1:14" ht="24.75" customHeight="1">
      <c r="A25" s="45"/>
      <c r="B25" s="625" t="s">
        <v>40</v>
      </c>
      <c r="C25" s="634" t="s">
        <v>41</v>
      </c>
      <c r="D25" s="635"/>
      <c r="E25" s="635"/>
      <c r="F25" s="635"/>
      <c r="G25" s="635"/>
      <c r="H25" s="635"/>
      <c r="I25" s="635"/>
      <c r="J25" s="635"/>
      <c r="K25" s="636"/>
      <c r="L25" s="24"/>
      <c r="M25" s="9"/>
      <c r="N25" s="10"/>
    </row>
    <row r="26" spans="1:14" ht="16.649999999999999" customHeight="1">
      <c r="A26" s="45"/>
      <c r="B26" s="626"/>
      <c r="C26" s="637"/>
      <c r="D26" s="638"/>
      <c r="E26" s="638"/>
      <c r="F26" s="638"/>
      <c r="G26" s="638"/>
      <c r="H26" s="638"/>
      <c r="I26" s="638"/>
      <c r="J26" s="638"/>
      <c r="K26" s="639"/>
      <c r="L26" s="24"/>
      <c r="M26" s="9"/>
      <c r="N26" s="10"/>
    </row>
    <row r="27" spans="1:14" ht="15" customHeight="1">
      <c r="A27" s="45"/>
      <c r="B27" s="626"/>
      <c r="C27" s="640" t="s">
        <v>42</v>
      </c>
      <c r="D27" s="641"/>
      <c r="E27" s="641"/>
      <c r="F27" s="641"/>
      <c r="G27" s="641"/>
      <c r="H27" s="641"/>
      <c r="I27" s="641"/>
      <c r="J27" s="641"/>
      <c r="K27" s="642"/>
      <c r="L27" s="24"/>
      <c r="M27" s="9"/>
      <c r="N27" s="34"/>
    </row>
    <row r="28" spans="1:14" ht="21" customHeight="1">
      <c r="A28" s="45"/>
      <c r="B28" s="626"/>
      <c r="C28" s="643"/>
      <c r="D28" s="644"/>
      <c r="E28" s="644"/>
      <c r="F28" s="644"/>
      <c r="G28" s="644"/>
      <c r="H28" s="644"/>
      <c r="I28" s="644"/>
      <c r="J28" s="644"/>
      <c r="K28" s="645"/>
      <c r="L28" s="24"/>
      <c r="M28" s="9"/>
      <c r="N28" s="10"/>
    </row>
    <row r="29" spans="1:14" ht="24.75" customHeight="1">
      <c r="A29" s="45"/>
      <c r="B29" s="626"/>
      <c r="C29" s="637"/>
      <c r="D29" s="638"/>
      <c r="E29" s="638"/>
      <c r="F29" s="638"/>
      <c r="G29" s="638"/>
      <c r="H29" s="638"/>
      <c r="I29" s="638"/>
      <c r="J29" s="638"/>
      <c r="K29" s="639"/>
      <c r="L29" s="24"/>
      <c r="M29" s="9"/>
      <c r="N29" s="10"/>
    </row>
    <row r="30" spans="1:14" ht="24.75" customHeight="1">
      <c r="A30" s="45"/>
      <c r="B30" s="626"/>
      <c r="C30" s="631"/>
      <c r="D30" s="632"/>
      <c r="E30" s="632"/>
      <c r="F30" s="632"/>
      <c r="G30" s="632"/>
      <c r="H30" s="632"/>
      <c r="I30" s="632"/>
      <c r="J30" s="632"/>
      <c r="K30" s="633"/>
      <c r="L30" s="24"/>
      <c r="M30" s="9"/>
      <c r="N30" s="10"/>
    </row>
    <row r="31" spans="1:14" ht="24.75" customHeight="1">
      <c r="A31" s="45"/>
      <c r="B31" s="626"/>
      <c r="C31" s="631"/>
      <c r="D31" s="632"/>
      <c r="E31" s="632"/>
      <c r="F31" s="632"/>
      <c r="G31" s="632"/>
      <c r="H31" s="632"/>
      <c r="I31" s="632"/>
      <c r="J31" s="632"/>
      <c r="K31" s="633"/>
      <c r="L31" s="24"/>
      <c r="M31" s="9"/>
      <c r="N31" s="10"/>
    </row>
    <row r="32" spans="1:14" ht="24.75" customHeight="1">
      <c r="A32" s="45"/>
      <c r="B32" s="626"/>
      <c r="C32" s="631"/>
      <c r="D32" s="632"/>
      <c r="E32" s="632"/>
      <c r="F32" s="632"/>
      <c r="G32" s="632"/>
      <c r="H32" s="632"/>
      <c r="I32" s="632"/>
      <c r="J32" s="632"/>
      <c r="K32" s="633"/>
      <c r="L32" s="24"/>
      <c r="M32" s="9"/>
      <c r="N32" s="10"/>
    </row>
    <row r="33" spans="1:14" ht="24.75" customHeight="1">
      <c r="A33" s="45"/>
      <c r="B33" s="626"/>
      <c r="C33" s="631"/>
      <c r="D33" s="632"/>
      <c r="E33" s="632"/>
      <c r="F33" s="632"/>
      <c r="G33" s="632"/>
      <c r="H33" s="632"/>
      <c r="I33" s="632"/>
      <c r="J33" s="632"/>
      <c r="K33" s="633"/>
      <c r="L33" s="24"/>
      <c r="M33" s="9"/>
      <c r="N33" s="10"/>
    </row>
    <row r="34" spans="1:14" ht="24.75" customHeight="1">
      <c r="A34" s="45"/>
      <c r="B34" s="626"/>
      <c r="C34" s="631"/>
      <c r="D34" s="632"/>
      <c r="E34" s="632"/>
      <c r="F34" s="632"/>
      <c r="G34" s="632"/>
      <c r="H34" s="632"/>
      <c r="I34" s="632"/>
      <c r="J34" s="632"/>
      <c r="K34" s="633"/>
      <c r="L34" s="24"/>
      <c r="M34" s="9"/>
      <c r="N34" s="10"/>
    </row>
    <row r="35" spans="1:14" ht="24.75" customHeight="1">
      <c r="A35" s="45"/>
      <c r="B35" s="627"/>
      <c r="C35" s="628"/>
      <c r="D35" s="629"/>
      <c r="E35" s="629"/>
      <c r="F35" s="629"/>
      <c r="G35" s="629"/>
      <c r="H35" s="629"/>
      <c r="I35" s="629"/>
      <c r="J35" s="629"/>
      <c r="K35" s="630"/>
      <c r="L35" s="24"/>
      <c r="M35" s="9"/>
      <c r="N35" s="10"/>
    </row>
    <row r="36" spans="1:14" ht="11.25" customHeight="1">
      <c r="A36" s="46"/>
      <c r="B36" s="47"/>
      <c r="C36" s="47"/>
      <c r="D36" s="47"/>
      <c r="E36" s="48"/>
      <c r="F36" s="47"/>
      <c r="G36" s="47"/>
      <c r="H36" s="47"/>
      <c r="I36" s="47"/>
      <c r="J36" s="47"/>
      <c r="K36" s="47"/>
      <c r="L36" s="49"/>
      <c r="M36" s="9"/>
      <c r="N36" s="10"/>
    </row>
  </sheetData>
  <mergeCells count="29">
    <mergeCell ref="B5:B10"/>
    <mergeCell ref="C8:C10"/>
    <mergeCell ref="E4:E6"/>
    <mergeCell ref="F4:K6"/>
    <mergeCell ref="B11:B12"/>
    <mergeCell ref="C11:C12"/>
    <mergeCell ref="F8:K10"/>
    <mergeCell ref="E8:E10"/>
    <mergeCell ref="F12:K14"/>
    <mergeCell ref="E12:E14"/>
    <mergeCell ref="F21:K21"/>
    <mergeCell ref="F23:K23"/>
    <mergeCell ref="B21:C22"/>
    <mergeCell ref="B15:B19"/>
    <mergeCell ref="F16:K16"/>
    <mergeCell ref="F22:K22"/>
    <mergeCell ref="F20:K20"/>
    <mergeCell ref="E16:E23"/>
    <mergeCell ref="F17:K17"/>
    <mergeCell ref="F18:K19"/>
    <mergeCell ref="B25:B35"/>
    <mergeCell ref="C35:K35"/>
    <mergeCell ref="C34:K34"/>
    <mergeCell ref="C33:K33"/>
    <mergeCell ref="C32:K32"/>
    <mergeCell ref="C31:K31"/>
    <mergeCell ref="C30:K30"/>
    <mergeCell ref="C25:K26"/>
    <mergeCell ref="C27:K29"/>
  </mergeCells>
  <hyperlinks>
    <hyperlink ref="F17" r:id="rId1" xr:uid="{00000000-0004-0000-0100-000000000000}"/>
    <hyperlink ref="F18" r:id="rId2" xr:uid="{00000000-0004-0000-0100-000001000000}"/>
    <hyperlink ref="F20" r:id="rId3" xr:uid="{00000000-0004-0000-0100-000002000000}"/>
    <hyperlink ref="F21" r:id="rId4" xr:uid="{00000000-0004-0000-0100-000003000000}"/>
    <hyperlink ref="F22" r:id="rId5" xr:uid="{00000000-0004-0000-0100-000004000000}"/>
    <hyperlink ref="F23" r:id="rId6" xr:uid="{00000000-0004-0000-0100-000005000000}"/>
  </hyperlinks>
  <pageMargins left="0.7" right="0.7" top="0.75" bottom="0.75" header="0.3" footer="0.3"/>
  <pageSetup scale="51" orientation="landscape"/>
  <headerFooter>
    <oddFooter>&amp;C&amp;"Arial,Regular"&amp;12&amp;K000000Uncontrolled when printed: 21/07/2025 | 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E107"/>
  <sheetViews>
    <sheetView showGridLines="0" tabSelected="1" topLeftCell="A21" workbookViewId="0">
      <selection activeCell="E32" sqref="E32:F32"/>
    </sheetView>
  </sheetViews>
  <sheetFormatPr defaultColWidth="8.84375" defaultRowHeight="15" customHeight="1"/>
  <cols>
    <col min="1" max="1" width="1.15234375" style="5" customWidth="1"/>
    <col min="2" max="19" width="10.84375" style="5" customWidth="1"/>
    <col min="20" max="20" width="1.15234375" style="5" customWidth="1"/>
    <col min="21" max="32" width="8.84375" style="5" customWidth="1"/>
    <col min="33" max="16384" width="8.84375" style="5"/>
  </cols>
  <sheetData>
    <row r="1" spans="1:31" ht="20.25" customHeight="1">
      <c r="A1" s="50"/>
      <c r="B1" s="797" t="s">
        <v>44</v>
      </c>
      <c r="C1" s="798"/>
      <c r="D1" s="798"/>
      <c r="E1" s="798"/>
      <c r="F1" s="798"/>
      <c r="G1" s="798"/>
      <c r="H1" s="798"/>
      <c r="I1" s="798"/>
      <c r="J1" s="798"/>
      <c r="K1" s="798"/>
      <c r="L1" s="798"/>
      <c r="M1" s="798"/>
      <c r="N1" s="798"/>
      <c r="O1" s="798"/>
      <c r="P1" s="798"/>
      <c r="Q1" s="798"/>
      <c r="R1" s="798"/>
      <c r="S1" s="798"/>
      <c r="T1" s="51"/>
      <c r="U1" s="52"/>
      <c r="V1" s="52"/>
      <c r="W1" s="52"/>
      <c r="X1" s="52"/>
      <c r="Y1" s="52"/>
      <c r="Z1" s="52"/>
      <c r="AA1" s="52"/>
      <c r="AB1" s="52"/>
      <c r="AC1" s="52"/>
      <c r="AD1" s="52"/>
      <c r="AE1" s="53"/>
    </row>
    <row r="2" spans="1:31" ht="33.75" customHeight="1">
      <c r="A2" s="54"/>
      <c r="B2" s="799" t="s">
        <v>45</v>
      </c>
      <c r="C2" s="800"/>
      <c r="D2" s="800"/>
      <c r="E2" s="800"/>
      <c r="F2" s="800"/>
      <c r="G2" s="800"/>
      <c r="H2" s="800"/>
      <c r="I2" s="800"/>
      <c r="J2" s="800"/>
      <c r="K2" s="800"/>
      <c r="L2" s="800"/>
      <c r="M2" s="800"/>
      <c r="N2" s="800"/>
      <c r="O2" s="800"/>
      <c r="P2" s="800"/>
      <c r="Q2" s="800"/>
      <c r="R2" s="800"/>
      <c r="S2" s="800"/>
      <c r="T2" s="55"/>
      <c r="U2" s="56"/>
      <c r="V2" s="57"/>
      <c r="W2" s="57"/>
      <c r="X2" s="57"/>
      <c r="Y2" s="57"/>
      <c r="Z2" s="57"/>
      <c r="AA2" s="57"/>
      <c r="AB2" s="57"/>
      <c r="AC2" s="57"/>
      <c r="AD2" s="57"/>
      <c r="AE2" s="58"/>
    </row>
    <row r="3" spans="1:31" ht="23.25" customHeight="1">
      <c r="A3" s="59"/>
      <c r="B3" s="801" t="s">
        <v>46</v>
      </c>
      <c r="C3" s="802"/>
      <c r="D3" s="802"/>
      <c r="E3" s="802"/>
      <c r="F3" s="802"/>
      <c r="G3" s="802"/>
      <c r="H3" s="802"/>
      <c r="I3" s="802"/>
      <c r="J3" s="802"/>
      <c r="K3" s="802"/>
      <c r="L3" s="802"/>
      <c r="M3" s="802"/>
      <c r="N3" s="802"/>
      <c r="O3" s="802"/>
      <c r="P3" s="802"/>
      <c r="Q3" s="802"/>
      <c r="R3" s="803"/>
      <c r="S3" s="803"/>
      <c r="T3" s="61"/>
      <c r="U3" s="56"/>
      <c r="V3" s="57"/>
      <c r="W3" s="57"/>
      <c r="X3" s="57"/>
      <c r="Y3" s="57"/>
      <c r="Z3" s="57"/>
      <c r="AA3" s="57"/>
      <c r="AB3" s="57"/>
      <c r="AC3" s="57"/>
      <c r="AD3" s="57"/>
      <c r="AE3" s="58"/>
    </row>
    <row r="4" spans="1:31" ht="19.5" customHeight="1">
      <c r="A4" s="59"/>
      <c r="B4" s="804" t="s">
        <v>47</v>
      </c>
      <c r="C4" s="805"/>
      <c r="D4" s="805"/>
      <c r="E4" s="805"/>
      <c r="F4" s="805"/>
      <c r="G4" s="805"/>
      <c r="H4" s="805"/>
      <c r="I4" s="805"/>
      <c r="J4" s="805"/>
      <c r="K4" s="805"/>
      <c r="L4" s="805"/>
      <c r="M4" s="805"/>
      <c r="N4" s="805"/>
      <c r="O4" s="805"/>
      <c r="P4" s="805"/>
      <c r="Q4" s="62" t="s">
        <v>48</v>
      </c>
      <c r="R4" s="63" t="s">
        <v>49</v>
      </c>
      <c r="S4" s="64" t="s">
        <v>50</v>
      </c>
      <c r="T4" s="65"/>
      <c r="U4" s="66"/>
      <c r="V4" s="67"/>
      <c r="W4" s="57"/>
      <c r="X4" s="57"/>
      <c r="Y4" s="57"/>
      <c r="Z4" s="57"/>
      <c r="AA4" s="57"/>
      <c r="AB4" s="57"/>
      <c r="AC4" s="57"/>
      <c r="AD4" s="57"/>
      <c r="AE4" s="58"/>
    </row>
    <row r="5" spans="1:31" ht="18.75" customHeight="1">
      <c r="A5" s="59"/>
      <c r="B5" s="68" t="s">
        <v>51</v>
      </c>
      <c r="C5" s="69"/>
      <c r="D5" s="70"/>
      <c r="E5" s="70"/>
      <c r="F5" s="70"/>
      <c r="G5" s="70"/>
      <c r="H5" s="70"/>
      <c r="I5" s="70"/>
      <c r="J5" s="71"/>
      <c r="K5" s="71"/>
      <c r="L5" s="71"/>
      <c r="M5" s="71"/>
      <c r="N5" s="71"/>
      <c r="O5" s="71"/>
      <c r="P5" s="71"/>
      <c r="Q5" s="72"/>
      <c r="R5" s="812" t="s">
        <v>52</v>
      </c>
      <c r="S5" s="813"/>
      <c r="T5" s="65"/>
      <c r="U5" s="56"/>
      <c r="V5" s="73"/>
      <c r="W5" s="73"/>
      <c r="X5" s="73"/>
      <c r="Y5" s="73"/>
      <c r="Z5" s="73"/>
      <c r="AA5" s="73"/>
      <c r="AB5" s="73"/>
      <c r="AC5" s="73"/>
      <c r="AD5" s="73"/>
      <c r="AE5" s="74"/>
    </row>
    <row r="6" spans="1:31" ht="8" customHeight="1">
      <c r="A6" s="59"/>
      <c r="B6" s="75"/>
      <c r="C6" s="75"/>
      <c r="D6" s="76"/>
      <c r="E6" s="76"/>
      <c r="F6" s="76"/>
      <c r="G6" s="76"/>
      <c r="H6" s="76"/>
      <c r="I6" s="76"/>
      <c r="J6" s="77"/>
      <c r="K6" s="77"/>
      <c r="L6" s="77"/>
      <c r="M6" s="78"/>
      <c r="N6" s="78"/>
      <c r="O6" s="77"/>
      <c r="P6" s="77"/>
      <c r="Q6" s="79"/>
      <c r="R6" s="833" t="s">
        <v>53</v>
      </c>
      <c r="S6" s="834"/>
      <c r="T6" s="61"/>
      <c r="U6" s="56"/>
      <c r="V6" s="73"/>
      <c r="W6" s="73"/>
      <c r="X6" s="73"/>
      <c r="Y6" s="73"/>
      <c r="Z6" s="73"/>
      <c r="AA6" s="73"/>
      <c r="AB6" s="73"/>
      <c r="AC6" s="73"/>
      <c r="AD6" s="73"/>
      <c r="AE6" s="74"/>
    </row>
    <row r="7" spans="1:31" ht="18.75" customHeight="1">
      <c r="A7" s="59"/>
      <c r="B7" s="691" t="s">
        <v>54</v>
      </c>
      <c r="C7" s="693"/>
      <c r="D7" s="840" t="s">
        <v>55</v>
      </c>
      <c r="E7" s="841"/>
      <c r="F7" s="841"/>
      <c r="G7" s="841"/>
      <c r="H7" s="841"/>
      <c r="I7" s="842"/>
      <c r="J7" s="80"/>
      <c r="K7" s="688" t="s">
        <v>56</v>
      </c>
      <c r="L7" s="690"/>
      <c r="M7" s="843" t="s">
        <v>57</v>
      </c>
      <c r="N7" s="844"/>
      <c r="O7" s="81"/>
      <c r="P7" s="82"/>
      <c r="Q7" s="82"/>
      <c r="R7" s="835"/>
      <c r="S7" s="835"/>
      <c r="T7" s="61"/>
      <c r="U7" s="66"/>
      <c r="V7" s="73"/>
      <c r="W7" s="73"/>
      <c r="X7" s="73"/>
      <c r="Y7" s="73"/>
      <c r="Z7" s="73"/>
      <c r="AA7" s="73"/>
      <c r="AB7" s="73"/>
      <c r="AC7" s="73"/>
      <c r="AD7" s="73"/>
      <c r="AE7" s="74"/>
    </row>
    <row r="8" spans="1:31" ht="18.75" customHeight="1">
      <c r="A8" s="59"/>
      <c r="B8" s="691" t="s">
        <v>58</v>
      </c>
      <c r="C8" s="693"/>
      <c r="D8" s="817" t="s">
        <v>59</v>
      </c>
      <c r="E8" s="818"/>
      <c r="F8" s="819"/>
      <c r="G8" s="83"/>
      <c r="H8" s="84"/>
      <c r="I8" s="84"/>
      <c r="J8" s="82"/>
      <c r="K8" s="688" t="s">
        <v>60</v>
      </c>
      <c r="L8" s="690"/>
      <c r="M8" s="820"/>
      <c r="N8" s="821"/>
      <c r="O8" s="809" t="s">
        <v>61</v>
      </c>
      <c r="P8" s="810"/>
      <c r="Q8" s="811"/>
      <c r="R8" s="85" cm="1">
        <f t="array" ref="R8">$E$39/$E$33</f>
        <v>4.4705882352941178</v>
      </c>
      <c r="S8" s="86" t="s">
        <v>62</v>
      </c>
      <c r="T8" s="65"/>
      <c r="U8" s="66"/>
      <c r="V8" s="73"/>
      <c r="W8" s="73"/>
      <c r="X8" s="73"/>
      <c r="Y8" s="73"/>
      <c r="Z8" s="73"/>
      <c r="AA8" s="73"/>
      <c r="AB8" s="73"/>
      <c r="AC8" s="73"/>
      <c r="AD8" s="73"/>
      <c r="AE8" s="74"/>
    </row>
    <row r="9" spans="1:31" ht="18.75" customHeight="1">
      <c r="A9" s="59"/>
      <c r="B9" s="688" t="s">
        <v>63</v>
      </c>
      <c r="C9" s="690"/>
      <c r="D9" s="828">
        <v>45265</v>
      </c>
      <c r="E9" s="829"/>
      <c r="F9" s="830"/>
      <c r="G9" s="87"/>
      <c r="H9" s="88"/>
      <c r="I9" s="88"/>
      <c r="J9" s="82"/>
      <c r="K9" s="82"/>
      <c r="L9" s="82"/>
      <c r="M9" s="84"/>
      <c r="N9" s="84"/>
      <c r="O9" s="806" t="s">
        <v>64</v>
      </c>
      <c r="P9" s="807"/>
      <c r="Q9" s="808"/>
      <c r="R9" s="90" cm="1">
        <f t="array" ref="R9">IFERROR(($E$39/MIN(($K$21+$K$23),$E$33)),"n/a")</f>
        <v>6.4406779661016946</v>
      </c>
      <c r="S9" s="86" t="s">
        <v>62</v>
      </c>
      <c r="T9" s="65"/>
      <c r="U9" s="66"/>
      <c r="V9" s="57"/>
      <c r="W9" s="57"/>
      <c r="X9" s="57"/>
      <c r="Y9" s="57"/>
      <c r="Z9" s="57"/>
      <c r="AA9" s="57"/>
      <c r="AB9" s="57"/>
      <c r="AC9" s="57"/>
      <c r="AD9" s="57"/>
      <c r="AE9" s="58"/>
    </row>
    <row r="10" spans="1:31" ht="18.75" customHeight="1">
      <c r="A10" s="59"/>
      <c r="B10" s="691" t="s">
        <v>65</v>
      </c>
      <c r="C10" s="693"/>
      <c r="D10" s="817" t="s">
        <v>66</v>
      </c>
      <c r="E10" s="831"/>
      <c r="F10" s="831"/>
      <c r="G10" s="831"/>
      <c r="H10" s="831"/>
      <c r="I10" s="832"/>
      <c r="J10" s="81"/>
      <c r="K10" s="91"/>
      <c r="L10" s="91"/>
      <c r="M10" s="91"/>
      <c r="N10" s="91"/>
      <c r="O10" s="806" t="s">
        <v>67</v>
      </c>
      <c r="P10" s="807"/>
      <c r="Q10" s="808"/>
      <c r="R10" s="90" cm="1">
        <f t="array" ref="R10">IF($K$33&gt;0,$E$39/$K$33,"n/a")</f>
        <v>63.333333333333336</v>
      </c>
      <c r="S10" s="86" t="s">
        <v>62</v>
      </c>
      <c r="T10" s="65"/>
      <c r="U10" s="66"/>
      <c r="V10" s="67"/>
      <c r="W10" s="57"/>
      <c r="X10" s="57"/>
      <c r="Y10" s="57"/>
      <c r="Z10" s="57"/>
      <c r="AA10" s="57"/>
      <c r="AB10" s="57"/>
      <c r="AC10" s="57"/>
      <c r="AD10" s="57"/>
      <c r="AE10" s="58"/>
    </row>
    <row r="11" spans="1:31" ht="18.75" customHeight="1">
      <c r="A11" s="59"/>
      <c r="B11" s="691" t="s">
        <v>68</v>
      </c>
      <c r="C11" s="693"/>
      <c r="D11" s="822" t="s">
        <v>69</v>
      </c>
      <c r="E11" s="823"/>
      <c r="F11" s="824"/>
      <c r="G11" s="92"/>
      <c r="H11" s="84"/>
      <c r="I11" s="84"/>
      <c r="J11" s="82"/>
      <c r="K11" s="93"/>
      <c r="L11" s="93"/>
      <c r="M11" s="93"/>
      <c r="N11" s="93"/>
      <c r="O11" s="82"/>
      <c r="P11" s="82"/>
      <c r="Q11" s="89"/>
      <c r="R11" s="94"/>
      <c r="S11" s="95"/>
      <c r="T11" s="61"/>
      <c r="U11" s="66"/>
      <c r="V11" s="57"/>
      <c r="W11" s="57"/>
      <c r="X11" s="57"/>
      <c r="Y11" s="57"/>
      <c r="Z11" s="57"/>
      <c r="AA11" s="57"/>
      <c r="AB11" s="57"/>
      <c r="AC11" s="57"/>
      <c r="AD11" s="57"/>
      <c r="AE11" s="58"/>
    </row>
    <row r="12" spans="1:31" ht="18.75" customHeight="1">
      <c r="A12" s="59"/>
      <c r="B12" s="825" t="s">
        <v>70</v>
      </c>
      <c r="C12" s="826"/>
      <c r="D12" s="827"/>
      <c r="E12" s="827"/>
      <c r="F12" s="827"/>
      <c r="G12" s="826"/>
      <c r="H12" s="82"/>
      <c r="I12" s="82"/>
      <c r="J12" s="82"/>
      <c r="K12" s="96"/>
      <c r="L12" s="96"/>
      <c r="M12" s="91"/>
      <c r="N12" s="91"/>
      <c r="O12" s="82"/>
      <c r="P12" s="845" t="str" cm="1">
        <f t="array" ref="P12">IF(R8&lt;1,"FCERM GiA eligibility is removed as costs exceed benefits",IF(R8&lt;2,"Caution. Low benefit to cost ratio. Cost increases may affect FCERM GiA eligibility",""))</f>
        <v/>
      </c>
      <c r="Q12" s="845"/>
      <c r="R12" s="845"/>
      <c r="S12" s="845"/>
      <c r="T12" s="61"/>
      <c r="U12" s="56"/>
      <c r="V12" s="57"/>
      <c r="W12" s="57"/>
      <c r="X12" s="57"/>
      <c r="Y12" s="57"/>
      <c r="Z12" s="57"/>
      <c r="AA12" s="57"/>
      <c r="AB12" s="57"/>
      <c r="AC12" s="57"/>
      <c r="AD12" s="57"/>
      <c r="AE12" s="58"/>
    </row>
    <row r="13" spans="1:31" ht="18.75" customHeight="1">
      <c r="A13" s="59"/>
      <c r="B13" s="846" t="s">
        <v>71</v>
      </c>
      <c r="C13" s="847"/>
      <c r="D13" s="847"/>
      <c r="E13" s="847"/>
      <c r="F13" s="847"/>
      <c r="G13" s="847"/>
      <c r="H13" s="847"/>
      <c r="I13" s="847"/>
      <c r="J13" s="82"/>
      <c r="K13" s="96"/>
      <c r="L13" s="96"/>
      <c r="M13" s="91"/>
      <c r="N13" s="91"/>
      <c r="O13" s="82"/>
      <c r="P13" s="845"/>
      <c r="Q13" s="845"/>
      <c r="R13" s="845"/>
      <c r="S13" s="845"/>
      <c r="T13" s="61"/>
      <c r="U13" s="56"/>
      <c r="V13" s="57"/>
      <c r="W13" s="57"/>
      <c r="X13" s="57"/>
      <c r="Y13" s="57"/>
      <c r="Z13" s="57"/>
      <c r="AA13" s="57"/>
      <c r="AB13" s="57"/>
      <c r="AC13" s="57"/>
      <c r="AD13" s="57"/>
      <c r="AE13" s="58"/>
    </row>
    <row r="14" spans="1:31" ht="8" customHeight="1">
      <c r="A14" s="59"/>
      <c r="B14" s="78"/>
      <c r="C14" s="78"/>
      <c r="D14" s="78"/>
      <c r="E14" s="78"/>
      <c r="F14" s="78"/>
      <c r="G14" s="78"/>
      <c r="H14" s="78"/>
      <c r="I14" s="78"/>
      <c r="J14" s="78"/>
      <c r="K14" s="78"/>
      <c r="L14" s="78"/>
      <c r="M14" s="78"/>
      <c r="N14" s="78"/>
      <c r="O14" s="78"/>
      <c r="P14" s="78"/>
      <c r="Q14" s="78"/>
      <c r="R14" s="78"/>
      <c r="S14" s="78"/>
      <c r="T14" s="61"/>
      <c r="U14" s="56"/>
      <c r="V14" s="57"/>
      <c r="W14" s="57"/>
      <c r="X14" s="57"/>
      <c r="Y14" s="57"/>
      <c r="Z14" s="57"/>
      <c r="AA14" s="57"/>
      <c r="AB14" s="57"/>
      <c r="AC14" s="57"/>
      <c r="AD14" s="57"/>
      <c r="AE14" s="58"/>
    </row>
    <row r="15" spans="1:31" ht="18.75" customHeight="1">
      <c r="A15" s="59"/>
      <c r="B15" s="767" t="s">
        <v>72</v>
      </c>
      <c r="C15" s="727"/>
      <c r="D15" s="727"/>
      <c r="E15" s="727"/>
      <c r="F15" s="727"/>
      <c r="G15" s="727"/>
      <c r="H15" s="727"/>
      <c r="I15" s="727"/>
      <c r="J15" s="727"/>
      <c r="K15" s="727"/>
      <c r="L15" s="727"/>
      <c r="M15" s="727"/>
      <c r="N15" s="727"/>
      <c r="O15" s="727"/>
      <c r="P15" s="727"/>
      <c r="Q15" s="727"/>
      <c r="R15" s="727"/>
      <c r="S15" s="727"/>
      <c r="T15" s="61"/>
      <c r="U15" s="56"/>
      <c r="V15" s="57"/>
      <c r="W15" s="57"/>
      <c r="X15" s="57"/>
      <c r="Y15" s="57"/>
      <c r="Z15" s="57"/>
      <c r="AA15" s="57"/>
      <c r="AB15" s="57"/>
      <c r="AC15" s="57"/>
      <c r="AD15" s="57"/>
      <c r="AE15" s="58"/>
    </row>
    <row r="16" spans="1:31" ht="8" customHeight="1">
      <c r="A16" s="59"/>
      <c r="B16" s="97"/>
      <c r="C16" s="77"/>
      <c r="D16" s="77"/>
      <c r="E16" s="78"/>
      <c r="F16" s="78"/>
      <c r="G16" s="77"/>
      <c r="H16" s="77"/>
      <c r="I16" s="77"/>
      <c r="J16" s="77"/>
      <c r="K16" s="77"/>
      <c r="L16" s="77"/>
      <c r="M16" s="77"/>
      <c r="N16" s="77"/>
      <c r="O16" s="77"/>
      <c r="P16" s="77"/>
      <c r="Q16" s="77"/>
      <c r="R16" s="77"/>
      <c r="S16" s="77"/>
      <c r="T16" s="61"/>
      <c r="U16" s="56"/>
      <c r="V16" s="57"/>
      <c r="W16" s="57"/>
      <c r="X16" s="57"/>
      <c r="Y16" s="57"/>
      <c r="Z16" s="57"/>
      <c r="AA16" s="57"/>
      <c r="AB16" s="57"/>
      <c r="AC16" s="57"/>
      <c r="AD16" s="57"/>
      <c r="AE16" s="58"/>
    </row>
    <row r="17" spans="1:31" ht="18.75" customHeight="1">
      <c r="A17" s="59"/>
      <c r="B17" s="709" t="s">
        <v>73</v>
      </c>
      <c r="C17" s="710"/>
      <c r="D17" s="711"/>
      <c r="E17" s="838" t="s">
        <v>74</v>
      </c>
      <c r="F17" s="839"/>
      <c r="G17" s="776" t="str" cm="1">
        <f t="array" ref="G17">IF(R8&lt;1,"",IF($E$17="No","GiA reduced to 45% of maximum to avoid risk of double counting benefits","See guidance. Evidence provided in the business case"))</f>
        <v>See guidance. Evidence provided in the business case</v>
      </c>
      <c r="H17" s="735"/>
      <c r="I17" s="735"/>
      <c r="J17" s="735"/>
      <c r="K17" s="98"/>
      <c r="L17" s="98"/>
      <c r="M17" s="82"/>
      <c r="N17" s="82"/>
      <c r="O17" s="82"/>
      <c r="P17" s="82"/>
      <c r="Q17" s="82"/>
      <c r="R17" s="82"/>
      <c r="S17" s="82"/>
      <c r="T17" s="61"/>
      <c r="U17" s="56"/>
      <c r="V17" s="57"/>
      <c r="W17" s="57"/>
      <c r="X17" s="57"/>
      <c r="Y17" s="57"/>
      <c r="Z17" s="57"/>
      <c r="AA17" s="57"/>
      <c r="AB17" s="57"/>
      <c r="AC17" s="57"/>
      <c r="AD17" s="57"/>
      <c r="AE17" s="58"/>
    </row>
    <row r="18" spans="1:31" ht="9" customHeight="1">
      <c r="A18" s="59"/>
      <c r="B18" s="82"/>
      <c r="C18" s="82"/>
      <c r="D18" s="82"/>
      <c r="E18" s="99"/>
      <c r="F18" s="99"/>
      <c r="G18" s="735"/>
      <c r="H18" s="735"/>
      <c r="I18" s="735"/>
      <c r="J18" s="735"/>
      <c r="K18" s="88"/>
      <c r="L18" s="88"/>
      <c r="M18" s="685" t="str" cm="1">
        <f t="array" ref="M18">IF(R8&lt;1,"",IF(K33&lt;E21,"Insufficient contributions to secure FCERM GiA",IF(K19&lt;1.05,"Review maturity of the risk contingency and any contributions to minimise the risk of exceeding FCERM GiA limits","")))</f>
        <v>Review maturity of the risk contingency and any contributions to minimise the risk of exceeding FCERM GiA limits</v>
      </c>
      <c r="N18" s="685"/>
      <c r="O18" s="685"/>
      <c r="P18" s="685"/>
      <c r="Q18" s="685"/>
      <c r="R18" s="685"/>
      <c r="S18" s="82"/>
      <c r="T18" s="61"/>
      <c r="U18" s="56"/>
      <c r="V18" s="100"/>
      <c r="W18" s="57"/>
      <c r="X18" s="67"/>
      <c r="Y18" s="57"/>
      <c r="Z18" s="57"/>
      <c r="AA18" s="57"/>
      <c r="AB18" s="57"/>
      <c r="AC18" s="57"/>
      <c r="AD18" s="57"/>
      <c r="AE18" s="58"/>
    </row>
    <row r="19" spans="1:31" ht="18.75" customHeight="1">
      <c r="A19" s="59"/>
      <c r="B19" s="771" t="s">
        <v>75</v>
      </c>
      <c r="C19" s="772"/>
      <c r="D19" s="773"/>
      <c r="E19" s="836" cm="1">
        <f t="array" ref="E19">IF(E23="low BCR","n/a",IF($E$17="Yes",$E$23/MAX($E$33,$E$31),0.45*$E$23/MAX($E$33,$E$31)))</f>
        <v>0.91103432308762522</v>
      </c>
      <c r="F19" s="837"/>
      <c r="G19" s="81"/>
      <c r="H19" s="771" t="s">
        <v>76</v>
      </c>
      <c r="I19" s="772"/>
      <c r="J19" s="773"/>
      <c r="K19" s="836" cm="1">
        <f t="array" ref="K19">IF(E23="low BCR","n/a",IF($E$17="Yes",IF(D11="Environment Agency",E23/MAX(MAX(E33,E31)-K33,1),E19+K33/E31),IF(D11="Environment Agency",E23*0.45/MAX(MAX(E33,E31)-K33,1),E19+K33/E31)))</f>
        <v>1.0033420153953174</v>
      </c>
      <c r="L19" s="837"/>
      <c r="M19" s="686"/>
      <c r="N19" s="685"/>
      <c r="O19" s="685"/>
      <c r="P19" s="685"/>
      <c r="Q19" s="685"/>
      <c r="R19" s="685"/>
      <c r="S19" s="82"/>
      <c r="T19" s="61"/>
      <c r="U19" s="56"/>
      <c r="V19" s="57"/>
      <c r="W19" s="57"/>
      <c r="X19" s="57"/>
      <c r="Y19" s="57"/>
      <c r="Z19" s="57"/>
      <c r="AA19" s="57"/>
      <c r="AB19" s="57"/>
      <c r="AC19" s="57"/>
      <c r="AD19" s="57"/>
      <c r="AE19" s="58"/>
    </row>
    <row r="20" spans="1:31" ht="9" customHeight="1">
      <c r="A20" s="59"/>
      <c r="B20" s="82"/>
      <c r="C20" s="82"/>
      <c r="D20" s="82"/>
      <c r="E20" s="101"/>
      <c r="F20" s="101"/>
      <c r="G20" s="82"/>
      <c r="H20" s="82"/>
      <c r="I20" s="82"/>
      <c r="J20" s="82"/>
      <c r="K20" s="99"/>
      <c r="L20" s="99"/>
      <c r="M20" s="685"/>
      <c r="N20" s="685"/>
      <c r="O20" s="685"/>
      <c r="P20" s="685"/>
      <c r="Q20" s="685"/>
      <c r="R20" s="685"/>
      <c r="S20" s="82"/>
      <c r="T20" s="61"/>
      <c r="U20" s="56"/>
      <c r="V20" s="57"/>
      <c r="W20" s="57"/>
      <c r="X20" s="57"/>
      <c r="Y20" s="57"/>
      <c r="Z20" s="57"/>
      <c r="AA20" s="57"/>
      <c r="AB20" s="57"/>
      <c r="AC20" s="57"/>
      <c r="AD20" s="57"/>
      <c r="AE20" s="58"/>
    </row>
    <row r="21" spans="1:31" ht="18.75" customHeight="1">
      <c r="A21" s="59"/>
      <c r="B21" s="688" t="s">
        <v>77</v>
      </c>
      <c r="C21" s="689"/>
      <c r="D21" s="690"/>
      <c r="E21" s="698" cm="1">
        <f t="array" ref="E21">IF(E23="low BCR","n/a",IF(E23=0,0,ROUNDUP((IF($E$17="Yes",MAX(IF(D11="Environment Agency",MAX(E33,E31)-MIN(E23,E33),E31*(1-(E19))),0),IF(D11="Environment Agency",MAX(E33,E31)-MIN(E23*0.45,E33),E31*(1-(E19))))),0)))</f>
        <v>578277</v>
      </c>
      <c r="F21" s="699"/>
      <c r="G21" s="714" t="str" cm="1">
        <f t="array" ref="G21">IF(M7="","update project stage",IF(AND(OR(M7="OBC",M7="FBC",M7="Change (after OBC)"),'Economic summary'!H12&lt;4),"Check Economic summary",""))</f>
        <v/>
      </c>
      <c r="H21" s="688" t="s">
        <v>78</v>
      </c>
      <c r="I21" s="689"/>
      <c r="J21" s="690"/>
      <c r="K21" s="731" cm="1">
        <f t="array" ref="K21">IF(E23="low BCR","n/a",IF(ROUNDUP(K19,4)&lt;100%,0,IF(K32+M32&gt;E31,0,E31-(K32+M32))))</f>
        <v>5900000</v>
      </c>
      <c r="L21" s="732"/>
      <c r="M21" s="729" t="str" cm="1">
        <f t="array" ref="M21">IF(R8&lt;1,"",IF(M18="Insufficient contributions to secure FCERM GiA","",IF(K21&gt;E23,"Insufficient eligible FCERM GiA towards cost for approval",IF(K32+M32&gt;=E31,"No FCERM GiA required",""))))</f>
        <v/>
      </c>
      <c r="N21" s="730"/>
      <c r="O21" s="730"/>
      <c r="P21" s="730"/>
      <c r="Q21" s="730"/>
      <c r="R21" s="82"/>
      <c r="S21" s="82"/>
      <c r="T21" s="61"/>
      <c r="U21" s="56"/>
      <c r="V21" s="100"/>
      <c r="W21" s="57"/>
      <c r="X21" s="57"/>
      <c r="Y21" s="67"/>
      <c r="Z21" s="57"/>
      <c r="AA21" s="57"/>
      <c r="AB21" s="57"/>
      <c r="AC21" s="57"/>
      <c r="AD21" s="57"/>
      <c r="AE21" s="58"/>
    </row>
    <row r="22" spans="1:31" ht="9" customHeight="1">
      <c r="A22" s="59"/>
      <c r="B22" s="82"/>
      <c r="C22" s="82"/>
      <c r="D22" s="82"/>
      <c r="E22" s="99"/>
      <c r="F22" s="99"/>
      <c r="G22" s="715"/>
      <c r="H22" s="82"/>
      <c r="I22" s="82"/>
      <c r="J22" s="82"/>
      <c r="K22" s="99"/>
      <c r="L22" s="99"/>
      <c r="M22" s="685" t="str" cm="1">
        <f t="array" ref="M22">IF(K23="n/a","",IF(D11="Environment Agency",IF(E32-O32&gt;E23,"Insufficient eligible FCERM GiA towards future costs",""),"Other RMAs are not eligible for the proportion of the pv maximum eligible FCERM GiA that is for future costs"))</f>
        <v>Other RMAs are not eligible for the proportion of the pv maximum eligible FCERM GiA that is for future costs</v>
      </c>
      <c r="N22" s="685"/>
      <c r="O22" s="685"/>
      <c r="P22" s="685"/>
      <c r="Q22" s="685"/>
      <c r="R22" s="91"/>
      <c r="S22" s="91"/>
      <c r="T22" s="61"/>
      <c r="U22" s="56"/>
      <c r="V22" s="100"/>
      <c r="W22" s="57"/>
      <c r="X22" s="67"/>
      <c r="Y22" s="57"/>
      <c r="Z22" s="57"/>
      <c r="AA22" s="57"/>
      <c r="AB22" s="57"/>
      <c r="AC22" s="57"/>
      <c r="AD22" s="57"/>
      <c r="AE22" s="58"/>
    </row>
    <row r="23" spans="1:31" ht="18.75" customHeight="1">
      <c r="A23" s="59"/>
      <c r="B23" s="709" t="s">
        <v>79</v>
      </c>
      <c r="C23" s="710"/>
      <c r="D23" s="711"/>
      <c r="E23" s="698" cm="1">
        <f t="array" ref="E23">IF(R8&lt;1,"low BCR",IF(OR(M7="Pre-SOC",M7="SOC",M7="Change (before OBC)"),H105,IF('Economic summary'!H12&lt;4,0,H105)))</f>
        <v>7743791.7462448142</v>
      </c>
      <c r="F23" s="699"/>
      <c r="G23" s="714"/>
      <c r="H23" s="688" t="s">
        <v>80</v>
      </c>
      <c r="I23" s="689"/>
      <c r="J23" s="690"/>
      <c r="K23" s="731" cm="1">
        <f t="array" ref="K23">IF(E23="low BCR","n/a",IF(D11="Environment Agency",(IF(ROUNDUP(K19,4)&lt;100%,0,IF(E32-O32&gt;E23,0,IF(O32&lt;E32,E32-O32,0)))),0))</f>
        <v>0</v>
      </c>
      <c r="L23" s="732"/>
      <c r="M23" s="686"/>
      <c r="N23" s="685"/>
      <c r="O23" s="685"/>
      <c r="P23" s="685"/>
      <c r="Q23" s="685"/>
      <c r="R23" s="91"/>
      <c r="S23" s="91"/>
      <c r="T23" s="61"/>
      <c r="U23" s="56"/>
      <c r="V23" s="100"/>
      <c r="W23" s="57"/>
      <c r="X23" s="57"/>
      <c r="Y23" s="57"/>
      <c r="Z23" s="57"/>
      <c r="AA23" s="57"/>
      <c r="AB23" s="57"/>
      <c r="AC23" s="57"/>
      <c r="AD23" s="57"/>
      <c r="AE23" s="58"/>
    </row>
    <row r="24" spans="1:31" ht="9.75" customHeight="1">
      <c r="A24" s="59"/>
      <c r="B24" s="78"/>
      <c r="C24" s="78"/>
      <c r="D24" s="78"/>
      <c r="E24" s="102"/>
      <c r="F24" s="102"/>
      <c r="G24" s="103"/>
      <c r="H24" s="78"/>
      <c r="I24" s="78"/>
      <c r="J24" s="78"/>
      <c r="K24" s="102"/>
      <c r="L24" s="102"/>
      <c r="M24" s="687"/>
      <c r="N24" s="687"/>
      <c r="O24" s="687"/>
      <c r="P24" s="687"/>
      <c r="Q24" s="687"/>
      <c r="R24" s="78"/>
      <c r="S24" s="78"/>
      <c r="T24" s="61"/>
      <c r="U24" s="56"/>
      <c r="V24" s="57"/>
      <c r="W24" s="57"/>
      <c r="X24" s="57"/>
      <c r="Y24" s="57"/>
      <c r="Z24" s="57"/>
      <c r="AA24" s="57"/>
      <c r="AB24" s="57"/>
      <c r="AC24" s="57"/>
      <c r="AD24" s="57"/>
      <c r="AE24" s="58"/>
    </row>
    <row r="25" spans="1:31" ht="18.75" customHeight="1">
      <c r="A25" s="59"/>
      <c r="B25" s="727" t="str" cm="1">
        <f t="array" ref="B25">IF(M7="Pre-SOC","SECTION 3: Costs and contributions for the CHOSEN OPTION (over the duration of benefits period)",IF(OR(M7="SOC",M7="Change (before OBC)"),"SECTION 3: Costs and contributions for the LEADING OPTION (over the duration of benefits period)","SECTION 3: Costs and contributions for the PREFERRED OPTION (over the duration of benefits period)"))</f>
        <v>SECTION 3: Costs and contributions for the CHOSEN OPTION (over the duration of benefits period)</v>
      </c>
      <c r="C25" s="727"/>
      <c r="D25" s="727"/>
      <c r="E25" s="727"/>
      <c r="F25" s="727"/>
      <c r="G25" s="727"/>
      <c r="H25" s="727"/>
      <c r="I25" s="727"/>
      <c r="J25" s="727"/>
      <c r="K25" s="727"/>
      <c r="L25" s="727"/>
      <c r="M25" s="727"/>
      <c r="N25" s="727"/>
      <c r="O25" s="727"/>
      <c r="P25" s="727"/>
      <c r="Q25" s="727"/>
      <c r="R25" s="727"/>
      <c r="S25" s="727"/>
      <c r="T25" s="61"/>
      <c r="U25" s="56"/>
      <c r="V25" s="57"/>
      <c r="W25" s="57"/>
      <c r="X25" s="57"/>
      <c r="Y25" s="57"/>
      <c r="Z25" s="57"/>
      <c r="AA25" s="57"/>
      <c r="AB25" s="57"/>
      <c r="AC25" s="57"/>
      <c r="AD25" s="57"/>
      <c r="AE25" s="58"/>
    </row>
    <row r="26" spans="1:31" ht="8" customHeight="1">
      <c r="A26" s="59"/>
      <c r="B26" s="77"/>
      <c r="C26" s="77"/>
      <c r="D26" s="77"/>
      <c r="E26" s="77"/>
      <c r="F26" s="77"/>
      <c r="G26" s="77"/>
      <c r="H26" s="104"/>
      <c r="I26" s="77"/>
      <c r="J26" s="77"/>
      <c r="K26" s="719" t="s">
        <v>81</v>
      </c>
      <c r="L26" s="720"/>
      <c r="M26" s="719" t="s">
        <v>82</v>
      </c>
      <c r="N26" s="720"/>
      <c r="O26" s="719" t="s">
        <v>83</v>
      </c>
      <c r="P26" s="720"/>
      <c r="Q26" s="77"/>
      <c r="R26" s="77"/>
      <c r="S26" s="77"/>
      <c r="T26" s="61"/>
      <c r="U26" s="56"/>
      <c r="V26" s="57"/>
      <c r="W26" s="57"/>
      <c r="X26" s="57"/>
      <c r="Y26" s="57"/>
      <c r="Z26" s="57"/>
      <c r="AA26" s="57"/>
      <c r="AB26" s="57"/>
      <c r="AC26" s="57"/>
      <c r="AD26" s="57"/>
      <c r="AE26" s="58"/>
    </row>
    <row r="27" spans="1:31" ht="18.75" customHeight="1">
      <c r="A27" s="59"/>
      <c r="B27" s="814" t="str" cm="1">
        <f t="array" ref="B27">IF(OR(M7="Pre-SOC",M7="SOC",M7="Change (before OBC)",M7="OBC"),"Estimated project costs","Project costs")</f>
        <v>Estimated project costs</v>
      </c>
      <c r="C27" s="814"/>
      <c r="D27" s="814"/>
      <c r="E27" s="815" t="s">
        <v>84</v>
      </c>
      <c r="F27" s="816"/>
      <c r="G27" s="77"/>
      <c r="H27" s="728" t="str" cm="1">
        <f t="array" ref="H27">IF(M7="Pre-SOC","Estimated contributions",IF(OR(M7="Pre-SOC",M7="SOC",M7="Change (before OBC)",M7="OBC"),"Contributions proposed to date","Contributions secured to date"))</f>
        <v>Estimated contributions</v>
      </c>
      <c r="I27" s="728"/>
      <c r="J27" s="728"/>
      <c r="K27" s="721"/>
      <c r="L27" s="721"/>
      <c r="M27" s="721"/>
      <c r="N27" s="721"/>
      <c r="O27" s="721"/>
      <c r="P27" s="721"/>
      <c r="Q27" s="77"/>
      <c r="R27" s="77"/>
      <c r="S27" s="77"/>
      <c r="T27" s="61"/>
      <c r="U27" s="56"/>
      <c r="V27" s="57"/>
      <c r="W27" s="57"/>
      <c r="X27" s="57"/>
      <c r="Y27" s="57"/>
      <c r="Z27" s="57"/>
      <c r="AA27" s="57"/>
      <c r="AB27" s="57"/>
      <c r="AC27" s="57"/>
      <c r="AD27" s="57"/>
      <c r="AE27" s="58"/>
    </row>
    <row r="28" spans="1:31" ht="18.75" customHeight="1">
      <c r="A28" s="59"/>
      <c r="B28" s="688" t="s">
        <v>85</v>
      </c>
      <c r="C28" s="689"/>
      <c r="D28" s="690"/>
      <c r="E28" s="706">
        <v>400000</v>
      </c>
      <c r="F28" s="707"/>
      <c r="G28" s="81"/>
      <c r="H28" s="688" t="s">
        <v>86</v>
      </c>
      <c r="I28" s="689"/>
      <c r="J28" s="708"/>
      <c r="K28" s="712">
        <v>50000</v>
      </c>
      <c r="L28" s="713"/>
      <c r="M28" s="694">
        <v>200000</v>
      </c>
      <c r="N28" s="695"/>
      <c r="O28" s="694"/>
      <c r="P28" s="695"/>
      <c r="Q28" s="743" t="s">
        <v>87</v>
      </c>
      <c r="R28" s="744"/>
      <c r="S28" s="744"/>
      <c r="T28" s="61"/>
      <c r="U28" s="66"/>
      <c r="V28" s="57"/>
      <c r="W28" s="57"/>
      <c r="X28" s="57"/>
      <c r="Y28" s="57"/>
      <c r="Z28" s="57"/>
      <c r="AA28" s="57"/>
      <c r="AB28" s="57"/>
      <c r="AC28" s="57"/>
      <c r="AD28" s="57"/>
      <c r="AE28" s="58"/>
    </row>
    <row r="29" spans="1:31" ht="18.75" customHeight="1">
      <c r="A29" s="59"/>
      <c r="B29" s="688" t="s">
        <v>88</v>
      </c>
      <c r="C29" s="689"/>
      <c r="D29" s="690"/>
      <c r="E29" s="706">
        <v>6000000</v>
      </c>
      <c r="F29" s="707"/>
      <c r="G29" s="81"/>
      <c r="H29" s="688" t="s">
        <v>89</v>
      </c>
      <c r="I29" s="689"/>
      <c r="J29" s="708"/>
      <c r="K29" s="694"/>
      <c r="L29" s="695"/>
      <c r="M29" s="694"/>
      <c r="N29" s="695"/>
      <c r="O29" s="694"/>
      <c r="P29" s="695"/>
      <c r="Q29" s="737"/>
      <c r="R29" s="738"/>
      <c r="S29" s="739"/>
      <c r="T29" s="65"/>
      <c r="U29" s="66"/>
      <c r="V29" s="57"/>
      <c r="W29" s="57"/>
      <c r="X29" s="57"/>
      <c r="Y29" s="57"/>
      <c r="Z29" s="57"/>
      <c r="AA29" s="57"/>
      <c r="AB29" s="57"/>
      <c r="AC29" s="57"/>
      <c r="AD29" s="57"/>
      <c r="AE29" s="58"/>
    </row>
    <row r="30" spans="1:31" ht="18.75" customHeight="1">
      <c r="A30" s="59"/>
      <c r="B30" s="688" t="s">
        <v>90</v>
      </c>
      <c r="C30" s="689"/>
      <c r="D30" s="690"/>
      <c r="E30" s="706">
        <v>100000</v>
      </c>
      <c r="F30" s="707"/>
      <c r="G30" s="81"/>
      <c r="H30" s="688" t="s">
        <v>91</v>
      </c>
      <c r="I30" s="689"/>
      <c r="J30" s="708"/>
      <c r="K30" s="694">
        <v>50000</v>
      </c>
      <c r="L30" s="695"/>
      <c r="M30" s="694">
        <v>300000</v>
      </c>
      <c r="N30" s="695"/>
      <c r="O30" s="694"/>
      <c r="P30" s="695"/>
      <c r="Q30" s="737"/>
      <c r="R30" s="738"/>
      <c r="S30" s="739"/>
      <c r="T30" s="65"/>
      <c r="U30" s="66"/>
      <c r="V30" s="57"/>
      <c r="W30" s="57"/>
      <c r="X30" s="57"/>
      <c r="Y30" s="57"/>
      <c r="Z30" s="57"/>
      <c r="AA30" s="57"/>
      <c r="AB30" s="57"/>
      <c r="AC30" s="57"/>
      <c r="AD30" s="57"/>
      <c r="AE30" s="58"/>
    </row>
    <row r="31" spans="1:31" ht="18.75" customHeight="1">
      <c r="A31" s="59"/>
      <c r="B31" s="691" t="s">
        <v>92</v>
      </c>
      <c r="C31" s="692"/>
      <c r="D31" s="693"/>
      <c r="E31" s="702" cm="1">
        <f t="array" ref="E31">SUM(E28:E30)</f>
        <v>6500000</v>
      </c>
      <c r="F31" s="703"/>
      <c r="G31" s="81"/>
      <c r="H31" s="688" t="s">
        <v>93</v>
      </c>
      <c r="I31" s="689"/>
      <c r="J31" s="708"/>
      <c r="K31" s="696"/>
      <c r="L31" s="697"/>
      <c r="M31" s="696"/>
      <c r="N31" s="697"/>
      <c r="O31" s="696"/>
      <c r="P31" s="697"/>
      <c r="Q31" s="740"/>
      <c r="R31" s="741"/>
      <c r="S31" s="742"/>
      <c r="T31" s="65"/>
      <c r="U31" s="66"/>
      <c r="V31" s="67"/>
      <c r="W31" s="57"/>
      <c r="X31" s="57"/>
      <c r="Y31" s="57"/>
      <c r="Z31" s="57"/>
      <c r="AA31" s="57"/>
      <c r="AB31" s="57"/>
      <c r="AC31" s="57"/>
      <c r="AD31" s="57"/>
      <c r="AE31" s="58"/>
    </row>
    <row r="32" spans="1:31" ht="18.75" customHeight="1">
      <c r="A32" s="59"/>
      <c r="B32" s="688" t="s">
        <v>94</v>
      </c>
      <c r="C32" s="689"/>
      <c r="D32" s="690"/>
      <c r="E32" s="706">
        <v>2000000</v>
      </c>
      <c r="F32" s="707"/>
      <c r="G32" s="81"/>
      <c r="H32" s="709" t="s">
        <v>95</v>
      </c>
      <c r="I32" s="710"/>
      <c r="J32" s="711"/>
      <c r="K32" s="700" cm="1">
        <f t="array" ref="K32">SUM(K28:L31)</f>
        <v>100000</v>
      </c>
      <c r="L32" s="701"/>
      <c r="M32" s="704" cm="1">
        <f t="array" ref="M32">SUM(M28:N31)</f>
        <v>500000</v>
      </c>
      <c r="N32" s="705"/>
      <c r="O32" s="700" cm="1">
        <f t="array" ref="O32">SUM(O28:P31)</f>
        <v>0</v>
      </c>
      <c r="P32" s="701"/>
      <c r="Q32" s="105"/>
      <c r="R32" s="95"/>
      <c r="S32" s="95"/>
      <c r="T32" s="61"/>
      <c r="U32" s="66"/>
      <c r="V32" s="67"/>
      <c r="W32" s="57"/>
      <c r="X32" s="57"/>
      <c r="Y32" s="57"/>
      <c r="Z32" s="57"/>
      <c r="AA32" s="57"/>
      <c r="AB32" s="57"/>
      <c r="AC32" s="57"/>
      <c r="AD32" s="57"/>
      <c r="AE32" s="58"/>
    </row>
    <row r="33" spans="1:31" ht="18.75" customHeight="1">
      <c r="A33" s="59"/>
      <c r="B33" s="688" t="s">
        <v>96</v>
      </c>
      <c r="C33" s="689"/>
      <c r="D33" s="690"/>
      <c r="E33" s="698" cm="1">
        <f t="array" ref="E33">SUM(E31:F32)</f>
        <v>8500000</v>
      </c>
      <c r="F33" s="699"/>
      <c r="G33" s="81"/>
      <c r="H33" s="688" t="s">
        <v>97</v>
      </c>
      <c r="I33" s="689"/>
      <c r="J33" s="690"/>
      <c r="K33" s="698" cm="1">
        <f t="array" ref="K33">IF(D11="Environment Agency",K32+M32+O32,K32+M32)</f>
        <v>600000</v>
      </c>
      <c r="L33" s="699"/>
      <c r="M33" s="733" t="str" cm="1">
        <f t="array" ref="M33">IF(E32&gt;0,IF(D11="Environment Agency","","Contributions to future costs are not included in GiA calculation.  Other RMAs are encouraged to secure contributions towards future costs, separately"),"")</f>
        <v>Contributions to future costs are not included in GiA calculation.  Other RMAs are encouraged to secure contributions towards future costs, separately</v>
      </c>
      <c r="N33" s="734"/>
      <c r="O33" s="734"/>
      <c r="P33" s="734"/>
      <c r="Q33" s="735"/>
      <c r="R33" s="735"/>
      <c r="S33" s="735"/>
      <c r="T33" s="61"/>
      <c r="U33" s="66"/>
      <c r="V33" s="57"/>
      <c r="W33" s="57"/>
      <c r="X33" s="57"/>
      <c r="Y33" s="57"/>
      <c r="Z33" s="57"/>
      <c r="AA33" s="106"/>
      <c r="AB33" s="106"/>
      <c r="AC33" s="106"/>
      <c r="AD33" s="106"/>
      <c r="AE33" s="107"/>
    </row>
    <row r="34" spans="1:31" ht="9.75" customHeight="1">
      <c r="A34" s="59"/>
      <c r="B34" s="78"/>
      <c r="C34" s="78"/>
      <c r="D34" s="78"/>
      <c r="E34" s="102"/>
      <c r="F34" s="102"/>
      <c r="G34" s="108"/>
      <c r="H34" s="108"/>
      <c r="I34" s="108"/>
      <c r="J34" s="78"/>
      <c r="K34" s="102"/>
      <c r="L34" s="102"/>
      <c r="M34" s="736"/>
      <c r="N34" s="736"/>
      <c r="O34" s="736"/>
      <c r="P34" s="736"/>
      <c r="Q34" s="736"/>
      <c r="R34" s="736"/>
      <c r="S34" s="736"/>
      <c r="T34" s="61"/>
      <c r="U34" s="56"/>
      <c r="V34" s="57"/>
      <c r="W34" s="57"/>
      <c r="X34" s="57"/>
      <c r="Y34" s="57"/>
      <c r="Z34" s="106"/>
      <c r="AA34" s="106"/>
      <c r="AB34" s="106"/>
      <c r="AC34" s="106"/>
      <c r="AD34" s="106"/>
      <c r="AE34" s="107"/>
    </row>
    <row r="35" spans="1:31" ht="18.75" customHeight="1">
      <c r="A35" s="59"/>
      <c r="B35" s="767" t="s">
        <v>98</v>
      </c>
      <c r="C35" s="727"/>
      <c r="D35" s="727"/>
      <c r="E35" s="727"/>
      <c r="F35" s="727"/>
      <c r="G35" s="727"/>
      <c r="H35" s="727"/>
      <c r="I35" s="727"/>
      <c r="J35" s="727"/>
      <c r="K35" s="727"/>
      <c r="L35" s="727"/>
      <c r="M35" s="727"/>
      <c r="N35" s="727"/>
      <c r="O35" s="727"/>
      <c r="P35" s="727"/>
      <c r="Q35" s="727"/>
      <c r="R35" s="727"/>
      <c r="S35" s="727"/>
      <c r="T35" s="61"/>
      <c r="U35" s="56"/>
      <c r="V35" s="57"/>
      <c r="W35" s="57"/>
      <c r="X35" s="57"/>
      <c r="Y35" s="57"/>
      <c r="Z35" s="106"/>
      <c r="AA35" s="106"/>
      <c r="AB35" s="106"/>
      <c r="AC35" s="106"/>
      <c r="AD35" s="106"/>
      <c r="AE35" s="107"/>
    </row>
    <row r="36" spans="1:31" ht="8" customHeight="1">
      <c r="A36" s="59"/>
      <c r="B36" s="77"/>
      <c r="C36" s="77"/>
      <c r="D36" s="77"/>
      <c r="E36" s="78"/>
      <c r="F36" s="78"/>
      <c r="G36" s="77"/>
      <c r="H36" s="77"/>
      <c r="I36" s="77"/>
      <c r="J36" s="77"/>
      <c r="K36" s="78"/>
      <c r="L36" s="685" t="s">
        <v>99</v>
      </c>
      <c r="M36" s="685"/>
      <c r="N36" s="685"/>
      <c r="O36" s="685"/>
      <c r="P36" s="685"/>
      <c r="Q36" s="685"/>
      <c r="R36" s="685"/>
      <c r="S36" s="77"/>
      <c r="T36" s="61"/>
      <c r="U36" s="56"/>
      <c r="V36" s="100"/>
      <c r="W36" s="57"/>
      <c r="X36" s="67"/>
      <c r="Y36" s="57"/>
      <c r="Z36" s="57"/>
      <c r="AA36" s="57"/>
      <c r="AB36" s="57"/>
      <c r="AC36" s="57"/>
      <c r="AD36" s="57"/>
      <c r="AE36" s="58"/>
    </row>
    <row r="37" spans="1:31" ht="18.75" customHeight="1">
      <c r="A37" s="59"/>
      <c r="B37" s="688" t="s">
        <v>100</v>
      </c>
      <c r="C37" s="689"/>
      <c r="D37" s="690"/>
      <c r="E37" s="706">
        <v>4000000</v>
      </c>
      <c r="F37" s="707"/>
      <c r="G37" s="81"/>
      <c r="H37" s="716" t="s">
        <v>101</v>
      </c>
      <c r="I37" s="717"/>
      <c r="J37" s="718"/>
      <c r="K37" s="110"/>
      <c r="L37" s="686"/>
      <c r="M37" s="685"/>
      <c r="N37" s="685"/>
      <c r="O37" s="685"/>
      <c r="P37" s="685"/>
      <c r="Q37" s="685"/>
      <c r="R37" s="685"/>
      <c r="S37" s="111"/>
      <c r="T37" s="61"/>
      <c r="U37" s="66"/>
      <c r="V37" s="100"/>
      <c r="W37" s="57"/>
      <c r="X37" s="57"/>
      <c r="Y37" s="57"/>
      <c r="Z37" s="57"/>
      <c r="AA37" s="57"/>
      <c r="AB37" s="57"/>
      <c r="AC37" s="57"/>
      <c r="AD37" s="57"/>
      <c r="AE37" s="58"/>
    </row>
    <row r="38" spans="1:31" ht="18.75" customHeight="1">
      <c r="A38" s="59"/>
      <c r="B38" s="771" t="s">
        <v>102</v>
      </c>
      <c r="C38" s="772"/>
      <c r="D38" s="773"/>
      <c r="E38" s="774">
        <v>100</v>
      </c>
      <c r="F38" s="775"/>
      <c r="G38" s="81"/>
      <c r="H38" s="688" t="s">
        <v>103</v>
      </c>
      <c r="I38" s="689"/>
      <c r="J38" s="690"/>
      <c r="K38" s="110"/>
      <c r="L38" s="776" t="str" cm="1">
        <f t="array" ref="L38">IF(OR(M7="Pre-SOC",M7="SOC",M7="Change (before OBC)"),"Not required",IF(OR(K38="",K38="No"),"A detailed breakdown of economic data for all short-listed options is required in business cases from OBC onwards",""))</f>
        <v>Not required</v>
      </c>
      <c r="M38" s="735"/>
      <c r="N38" s="735"/>
      <c r="O38" s="735"/>
      <c r="P38" s="735"/>
      <c r="Q38" s="735"/>
      <c r="R38" s="735"/>
      <c r="S38" s="111"/>
      <c r="T38" s="61"/>
      <c r="U38" s="66"/>
      <c r="V38" s="67"/>
      <c r="W38" s="57"/>
      <c r="X38" s="57"/>
      <c r="Y38" s="57"/>
      <c r="Z38" s="57"/>
      <c r="AA38" s="57"/>
      <c r="AB38" s="57"/>
      <c r="AC38" s="57"/>
      <c r="AD38" s="57"/>
      <c r="AE38" s="58"/>
    </row>
    <row r="39" spans="1:31" ht="18.75" customHeight="1">
      <c r="A39" s="59"/>
      <c r="B39" s="771" t="s">
        <v>104</v>
      </c>
      <c r="C39" s="772"/>
      <c r="D39" s="773"/>
      <c r="E39" s="778">
        <v>38000000</v>
      </c>
      <c r="F39" s="779"/>
      <c r="G39" s="714" t="str" cm="1">
        <f t="array" ref="G39">IF(OR(M7="OBC",M7="FBC",M7="Change (after OBC)"),IF(E39='Economic summary'!B27,"","OM1A not equal to Economic summary"),"")</f>
        <v/>
      </c>
      <c r="H39" s="715"/>
      <c r="I39" s="715"/>
      <c r="J39" s="715"/>
      <c r="K39" s="112"/>
      <c r="L39" s="735"/>
      <c r="M39" s="735"/>
      <c r="N39" s="735"/>
      <c r="O39" s="735"/>
      <c r="P39" s="735"/>
      <c r="Q39" s="735"/>
      <c r="R39" s="735"/>
      <c r="S39" s="82"/>
      <c r="T39" s="61"/>
      <c r="U39" s="66"/>
      <c r="V39" s="57"/>
      <c r="W39" s="57"/>
      <c r="X39" s="57"/>
      <c r="Y39" s="57"/>
      <c r="Z39" s="57"/>
      <c r="AA39" s="57"/>
      <c r="AB39" s="57"/>
      <c r="AC39" s="57"/>
      <c r="AD39" s="57"/>
      <c r="AE39" s="58"/>
    </row>
    <row r="40" spans="1:31" ht="8" customHeight="1">
      <c r="A40" s="59"/>
      <c r="B40" s="113"/>
      <c r="C40" s="113"/>
      <c r="D40" s="113"/>
      <c r="E40" s="114"/>
      <c r="F40" s="114"/>
      <c r="G40" s="113"/>
      <c r="H40" s="115"/>
      <c r="I40" s="115"/>
      <c r="J40" s="115"/>
      <c r="K40" s="77"/>
      <c r="L40" s="116"/>
      <c r="M40" s="116"/>
      <c r="N40" s="116"/>
      <c r="O40" s="116"/>
      <c r="P40" s="116"/>
      <c r="Q40" s="116"/>
      <c r="R40" s="116"/>
      <c r="S40" s="116"/>
      <c r="T40" s="117"/>
      <c r="U40" s="118"/>
      <c r="V40" s="100"/>
      <c r="W40" s="57"/>
      <c r="X40" s="57"/>
      <c r="Y40" s="57"/>
      <c r="Z40" s="57"/>
      <c r="AA40" s="57"/>
      <c r="AB40" s="57"/>
      <c r="AC40" s="57"/>
      <c r="AD40" s="57"/>
      <c r="AE40" s="58"/>
    </row>
    <row r="41" spans="1:31" ht="18.75" customHeight="1">
      <c r="A41" s="59"/>
      <c r="B41" s="854" t="s">
        <v>105</v>
      </c>
      <c r="C41" s="855"/>
      <c r="D41" s="856"/>
      <c r="E41" s="780">
        <v>1000000</v>
      </c>
      <c r="F41" s="781"/>
      <c r="G41" s="81"/>
      <c r="H41" s="96"/>
      <c r="I41" s="96"/>
      <c r="J41" s="96"/>
      <c r="K41" s="96"/>
      <c r="L41" s="116"/>
      <c r="M41" s="116"/>
      <c r="N41" s="116"/>
      <c r="O41" s="116"/>
      <c r="P41" s="116"/>
      <c r="Q41" s="116"/>
      <c r="R41" s="116"/>
      <c r="S41" s="116"/>
      <c r="T41" s="61"/>
      <c r="U41" s="56"/>
      <c r="V41" s="57"/>
      <c r="W41" s="57"/>
      <c r="X41" s="57"/>
      <c r="Y41" s="57"/>
      <c r="Z41" s="57"/>
      <c r="AA41" s="57"/>
      <c r="AB41" s="57"/>
      <c r="AC41" s="57"/>
      <c r="AD41" s="57"/>
      <c r="AE41" s="58"/>
    </row>
    <row r="42" spans="1:31" ht="13.5" customHeight="1">
      <c r="A42" s="59"/>
      <c r="B42" s="857"/>
      <c r="C42" s="857"/>
      <c r="D42" s="857"/>
      <c r="E42" s="99"/>
      <c r="F42" s="99"/>
      <c r="G42" s="88"/>
      <c r="H42" s="88"/>
      <c r="I42" s="88"/>
      <c r="J42" s="88"/>
      <c r="K42" s="88"/>
      <c r="L42" s="119"/>
      <c r="M42" s="119"/>
      <c r="N42" s="119"/>
      <c r="O42" s="119"/>
      <c r="P42" s="119"/>
      <c r="Q42" s="119"/>
      <c r="R42" s="119"/>
      <c r="S42" s="119"/>
      <c r="T42" s="61"/>
      <c r="U42" s="56"/>
      <c r="V42" s="57"/>
      <c r="W42" s="57"/>
      <c r="X42" s="57"/>
      <c r="Y42" s="57"/>
      <c r="Z42" s="57"/>
      <c r="AA42" s="57"/>
      <c r="AB42" s="57"/>
      <c r="AC42" s="57"/>
      <c r="AD42" s="57"/>
      <c r="AE42" s="58"/>
    </row>
    <row r="43" spans="1:31" ht="18.75" customHeight="1">
      <c r="A43" s="59"/>
      <c r="B43" s="767" t="s">
        <v>106</v>
      </c>
      <c r="C43" s="727"/>
      <c r="D43" s="727"/>
      <c r="E43" s="727"/>
      <c r="F43" s="727"/>
      <c r="G43" s="727"/>
      <c r="H43" s="727"/>
      <c r="I43" s="727"/>
      <c r="J43" s="727"/>
      <c r="K43" s="727"/>
      <c r="L43" s="727"/>
      <c r="M43" s="727"/>
      <c r="N43" s="727"/>
      <c r="O43" s="727"/>
      <c r="P43" s="727"/>
      <c r="Q43" s="727"/>
      <c r="R43" s="727"/>
      <c r="S43" s="727"/>
      <c r="T43" s="61"/>
      <c r="U43" s="56"/>
      <c r="V43" s="57"/>
      <c r="W43" s="57"/>
      <c r="X43" s="57"/>
      <c r="Y43" s="57"/>
      <c r="Z43" s="57"/>
      <c r="AA43" s="57"/>
      <c r="AB43" s="57"/>
      <c r="AC43" s="57"/>
      <c r="AD43" s="57"/>
      <c r="AE43" s="58"/>
    </row>
    <row r="44" spans="1:31" ht="8" customHeight="1">
      <c r="A44" s="59"/>
      <c r="B44" s="120"/>
      <c r="C44" s="77"/>
      <c r="D44" s="77"/>
      <c r="E44" s="77"/>
      <c r="F44" s="77"/>
      <c r="G44" s="77"/>
      <c r="H44" s="77"/>
      <c r="I44" s="77"/>
      <c r="J44" s="77"/>
      <c r="K44" s="77"/>
      <c r="L44" s="77"/>
      <c r="M44" s="77"/>
      <c r="N44" s="77"/>
      <c r="O44" s="77"/>
      <c r="P44" s="77"/>
      <c r="Q44" s="77"/>
      <c r="R44" s="77"/>
      <c r="S44" s="77"/>
      <c r="T44" s="61"/>
      <c r="U44" s="56"/>
      <c r="V44" s="57"/>
      <c r="W44" s="57"/>
      <c r="X44" s="57"/>
      <c r="Y44" s="57"/>
      <c r="Z44" s="57"/>
      <c r="AA44" s="57"/>
      <c r="AB44" s="57"/>
      <c r="AC44" s="57"/>
      <c r="AD44" s="57"/>
      <c r="AE44" s="58"/>
    </row>
    <row r="45" spans="1:31" ht="18.75" customHeight="1">
      <c r="A45" s="121"/>
      <c r="B45" s="709" t="s">
        <v>107</v>
      </c>
      <c r="C45" s="710"/>
      <c r="D45" s="710"/>
      <c r="E45" s="710"/>
      <c r="F45" s="722" t="s">
        <v>108</v>
      </c>
      <c r="G45" s="723"/>
      <c r="H45" s="723"/>
      <c r="I45" s="723"/>
      <c r="J45" s="723"/>
      <c r="K45" s="82"/>
      <c r="L45" s="722" t="s">
        <v>109</v>
      </c>
      <c r="M45" s="723"/>
      <c r="N45" s="723"/>
      <c r="O45" s="723"/>
      <c r="P45" s="723"/>
      <c r="Q45" s="82"/>
      <c r="R45" s="759" t="s">
        <v>110</v>
      </c>
      <c r="S45" s="760"/>
      <c r="T45" s="61"/>
      <c r="U45" s="56"/>
      <c r="V45" s="57"/>
      <c r="W45" s="57"/>
      <c r="X45" s="57"/>
      <c r="Y45" s="57"/>
      <c r="Z45" s="57"/>
      <c r="AA45" s="57"/>
      <c r="AB45" s="57"/>
      <c r="AC45" s="57"/>
      <c r="AD45" s="57"/>
      <c r="AE45" s="58"/>
    </row>
    <row r="46" spans="1:31" ht="18.75" customHeight="1">
      <c r="A46" s="121"/>
      <c r="B46" s="688" t="s">
        <v>111</v>
      </c>
      <c r="C46" s="689"/>
      <c r="D46" s="689"/>
      <c r="E46" s="708"/>
      <c r="F46" s="122"/>
      <c r="G46" s="123"/>
      <c r="H46" s="123"/>
      <c r="I46" s="124">
        <v>123</v>
      </c>
      <c r="J46" s="123"/>
      <c r="K46" s="125"/>
      <c r="L46" s="126" cm="1">
        <f t="array" ref="L46">IF(SUM(G46:J46)&lt;&gt;SUM(F51:J51),"n/a",F51)</f>
        <v>123</v>
      </c>
      <c r="M46" s="126" cm="1">
        <f t="array" ref="M46">IF(SUM(G46:J46)&lt;&gt;SUM(F51:J51),"n/a",G51-G46)</f>
        <v>0</v>
      </c>
      <c r="N46" s="126" cm="1">
        <f t="array" ref="N46">IF(SUM(G46:J46)&lt;&gt;SUM(F51:J51),"n/a",H51-H46)</f>
        <v>0</v>
      </c>
      <c r="O46" s="126" cm="1">
        <f t="array" ref="O46">IF(SUM(G46:J46)&lt;&gt;SUM(F51:J51),"n/a",I51-I46)</f>
        <v>-123</v>
      </c>
      <c r="P46" s="126" cm="1">
        <f t="array" ref="P46">IF(SUM(G46:J46)&lt;&gt;SUM(F51:J51),"n/a",J51-J46)</f>
        <v>0</v>
      </c>
      <c r="Q46" s="127"/>
      <c r="R46" s="700" cm="1">
        <f t="array" ref="R46">-(SUMPRODUCT($M$46:$P$46,$M$52:$P$52))*(VLOOKUP($E$38,'Policy assumptions and formulae'!A10:D109,4,FALSE))</f>
        <v>3673805.8916927809</v>
      </c>
      <c r="S46" s="777"/>
      <c r="T46" s="128"/>
      <c r="U46" s="66"/>
      <c r="V46" s="57"/>
      <c r="W46" s="57"/>
      <c r="X46" s="57"/>
      <c r="Y46" s="57"/>
      <c r="Z46" s="57"/>
      <c r="AA46" s="57"/>
      <c r="AB46" s="57"/>
      <c r="AC46" s="57"/>
      <c r="AD46" s="57"/>
      <c r="AE46" s="58"/>
    </row>
    <row r="47" spans="1:31" ht="18.75" customHeight="1">
      <c r="A47" s="121"/>
      <c r="B47" s="688" t="s">
        <v>112</v>
      </c>
      <c r="C47" s="689"/>
      <c r="D47" s="689"/>
      <c r="E47" s="708"/>
      <c r="F47" s="122"/>
      <c r="G47" s="123"/>
      <c r="H47" s="123"/>
      <c r="I47" s="124">
        <v>500</v>
      </c>
      <c r="J47" s="123"/>
      <c r="K47" s="125"/>
      <c r="L47" s="126" cm="1">
        <f t="array" ref="L47">IF(SUM(G47:J47)&lt;&gt;SUM(F52:J52),"n/a",F52)</f>
        <v>500</v>
      </c>
      <c r="M47" s="126" cm="1">
        <f t="array" ref="M47">IF(SUM(G47:J47)&lt;&gt;SUM(F52:J52),"n/a",G52-G47)</f>
        <v>0</v>
      </c>
      <c r="N47" s="126" cm="1">
        <f t="array" ref="N47">IF(SUM(G47:J47)&lt;&gt;SUM(F52:J52),"n/a",H52-H47)</f>
        <v>0</v>
      </c>
      <c r="O47" s="126" cm="1">
        <f t="array" ref="O47">IF(SUM(G47:J47)&lt;&gt;SUM(F52:J52),"n/a",I52-I47)</f>
        <v>-500</v>
      </c>
      <c r="P47" s="126" cm="1">
        <f t="array" ref="P47">IF(SUM(G47:J47)&lt;&gt;SUM(F52:J52),"n/a",J52-J47)</f>
        <v>0</v>
      </c>
      <c r="Q47" s="127"/>
      <c r="R47" s="700" cm="1">
        <f t="array" ref="R47">-(SUMPRODUCT($M$47:$P$47,$M$52:$P$52))*(VLOOKUP($E$38,'Policy assumptions and formulae'!A10:D109,4,FALSE))</f>
        <v>14934170.291434068</v>
      </c>
      <c r="S47" s="777"/>
      <c r="T47" s="128"/>
      <c r="U47" s="66"/>
      <c r="V47" s="57"/>
      <c r="W47" s="57"/>
      <c r="X47" s="57"/>
      <c r="Y47" s="57"/>
      <c r="Z47" s="57"/>
      <c r="AA47" s="57"/>
      <c r="AB47" s="57"/>
      <c r="AC47" s="57"/>
      <c r="AD47" s="57"/>
      <c r="AE47" s="58"/>
    </row>
    <row r="48" spans="1:31" ht="18.75" customHeight="1">
      <c r="A48" s="121"/>
      <c r="B48" s="688" t="s">
        <v>113</v>
      </c>
      <c r="C48" s="689"/>
      <c r="D48" s="689"/>
      <c r="E48" s="708"/>
      <c r="F48" s="122"/>
      <c r="G48" s="123"/>
      <c r="H48" s="123"/>
      <c r="I48" s="123"/>
      <c r="J48" s="123"/>
      <c r="K48" s="125"/>
      <c r="L48" s="126" cm="1">
        <f t="array" ref="L48">IF(SUM(G48:J48)&lt;&gt;SUM(F53:J53),"n/a",F53)</f>
        <v>0</v>
      </c>
      <c r="M48" s="126" cm="1">
        <f t="array" ref="M48">IF(SUM(G48:J48)&lt;&gt;SUM(F53:J53),"n/a",G53-G48)</f>
        <v>0</v>
      </c>
      <c r="N48" s="126" cm="1">
        <f t="array" ref="N48">IF(SUM(G48:J48)&lt;&gt;SUM(F53:J53),"n/a",H53-H48)</f>
        <v>0</v>
      </c>
      <c r="O48" s="126" cm="1">
        <f t="array" ref="O48">IF(SUM(G48:J48)&lt;&gt;SUM(F53:J53),"n/a",I53-I48)</f>
        <v>0</v>
      </c>
      <c r="P48" s="126" cm="1">
        <f t="array" ref="P48">IF(SUM(G48:J48)&lt;&gt;SUM(F53:J53),"n/a",J53-J48)</f>
        <v>0</v>
      </c>
      <c r="Q48" s="127"/>
      <c r="R48" s="700" cm="1">
        <f t="array" ref="R48">-(SUMPRODUCT($M$48:$P$48,$M$52:$P$52))*(VLOOKUP($E$38,'Policy assumptions and formulae'!A10:D109,4,FALSE))</f>
        <v>0</v>
      </c>
      <c r="S48" s="777"/>
      <c r="T48" s="128"/>
      <c r="U48" s="66"/>
      <c r="V48" s="57"/>
      <c r="W48" s="57"/>
      <c r="X48" s="57"/>
      <c r="Y48" s="57"/>
      <c r="Z48" s="57"/>
      <c r="AA48" s="57"/>
      <c r="AB48" s="57"/>
      <c r="AC48" s="57"/>
      <c r="AD48" s="57"/>
      <c r="AE48" s="58"/>
    </row>
    <row r="49" spans="1:31" ht="29.25" customHeight="1">
      <c r="A49" s="59"/>
      <c r="B49" s="77"/>
      <c r="C49" s="77"/>
      <c r="D49" s="77"/>
      <c r="E49" s="77"/>
      <c r="F49" s="129" t="s">
        <v>114</v>
      </c>
      <c r="G49" s="129" t="s">
        <v>115</v>
      </c>
      <c r="H49" s="129" t="s">
        <v>116</v>
      </c>
      <c r="I49" s="129" t="s">
        <v>117</v>
      </c>
      <c r="J49" s="129" t="s">
        <v>118</v>
      </c>
      <c r="K49" s="77"/>
      <c r="L49" s="129" t="s">
        <v>114</v>
      </c>
      <c r="M49" s="129" t="s">
        <v>115</v>
      </c>
      <c r="N49" s="129" t="s">
        <v>116</v>
      </c>
      <c r="O49" s="129" t="s">
        <v>117</v>
      </c>
      <c r="P49" s="129" t="s">
        <v>118</v>
      </c>
      <c r="Q49" s="77"/>
      <c r="R49" s="112"/>
      <c r="S49" s="112"/>
      <c r="T49" s="61"/>
      <c r="U49" s="56"/>
      <c r="V49" s="57"/>
      <c r="W49" s="57"/>
      <c r="X49" s="57"/>
      <c r="Y49" s="57"/>
      <c r="Z49" s="57"/>
      <c r="AA49" s="57"/>
      <c r="AB49" s="57"/>
      <c r="AC49" s="57"/>
      <c r="AD49" s="57"/>
      <c r="AE49" s="58"/>
    </row>
    <row r="50" spans="1:31" ht="18.75" customHeight="1">
      <c r="A50" s="59"/>
      <c r="B50" s="709" t="s">
        <v>107</v>
      </c>
      <c r="C50" s="710"/>
      <c r="D50" s="710"/>
      <c r="E50" s="710"/>
      <c r="F50" s="722" t="s">
        <v>119</v>
      </c>
      <c r="G50" s="723"/>
      <c r="H50" s="723"/>
      <c r="I50" s="723"/>
      <c r="J50" s="723"/>
      <c r="K50" s="82"/>
      <c r="L50" s="724" t="s">
        <v>120</v>
      </c>
      <c r="M50" s="725"/>
      <c r="N50" s="725"/>
      <c r="O50" s="725"/>
      <c r="P50" s="725"/>
      <c r="Q50" s="77"/>
      <c r="R50" s="77"/>
      <c r="S50" s="77"/>
      <c r="T50" s="61"/>
      <c r="U50" s="56"/>
      <c r="V50" s="57"/>
      <c r="W50" s="57"/>
      <c r="X50" s="57"/>
      <c r="Y50" s="57"/>
      <c r="Z50" s="57"/>
      <c r="AA50" s="57"/>
      <c r="AB50" s="57"/>
      <c r="AC50" s="57"/>
      <c r="AD50" s="57"/>
      <c r="AE50" s="58"/>
    </row>
    <row r="51" spans="1:31" ht="18.75" customHeight="1">
      <c r="A51" s="59"/>
      <c r="B51" s="688" t="s">
        <v>111</v>
      </c>
      <c r="C51" s="689"/>
      <c r="D51" s="689"/>
      <c r="E51" s="708"/>
      <c r="F51" s="124">
        <v>123</v>
      </c>
      <c r="G51" s="123"/>
      <c r="H51" s="123"/>
      <c r="I51" s="123"/>
      <c r="J51" s="123"/>
      <c r="K51" s="121"/>
      <c r="L51" s="726"/>
      <c r="M51" s="726"/>
      <c r="N51" s="726"/>
      <c r="O51" s="726"/>
      <c r="P51" s="726"/>
      <c r="Q51" s="77"/>
      <c r="R51" s="77"/>
      <c r="S51" s="77"/>
      <c r="T51" s="61"/>
      <c r="U51" s="56"/>
      <c r="V51" s="57"/>
      <c r="W51" s="57"/>
      <c r="X51" s="57"/>
      <c r="Y51" s="57"/>
      <c r="Z51" s="57"/>
      <c r="AA51" s="57"/>
      <c r="AB51" s="57"/>
      <c r="AC51" s="57"/>
      <c r="AD51" s="57"/>
      <c r="AE51" s="58"/>
    </row>
    <row r="52" spans="1:31" ht="18.75" customHeight="1">
      <c r="A52" s="59"/>
      <c r="B52" s="688" t="s">
        <v>112</v>
      </c>
      <c r="C52" s="689"/>
      <c r="D52" s="689"/>
      <c r="E52" s="708"/>
      <c r="F52" s="124">
        <v>500</v>
      </c>
      <c r="G52" s="123"/>
      <c r="H52" s="123"/>
      <c r="I52" s="123"/>
      <c r="J52" s="123"/>
      <c r="K52" s="125"/>
      <c r="L52" s="130" cm="1">
        <f t="array" ref="L52">'Policy assumptions and formulae'!$AD$56</f>
        <v>0</v>
      </c>
      <c r="M52" s="130" cm="1">
        <f t="array" ref="M52">'Policy assumptions and formulae'!$AD$55</f>
        <v>58.833333333333343</v>
      </c>
      <c r="N52" s="130" cm="1">
        <f t="array" ref="N52">'Policy assumptions and formulae'!$AD$54</f>
        <v>294.16666666666674</v>
      </c>
      <c r="O52" s="130" cm="1">
        <f t="array" ref="O52">'Policy assumptions and formulae'!$AD$53</f>
        <v>1000.1666666666665</v>
      </c>
      <c r="P52" s="130" cm="1">
        <f t="array" ref="P52">'Policy assumptions and formulae'!$AD$52</f>
        <v>1588.5000000000002</v>
      </c>
      <c r="Q52" s="59"/>
      <c r="R52" s="77"/>
      <c r="S52" s="77"/>
      <c r="T52" s="61"/>
      <c r="U52" s="56"/>
      <c r="V52" s="57"/>
      <c r="W52" s="57"/>
      <c r="X52" s="57"/>
      <c r="Y52" s="57"/>
      <c r="Z52" s="57"/>
      <c r="AA52" s="57"/>
      <c r="AB52" s="57"/>
      <c r="AC52" s="57"/>
      <c r="AD52" s="57"/>
      <c r="AE52" s="58"/>
    </row>
    <row r="53" spans="1:31" ht="18.75" customHeight="1">
      <c r="A53" s="59"/>
      <c r="B53" s="688" t="s">
        <v>121</v>
      </c>
      <c r="C53" s="689"/>
      <c r="D53" s="689"/>
      <c r="E53" s="708"/>
      <c r="F53" s="123"/>
      <c r="G53" s="123"/>
      <c r="H53" s="123"/>
      <c r="I53" s="123"/>
      <c r="J53" s="123"/>
      <c r="K53" s="121"/>
      <c r="L53" s="131"/>
      <c r="M53" s="95"/>
      <c r="N53" s="95"/>
      <c r="O53" s="95"/>
      <c r="P53" s="95"/>
      <c r="Q53" s="77"/>
      <c r="R53" s="77"/>
      <c r="S53" s="77"/>
      <c r="T53" s="61"/>
      <c r="U53" s="56"/>
      <c r="V53" s="57"/>
      <c r="W53" s="57"/>
      <c r="X53" s="57"/>
      <c r="Y53" s="57"/>
      <c r="Z53" s="57"/>
      <c r="AA53" s="57"/>
      <c r="AB53" s="57"/>
      <c r="AC53" s="57"/>
      <c r="AD53" s="57"/>
      <c r="AE53" s="58"/>
    </row>
    <row r="54" spans="1:31" ht="28.5" customHeight="1">
      <c r="A54" s="59"/>
      <c r="B54" s="77"/>
      <c r="C54" s="77"/>
      <c r="D54" s="77"/>
      <c r="E54" s="77"/>
      <c r="F54" s="129" t="s">
        <v>114</v>
      </c>
      <c r="G54" s="129" t="s">
        <v>115</v>
      </c>
      <c r="H54" s="129" t="s">
        <v>116</v>
      </c>
      <c r="I54" s="129" t="s">
        <v>117</v>
      </c>
      <c r="J54" s="129" t="s">
        <v>118</v>
      </c>
      <c r="K54" s="77"/>
      <c r="L54" s="755" t="s">
        <v>122</v>
      </c>
      <c r="M54" s="756"/>
      <c r="N54" s="756"/>
      <c r="O54" s="756"/>
      <c r="P54" s="756"/>
      <c r="Q54" s="756"/>
      <c r="R54" s="756"/>
      <c r="S54" s="77"/>
      <c r="T54" s="61"/>
      <c r="U54" s="56"/>
      <c r="V54" s="57"/>
      <c r="W54" s="57"/>
      <c r="X54" s="57"/>
      <c r="Y54" s="57"/>
      <c r="Z54" s="57"/>
      <c r="AA54" s="57"/>
      <c r="AB54" s="57"/>
      <c r="AC54" s="57"/>
      <c r="AD54" s="57"/>
      <c r="AE54" s="58"/>
    </row>
    <row r="55" spans="1:31" ht="8" customHeight="1">
      <c r="A55" s="59"/>
      <c r="B55" s="14"/>
      <c r="C55" s="14"/>
      <c r="D55" s="14"/>
      <c r="E55" s="14"/>
      <c r="F55" s="14"/>
      <c r="G55" s="14"/>
      <c r="H55" s="14"/>
      <c r="I55" s="14"/>
      <c r="J55" s="14"/>
      <c r="K55" s="14"/>
      <c r="L55" s="14"/>
      <c r="M55" s="14"/>
      <c r="N55" s="14"/>
      <c r="O55" s="14"/>
      <c r="P55" s="14"/>
      <c r="Q55" s="14"/>
      <c r="R55" s="14"/>
      <c r="S55" s="14"/>
      <c r="T55" s="61"/>
      <c r="U55" s="56"/>
      <c r="V55" s="57"/>
      <c r="W55" s="57"/>
      <c r="X55" s="57"/>
      <c r="Y55" s="57"/>
      <c r="Z55" s="57"/>
      <c r="AA55" s="57"/>
      <c r="AB55" s="57"/>
      <c r="AC55" s="57"/>
      <c r="AD55" s="57"/>
      <c r="AE55" s="58"/>
    </row>
    <row r="56" spans="1:31" ht="18.75" customHeight="1">
      <c r="A56" s="59"/>
      <c r="B56" s="782" t="s">
        <v>123</v>
      </c>
      <c r="C56" s="783"/>
      <c r="D56" s="783"/>
      <c r="E56" s="783"/>
      <c r="F56" s="783"/>
      <c r="G56" s="783"/>
      <c r="H56" s="783"/>
      <c r="I56" s="783"/>
      <c r="J56" s="783"/>
      <c r="K56" s="783"/>
      <c r="L56" s="783"/>
      <c r="M56" s="783"/>
      <c r="N56" s="783"/>
      <c r="O56" s="783"/>
      <c r="P56" s="783"/>
      <c r="Q56" s="783"/>
      <c r="R56" s="783"/>
      <c r="S56" s="783"/>
      <c r="T56" s="61"/>
      <c r="U56" s="56"/>
      <c r="V56" s="57"/>
      <c r="W56" s="57"/>
      <c r="X56" s="57"/>
      <c r="Y56" s="57"/>
      <c r="Z56" s="57"/>
      <c r="AA56" s="57"/>
      <c r="AB56" s="57"/>
      <c r="AC56" s="57"/>
      <c r="AD56" s="57"/>
      <c r="AE56" s="58"/>
    </row>
    <row r="57" spans="1:31" ht="8" customHeight="1">
      <c r="A57" s="59"/>
      <c r="B57" s="77"/>
      <c r="C57" s="77"/>
      <c r="D57" s="77"/>
      <c r="E57" s="78"/>
      <c r="F57" s="78"/>
      <c r="G57" s="77"/>
      <c r="H57" s="77"/>
      <c r="I57" s="77"/>
      <c r="J57" s="77"/>
      <c r="K57" s="77"/>
      <c r="L57" s="77"/>
      <c r="M57" s="77"/>
      <c r="N57" s="77"/>
      <c r="O57" s="77"/>
      <c r="P57" s="77"/>
      <c r="Q57" s="77"/>
      <c r="R57" s="77"/>
      <c r="S57" s="77"/>
      <c r="T57" s="61"/>
      <c r="U57" s="56"/>
      <c r="V57" s="57"/>
      <c r="W57" s="57"/>
      <c r="X57" s="57"/>
      <c r="Y57" s="57"/>
      <c r="Z57" s="57"/>
      <c r="AA57" s="57"/>
      <c r="AB57" s="57"/>
      <c r="AC57" s="57"/>
      <c r="AD57" s="57"/>
      <c r="AE57" s="58"/>
    </row>
    <row r="58" spans="1:31" ht="18.75" customHeight="1">
      <c r="A58" s="59"/>
      <c r="B58" s="752" t="s">
        <v>124</v>
      </c>
      <c r="C58" s="753"/>
      <c r="D58" s="754"/>
      <c r="E58" s="869">
        <v>2024</v>
      </c>
      <c r="F58" s="870"/>
      <c r="G58" s="132" t="str" cm="1">
        <f t="array" ref="G58">IF($E$58+$E$38&lt;2040,"OM2 (2040) FCERM GiA eligibility is not applicable","")</f>
        <v/>
      </c>
      <c r="H58" s="82"/>
      <c r="I58" s="82"/>
      <c r="J58" s="82"/>
      <c r="K58" s="82"/>
      <c r="L58" s="82"/>
      <c r="M58" s="82"/>
      <c r="N58" s="82"/>
      <c r="O58" s="82"/>
      <c r="P58" s="82"/>
      <c r="Q58" s="82"/>
      <c r="R58" s="82"/>
      <c r="S58" s="82"/>
      <c r="T58" s="61"/>
      <c r="U58" s="66"/>
      <c r="V58" s="57"/>
      <c r="W58" s="57"/>
      <c r="X58" s="57"/>
      <c r="Y58" s="57"/>
      <c r="Z58" s="57"/>
      <c r="AA58" s="57"/>
      <c r="AB58" s="57"/>
      <c r="AC58" s="57"/>
      <c r="AD58" s="57"/>
      <c r="AE58" s="58"/>
    </row>
    <row r="59" spans="1:31" ht="8" customHeight="1">
      <c r="A59" s="59"/>
      <c r="B59" s="753"/>
      <c r="C59" s="753"/>
      <c r="D59" s="753"/>
      <c r="E59" s="84"/>
      <c r="F59" s="84"/>
      <c r="G59" s="82"/>
      <c r="H59" s="82"/>
      <c r="I59" s="82"/>
      <c r="J59" s="82"/>
      <c r="K59" s="82"/>
      <c r="L59" s="82"/>
      <c r="M59" s="82"/>
      <c r="N59" s="82"/>
      <c r="O59" s="82"/>
      <c r="P59" s="82"/>
      <c r="Q59" s="82"/>
      <c r="R59" s="82"/>
      <c r="S59" s="82"/>
      <c r="T59" s="61"/>
      <c r="U59" s="56"/>
      <c r="V59" s="57"/>
      <c r="W59" s="57"/>
      <c r="X59" s="57"/>
      <c r="Y59" s="57"/>
      <c r="Z59" s="57"/>
      <c r="AA59" s="57"/>
      <c r="AB59" s="57"/>
      <c r="AC59" s="57"/>
      <c r="AD59" s="57"/>
      <c r="AE59" s="58"/>
    </row>
    <row r="60" spans="1:31" ht="18.75" customHeight="1">
      <c r="A60" s="59"/>
      <c r="B60" s="709" t="s">
        <v>107</v>
      </c>
      <c r="C60" s="710"/>
      <c r="D60" s="710"/>
      <c r="E60" s="710"/>
      <c r="F60" s="722" t="s">
        <v>125</v>
      </c>
      <c r="G60" s="723"/>
      <c r="H60" s="723"/>
      <c r="I60" s="723"/>
      <c r="J60" s="723"/>
      <c r="K60" s="82"/>
      <c r="L60" s="722" t="s">
        <v>109</v>
      </c>
      <c r="M60" s="723"/>
      <c r="N60" s="723"/>
      <c r="O60" s="723"/>
      <c r="P60" s="723"/>
      <c r="Q60" s="82"/>
      <c r="R60" s="759" t="s">
        <v>110</v>
      </c>
      <c r="S60" s="760"/>
      <c r="T60" s="61"/>
      <c r="U60" s="56"/>
      <c r="V60" s="57"/>
      <c r="W60" s="57"/>
      <c r="X60" s="57"/>
      <c r="Y60" s="57"/>
      <c r="Z60" s="57"/>
      <c r="AA60" s="57"/>
      <c r="AB60" s="57"/>
      <c r="AC60" s="57"/>
      <c r="AD60" s="57"/>
      <c r="AE60" s="58"/>
    </row>
    <row r="61" spans="1:31" ht="18.75" customHeight="1">
      <c r="A61" s="59"/>
      <c r="B61" s="688" t="s">
        <v>111</v>
      </c>
      <c r="C61" s="689"/>
      <c r="D61" s="689"/>
      <c r="E61" s="708"/>
      <c r="F61" s="122"/>
      <c r="G61" s="123"/>
      <c r="H61" s="123"/>
      <c r="I61" s="124">
        <v>14</v>
      </c>
      <c r="J61" s="123"/>
      <c r="K61" s="125"/>
      <c r="L61" s="126" cm="1">
        <f t="array" ref="L61">IF(SUM(G61:J61)&lt;&gt;SUM(F66:J66),"n/a",F66)</f>
        <v>14</v>
      </c>
      <c r="M61" s="126" cm="1">
        <f t="array" ref="M61">IF(SUM(G61:J61)&lt;&gt;SUM(F66:J66),"n/a",G66-G61)</f>
        <v>0</v>
      </c>
      <c r="N61" s="126" cm="1">
        <f t="array" ref="N61">IF(SUM(G61:J61)&lt;&gt;SUM(F66:J66),"n/a",H66-H61)</f>
        <v>0</v>
      </c>
      <c r="O61" s="126" cm="1">
        <f t="array" ref="O61">IF(SUM(G61:J61)&lt;&gt;SUM(F66:J66),"n/a",I66-I61)</f>
        <v>-14</v>
      </c>
      <c r="P61" s="126" cm="1">
        <f t="array" ref="P61">IF(SUM(G61:J61)&lt;&gt;SUM(F66:J66),"n/a",J66-J61)</f>
        <v>0</v>
      </c>
      <c r="Q61" s="127"/>
      <c r="R61" s="700" cm="1">
        <f t="array" ref="R61">IF($E$58+$E$38&lt;2041,"Ltd by DoB",(-SUMPRODUCT($M$61:$P$61,$M$67:$P$67)*VLOOKUP($E$38,'Policy assumptions and formulae'!$A$10:$D$109,4,FALSE))-(-SUMPRODUCT($M$61:$P$61,$M$67:$P$67)*VLOOKUP((2040-$E$58),'Policy assumptions and formulae'!$A$10:$D$109,4,FALSE)))</f>
        <v>234808.57990684893</v>
      </c>
      <c r="S61" s="777"/>
      <c r="T61" s="128"/>
      <c r="U61" s="56"/>
      <c r="V61" s="57"/>
      <c r="W61" s="57"/>
      <c r="X61" s="57"/>
      <c r="Y61" s="57"/>
      <c r="Z61" s="57"/>
      <c r="AA61" s="57"/>
      <c r="AB61" s="57"/>
      <c r="AC61" s="57"/>
      <c r="AD61" s="57"/>
      <c r="AE61" s="58"/>
    </row>
    <row r="62" spans="1:31" ht="18.75" customHeight="1">
      <c r="A62" s="59"/>
      <c r="B62" s="688" t="s">
        <v>112</v>
      </c>
      <c r="C62" s="689"/>
      <c r="D62" s="689"/>
      <c r="E62" s="708"/>
      <c r="F62" s="122"/>
      <c r="G62" s="123"/>
      <c r="H62" s="123"/>
      <c r="I62" s="123"/>
      <c r="J62" s="123"/>
      <c r="K62" s="125"/>
      <c r="L62" s="126" cm="1">
        <f t="array" ref="L62">IF(SUM(G62:J62)&lt;&gt;SUM(F67:J67),"n/a",F67)</f>
        <v>0</v>
      </c>
      <c r="M62" s="126" cm="1">
        <f t="array" ref="M62">IF(SUM(G62:J62)&lt;&gt;SUM(F67:J67),"n/a",G67-G62)</f>
        <v>0</v>
      </c>
      <c r="N62" s="126" cm="1">
        <f t="array" ref="N62">IF(SUM(G62:J62)&lt;&gt;SUM(F67:J67),"n/a",H67-H62)</f>
        <v>0</v>
      </c>
      <c r="O62" s="126" cm="1">
        <f t="array" ref="O62">IF(SUM(G62:J62)&lt;&gt;SUM(F67:J67),"n/a",I67-I62)</f>
        <v>0</v>
      </c>
      <c r="P62" s="126" cm="1">
        <f t="array" ref="P62">IF(SUM(G62:J62)&lt;&gt;SUM(F67:J67),"n/a",J67-J62)</f>
        <v>0</v>
      </c>
      <c r="Q62" s="127"/>
      <c r="R62" s="700" cm="1">
        <f t="array" ref="R62">IF($E$58+$E$38&lt;2041,"Ltd by DoB",(-SUMPRODUCT($M$62:$P$62,$M$67:$P$67)*VLOOKUP($E$38,'Policy assumptions and formulae'!$A$10:$D$109,4,FALSE))-(-SUMPRODUCT($M$62:$P$62,$M$67:$P$67)*VLOOKUP((2040-$E$58),'Policy assumptions and formulae'!$A$10:$D$109,4,FALSE)))</f>
        <v>0</v>
      </c>
      <c r="S62" s="777"/>
      <c r="T62" s="128"/>
      <c r="U62" s="56"/>
      <c r="V62" s="57"/>
      <c r="W62" s="57"/>
      <c r="X62" s="57"/>
      <c r="Y62" s="57"/>
      <c r="Z62" s="57"/>
      <c r="AA62" s="57"/>
      <c r="AB62" s="57"/>
      <c r="AC62" s="57"/>
      <c r="AD62" s="57"/>
      <c r="AE62" s="58"/>
    </row>
    <row r="63" spans="1:31" ht="18.75" customHeight="1">
      <c r="A63" s="59"/>
      <c r="B63" s="688" t="s">
        <v>113</v>
      </c>
      <c r="C63" s="689"/>
      <c r="D63" s="689"/>
      <c r="E63" s="708"/>
      <c r="F63" s="122"/>
      <c r="G63" s="123"/>
      <c r="H63" s="123"/>
      <c r="I63" s="123"/>
      <c r="J63" s="123"/>
      <c r="K63" s="125"/>
      <c r="L63" s="126" cm="1">
        <f t="array" ref="L63">IF(SUM(G63:J63)&lt;&gt;SUM(F68:J68),"n/a",F68)</f>
        <v>0</v>
      </c>
      <c r="M63" s="126" cm="1">
        <f t="array" ref="M63">IF(SUM(G63:J63)&lt;&gt;SUM(F68:J68),"n/a",G68-G63)</f>
        <v>0</v>
      </c>
      <c r="N63" s="126" cm="1">
        <f t="array" ref="N63">IF(SUM(G63:J63)&lt;&gt;SUM(F68:J68),"n/a",H68-H63)</f>
        <v>0</v>
      </c>
      <c r="O63" s="126" cm="1">
        <f t="array" ref="O63">IF(SUM(G63:J63)&lt;&gt;SUM(F68:J68),"n/a",I68-I63)</f>
        <v>0</v>
      </c>
      <c r="P63" s="126" cm="1">
        <f t="array" ref="P63">IF(SUM(G63:J63)&lt;&gt;SUM(F68:J68),"n/a",J68-J63)</f>
        <v>0</v>
      </c>
      <c r="Q63" s="127"/>
      <c r="R63" s="700" cm="1">
        <f t="array" ref="R63">IF($E$58+$E$38&lt;2041,"Ltd by DoB",(-SUMPRODUCT($M$63:$P$63,$M$67:$P$67)*VLOOKUP($E$38,'Policy assumptions and formulae'!$A$10:$D$109,4,FALSE))-(-SUMPRODUCT($M$63:$P$63,$M$67:$P$67)*VLOOKUP((2040-$E$58),'Policy assumptions and formulae'!$A$10:$D$109,4,FALSE)))</f>
        <v>0</v>
      </c>
      <c r="S63" s="777"/>
      <c r="T63" s="128"/>
      <c r="U63" s="56"/>
      <c r="V63" s="57"/>
      <c r="W63" s="57"/>
      <c r="X63" s="57"/>
      <c r="Y63" s="57"/>
      <c r="Z63" s="57"/>
      <c r="AA63" s="57"/>
      <c r="AB63" s="57"/>
      <c r="AC63" s="57"/>
      <c r="AD63" s="57"/>
      <c r="AE63" s="58"/>
    </row>
    <row r="64" spans="1:31" ht="28.5" customHeight="1">
      <c r="A64" s="59"/>
      <c r="B64" s="77"/>
      <c r="C64" s="77"/>
      <c r="D64" s="77"/>
      <c r="E64" s="77"/>
      <c r="F64" s="129" t="s">
        <v>114</v>
      </c>
      <c r="G64" s="129" t="s">
        <v>115</v>
      </c>
      <c r="H64" s="129" t="s">
        <v>116</v>
      </c>
      <c r="I64" s="129" t="s">
        <v>117</v>
      </c>
      <c r="J64" s="129" t="s">
        <v>118</v>
      </c>
      <c r="K64" s="133"/>
      <c r="L64" s="129" t="s">
        <v>114</v>
      </c>
      <c r="M64" s="129" t="s">
        <v>115</v>
      </c>
      <c r="N64" s="129" t="s">
        <v>116</v>
      </c>
      <c r="O64" s="129" t="s">
        <v>117</v>
      </c>
      <c r="P64" s="129" t="s">
        <v>118</v>
      </c>
      <c r="Q64" s="77"/>
      <c r="R64" s="112"/>
      <c r="S64" s="112"/>
      <c r="T64" s="61"/>
      <c r="U64" s="56"/>
      <c r="V64" s="57"/>
      <c r="W64" s="57"/>
      <c r="X64" s="57"/>
      <c r="Y64" s="57"/>
      <c r="Z64" s="57"/>
      <c r="AA64" s="57"/>
      <c r="AB64" s="57"/>
      <c r="AC64" s="57"/>
      <c r="AD64" s="57"/>
      <c r="AE64" s="58"/>
    </row>
    <row r="65" spans="1:31" ht="18.75" customHeight="1">
      <c r="A65" s="59"/>
      <c r="B65" s="709" t="s">
        <v>107</v>
      </c>
      <c r="C65" s="710"/>
      <c r="D65" s="710"/>
      <c r="E65" s="710"/>
      <c r="F65" s="722" t="s">
        <v>119</v>
      </c>
      <c r="G65" s="723"/>
      <c r="H65" s="723"/>
      <c r="I65" s="723"/>
      <c r="J65" s="723"/>
      <c r="K65" s="82"/>
      <c r="L65" s="724" t="s">
        <v>120</v>
      </c>
      <c r="M65" s="725"/>
      <c r="N65" s="725"/>
      <c r="O65" s="725"/>
      <c r="P65" s="725"/>
      <c r="Q65" s="82"/>
      <c r="R65" s="82"/>
      <c r="S65" s="82"/>
      <c r="T65" s="61"/>
      <c r="U65" s="56"/>
      <c r="V65" s="57"/>
      <c r="W65" s="57"/>
      <c r="X65" s="57"/>
      <c r="Y65" s="57"/>
      <c r="Z65" s="57"/>
      <c r="AA65" s="57"/>
      <c r="AB65" s="57"/>
      <c r="AC65" s="57"/>
      <c r="AD65" s="57"/>
      <c r="AE65" s="58"/>
    </row>
    <row r="66" spans="1:31" ht="18.75" customHeight="1">
      <c r="A66" s="59"/>
      <c r="B66" s="688" t="s">
        <v>111</v>
      </c>
      <c r="C66" s="689"/>
      <c r="D66" s="689"/>
      <c r="E66" s="708"/>
      <c r="F66" s="124">
        <v>14</v>
      </c>
      <c r="G66" s="123"/>
      <c r="H66" s="123"/>
      <c r="I66" s="123"/>
      <c r="J66" s="123"/>
      <c r="K66" s="121"/>
      <c r="L66" s="726"/>
      <c r="M66" s="726"/>
      <c r="N66" s="726"/>
      <c r="O66" s="726"/>
      <c r="P66" s="726"/>
      <c r="Q66" s="82"/>
      <c r="R66" s="82"/>
      <c r="S66" s="82"/>
      <c r="T66" s="61"/>
      <c r="U66" s="56"/>
      <c r="V66" s="57"/>
      <c r="W66" s="57"/>
      <c r="X66" s="57"/>
      <c r="Y66" s="57"/>
      <c r="Z66" s="57"/>
      <c r="AA66" s="57"/>
      <c r="AB66" s="57"/>
      <c r="AC66" s="57"/>
      <c r="AD66" s="57"/>
      <c r="AE66" s="58"/>
    </row>
    <row r="67" spans="1:31" ht="18.75" customHeight="1">
      <c r="A67" s="59"/>
      <c r="B67" s="688" t="s">
        <v>112</v>
      </c>
      <c r="C67" s="689"/>
      <c r="D67" s="689"/>
      <c r="E67" s="708"/>
      <c r="F67" s="123"/>
      <c r="G67" s="123"/>
      <c r="H67" s="123"/>
      <c r="I67" s="123"/>
      <c r="J67" s="123"/>
      <c r="K67" s="125"/>
      <c r="L67" s="130" cm="1">
        <f t="array" ref="L67">'Policy assumptions and formulae'!$AD$56</f>
        <v>0</v>
      </c>
      <c r="M67" s="130" cm="1">
        <f t="array" ref="M67">'Policy assumptions and formulae'!$AD$55</f>
        <v>58.833333333333343</v>
      </c>
      <c r="N67" s="130" cm="1">
        <f t="array" ref="N67">'Policy assumptions and formulae'!$AD$54</f>
        <v>294.16666666666674</v>
      </c>
      <c r="O67" s="130" cm="1">
        <f t="array" ref="O67">'Policy assumptions and formulae'!$AD$53</f>
        <v>1000.1666666666665</v>
      </c>
      <c r="P67" s="130" cm="1">
        <f t="array" ref="P67">'Policy assumptions and formulae'!$AD$52</f>
        <v>1588.5000000000002</v>
      </c>
      <c r="Q67" s="121"/>
      <c r="R67" s="82"/>
      <c r="S67" s="82"/>
      <c r="T67" s="61"/>
      <c r="U67" s="56"/>
      <c r="V67" s="57"/>
      <c r="W67" s="57"/>
      <c r="X67" s="57"/>
      <c r="Y67" s="57"/>
      <c r="Z67" s="57"/>
      <c r="AA67" s="57"/>
      <c r="AB67" s="57"/>
      <c r="AC67" s="57"/>
      <c r="AD67" s="57"/>
      <c r="AE67" s="58"/>
    </row>
    <row r="68" spans="1:31" ht="18.75" customHeight="1">
      <c r="A68" s="59"/>
      <c r="B68" s="688" t="s">
        <v>113</v>
      </c>
      <c r="C68" s="689"/>
      <c r="D68" s="689"/>
      <c r="E68" s="708"/>
      <c r="F68" s="123"/>
      <c r="G68" s="123"/>
      <c r="H68" s="123"/>
      <c r="I68" s="123"/>
      <c r="J68" s="123"/>
      <c r="K68" s="121"/>
      <c r="L68" s="131"/>
      <c r="M68" s="95"/>
      <c r="N68" s="95"/>
      <c r="O68" s="95"/>
      <c r="P68" s="95"/>
      <c r="Q68" s="82"/>
      <c r="R68" s="82"/>
      <c r="S68" s="82"/>
      <c r="T68" s="61"/>
      <c r="U68" s="56"/>
      <c r="V68" s="57"/>
      <c r="W68" s="57"/>
      <c r="X68" s="57"/>
      <c r="Y68" s="57"/>
      <c r="Z68" s="57"/>
      <c r="AA68" s="57"/>
      <c r="AB68" s="57"/>
      <c r="AC68" s="57"/>
      <c r="AD68" s="57"/>
      <c r="AE68" s="58"/>
    </row>
    <row r="69" spans="1:31" ht="28.5" customHeight="1">
      <c r="A69" s="59"/>
      <c r="B69" s="77"/>
      <c r="C69" s="77"/>
      <c r="D69" s="77"/>
      <c r="E69" s="77"/>
      <c r="F69" s="129" t="s">
        <v>114</v>
      </c>
      <c r="G69" s="129" t="s">
        <v>115</v>
      </c>
      <c r="H69" s="129" t="s">
        <v>116</v>
      </c>
      <c r="I69" s="129" t="s">
        <v>117</v>
      </c>
      <c r="J69" s="129" t="s">
        <v>118</v>
      </c>
      <c r="K69" s="77"/>
      <c r="L69" s="755" t="s">
        <v>122</v>
      </c>
      <c r="M69" s="756"/>
      <c r="N69" s="756"/>
      <c r="O69" s="756"/>
      <c r="P69" s="756"/>
      <c r="Q69" s="756"/>
      <c r="R69" s="756"/>
      <c r="S69" s="77"/>
      <c r="T69" s="61"/>
      <c r="U69" s="56"/>
      <c r="V69" s="57"/>
      <c r="W69" s="57"/>
      <c r="X69" s="57"/>
      <c r="Y69" s="57"/>
      <c r="Z69" s="57"/>
      <c r="AA69" s="57"/>
      <c r="AB69" s="57"/>
      <c r="AC69" s="57"/>
      <c r="AD69" s="57"/>
      <c r="AE69" s="58"/>
    </row>
    <row r="70" spans="1:31" ht="8" customHeight="1">
      <c r="A70" s="59"/>
      <c r="B70" s="78"/>
      <c r="C70" s="78"/>
      <c r="D70" s="78"/>
      <c r="E70" s="78"/>
      <c r="F70" s="78"/>
      <c r="G70" s="78"/>
      <c r="H70" s="78"/>
      <c r="I70" s="78"/>
      <c r="J70" s="78"/>
      <c r="K70" s="78"/>
      <c r="L70" s="78"/>
      <c r="M70" s="78"/>
      <c r="N70" s="78"/>
      <c r="O70" s="78"/>
      <c r="P70" s="78"/>
      <c r="Q70" s="78"/>
      <c r="R70" s="78"/>
      <c r="S70" s="78"/>
      <c r="T70" s="61"/>
      <c r="U70" s="56"/>
      <c r="V70" s="57"/>
      <c r="W70" s="57"/>
      <c r="X70" s="57"/>
      <c r="Y70" s="57"/>
      <c r="Z70" s="57"/>
      <c r="AA70" s="57"/>
      <c r="AB70" s="57"/>
      <c r="AC70" s="57"/>
      <c r="AD70" s="57"/>
      <c r="AE70" s="58"/>
    </row>
    <row r="71" spans="1:31" ht="18.75" customHeight="1">
      <c r="A71" s="59"/>
      <c r="B71" s="767" t="s">
        <v>126</v>
      </c>
      <c r="C71" s="727"/>
      <c r="D71" s="727"/>
      <c r="E71" s="727"/>
      <c r="F71" s="727"/>
      <c r="G71" s="727"/>
      <c r="H71" s="727"/>
      <c r="I71" s="727"/>
      <c r="J71" s="727"/>
      <c r="K71" s="727"/>
      <c r="L71" s="727"/>
      <c r="M71" s="727"/>
      <c r="N71" s="727"/>
      <c r="O71" s="727"/>
      <c r="P71" s="727"/>
      <c r="Q71" s="727"/>
      <c r="R71" s="727"/>
      <c r="S71" s="727"/>
      <c r="T71" s="61"/>
      <c r="U71" s="56"/>
      <c r="V71" s="57"/>
      <c r="W71" s="57"/>
      <c r="X71" s="57"/>
      <c r="Y71" s="57"/>
      <c r="Z71" s="57"/>
      <c r="AA71" s="57"/>
      <c r="AB71" s="57"/>
      <c r="AC71" s="57"/>
      <c r="AD71" s="57"/>
      <c r="AE71" s="58"/>
    </row>
    <row r="72" spans="1:31" ht="8" customHeight="1">
      <c r="A72" s="59"/>
      <c r="B72" s="77"/>
      <c r="C72" s="77"/>
      <c r="D72" s="77"/>
      <c r="E72" s="77"/>
      <c r="F72" s="77"/>
      <c r="G72" s="77"/>
      <c r="H72" s="77"/>
      <c r="I72" s="77"/>
      <c r="J72" s="77"/>
      <c r="K72" s="77"/>
      <c r="L72" s="77"/>
      <c r="M72" s="77"/>
      <c r="N72" s="77"/>
      <c r="O72" s="77"/>
      <c r="P72" s="77"/>
      <c r="Q72" s="77"/>
      <c r="R72" s="77"/>
      <c r="S72" s="77"/>
      <c r="T72" s="61"/>
      <c r="U72" s="56"/>
      <c r="V72" s="57"/>
      <c r="W72" s="57"/>
      <c r="X72" s="57"/>
      <c r="Y72" s="57"/>
      <c r="Z72" s="57"/>
      <c r="AA72" s="57"/>
      <c r="AB72" s="57"/>
      <c r="AC72" s="57"/>
      <c r="AD72" s="57"/>
      <c r="AE72" s="58"/>
    </row>
    <row r="73" spans="1:31" ht="18.75" customHeight="1">
      <c r="A73" s="59"/>
      <c r="B73" s="709" t="s">
        <v>107</v>
      </c>
      <c r="C73" s="710"/>
      <c r="D73" s="710"/>
      <c r="E73" s="710"/>
      <c r="F73" s="722" t="s">
        <v>108</v>
      </c>
      <c r="G73" s="723"/>
      <c r="H73" s="82"/>
      <c r="I73" s="82"/>
      <c r="J73" s="709" t="s">
        <v>127</v>
      </c>
      <c r="K73" s="710"/>
      <c r="L73" s="710"/>
      <c r="M73" s="710"/>
      <c r="N73" s="134"/>
      <c r="O73" s="134"/>
      <c r="P73" s="82"/>
      <c r="Q73" s="82"/>
      <c r="R73" s="759" t="s">
        <v>110</v>
      </c>
      <c r="S73" s="760"/>
      <c r="T73" s="61"/>
      <c r="U73" s="56"/>
      <c r="V73" s="57"/>
      <c r="W73" s="57"/>
      <c r="X73" s="57"/>
      <c r="Y73" s="57"/>
      <c r="Z73" s="57"/>
      <c r="AA73" s="57"/>
      <c r="AB73" s="57"/>
      <c r="AC73" s="57"/>
      <c r="AD73" s="57"/>
      <c r="AE73" s="58"/>
    </row>
    <row r="74" spans="1:31" ht="18.75" customHeight="1">
      <c r="A74" s="59"/>
      <c r="B74" s="688" t="s">
        <v>111</v>
      </c>
      <c r="C74" s="689"/>
      <c r="D74" s="689"/>
      <c r="E74" s="708"/>
      <c r="F74" s="123"/>
      <c r="G74" s="123"/>
      <c r="H74" s="121"/>
      <c r="I74" s="82"/>
      <c r="J74" s="688" t="s">
        <v>128</v>
      </c>
      <c r="K74" s="689"/>
      <c r="L74" s="689"/>
      <c r="M74" s="708"/>
      <c r="N74" s="135" cm="1">
        <f t="array" ref="N74">'Policy assumptions and formulae'!$AJ$7</f>
        <v>6800</v>
      </c>
      <c r="O74" s="135" cm="1">
        <f t="array" ref="O74">'Policy assumptions and formulae'!$AJ$7</f>
        <v>6800</v>
      </c>
      <c r="P74" s="136"/>
      <c r="Q74" s="137"/>
      <c r="R74" s="700" cm="1">
        <f t="array" ref="R74">SUMPRODUCT($N$76:$O$76,$F$74:$G$74)*VLOOKUP($E$38,'Policy assumptions and formulae'!$A$10:$D$109,4,FALSE)</f>
        <v>0</v>
      </c>
      <c r="S74" s="701"/>
      <c r="T74" s="128"/>
      <c r="U74" s="66"/>
      <c r="V74" s="57"/>
      <c r="W74" s="57"/>
      <c r="X74" s="57"/>
      <c r="Y74" s="57"/>
      <c r="Z74" s="57"/>
      <c r="AA74" s="57"/>
      <c r="AB74" s="57"/>
      <c r="AC74" s="57"/>
      <c r="AD74" s="57"/>
      <c r="AE74" s="58"/>
    </row>
    <row r="75" spans="1:31" ht="18.75" customHeight="1">
      <c r="A75" s="59"/>
      <c r="B75" s="688" t="s">
        <v>112</v>
      </c>
      <c r="C75" s="689"/>
      <c r="D75" s="689"/>
      <c r="E75" s="708"/>
      <c r="F75" s="123"/>
      <c r="G75" s="123"/>
      <c r="H75" s="121"/>
      <c r="I75" s="82"/>
      <c r="J75" s="688" t="s">
        <v>129</v>
      </c>
      <c r="K75" s="689"/>
      <c r="L75" s="689"/>
      <c r="M75" s="708"/>
      <c r="N75" s="138" cm="1">
        <f t="array" ref="N75">'Policy assumptions and formulae'!AJ28</f>
        <v>50</v>
      </c>
      <c r="O75" s="138" cm="1">
        <f t="array" ref="O75">'Policy assumptions and formulae'!AJ26</f>
        <v>20</v>
      </c>
      <c r="P75" s="139" t="s">
        <v>130</v>
      </c>
      <c r="Q75" s="137"/>
      <c r="R75" s="700" cm="1">
        <f t="array" ref="R75">SUMPRODUCT($N$76:$O$76,$F$75:$G$75)*VLOOKUP($E$38,'Policy assumptions and formulae'!$A$10:$D$109,4,FALSE)</f>
        <v>0</v>
      </c>
      <c r="S75" s="701"/>
      <c r="T75" s="128"/>
      <c r="U75" s="66"/>
      <c r="V75" s="57"/>
      <c r="W75" s="57"/>
      <c r="X75" s="57"/>
      <c r="Y75" s="57"/>
      <c r="Z75" s="57"/>
      <c r="AA75" s="57"/>
      <c r="AB75" s="57"/>
      <c r="AC75" s="57"/>
      <c r="AD75" s="57"/>
      <c r="AE75" s="58"/>
    </row>
    <row r="76" spans="1:31" ht="18.75" customHeight="1">
      <c r="A76" s="59"/>
      <c r="B76" s="688" t="s">
        <v>113</v>
      </c>
      <c r="C76" s="689"/>
      <c r="D76" s="689"/>
      <c r="E76" s="708"/>
      <c r="F76" s="123"/>
      <c r="G76" s="123"/>
      <c r="H76" s="121"/>
      <c r="I76" s="82"/>
      <c r="J76" s="755" t="s">
        <v>131</v>
      </c>
      <c r="K76" s="756"/>
      <c r="L76" s="756"/>
      <c r="M76" s="761"/>
      <c r="N76" s="135" cm="1">
        <f t="array" ref="N76">'Policy assumptions and formulae'!$AM$28</f>
        <v>1341.3864802956584</v>
      </c>
      <c r="O76" s="135" cm="1">
        <f t="array" ref="O76">'Policy assumptions and formulae'!$AM$26</f>
        <v>3417.4480141353633</v>
      </c>
      <c r="P76" s="140"/>
      <c r="Q76" s="137"/>
      <c r="R76" s="700" cm="1">
        <f t="array" ref="R76">SUMPRODUCT($N$76:$O$76,$F$76:$G$76)*VLOOKUP($E$38,'Policy assumptions and formulae'!$A$10:$D$109,4,FALSE)</f>
        <v>0</v>
      </c>
      <c r="S76" s="701"/>
      <c r="T76" s="128"/>
      <c r="U76" s="66"/>
      <c r="V76" s="57"/>
      <c r="W76" s="57"/>
      <c r="X76" s="57"/>
      <c r="Y76" s="57"/>
      <c r="Z76" s="57"/>
      <c r="AA76" s="57"/>
      <c r="AB76" s="57"/>
      <c r="AC76" s="57"/>
      <c r="AD76" s="57"/>
      <c r="AE76" s="58"/>
    </row>
    <row r="77" spans="1:31" ht="27" customHeight="1">
      <c r="A77" s="59"/>
      <c r="B77" s="82"/>
      <c r="C77" s="82"/>
      <c r="D77" s="82"/>
      <c r="E77" s="82"/>
      <c r="F77" s="129" t="s">
        <v>132</v>
      </c>
      <c r="G77" s="129" t="s">
        <v>133</v>
      </c>
      <c r="H77" s="82"/>
      <c r="I77" s="82"/>
      <c r="J77" s="756"/>
      <c r="K77" s="756"/>
      <c r="L77" s="756"/>
      <c r="M77" s="756"/>
      <c r="N77" s="129" t="s">
        <v>134</v>
      </c>
      <c r="O77" s="129" t="s">
        <v>135</v>
      </c>
      <c r="P77" s="141"/>
      <c r="Q77" s="82"/>
      <c r="R77" s="84"/>
      <c r="S77" s="84"/>
      <c r="T77" s="61"/>
      <c r="U77" s="56"/>
      <c r="V77" s="57"/>
      <c r="W77" s="57"/>
      <c r="X77" s="57"/>
      <c r="Y77" s="57"/>
      <c r="Z77" s="57"/>
      <c r="AA77" s="57"/>
      <c r="AB77" s="57"/>
      <c r="AC77" s="57"/>
      <c r="AD77" s="57"/>
      <c r="AE77" s="58"/>
    </row>
    <row r="78" spans="1:31" ht="8" customHeight="1">
      <c r="A78" s="59"/>
      <c r="B78" s="78"/>
      <c r="C78" s="78"/>
      <c r="D78" s="78"/>
      <c r="E78" s="78"/>
      <c r="F78" s="78"/>
      <c r="G78" s="78"/>
      <c r="H78" s="78"/>
      <c r="I78" s="78"/>
      <c r="J78" s="78"/>
      <c r="K78" s="78"/>
      <c r="L78" s="78"/>
      <c r="M78" s="78"/>
      <c r="N78" s="78"/>
      <c r="O78" s="78"/>
      <c r="P78" s="78"/>
      <c r="Q78" s="78"/>
      <c r="R78" s="78"/>
      <c r="S78" s="78"/>
      <c r="T78" s="61"/>
      <c r="U78" s="56"/>
      <c r="V78" s="57"/>
      <c r="W78" s="57"/>
      <c r="X78" s="57"/>
      <c r="Y78" s="57"/>
      <c r="Z78" s="57"/>
      <c r="AA78" s="57"/>
      <c r="AB78" s="57"/>
      <c r="AC78" s="57"/>
      <c r="AD78" s="57"/>
      <c r="AE78" s="58"/>
    </row>
    <row r="79" spans="1:31" ht="18.75" customHeight="1">
      <c r="A79" s="59"/>
      <c r="B79" s="767" t="s">
        <v>136</v>
      </c>
      <c r="C79" s="727"/>
      <c r="D79" s="727"/>
      <c r="E79" s="727"/>
      <c r="F79" s="727"/>
      <c r="G79" s="727"/>
      <c r="H79" s="727"/>
      <c r="I79" s="727"/>
      <c r="J79" s="727"/>
      <c r="K79" s="727"/>
      <c r="L79" s="727"/>
      <c r="M79" s="727"/>
      <c r="N79" s="727"/>
      <c r="O79" s="727"/>
      <c r="P79" s="727"/>
      <c r="Q79" s="727"/>
      <c r="R79" s="727"/>
      <c r="S79" s="727"/>
      <c r="T79" s="61"/>
      <c r="U79" s="56"/>
      <c r="V79" s="57"/>
      <c r="W79" s="57"/>
      <c r="X79" s="57"/>
      <c r="Y79" s="57"/>
      <c r="Z79" s="57"/>
      <c r="AA79" s="57"/>
      <c r="AB79" s="57"/>
      <c r="AC79" s="57"/>
      <c r="AD79" s="57"/>
      <c r="AE79" s="58"/>
    </row>
    <row r="80" spans="1:31" ht="8" customHeight="1">
      <c r="A80" s="59"/>
      <c r="B80" s="97"/>
      <c r="C80" s="77"/>
      <c r="D80" s="77"/>
      <c r="E80" s="77"/>
      <c r="F80" s="77"/>
      <c r="G80" s="77"/>
      <c r="H80" s="77"/>
      <c r="I80" s="77"/>
      <c r="J80" s="77"/>
      <c r="K80" s="77"/>
      <c r="L80" s="77"/>
      <c r="M80" s="77"/>
      <c r="N80" s="77"/>
      <c r="O80" s="77"/>
      <c r="P80" s="77"/>
      <c r="Q80" s="77"/>
      <c r="R80" s="77"/>
      <c r="S80" s="77"/>
      <c r="T80" s="61"/>
      <c r="U80" s="56"/>
      <c r="V80" s="57"/>
      <c r="W80" s="57"/>
      <c r="X80" s="57"/>
      <c r="Y80" s="57"/>
      <c r="Z80" s="57"/>
      <c r="AA80" s="57"/>
      <c r="AB80" s="57"/>
      <c r="AC80" s="57"/>
      <c r="AD80" s="57"/>
      <c r="AE80" s="58"/>
    </row>
    <row r="81" spans="1:31" ht="18.75" customHeight="1">
      <c r="A81" s="59"/>
      <c r="B81" s="142"/>
      <c r="C81" s="104"/>
      <c r="D81" s="749" t="s">
        <v>137</v>
      </c>
      <c r="E81" s="750"/>
      <c r="F81" s="750"/>
      <c r="G81" s="749" t="s">
        <v>138</v>
      </c>
      <c r="H81" s="750"/>
      <c r="I81" s="750"/>
      <c r="J81" s="750"/>
      <c r="K81" s="750"/>
      <c r="L81" s="77"/>
      <c r="M81" s="77"/>
      <c r="N81" s="77"/>
      <c r="O81" s="77"/>
      <c r="P81" s="77"/>
      <c r="Q81" s="77"/>
      <c r="R81" s="77"/>
      <c r="S81" s="77"/>
      <c r="T81" s="61"/>
      <c r="U81" s="56"/>
      <c r="V81" s="57"/>
      <c r="W81" s="57"/>
      <c r="X81" s="57"/>
      <c r="Y81" s="57"/>
      <c r="Z81" s="57"/>
      <c r="AA81" s="57"/>
      <c r="AB81" s="57"/>
      <c r="AC81" s="57"/>
      <c r="AD81" s="57"/>
      <c r="AE81" s="58"/>
    </row>
    <row r="82" spans="1:31" ht="18.75" customHeight="1">
      <c r="A82" s="59"/>
      <c r="B82" s="875" t="s">
        <v>139</v>
      </c>
      <c r="C82" s="876"/>
      <c r="D82" s="143" t="s">
        <v>140</v>
      </c>
      <c r="E82" s="143" t="s">
        <v>141</v>
      </c>
      <c r="F82" s="143" t="s">
        <v>142</v>
      </c>
      <c r="G82" s="104"/>
      <c r="H82" s="143" t="s">
        <v>140</v>
      </c>
      <c r="I82" s="143" t="s">
        <v>141</v>
      </c>
      <c r="J82" s="143" t="s">
        <v>142</v>
      </c>
      <c r="K82" s="77"/>
      <c r="L82" s="769" t="s">
        <v>110</v>
      </c>
      <c r="M82" s="770"/>
      <c r="N82" s="749" t="s">
        <v>143</v>
      </c>
      <c r="O82" s="750"/>
      <c r="P82" s="750"/>
      <c r="Q82" s="750"/>
      <c r="R82" s="750"/>
      <c r="S82" s="77"/>
      <c r="T82" s="61"/>
      <c r="U82" s="56"/>
      <c r="V82" s="57"/>
      <c r="W82" s="57"/>
      <c r="X82" s="57"/>
      <c r="Y82" s="57"/>
      <c r="Z82" s="57"/>
      <c r="AA82" s="57"/>
      <c r="AB82" s="57"/>
      <c r="AC82" s="57"/>
      <c r="AD82" s="57"/>
      <c r="AE82" s="58"/>
    </row>
    <row r="83" spans="1:31" ht="18.75" customHeight="1">
      <c r="A83" s="59"/>
      <c r="B83" s="757" t="s">
        <v>144</v>
      </c>
      <c r="C83" s="758"/>
      <c r="D83" s="144">
        <v>1</v>
      </c>
      <c r="E83" s="145"/>
      <c r="F83" s="145"/>
      <c r="G83" s="789"/>
      <c r="H83" s="145"/>
      <c r="I83" s="145"/>
      <c r="J83" s="144">
        <v>1</v>
      </c>
      <c r="K83" s="751" t="str" cm="1">
        <f t="array" ref="K83">IF(SUM(D83:F90)&lt;&gt;SUM(H83:J90),"Error in net change habitat","")</f>
        <v/>
      </c>
      <c r="L83" s="787" cm="1">
        <f t="array" ref="L83">(((H83-D83)*'Policy assumptions and formulae'!AR12)+((I83-E83)*'Policy assumptions and formulae'!AS12)+((J83-F83)*'Policy assumptions and formulae'!AT12))*VLOOKUP($E$38,'Policy assumptions and formulae'!$A$10:$D$109,4,FALSE)</f>
        <v>272055.24016990041</v>
      </c>
      <c r="M83" s="788"/>
      <c r="N83" s="146"/>
      <c r="O83" s="142"/>
      <c r="P83" s="147" t="s">
        <v>145</v>
      </c>
      <c r="Q83" s="104"/>
      <c r="R83" s="769" t="s">
        <v>110</v>
      </c>
      <c r="S83" s="770"/>
      <c r="T83" s="61"/>
      <c r="U83" s="56"/>
      <c r="V83" s="57"/>
      <c r="W83" s="57"/>
      <c r="X83" s="57"/>
      <c r="Y83" s="57"/>
      <c r="Z83" s="57"/>
      <c r="AA83" s="57"/>
      <c r="AB83" s="57"/>
      <c r="AC83" s="57"/>
      <c r="AD83" s="57"/>
      <c r="AE83" s="58"/>
    </row>
    <row r="84" spans="1:31" ht="18.75" customHeight="1">
      <c r="A84" s="59"/>
      <c r="B84" s="757" t="s">
        <v>146</v>
      </c>
      <c r="C84" s="758"/>
      <c r="D84" s="144">
        <v>1</v>
      </c>
      <c r="E84" s="145"/>
      <c r="F84" s="145"/>
      <c r="G84" s="789"/>
      <c r="H84" s="145"/>
      <c r="I84" s="145"/>
      <c r="J84" s="144">
        <v>1</v>
      </c>
      <c r="K84" s="751"/>
      <c r="L84" s="787" cm="1">
        <f t="array" ref="L84">(((H84-D84)*'Policy assumptions and formulae'!AR13)+((I84-E84)*'Policy assumptions and formulae'!AS13)+((J84-F84)*'Policy assumptions and formulae'!AT13))*VLOOKUP($E$38,'Policy assumptions and formulae'!$A$10:$D$109,4,FALSE)</f>
        <v>159768.99395268576</v>
      </c>
      <c r="M84" s="788"/>
      <c r="N84" s="747" t="s">
        <v>147</v>
      </c>
      <c r="O84" s="748"/>
      <c r="P84" s="148">
        <v>1</v>
      </c>
      <c r="Q84" s="149"/>
      <c r="R84" s="745" cm="1">
        <f t="array" ref="R84">(P84*'Policy assumptions and formulae'!AT23)*VLOOKUP($E$38,'Policy assumptions and formulae'!$A$10:$D$109,4,FALSE)</f>
        <v>394196.39629447705</v>
      </c>
      <c r="S84" s="746"/>
      <c r="T84" s="128"/>
      <c r="U84" s="56"/>
      <c r="V84" s="57"/>
      <c r="W84" s="57"/>
      <c r="X84" s="57"/>
      <c r="Y84" s="57"/>
      <c r="Z84" s="57"/>
      <c r="AA84" s="57"/>
      <c r="AB84" s="57"/>
      <c r="AC84" s="57"/>
      <c r="AD84" s="57"/>
      <c r="AE84" s="58"/>
    </row>
    <row r="85" spans="1:31" ht="18.75" customHeight="1">
      <c r="A85" s="59"/>
      <c r="B85" s="757" t="s">
        <v>148</v>
      </c>
      <c r="C85" s="758"/>
      <c r="D85" s="144">
        <v>1</v>
      </c>
      <c r="E85" s="145"/>
      <c r="F85" s="145"/>
      <c r="G85" s="789"/>
      <c r="H85" s="145"/>
      <c r="I85" s="145"/>
      <c r="J85" s="144">
        <v>1</v>
      </c>
      <c r="K85" s="751"/>
      <c r="L85" s="787" cm="1">
        <f t="array" ref="L85">(((H85-D85)*'Policy assumptions and formulae'!AR14)+((I85-E85)*'Policy assumptions and formulae'!AS14)+((J85-F85)*'Policy assumptions and formulae'!AT14))*VLOOKUP($E$38,'Policy assumptions and formulae'!$A$10:$D$109,4,FALSE)</f>
        <v>159768.99395268576</v>
      </c>
      <c r="M85" s="788"/>
      <c r="N85" s="747" t="s">
        <v>149</v>
      </c>
      <c r="O85" s="748"/>
      <c r="P85" s="150">
        <v>1</v>
      </c>
      <c r="Q85" s="149"/>
      <c r="R85" s="745" cm="1">
        <f t="array" ref="R85">(P85*'Policy assumptions and formulae'!AT24)*VLOOKUP($E$38,'Policy assumptions and formulae'!$A$10:$D$109,4,FALSE)</f>
        <v>197098.19814723852</v>
      </c>
      <c r="S85" s="746"/>
      <c r="T85" s="128"/>
      <c r="U85" s="56"/>
      <c r="V85" s="57"/>
      <c r="W85" s="57"/>
      <c r="X85" s="57"/>
      <c r="Y85" s="57"/>
      <c r="Z85" s="57"/>
      <c r="AA85" s="57"/>
      <c r="AB85" s="57"/>
      <c r="AC85" s="57"/>
      <c r="AD85" s="57"/>
      <c r="AE85" s="58"/>
    </row>
    <row r="86" spans="1:31" ht="18.75" customHeight="1">
      <c r="A86" s="59"/>
      <c r="B86" s="757" t="s">
        <v>150</v>
      </c>
      <c r="C86" s="758"/>
      <c r="D86" s="144">
        <v>1</v>
      </c>
      <c r="E86" s="145"/>
      <c r="F86" s="145"/>
      <c r="G86" s="789"/>
      <c r="H86" s="145"/>
      <c r="I86" s="145"/>
      <c r="J86" s="144">
        <v>1</v>
      </c>
      <c r="K86" s="751"/>
      <c r="L86" s="787" cm="1">
        <f t="array" ref="L86">(((H86-D86)*'Policy assumptions and formulae'!AR15)+((I86-E86)*'Policy assumptions and formulae'!AS15)+((J86-F86)*'Policy assumptions and formulae'!AT15))*VLOOKUP($E$38,'Policy assumptions and formulae'!$A$10:$D$109,4,FALSE)</f>
        <v>81825.615594459625</v>
      </c>
      <c r="M86" s="788"/>
      <c r="N86" s="790" t="s">
        <v>151</v>
      </c>
      <c r="O86" s="791"/>
      <c r="P86" s="148">
        <v>1</v>
      </c>
      <c r="Q86" s="149"/>
      <c r="R86" s="745" cm="1">
        <f t="array" ref="R86">(P86*'Policy assumptions and formulae'!AT25)*VLOOKUP($E$38,'Policy assumptions and formulae'!$A$10:$D$109,4,FALSE)</f>
        <v>98549.099073619262</v>
      </c>
      <c r="S86" s="746"/>
      <c r="T86" s="128"/>
      <c r="U86" s="56"/>
      <c r="V86" s="57"/>
      <c r="W86" s="57"/>
      <c r="X86" s="57"/>
      <c r="Y86" s="57"/>
      <c r="Z86" s="57"/>
      <c r="AA86" s="57"/>
      <c r="AB86" s="57"/>
      <c r="AC86" s="57"/>
      <c r="AD86" s="57"/>
      <c r="AE86" s="58"/>
    </row>
    <row r="87" spans="1:31" ht="18.75" customHeight="1">
      <c r="A87" s="59"/>
      <c r="B87" s="757" t="s">
        <v>152</v>
      </c>
      <c r="C87" s="758"/>
      <c r="D87" s="144">
        <v>1</v>
      </c>
      <c r="E87" s="145"/>
      <c r="F87" s="145"/>
      <c r="G87" s="789"/>
      <c r="H87" s="145"/>
      <c r="I87" s="145"/>
      <c r="J87" s="144">
        <v>1</v>
      </c>
      <c r="K87" s="751"/>
      <c r="L87" s="787" cm="1">
        <f t="array" ref="L87">(((H87-D87)*'Policy assumptions and formulae'!AR16)+((I87-E87)*'Policy assumptions and formulae'!AS16)+((J87-F87)*'Policy assumptions and formulae'!AT16))*VLOOKUP($E$38,'Policy assumptions and formulae'!$A$10:$D$109,4,FALSE)</f>
        <v>12841.246242926147</v>
      </c>
      <c r="M87" s="788"/>
      <c r="N87" s="792"/>
      <c r="O87" s="793"/>
      <c r="P87" s="151"/>
      <c r="Q87" s="104"/>
      <c r="R87" s="152"/>
      <c r="S87" s="152"/>
      <c r="T87" s="61"/>
      <c r="U87" s="56"/>
      <c r="V87" s="57"/>
      <c r="W87" s="57"/>
      <c r="X87" s="57"/>
      <c r="Y87" s="57"/>
      <c r="Z87" s="57"/>
      <c r="AA87" s="57"/>
      <c r="AB87" s="57"/>
      <c r="AC87" s="57"/>
      <c r="AD87" s="57"/>
      <c r="AE87" s="58"/>
    </row>
    <row r="88" spans="1:31" ht="18.75" customHeight="1">
      <c r="A88" s="59"/>
      <c r="B88" s="757" t="s">
        <v>153</v>
      </c>
      <c r="C88" s="758"/>
      <c r="D88" s="144">
        <v>1</v>
      </c>
      <c r="E88" s="145"/>
      <c r="F88" s="145"/>
      <c r="G88" s="789"/>
      <c r="H88" s="145"/>
      <c r="I88" s="145"/>
      <c r="J88" s="144">
        <v>1</v>
      </c>
      <c r="K88" s="751"/>
      <c r="L88" s="787" cm="1">
        <f t="array" ref="L88">(((H88-D88)*'Policy assumptions and formulae'!AR17)+((I88-E88)*'Policy assumptions and formulae'!AS17)+((J88-F88)*'Policy assumptions and formulae'!AT17))*VLOOKUP($E$38,'Policy assumptions and formulae'!$A$10:$D$109,4,FALSE)</f>
        <v>78540.645625338992</v>
      </c>
      <c r="M88" s="788"/>
      <c r="N88" s="146"/>
      <c r="O88" s="77"/>
      <c r="P88" s="77"/>
      <c r="Q88" s="77"/>
      <c r="R88" s="77"/>
      <c r="S88" s="77"/>
      <c r="T88" s="61"/>
      <c r="U88" s="56"/>
      <c r="V88" s="57"/>
      <c r="W88" s="57"/>
      <c r="X88" s="57"/>
      <c r="Y88" s="57"/>
      <c r="Z88" s="57"/>
      <c r="AA88" s="57"/>
      <c r="AB88" s="57"/>
      <c r="AC88" s="57"/>
      <c r="AD88" s="57"/>
      <c r="AE88" s="58"/>
    </row>
    <row r="89" spans="1:31" ht="18.75" customHeight="1">
      <c r="A89" s="59"/>
      <c r="B89" s="757" t="s">
        <v>154</v>
      </c>
      <c r="C89" s="758"/>
      <c r="D89" s="144">
        <v>1</v>
      </c>
      <c r="E89" s="145"/>
      <c r="F89" s="145"/>
      <c r="G89" s="789"/>
      <c r="H89" s="145"/>
      <c r="I89" s="145"/>
      <c r="J89" s="144">
        <v>1</v>
      </c>
      <c r="K89" s="751"/>
      <c r="L89" s="787" cm="1">
        <f t="array" ref="L89">(((H89-D89)*'Policy assumptions and formulae'!AR18)+((I89-E89)*'Policy assumptions and formulae'!AS18)+((J89-F89)*'Policy assumptions and formulae'!AT18))*VLOOKUP($E$38,'Policy assumptions and formulae'!$A$10:$D$109,4,FALSE)</f>
        <v>81825.615594459625</v>
      </c>
      <c r="M89" s="788"/>
      <c r="N89" s="153"/>
      <c r="O89" s="154"/>
      <c r="P89" s="155"/>
      <c r="Q89" s="104"/>
      <c r="R89" s="156"/>
      <c r="S89" s="156"/>
      <c r="T89" s="61"/>
      <c r="U89" s="56"/>
      <c r="V89" s="57"/>
      <c r="W89" s="57"/>
      <c r="X89" s="57"/>
      <c r="Y89" s="57"/>
      <c r="Z89" s="57"/>
      <c r="AA89" s="57"/>
      <c r="AB89" s="57"/>
      <c r="AC89" s="57"/>
      <c r="AD89" s="57"/>
      <c r="AE89" s="58"/>
    </row>
    <row r="90" spans="1:31" ht="18.75" customHeight="1">
      <c r="A90" s="59"/>
      <c r="B90" s="757" t="s">
        <v>155</v>
      </c>
      <c r="C90" s="758"/>
      <c r="D90" s="144">
        <v>1</v>
      </c>
      <c r="E90" s="145"/>
      <c r="F90" s="145"/>
      <c r="G90" s="789"/>
      <c r="H90" s="145"/>
      <c r="I90" s="145"/>
      <c r="J90" s="144">
        <v>1</v>
      </c>
      <c r="K90" s="751"/>
      <c r="L90" s="787" cm="1">
        <f t="array" ref="L90">(((H90-D90)*'Policy assumptions and formulae'!AR19)+((I90-E90)*'Policy assumptions and formulae'!AS19)+((J90-F90)*'Policy assumptions and formulae'!AT19))*VLOOKUP($E$38,'Policy assumptions and formulae'!$A$10:$D$109,4,FALSE)</f>
        <v>895.90090066926598</v>
      </c>
      <c r="M90" s="788"/>
      <c r="N90" s="146"/>
      <c r="O90" s="77"/>
      <c r="P90" s="77"/>
      <c r="Q90" s="77"/>
      <c r="R90" s="77"/>
      <c r="S90" s="77"/>
      <c r="T90" s="61"/>
      <c r="U90" s="56"/>
      <c r="V90" s="57"/>
      <c r="W90" s="57"/>
      <c r="X90" s="57"/>
      <c r="Y90" s="57"/>
      <c r="Z90" s="57"/>
      <c r="AA90" s="57"/>
      <c r="AB90" s="57"/>
      <c r="AC90" s="57"/>
      <c r="AD90" s="57"/>
      <c r="AE90" s="58"/>
    </row>
    <row r="91" spans="1:31" ht="9.75" customHeight="1">
      <c r="A91" s="59"/>
      <c r="B91" s="78"/>
      <c r="C91" s="78"/>
      <c r="D91" s="157"/>
      <c r="E91" s="157"/>
      <c r="F91" s="157"/>
      <c r="G91" s="78"/>
      <c r="H91" s="157"/>
      <c r="I91" s="157"/>
      <c r="J91" s="157"/>
      <c r="K91" s="78"/>
      <c r="L91" s="102"/>
      <c r="M91" s="102"/>
      <c r="N91" s="78"/>
      <c r="O91" s="78"/>
      <c r="P91" s="78"/>
      <c r="Q91" s="78"/>
      <c r="R91" s="78"/>
      <c r="S91" s="78"/>
      <c r="T91" s="61"/>
      <c r="U91" s="56"/>
      <c r="V91" s="57"/>
      <c r="W91" s="57"/>
      <c r="X91" s="57"/>
      <c r="Y91" s="57"/>
      <c r="Z91" s="57"/>
      <c r="AA91" s="57"/>
      <c r="AB91" s="57"/>
      <c r="AC91" s="57"/>
      <c r="AD91" s="57"/>
      <c r="AE91" s="58"/>
    </row>
    <row r="92" spans="1:31" ht="18.75" customHeight="1">
      <c r="A92" s="59"/>
      <c r="B92" s="767" t="s">
        <v>156</v>
      </c>
      <c r="C92" s="727"/>
      <c r="D92" s="727"/>
      <c r="E92" s="727"/>
      <c r="F92" s="727"/>
      <c r="G92" s="727"/>
      <c r="H92" s="727"/>
      <c r="I92" s="727"/>
      <c r="J92" s="727"/>
      <c r="K92" s="112"/>
      <c r="L92" s="767" t="s">
        <v>157</v>
      </c>
      <c r="M92" s="727"/>
      <c r="N92" s="727"/>
      <c r="O92" s="727"/>
      <c r="P92" s="727"/>
      <c r="Q92" s="727"/>
      <c r="R92" s="727"/>
      <c r="S92" s="794" t="s">
        <v>158</v>
      </c>
      <c r="T92" s="61"/>
      <c r="U92" s="56"/>
      <c r="V92" s="57"/>
      <c r="W92" s="57"/>
      <c r="X92" s="57"/>
      <c r="Y92" s="57"/>
      <c r="Z92" s="57"/>
      <c r="AA92" s="57"/>
      <c r="AB92" s="57"/>
      <c r="AC92" s="57"/>
      <c r="AD92" s="57"/>
      <c r="AE92" s="58"/>
    </row>
    <row r="93" spans="1:31" ht="8" customHeight="1">
      <c r="A93" s="59"/>
      <c r="B93" s="77"/>
      <c r="C93" s="77"/>
      <c r="D93" s="77"/>
      <c r="E93" s="77"/>
      <c r="F93" s="858" t="s">
        <v>159</v>
      </c>
      <c r="G93" s="858" t="s">
        <v>160</v>
      </c>
      <c r="H93" s="77"/>
      <c r="I93" s="77"/>
      <c r="J93" s="77"/>
      <c r="K93" s="77"/>
      <c r="L93" s="77"/>
      <c r="M93" s="77"/>
      <c r="N93" s="77"/>
      <c r="O93" s="77"/>
      <c r="P93" s="77"/>
      <c r="Q93" s="77"/>
      <c r="R93" s="77"/>
      <c r="S93" s="795"/>
      <c r="T93" s="61"/>
      <c r="U93" s="56"/>
      <c r="V93" s="57"/>
      <c r="W93" s="57"/>
      <c r="X93" s="57"/>
      <c r="Y93" s="57"/>
      <c r="Z93" s="57"/>
      <c r="AA93" s="57"/>
      <c r="AB93" s="57"/>
      <c r="AC93" s="57"/>
      <c r="AD93" s="57"/>
      <c r="AE93" s="58"/>
    </row>
    <row r="94" spans="1:31" ht="18.75" customHeight="1">
      <c r="A94" s="59"/>
      <c r="B94" s="158" t="s">
        <v>161</v>
      </c>
      <c r="C94" s="158" t="s">
        <v>162</v>
      </c>
      <c r="D94" s="784" t="s">
        <v>163</v>
      </c>
      <c r="E94" s="785"/>
      <c r="F94" s="796"/>
      <c r="G94" s="796"/>
      <c r="H94" s="784" t="s">
        <v>164</v>
      </c>
      <c r="I94" s="785"/>
      <c r="J94" s="147" t="s">
        <v>165</v>
      </c>
      <c r="K94" s="77"/>
      <c r="L94" s="158" t="s">
        <v>55</v>
      </c>
      <c r="M94" s="77"/>
      <c r="N94" s="77"/>
      <c r="O94" s="77"/>
      <c r="P94" s="159" t="s">
        <v>166</v>
      </c>
      <c r="Q94" s="784" t="s">
        <v>167</v>
      </c>
      <c r="R94" s="785"/>
      <c r="S94" s="796"/>
      <c r="T94" s="61"/>
      <c r="U94" s="66"/>
      <c r="V94" s="57"/>
      <c r="W94" s="57"/>
      <c r="X94" s="57"/>
      <c r="Y94" s="57"/>
      <c r="Z94" s="57"/>
      <c r="AA94" s="57"/>
      <c r="AB94" s="57"/>
      <c r="AC94" s="57"/>
      <c r="AD94" s="57"/>
      <c r="AE94" s="58"/>
    </row>
    <row r="95" spans="1:31" ht="18.75" customHeight="1">
      <c r="A95" s="59"/>
      <c r="B95" s="160" t="s">
        <v>168</v>
      </c>
      <c r="C95" s="161" t="s">
        <v>169</v>
      </c>
      <c r="D95" s="850">
        <v>16619849.2914178</v>
      </c>
      <c r="E95" s="851"/>
      <c r="F95" s="163" cm="1">
        <f t="array" ref="F95">IF(D95="Ltd by high OM1b,2,3,4 values",0,D95/$D$105)</f>
        <v>0.43736445503731103</v>
      </c>
      <c r="G95" s="164" cm="1">
        <f t="array" ref="G95">'Policy assumptions and formulae'!Q10</f>
        <v>6</v>
      </c>
      <c r="H95" s="786" cm="1">
        <f t="array" ref="H95">IF(D95="Ltd by high OM1b,2,3,4 values",0,D95*(G95/100))</f>
        <v>997190.95748506801</v>
      </c>
      <c r="I95" s="786"/>
      <c r="J95" s="163" cm="1">
        <f t="array" ref="J95">H95/$H$105</f>
        <v>0.12877295647427947</v>
      </c>
      <c r="K95" s="59"/>
      <c r="L95" s="716" t="s">
        <v>170</v>
      </c>
      <c r="M95" s="717"/>
      <c r="N95" s="717"/>
      <c r="O95" s="768"/>
      <c r="P95" s="166" cm="1">
        <f t="array" ref="P95">E19</f>
        <v>0.91103432308762522</v>
      </c>
      <c r="Q95" s="762" cm="1">
        <f t="array" ref="Q95">E21</f>
        <v>578277</v>
      </c>
      <c r="R95" s="763"/>
      <c r="S95" s="166" cm="1">
        <f t="array" ref="S95">IF(Q95="n/a","n/a",IF(D11="Environment Agency",Q95/$E$33,Q95/$E$31))</f>
        <v>8.8965692307692301E-2</v>
      </c>
      <c r="T95" s="65"/>
      <c r="U95" s="66"/>
      <c r="V95" s="57"/>
      <c r="W95" s="57"/>
      <c r="X95" s="57"/>
      <c r="Y95" s="57"/>
      <c r="Z95" s="57"/>
      <c r="AA95" s="57"/>
      <c r="AB95" s="57"/>
      <c r="AC95" s="57"/>
      <c r="AD95" s="57"/>
      <c r="AE95" s="58"/>
    </row>
    <row r="96" spans="1:31" ht="18.75" customHeight="1">
      <c r="A96" s="59"/>
      <c r="B96" s="167" t="s">
        <v>171</v>
      </c>
      <c r="C96" s="168" t="s">
        <v>172</v>
      </c>
      <c r="D96" s="871" cm="1">
        <f t="array" ref="D96">E41</f>
        <v>1000000</v>
      </c>
      <c r="E96" s="872"/>
      <c r="F96" s="163" cm="1">
        <f t="array" ref="F96">D96/$D$105</f>
        <v>2.631578947368424E-2</v>
      </c>
      <c r="G96" s="169" cm="1">
        <f t="array" ref="G96">'Policy assumptions and formulae'!Q7*'Policy assumptions and formulae'!X20</f>
        <v>20</v>
      </c>
      <c r="H96" s="786" cm="1">
        <f t="array" ref="H96">D96*(G96/100)</f>
        <v>200000</v>
      </c>
      <c r="I96" s="786"/>
      <c r="J96" s="163" cm="1">
        <f t="array" ref="J96">H96/$H$105</f>
        <v>2.5827140831490687E-2</v>
      </c>
      <c r="K96" s="59"/>
      <c r="L96" s="757" t="s">
        <v>173</v>
      </c>
      <c r="M96" s="765"/>
      <c r="N96" s="765"/>
      <c r="O96" s="766"/>
      <c r="P96" s="166" t="e" cm="1" vm="1">
        <f t="array" aca="1" ref="P96" ca="1">'SA1'!$E$19</f>
        <v>#VALUE!</v>
      </c>
      <c r="Q96" s="762" t="e" cm="1" vm="1">
        <f t="array" aca="1" ref="Q96" ca="1">'SA1'!$E$21</f>
        <v>#VALUE!</v>
      </c>
      <c r="R96" s="763"/>
      <c r="S96" s="166" t="e" cm="1" vm="1">
        <f t="array" aca="1" ref="S96" ca="1">IF(Q96="n/a","n/a",$Q$96/'SA1'!$E$33)</f>
        <v>#VALUE!</v>
      </c>
      <c r="T96" s="65"/>
      <c r="U96" s="66"/>
      <c r="V96" s="57"/>
      <c r="W96" s="57"/>
      <c r="X96" s="57"/>
      <c r="Y96" s="57"/>
      <c r="Z96" s="57"/>
      <c r="AA96" s="57"/>
      <c r="AB96" s="57"/>
      <c r="AC96" s="57"/>
      <c r="AD96" s="57"/>
      <c r="AE96" s="58"/>
    </row>
    <row r="97" spans="1:31" ht="18.75" customHeight="1">
      <c r="A97" s="59"/>
      <c r="B97" s="873" t="s">
        <v>174</v>
      </c>
      <c r="C97" s="170" t="s">
        <v>175</v>
      </c>
      <c r="D97" s="850" cm="1">
        <f t="array" ref="D97">IF(R61="Ltd by DoB",R46,R46+R61)</f>
        <v>3908614.4715996296</v>
      </c>
      <c r="E97" s="851"/>
      <c r="F97" s="163" cm="1">
        <f t="array" ref="F97">D97/$D$105</f>
        <v>0.10285827556841143</v>
      </c>
      <c r="G97" s="164" cm="1">
        <f t="array" ref="G97">'Policy assumptions and formulae'!X$10*'Policy assumptions and formulae'!X$16</f>
        <v>45</v>
      </c>
      <c r="H97" s="786" cm="1">
        <f t="array" ref="H97">D97*(G97/100)</f>
        <v>1758876.5122198334</v>
      </c>
      <c r="I97" s="786"/>
      <c r="J97" s="163" cm="1">
        <f t="array" ref="J97">H97/$H$105</f>
        <v>0.22713375693151394</v>
      </c>
      <c r="K97" s="59"/>
      <c r="L97" s="757" t="s">
        <v>176</v>
      </c>
      <c r="M97" s="765"/>
      <c r="N97" s="765"/>
      <c r="O97" s="766"/>
      <c r="P97" s="166" t="e" cm="1" vm="1">
        <f t="array" aca="1" ref="P97" ca="1">IF(SUM(H97:I99)&gt;0,'SA2'!$E$19,"N/A")</f>
        <v>#VALUE!</v>
      </c>
      <c r="Q97" s="762" t="e" cm="1" vm="1">
        <f t="array" aca="1" ref="Q97" ca="1">IF(SUM(H97:I99)&gt;0,'SA2'!$E$21,"No OM2 contribution")</f>
        <v>#VALUE!</v>
      </c>
      <c r="R97" s="763"/>
      <c r="S97" s="166" t="e" cm="1" vm="1">
        <f t="array" aca="1" ref="S97" ca="1">IF(Q97="No OM2 contribution","n/a",$Q$97/'SA2'!$E$33)</f>
        <v>#VALUE!</v>
      </c>
      <c r="T97" s="65"/>
      <c r="U97" s="66"/>
      <c r="V97" s="57"/>
      <c r="W97" s="57"/>
      <c r="X97" s="57"/>
      <c r="Y97" s="57"/>
      <c r="Z97" s="57"/>
      <c r="AA97" s="57"/>
      <c r="AB97" s="57"/>
      <c r="AC97" s="57"/>
      <c r="AD97" s="57"/>
      <c r="AE97" s="58"/>
    </row>
    <row r="98" spans="1:31" ht="18.75" customHeight="1">
      <c r="A98" s="59"/>
      <c r="B98" s="874"/>
      <c r="C98" s="170" t="s">
        <v>177</v>
      </c>
      <c r="D98" s="850" cm="1">
        <f t="array" ref="D98">IF(R62="Ltd by DoB",R47,R47+R62)</f>
        <v>14934170.291434068</v>
      </c>
      <c r="E98" s="851"/>
      <c r="F98" s="163" cm="1">
        <f t="array" ref="F98">D98/$D$105</f>
        <v>0.39300448135352856</v>
      </c>
      <c r="G98" s="164" cm="1">
        <f t="array" ref="G98">'Policy assumptions and formulae'!X$10*'Policy assumptions and formulae'!X$18</f>
        <v>30</v>
      </c>
      <c r="H98" s="786" cm="1">
        <f t="array" ref="H98">D98*(G98/100)</f>
        <v>4480251.0874302201</v>
      </c>
      <c r="I98" s="786"/>
      <c r="J98" s="163" cm="1">
        <f t="array" ref="J98">H98/$H$105</f>
        <v>0.5785603789774979</v>
      </c>
      <c r="K98" s="59"/>
      <c r="L98" s="757" t="s">
        <v>178</v>
      </c>
      <c r="M98" s="765"/>
      <c r="N98" s="765"/>
      <c r="O98" s="766"/>
      <c r="P98" s="162" t="str" cm="1">
        <f t="array" ref="P98">IF(SUM(H100:I102)&gt;0,'SA3'!$E$19,"N/A")</f>
        <v>N/A</v>
      </c>
      <c r="Q98" s="764" t="str" cm="1">
        <f t="array" ref="Q98">IF(SUM(H100:I102)&gt;0,'SA3'!$E$21,"No OM3 contribution")</f>
        <v>No OM3 contribution</v>
      </c>
      <c r="R98" s="763"/>
      <c r="S98" s="162" t="str" cm="1">
        <f t="array" ref="S98">IF(Q98="No OM3 contribution","n/a",$Q$98/'SA3'!$E$33)</f>
        <v>n/a</v>
      </c>
      <c r="T98" s="65"/>
      <c r="U98" s="66"/>
      <c r="V98" s="57"/>
      <c r="W98" s="57"/>
      <c r="X98" s="57"/>
      <c r="Y98" s="57"/>
      <c r="Z98" s="57"/>
      <c r="AA98" s="57"/>
      <c r="AB98" s="57"/>
      <c r="AC98" s="57"/>
      <c r="AD98" s="57"/>
      <c r="AE98" s="58"/>
    </row>
    <row r="99" spans="1:31" ht="18.75" customHeight="1">
      <c r="A99" s="59"/>
      <c r="B99" s="874"/>
      <c r="C99" s="170" t="s">
        <v>179</v>
      </c>
      <c r="D99" s="850" cm="1">
        <f t="array" ref="D99">IF(R63="Ltd by DoB",R48,R48+R63)</f>
        <v>0</v>
      </c>
      <c r="E99" s="851"/>
      <c r="F99" s="163" cm="1">
        <f t="array" ref="F99">D99/$D$105</f>
        <v>0</v>
      </c>
      <c r="G99" s="164" cm="1">
        <f t="array" ref="G99">'Policy assumptions and formulae'!X$10*'Policy assumptions and formulae'!X$20</f>
        <v>20</v>
      </c>
      <c r="H99" s="786" cm="1">
        <f t="array" ref="H99">D99*(G99/100)</f>
        <v>0</v>
      </c>
      <c r="I99" s="786"/>
      <c r="J99" s="163" cm="1">
        <f t="array" ref="J99">H99/$H$105</f>
        <v>0</v>
      </c>
      <c r="K99" s="59"/>
      <c r="L99" s="757" t="s">
        <v>180</v>
      </c>
      <c r="M99" s="765"/>
      <c r="N99" s="765"/>
      <c r="O99" s="766"/>
      <c r="P99" s="166" t="e" cm="1" vm="1">
        <f t="array" aca="1" ref="P99" ca="1">'SA4'!$E$19</f>
        <v>#VALUE!</v>
      </c>
      <c r="Q99" s="762" t="e" cm="1" vm="1">
        <f t="array" aca="1" ref="Q99" ca="1">'SA4'!$E$21</f>
        <v>#VALUE!</v>
      </c>
      <c r="R99" s="763"/>
      <c r="S99" s="166" t="e" cm="1" vm="1">
        <f t="array" aca="1" ref="S99" ca="1">IF(Q99="n/a","n/a",$Q$99/'SA4'!$E$33)</f>
        <v>#VALUE!</v>
      </c>
      <c r="T99" s="65"/>
      <c r="U99" s="66"/>
      <c r="V99" s="57"/>
      <c r="W99" s="57"/>
      <c r="X99" s="57"/>
      <c r="Y99" s="57"/>
      <c r="Z99" s="57"/>
      <c r="AA99" s="57"/>
      <c r="AB99" s="57"/>
      <c r="AC99" s="57"/>
      <c r="AD99" s="57"/>
      <c r="AE99" s="58"/>
    </row>
    <row r="100" spans="1:31" ht="18.75" customHeight="1">
      <c r="A100" s="59"/>
      <c r="B100" s="873" t="s">
        <v>181</v>
      </c>
      <c r="C100" s="170" t="s">
        <v>175</v>
      </c>
      <c r="D100" s="850" cm="1">
        <f t="array" ref="D100">R74</f>
        <v>0</v>
      </c>
      <c r="E100" s="851"/>
      <c r="F100" s="163" cm="1">
        <f t="array" ref="F100">D100/$D$105</f>
        <v>0</v>
      </c>
      <c r="G100" s="164" cm="1">
        <f t="array" ref="G100">'Policy assumptions and formulae'!X$10*'Policy assumptions and formulae'!X$16</f>
        <v>45</v>
      </c>
      <c r="H100" s="786" cm="1">
        <f t="array" ref="H100">D100*(G100/100)</f>
        <v>0</v>
      </c>
      <c r="I100" s="786"/>
      <c r="J100" s="163" cm="1">
        <f t="array" ref="J100">H100/$H$105</f>
        <v>0</v>
      </c>
      <c r="K100" s="59"/>
      <c r="L100" s="757" t="s">
        <v>182</v>
      </c>
      <c r="M100" s="765"/>
      <c r="N100" s="765"/>
      <c r="O100" s="766"/>
      <c r="P100" s="166" t="e" cm="1" vm="1">
        <f t="array" aca="1" ref="P100" ca="1">'SA5'!$E$19</f>
        <v>#VALUE!</v>
      </c>
      <c r="Q100" s="762" t="e" cm="1" vm="1">
        <f t="array" aca="1" ref="Q100" ca="1">'SA5'!$E$21</f>
        <v>#VALUE!</v>
      </c>
      <c r="R100" s="763"/>
      <c r="S100" s="166" t="e" cm="1" vm="1">
        <f t="array" aca="1" ref="S100" ca="1">IF(Q100="n/a","n/a",$Q$100/'SA5'!$E$33)</f>
        <v>#VALUE!</v>
      </c>
      <c r="T100" s="65"/>
      <c r="U100" s="66"/>
      <c r="V100" s="57"/>
      <c r="W100" s="57"/>
      <c r="X100" s="57"/>
      <c r="Y100" s="57"/>
      <c r="Z100" s="57"/>
      <c r="AA100" s="57"/>
      <c r="AB100" s="57"/>
      <c r="AC100" s="57"/>
      <c r="AD100" s="57"/>
      <c r="AE100" s="58"/>
    </row>
    <row r="101" spans="1:31" ht="18.75" customHeight="1">
      <c r="A101" s="59"/>
      <c r="B101" s="874"/>
      <c r="C101" s="170" t="s">
        <v>177</v>
      </c>
      <c r="D101" s="850" cm="1">
        <f t="array" ref="D101">R75</f>
        <v>0</v>
      </c>
      <c r="E101" s="851"/>
      <c r="F101" s="163" cm="1">
        <f t="array" ref="F101">D101/$D$105</f>
        <v>0</v>
      </c>
      <c r="G101" s="164" cm="1">
        <f t="array" ref="G101">'Policy assumptions and formulae'!X$10*'Policy assumptions and formulae'!X$18</f>
        <v>30</v>
      </c>
      <c r="H101" s="786" cm="1">
        <f t="array" ref="H101">D101*(G101/100)</f>
        <v>0</v>
      </c>
      <c r="I101" s="786"/>
      <c r="J101" s="163" cm="1">
        <f t="array" ref="J101">H101/$H$105</f>
        <v>0</v>
      </c>
      <c r="K101" s="59"/>
      <c r="L101" s="757" t="s">
        <v>183</v>
      </c>
      <c r="M101" s="765"/>
      <c r="N101" s="765"/>
      <c r="O101" s="766"/>
      <c r="P101" s="166" t="e" cm="1" vm="1">
        <f t="array" aca="1" ref="P101" ca="1">'SA6'!$E$19</f>
        <v>#VALUE!</v>
      </c>
      <c r="Q101" s="762" t="e" cm="1" vm="1">
        <f t="array" aca="1" ref="Q101" ca="1">'SA6'!$E$21</f>
        <v>#VALUE!</v>
      </c>
      <c r="R101" s="763"/>
      <c r="S101" s="166" t="e" cm="1" vm="1">
        <f t="array" aca="1" ref="S101" ca="1">IF(Q101="n/a","n/a",$Q$101/'SA6'!$E$33)</f>
        <v>#VALUE!</v>
      </c>
      <c r="T101" s="65"/>
      <c r="U101" s="66"/>
      <c r="V101" s="57"/>
      <c r="W101" s="57"/>
      <c r="X101" s="57"/>
      <c r="Y101" s="57"/>
      <c r="Z101" s="57"/>
      <c r="AA101" s="57"/>
      <c r="AB101" s="57"/>
      <c r="AC101" s="57"/>
      <c r="AD101" s="57"/>
      <c r="AE101" s="58"/>
    </row>
    <row r="102" spans="1:31" ht="18.75" customHeight="1">
      <c r="A102" s="59"/>
      <c r="B102" s="874"/>
      <c r="C102" s="170" t="s">
        <v>179</v>
      </c>
      <c r="D102" s="850" cm="1">
        <f t="array" ref="D102">R76</f>
        <v>0</v>
      </c>
      <c r="E102" s="851"/>
      <c r="F102" s="163" cm="1">
        <f t="array" ref="F102">D102/$D$105</f>
        <v>0</v>
      </c>
      <c r="G102" s="164" cm="1">
        <f t="array" ref="G102">'Policy assumptions and formulae'!X$10*'Policy assumptions and formulae'!X$20</f>
        <v>20</v>
      </c>
      <c r="H102" s="786" cm="1">
        <f t="array" ref="H102">D102*(G102/100)</f>
        <v>0</v>
      </c>
      <c r="I102" s="786"/>
      <c r="J102" s="163" cm="1">
        <f t="array" ref="J102">H102/$H$105</f>
        <v>0</v>
      </c>
      <c r="K102" s="59"/>
      <c r="L102" s="757" t="s">
        <v>184</v>
      </c>
      <c r="M102" s="765"/>
      <c r="N102" s="765"/>
      <c r="O102" s="766"/>
      <c r="P102" s="166" t="e" cm="1" vm="1">
        <f t="array" aca="1" ref="P102" ca="1">IF(SUM(H103:I104)&gt;0,'SA7'!E19,"N/A")</f>
        <v>#VALUE!</v>
      </c>
      <c r="Q102" s="762" t="e" cm="1" vm="1">
        <f t="array" aca="1" ref="Q102" ca="1">IF(SUM(H103:I104)&gt;0,'SA7'!$E$21,"No OM4 contribution")</f>
        <v>#VALUE!</v>
      </c>
      <c r="R102" s="763"/>
      <c r="S102" s="166" t="e" cm="1" vm="1">
        <f t="array" aca="1" ref="S102" ca="1">IF(Q102="No OM4 contribution","n/a",$Q$102/'SA7'!$E$33)</f>
        <v>#VALUE!</v>
      </c>
      <c r="T102" s="65"/>
      <c r="U102" s="66"/>
      <c r="V102" s="57"/>
      <c r="W102" s="57"/>
      <c r="X102" s="57"/>
      <c r="Y102" s="57"/>
      <c r="Z102" s="57"/>
      <c r="AA102" s="57"/>
      <c r="AB102" s="57"/>
      <c r="AC102" s="57"/>
      <c r="AD102" s="57"/>
      <c r="AE102" s="58"/>
    </row>
    <row r="103" spans="1:31" ht="18.75" customHeight="1">
      <c r="A103" s="59"/>
      <c r="B103" s="866" t="s">
        <v>185</v>
      </c>
      <c r="C103" s="171" t="s">
        <v>186</v>
      </c>
      <c r="D103" s="850" cm="1">
        <f t="array" ref="D103">IF(SUM(L83:M90)&lt;0,"Ltd by negative OM4 values",SUM(L83:M90))</f>
        <v>847522.25203312549</v>
      </c>
      <c r="E103" s="850"/>
      <c r="F103" s="163" cm="1">
        <f t="array" ref="F103">IF(D103="Ltd by negative OM4 values",0,D103/$D$105)</f>
        <v>2.2303217158766486E-2</v>
      </c>
      <c r="G103" s="164" cm="1">
        <f t="array" ref="G103">'Policy assumptions and formulae'!AT7</f>
        <v>20</v>
      </c>
      <c r="H103" s="786" cm="1">
        <f t="array" ref="H103">IF(D103="Ltd by negative OM4 values",0,D103*(G103/100))</f>
        <v>169504.45040662511</v>
      </c>
      <c r="I103" s="786"/>
      <c r="J103" s="163" cm="1">
        <f t="array" ref="J103">H103/$H$105</f>
        <v>2.1889076561081678E-2</v>
      </c>
      <c r="K103" s="59"/>
      <c r="L103" s="77"/>
      <c r="M103" s="77"/>
      <c r="N103" s="77"/>
      <c r="O103" s="77"/>
      <c r="P103" s="172"/>
      <c r="Q103" s="172"/>
      <c r="R103" s="172"/>
      <c r="S103" s="172"/>
      <c r="T103" s="61"/>
      <c r="U103" s="66"/>
      <c r="V103" s="57"/>
      <c r="W103" s="57"/>
      <c r="X103" s="57"/>
      <c r="Y103" s="57"/>
      <c r="Z103" s="57"/>
      <c r="AA103" s="57"/>
      <c r="AB103" s="57"/>
      <c r="AC103" s="57"/>
      <c r="AD103" s="57"/>
      <c r="AE103" s="58"/>
    </row>
    <row r="104" spans="1:31" ht="18.75" customHeight="1">
      <c r="A104" s="59"/>
      <c r="B104" s="867"/>
      <c r="C104" s="168" t="s">
        <v>187</v>
      </c>
      <c r="D104" s="848" cm="1">
        <f t="array" ref="D104">SUM(R84:S86)</f>
        <v>689843.69351533486</v>
      </c>
      <c r="E104" s="849"/>
      <c r="F104" s="163" cm="1">
        <f t="array" ref="F104">D104/$D$105</f>
        <v>1.8153781408298306E-2</v>
      </c>
      <c r="G104" s="164" cm="1">
        <f t="array" ref="G104">'Policy assumptions and formulae'!AT7</f>
        <v>20</v>
      </c>
      <c r="H104" s="868" cm="1">
        <f t="array" ref="H104">D104*(G104/100)</f>
        <v>137968.73870306698</v>
      </c>
      <c r="I104" s="868"/>
      <c r="J104" s="163" cm="1">
        <f t="array" ref="J104">H104/$H$105</f>
        <v>1.7816690224136251E-2</v>
      </c>
      <c r="K104" s="59"/>
      <c r="L104" s="77"/>
      <c r="M104" s="77"/>
      <c r="N104" s="77"/>
      <c r="O104" s="77"/>
      <c r="P104" s="77"/>
      <c r="Q104" s="77"/>
      <c r="R104" s="77"/>
      <c r="S104" s="77"/>
      <c r="T104" s="61"/>
      <c r="U104" s="66"/>
      <c r="V104" s="57"/>
      <c r="W104" s="57"/>
      <c r="X104" s="57"/>
      <c r="Y104" s="57"/>
      <c r="Z104" s="57"/>
      <c r="AA104" s="57"/>
      <c r="AB104" s="57"/>
      <c r="AC104" s="57"/>
      <c r="AD104" s="57"/>
      <c r="AE104" s="58"/>
    </row>
    <row r="105" spans="1:31" ht="18.75" customHeight="1">
      <c r="A105" s="59"/>
      <c r="B105" s="859" t="s">
        <v>188</v>
      </c>
      <c r="C105" s="860"/>
      <c r="D105" s="861" cm="1">
        <f t="array" ref="D105">SUM(D95:E104)</f>
        <v>37999999.999999955</v>
      </c>
      <c r="E105" s="861"/>
      <c r="F105" s="862" t="s">
        <v>189</v>
      </c>
      <c r="G105" s="863"/>
      <c r="H105" s="864" cm="1">
        <f t="array" ref="H105">SUM(H95:I104)</f>
        <v>7743791.7462448142</v>
      </c>
      <c r="I105" s="865"/>
      <c r="J105" s="173"/>
      <c r="K105" s="77"/>
      <c r="L105" s="77"/>
      <c r="M105" s="77"/>
      <c r="N105" s="77"/>
      <c r="O105" s="77"/>
      <c r="P105" s="77"/>
      <c r="Q105" s="77"/>
      <c r="R105" s="77"/>
      <c r="S105" s="77"/>
      <c r="T105" s="61"/>
      <c r="U105" s="66"/>
      <c r="V105" s="57"/>
      <c r="W105" s="57"/>
      <c r="X105" s="57"/>
      <c r="Y105" s="57"/>
      <c r="Z105" s="57"/>
      <c r="AA105" s="57"/>
      <c r="AB105" s="57"/>
      <c r="AC105" s="57"/>
      <c r="AD105" s="57"/>
      <c r="AE105" s="58"/>
    </row>
    <row r="106" spans="1:31" ht="8" customHeight="1">
      <c r="A106" s="174"/>
      <c r="B106" s="14"/>
      <c r="C106" s="14"/>
      <c r="D106" s="18"/>
      <c r="E106" s="18"/>
      <c r="F106" s="14"/>
      <c r="G106" s="14"/>
      <c r="H106" s="175"/>
      <c r="I106" s="175"/>
      <c r="J106" s="14"/>
      <c r="K106" s="14"/>
      <c r="L106" s="14"/>
      <c r="M106" s="14"/>
      <c r="N106" s="14"/>
      <c r="O106" s="14"/>
      <c r="P106" s="14"/>
      <c r="Q106" s="14"/>
      <c r="R106" s="14"/>
      <c r="S106" s="14"/>
      <c r="T106" s="176"/>
      <c r="U106" s="56"/>
      <c r="V106" s="57"/>
      <c r="W106" s="57"/>
      <c r="X106" s="57"/>
      <c r="Y106" s="57"/>
      <c r="Z106" s="57"/>
      <c r="AA106" s="57"/>
      <c r="AB106" s="57"/>
      <c r="AC106" s="57"/>
      <c r="AD106" s="57"/>
      <c r="AE106" s="58"/>
    </row>
    <row r="107" spans="1:31" ht="16.649999999999999" customHeight="1">
      <c r="A107" s="177"/>
      <c r="B107" s="852" t="s">
        <v>190</v>
      </c>
      <c r="C107" s="853"/>
      <c r="D107" s="853"/>
      <c r="E107" s="853"/>
      <c r="F107" s="853"/>
      <c r="G107" s="853"/>
      <c r="H107" s="853"/>
      <c r="I107" s="853"/>
      <c r="J107" s="853"/>
      <c r="K107" s="853"/>
      <c r="L107" s="853"/>
      <c r="M107" s="853"/>
      <c r="N107" s="853"/>
      <c r="O107" s="853"/>
      <c r="P107" s="853"/>
      <c r="Q107" s="853"/>
      <c r="R107" s="853"/>
      <c r="S107" s="853"/>
      <c r="T107" s="178"/>
      <c r="U107" s="179"/>
      <c r="V107" s="179"/>
      <c r="W107" s="179"/>
      <c r="X107" s="179"/>
      <c r="Y107" s="179"/>
      <c r="Z107" s="179"/>
      <c r="AA107" s="179"/>
      <c r="AB107" s="179"/>
      <c r="AC107" s="179"/>
      <c r="AD107" s="179"/>
      <c r="AE107" s="180"/>
    </row>
  </sheetData>
  <mergeCells count="241">
    <mergeCell ref="B105:C105"/>
    <mergeCell ref="D105:E105"/>
    <mergeCell ref="F105:G105"/>
    <mergeCell ref="H105:I105"/>
    <mergeCell ref="H101:I101"/>
    <mergeCell ref="B103:B104"/>
    <mergeCell ref="H104:I104"/>
    <mergeCell ref="B53:E53"/>
    <mergeCell ref="E58:F58"/>
    <mergeCell ref="D95:E95"/>
    <mergeCell ref="D96:E96"/>
    <mergeCell ref="D101:E101"/>
    <mergeCell ref="B92:J92"/>
    <mergeCell ref="B100:B102"/>
    <mergeCell ref="D100:E100"/>
    <mergeCell ref="H100:I100"/>
    <mergeCell ref="B97:B99"/>
    <mergeCell ref="D97:E97"/>
    <mergeCell ref="H96:I96"/>
    <mergeCell ref="H98:I98"/>
    <mergeCell ref="D99:E99"/>
    <mergeCell ref="B90:C90"/>
    <mergeCell ref="B82:C82"/>
    <mergeCell ref="D103:E103"/>
    <mergeCell ref="H103:I103"/>
    <mergeCell ref="H95:I95"/>
    <mergeCell ref="D94:E94"/>
    <mergeCell ref="H94:I94"/>
    <mergeCell ref="H102:I102"/>
    <mergeCell ref="G93:G94"/>
    <mergeCell ref="F93:F94"/>
    <mergeCell ref="L88:M88"/>
    <mergeCell ref="H97:I97"/>
    <mergeCell ref="L90:M90"/>
    <mergeCell ref="L102:O102"/>
    <mergeCell ref="D98:E98"/>
    <mergeCell ref="D104:E104"/>
    <mergeCell ref="D102:E102"/>
    <mergeCell ref="B107:S107"/>
    <mergeCell ref="B41:D42"/>
    <mergeCell ref="B68:E68"/>
    <mergeCell ref="B71:S71"/>
    <mergeCell ref="B73:E73"/>
    <mergeCell ref="B74:E74"/>
    <mergeCell ref="B75:E75"/>
    <mergeCell ref="B76:E76"/>
    <mergeCell ref="J73:M73"/>
    <mergeCell ref="B79:S79"/>
    <mergeCell ref="B43:S43"/>
    <mergeCell ref="B45:E45"/>
    <mergeCell ref="B46:E46"/>
    <mergeCell ref="B47:E47"/>
    <mergeCell ref="B48:E48"/>
    <mergeCell ref="B50:E50"/>
    <mergeCell ref="B51:E51"/>
    <mergeCell ref="R83:S83"/>
    <mergeCell ref="L96:O96"/>
    <mergeCell ref="L50:P51"/>
    <mergeCell ref="L99:O99"/>
    <mergeCell ref="L100:O100"/>
    <mergeCell ref="D8:F8"/>
    <mergeCell ref="M8:N8"/>
    <mergeCell ref="B9:C9"/>
    <mergeCell ref="D11:F11"/>
    <mergeCell ref="B12:G12"/>
    <mergeCell ref="D9:F9"/>
    <mergeCell ref="D10:I10"/>
    <mergeCell ref="M18:R20"/>
    <mergeCell ref="R6:S7"/>
    <mergeCell ref="E19:F19"/>
    <mergeCell ref="K19:L19"/>
    <mergeCell ref="E17:F17"/>
    <mergeCell ref="B7:C7"/>
    <mergeCell ref="B15:S15"/>
    <mergeCell ref="D7:I7"/>
    <mergeCell ref="M7:N7"/>
    <mergeCell ref="P12:S13"/>
    <mergeCell ref="B13:I13"/>
    <mergeCell ref="B1:S1"/>
    <mergeCell ref="B39:D39"/>
    <mergeCell ref="B35:S35"/>
    <mergeCell ref="B33:D33"/>
    <mergeCell ref="H28:J28"/>
    <mergeCell ref="H29:J29"/>
    <mergeCell ref="B2:S2"/>
    <mergeCell ref="B3:S3"/>
    <mergeCell ref="B4:P4"/>
    <mergeCell ref="B10:C10"/>
    <mergeCell ref="B11:C11"/>
    <mergeCell ref="O10:Q10"/>
    <mergeCell ref="O9:Q9"/>
    <mergeCell ref="O8:Q8"/>
    <mergeCell ref="H19:J19"/>
    <mergeCell ref="B17:D17"/>
    <mergeCell ref="B19:D19"/>
    <mergeCell ref="R5:S5"/>
    <mergeCell ref="B27:D27"/>
    <mergeCell ref="G17:J18"/>
    <mergeCell ref="K8:L8"/>
    <mergeCell ref="K7:L7"/>
    <mergeCell ref="B8:C8"/>
    <mergeCell ref="E27:F27"/>
    <mergeCell ref="R86:S86"/>
    <mergeCell ref="O30:P30"/>
    <mergeCell ref="Q102:R102"/>
    <mergeCell ref="Q94:R94"/>
    <mergeCell ref="L97:O97"/>
    <mergeCell ref="L98:O98"/>
    <mergeCell ref="H99:I99"/>
    <mergeCell ref="L89:M89"/>
    <mergeCell ref="G83:G90"/>
    <mergeCell ref="L83:M83"/>
    <mergeCell ref="L85:M85"/>
    <mergeCell ref="L84:M84"/>
    <mergeCell ref="L87:M87"/>
    <mergeCell ref="L86:M86"/>
    <mergeCell ref="N85:O85"/>
    <mergeCell ref="N86:O87"/>
    <mergeCell ref="R73:S73"/>
    <mergeCell ref="R74:S74"/>
    <mergeCell ref="R75:S75"/>
    <mergeCell ref="F73:G73"/>
    <mergeCell ref="R45:S45"/>
    <mergeCell ref="R46:S46"/>
    <mergeCell ref="L36:R37"/>
    <mergeCell ref="S92:S94"/>
    <mergeCell ref="B83:C83"/>
    <mergeCell ref="L82:M82"/>
    <mergeCell ref="H38:J38"/>
    <mergeCell ref="B52:E52"/>
    <mergeCell ref="B38:D38"/>
    <mergeCell ref="J74:M74"/>
    <mergeCell ref="E38:F38"/>
    <mergeCell ref="L60:P60"/>
    <mergeCell ref="L38:R39"/>
    <mergeCell ref="B67:E67"/>
    <mergeCell ref="J75:M75"/>
    <mergeCell ref="R47:S47"/>
    <mergeCell ref="L45:P45"/>
    <mergeCell ref="R48:S48"/>
    <mergeCell ref="F65:J65"/>
    <mergeCell ref="R61:S61"/>
    <mergeCell ref="R62:S62"/>
    <mergeCell ref="R63:S63"/>
    <mergeCell ref="E39:F39"/>
    <mergeCell ref="E41:F41"/>
    <mergeCell ref="B60:E60"/>
    <mergeCell ref="L54:R54"/>
    <mergeCell ref="F45:J45"/>
    <mergeCell ref="B56:S56"/>
    <mergeCell ref="Q101:R101"/>
    <mergeCell ref="Q100:R100"/>
    <mergeCell ref="Q99:R99"/>
    <mergeCell ref="Q98:R98"/>
    <mergeCell ref="L101:O101"/>
    <mergeCell ref="L92:R92"/>
    <mergeCell ref="L95:O95"/>
    <mergeCell ref="Q95:R95"/>
    <mergeCell ref="Q97:R97"/>
    <mergeCell ref="Q96:R96"/>
    <mergeCell ref="R84:S84"/>
    <mergeCell ref="N84:O84"/>
    <mergeCell ref="G81:K81"/>
    <mergeCell ref="K83:K90"/>
    <mergeCell ref="N82:R82"/>
    <mergeCell ref="B58:D59"/>
    <mergeCell ref="K32:L32"/>
    <mergeCell ref="D81:F81"/>
    <mergeCell ref="B62:E62"/>
    <mergeCell ref="B63:E63"/>
    <mergeCell ref="B65:E65"/>
    <mergeCell ref="B66:E66"/>
    <mergeCell ref="B61:E61"/>
    <mergeCell ref="R85:S85"/>
    <mergeCell ref="L69:R69"/>
    <mergeCell ref="B89:C89"/>
    <mergeCell ref="B88:C88"/>
    <mergeCell ref="R60:S60"/>
    <mergeCell ref="R76:S76"/>
    <mergeCell ref="B87:C87"/>
    <mergeCell ref="B86:C86"/>
    <mergeCell ref="B85:C85"/>
    <mergeCell ref="J76:M77"/>
    <mergeCell ref="B84:C84"/>
    <mergeCell ref="F50:J50"/>
    <mergeCell ref="G39:J39"/>
    <mergeCell ref="L65:P66"/>
    <mergeCell ref="F60:J60"/>
    <mergeCell ref="E21:F21"/>
    <mergeCell ref="B25:S25"/>
    <mergeCell ref="M26:N27"/>
    <mergeCell ref="O26:P27"/>
    <mergeCell ref="H27:J27"/>
    <mergeCell ref="M21:Q21"/>
    <mergeCell ref="K21:L21"/>
    <mergeCell ref="M33:S34"/>
    <mergeCell ref="Q29:S29"/>
    <mergeCell ref="Q30:S30"/>
    <mergeCell ref="Q31:S31"/>
    <mergeCell ref="Q28:S28"/>
    <mergeCell ref="H21:J21"/>
    <mergeCell ref="B32:D32"/>
    <mergeCell ref="E29:F29"/>
    <mergeCell ref="E30:F30"/>
    <mergeCell ref="K23:L23"/>
    <mergeCell ref="H23:J23"/>
    <mergeCell ref="B37:D37"/>
    <mergeCell ref="B23:D23"/>
    <mergeCell ref="E33:F33"/>
    <mergeCell ref="E23:F23"/>
    <mergeCell ref="B29:D29"/>
    <mergeCell ref="B30:D30"/>
    <mergeCell ref="H33:J33"/>
    <mergeCell ref="E37:F37"/>
    <mergeCell ref="H37:J37"/>
    <mergeCell ref="K31:L31"/>
    <mergeCell ref="K26:L27"/>
    <mergeCell ref="M22:Q24"/>
    <mergeCell ref="B28:D28"/>
    <mergeCell ref="B31:D31"/>
    <mergeCell ref="O28:P28"/>
    <mergeCell ref="O31:P31"/>
    <mergeCell ref="K33:L33"/>
    <mergeCell ref="O32:P32"/>
    <mergeCell ref="E31:F31"/>
    <mergeCell ref="M32:N32"/>
    <mergeCell ref="M31:N31"/>
    <mergeCell ref="E32:F32"/>
    <mergeCell ref="E28:F28"/>
    <mergeCell ref="H30:J30"/>
    <mergeCell ref="H31:J31"/>
    <mergeCell ref="H32:J32"/>
    <mergeCell ref="K30:L30"/>
    <mergeCell ref="O29:P29"/>
    <mergeCell ref="K28:L28"/>
    <mergeCell ref="M30:N30"/>
    <mergeCell ref="K29:L29"/>
    <mergeCell ref="M29:N29"/>
    <mergeCell ref="M28:N28"/>
    <mergeCell ref="G21:G23"/>
    <mergeCell ref="B21:D21"/>
  </mergeCells>
  <conditionalFormatting sqref="L46:P48 L61:P63">
    <cfRule type="cellIs" dxfId="8" priority="1" stopIfTrue="1" operator="lessThan">
      <formula>0</formula>
    </cfRule>
  </conditionalFormatting>
  <dataValidations count="6">
    <dataValidation type="list" allowBlank="1" showInputMessage="1" showErrorMessage="1" sqref="M7:N7" xr:uid="{00000000-0002-0000-0200-000000000000}">
      <formula1>"Pre-SOC,SOC,OBC,FBC,Change (before OBC),Change (after OBC)"</formula1>
    </dataValidation>
    <dataValidation type="list" allowBlank="1" showInputMessage="1" showErrorMessage="1" sqref="D11:F11" xr:uid="{00000000-0002-0000-0200-000001000000}">
      <formula1>"Environment Agency,Local Authority,Internal Drainage Board,Highways Authority,Water Company"</formula1>
    </dataValidation>
    <dataValidation type="list" allowBlank="1" showInputMessage="1" showErrorMessage="1" sqref="E17:F17" xr:uid="{00000000-0002-0000-0200-000002000000}">
      <formula1>"No,Yes"</formula1>
    </dataValidation>
    <dataValidation type="list" allowBlank="1" showInputMessage="1" showErrorMessage="1" sqref="Q31:S31" xr:uid="{00000000-0002-0000-0200-000003000000}">
      <formula1>"Direct Government funding,Asset Replacement Allowance,Local precept,Charge funding,Environmental funding,Other"</formula1>
    </dataValidation>
    <dataValidation type="list" allowBlank="1" showInputMessage="1" showErrorMessage="1" sqref="K37:K38" xr:uid="{00000000-0002-0000-0200-000004000000}">
      <formula1>"Yes,No"</formula1>
    </dataValidation>
    <dataValidation type="list" allowBlank="1" showInputMessage="1" showErrorMessage="1" sqref="E58:F58" xr:uid="{00000000-0002-0000-0200-000005000000}">
      <formula1>"2020,2021,2022,2023,2024,2025,2026,2027,2028,2029,2030,2031,2032,2033,2034,2035,2036,2037,2038,2039"</formula1>
    </dataValidation>
  </dataValidations>
  <pageMargins left="0" right="0" top="0" bottom="0" header="0" footer="0"/>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81"/>
  <sheetViews>
    <sheetView showGridLines="0" workbookViewId="0"/>
  </sheetViews>
  <sheetFormatPr defaultColWidth="8.84375" defaultRowHeight="15" customHeight="1"/>
  <cols>
    <col min="1" max="1" width="45.53515625" style="5" customWidth="1"/>
    <col min="2" max="2" width="20.84375" style="5" customWidth="1"/>
    <col min="3" max="3" width="8.3046875" style="5" customWidth="1"/>
    <col min="4" max="4" width="33.84375" style="5" customWidth="1"/>
    <col min="5" max="5" width="1.765625" style="5" customWidth="1"/>
    <col min="6" max="6" width="51.84375" style="5" customWidth="1"/>
    <col min="7" max="7" width="23.84375" style="5" customWidth="1"/>
    <col min="8" max="8" width="33.84375" style="5" customWidth="1"/>
    <col min="9" max="9" width="1.765625" style="5" customWidth="1"/>
    <col min="10" max="20" width="8.84375" style="5" customWidth="1"/>
    <col min="21" max="16384" width="8.84375" style="5"/>
  </cols>
  <sheetData>
    <row r="1" spans="1:19" ht="33.75" customHeight="1">
      <c r="A1" s="887" t="s">
        <v>45</v>
      </c>
      <c r="B1" s="888"/>
      <c r="C1" s="888"/>
      <c r="D1" s="888"/>
      <c r="E1" s="888"/>
      <c r="F1" s="888"/>
      <c r="G1" s="888"/>
      <c r="H1" s="888"/>
      <c r="I1" s="888"/>
      <c r="J1" s="181"/>
      <c r="K1" s="182"/>
      <c r="L1" s="182"/>
      <c r="M1" s="182"/>
      <c r="N1" s="182"/>
      <c r="O1" s="182"/>
      <c r="P1" s="182"/>
      <c r="Q1" s="182"/>
      <c r="R1" s="182"/>
      <c r="S1" s="182"/>
    </row>
    <row r="2" spans="1:19" ht="24" customHeight="1">
      <c r="A2" s="183" t="s">
        <v>191</v>
      </c>
      <c r="B2" s="77"/>
      <c r="C2" s="77"/>
      <c r="D2" s="77"/>
      <c r="E2" s="77"/>
      <c r="F2" s="77"/>
      <c r="G2" s="77"/>
      <c r="H2" s="77"/>
      <c r="I2" s="77"/>
      <c r="J2" s="184"/>
      <c r="K2" s="25"/>
      <c r="L2" s="185"/>
      <c r="M2" s="185"/>
      <c r="N2" s="185"/>
      <c r="O2" s="185"/>
      <c r="P2" s="185"/>
      <c r="Q2" s="185"/>
      <c r="R2" s="185"/>
      <c r="S2" s="185"/>
    </row>
    <row r="3" spans="1:19" ht="20.25" customHeight="1">
      <c r="A3" s="186" t="s">
        <v>47</v>
      </c>
      <c r="B3" s="187"/>
      <c r="C3" s="187"/>
      <c r="D3" s="187"/>
      <c r="E3" s="187"/>
      <c r="F3" s="187"/>
      <c r="G3" s="187"/>
      <c r="H3" s="187"/>
      <c r="I3" s="187"/>
      <c r="J3" s="188"/>
      <c r="K3" s="189"/>
      <c r="L3" s="189"/>
      <c r="M3" s="190"/>
      <c r="N3" s="189"/>
      <c r="O3" s="189"/>
      <c r="P3" s="189"/>
      <c r="Q3" s="185"/>
      <c r="R3" s="185"/>
      <c r="S3" s="185"/>
    </row>
    <row r="4" spans="1:19" ht="17.149999999999999" customHeight="1">
      <c r="A4" s="890" t="s">
        <v>192</v>
      </c>
      <c r="B4" s="891"/>
      <c r="C4" s="891"/>
      <c r="D4" s="891"/>
      <c r="E4" s="891"/>
      <c r="F4" s="891"/>
      <c r="G4" s="891"/>
      <c r="H4" s="891"/>
      <c r="I4" s="191"/>
      <c r="J4" s="184"/>
      <c r="K4" s="185"/>
      <c r="L4" s="185"/>
      <c r="M4" s="185"/>
      <c r="N4" s="185"/>
      <c r="O4" s="185"/>
      <c r="P4" s="185"/>
      <c r="Q4" s="185"/>
      <c r="R4" s="185"/>
      <c r="S4" s="185"/>
    </row>
    <row r="5" spans="1:19" ht="16.649999999999999" customHeight="1">
      <c r="A5" s="892"/>
      <c r="B5" s="893"/>
      <c r="C5" s="893"/>
      <c r="D5" s="893"/>
      <c r="E5" s="893"/>
      <c r="F5" s="893"/>
      <c r="G5" s="893"/>
      <c r="H5" s="893"/>
      <c r="I5" s="77"/>
      <c r="J5" s="184"/>
      <c r="K5" s="192"/>
      <c r="L5" s="185"/>
      <c r="M5" s="185"/>
      <c r="N5" s="185"/>
      <c r="O5" s="185"/>
      <c r="P5" s="185"/>
      <c r="Q5" s="185"/>
      <c r="R5" s="185"/>
      <c r="S5" s="185"/>
    </row>
    <row r="6" spans="1:19" ht="30.75" customHeight="1">
      <c r="A6" s="892"/>
      <c r="B6" s="893"/>
      <c r="C6" s="893"/>
      <c r="D6" s="893"/>
      <c r="E6" s="893"/>
      <c r="F6" s="893"/>
      <c r="G6" s="893"/>
      <c r="H6" s="893"/>
      <c r="I6" s="77"/>
      <c r="J6" s="184"/>
      <c r="K6" s="185"/>
      <c r="L6" s="185"/>
      <c r="M6" s="185"/>
      <c r="N6" s="185"/>
      <c r="O6" s="185"/>
      <c r="P6" s="185"/>
      <c r="Q6" s="185"/>
      <c r="R6" s="185"/>
      <c r="S6" s="185"/>
    </row>
    <row r="7" spans="1:19" ht="21" customHeight="1">
      <c r="A7" s="894" t="s">
        <v>193</v>
      </c>
      <c r="B7" s="895"/>
      <c r="C7" s="895"/>
      <c r="D7" s="895"/>
      <c r="E7" s="895"/>
      <c r="F7" s="895"/>
      <c r="G7" s="895"/>
      <c r="H7" s="895"/>
      <c r="I7" s="77"/>
      <c r="J7" s="184"/>
      <c r="K7" s="192"/>
      <c r="L7" s="185"/>
      <c r="M7" s="185"/>
      <c r="N7" s="185"/>
      <c r="O7" s="185"/>
      <c r="P7" s="185"/>
      <c r="Q7" s="185"/>
      <c r="R7" s="185"/>
      <c r="S7" s="185"/>
    </row>
    <row r="8" spans="1:19" ht="36.75" customHeight="1">
      <c r="A8" s="896" t="s">
        <v>194</v>
      </c>
      <c r="B8" s="897"/>
      <c r="C8" s="897"/>
      <c r="D8" s="897"/>
      <c r="E8" s="897"/>
      <c r="F8" s="897"/>
      <c r="G8" s="897"/>
      <c r="H8" s="897"/>
      <c r="I8" s="77"/>
      <c r="J8" s="184"/>
      <c r="K8" s="192"/>
      <c r="L8" s="185"/>
      <c r="M8" s="193"/>
      <c r="N8" s="185"/>
      <c r="O8" s="185"/>
      <c r="P8" s="185"/>
      <c r="Q8" s="185"/>
      <c r="R8" s="185"/>
      <c r="S8" s="185"/>
    </row>
    <row r="9" spans="1:19" ht="30.75" customHeight="1">
      <c r="A9" s="894" t="s">
        <v>195</v>
      </c>
      <c r="B9" s="895"/>
      <c r="C9" s="895"/>
      <c r="D9" s="895"/>
      <c r="E9" s="895"/>
      <c r="F9" s="895"/>
      <c r="G9" s="895"/>
      <c r="H9" s="895"/>
      <c r="I9" s="77"/>
      <c r="J9" s="184"/>
      <c r="K9" s="192"/>
      <c r="L9" s="185"/>
      <c r="M9" s="185"/>
      <c r="N9" s="185"/>
      <c r="O9" s="185"/>
      <c r="P9" s="185"/>
      <c r="Q9" s="185"/>
      <c r="R9" s="185"/>
      <c r="S9" s="185"/>
    </row>
    <row r="10" spans="1:19" ht="15.75" customHeight="1">
      <c r="A10" s="194"/>
      <c r="B10" s="195"/>
      <c r="C10" s="195"/>
      <c r="D10" s="195"/>
      <c r="E10" s="196"/>
      <c r="F10" s="77"/>
      <c r="G10" s="195"/>
      <c r="H10" s="195"/>
      <c r="I10" s="77"/>
      <c r="J10" s="184"/>
      <c r="K10" s="185"/>
      <c r="L10" s="185"/>
      <c r="M10" s="185"/>
      <c r="N10" s="185"/>
      <c r="O10" s="185"/>
      <c r="P10" s="197"/>
      <c r="Q10" s="197"/>
      <c r="R10" s="197"/>
      <c r="S10" s="185"/>
    </row>
    <row r="11" spans="1:19" ht="21" customHeight="1">
      <c r="A11" s="198" t="s">
        <v>196</v>
      </c>
      <c r="B11" s="917" t="s">
        <v>197</v>
      </c>
      <c r="C11" s="918"/>
      <c r="D11" s="199" t="s">
        <v>198</v>
      </c>
      <c r="E11" s="200"/>
      <c r="F11" s="885" t="s">
        <v>199</v>
      </c>
      <c r="G11" s="201" t="s">
        <v>200</v>
      </c>
      <c r="H11" s="202" t="s">
        <v>201</v>
      </c>
      <c r="I11" s="146"/>
      <c r="J11" s="184"/>
      <c r="K11" s="192"/>
      <c r="L11" s="185"/>
      <c r="M11" s="193"/>
      <c r="N11" s="185"/>
      <c r="O11" s="203"/>
      <c r="P11" s="204"/>
      <c r="Q11" s="196"/>
      <c r="R11" s="204"/>
      <c r="S11" s="184"/>
    </row>
    <row r="12" spans="1:19" ht="15.75" customHeight="1">
      <c r="A12" s="205" t="s">
        <v>202</v>
      </c>
      <c r="B12" s="919"/>
      <c r="C12" s="919"/>
      <c r="D12" s="206"/>
      <c r="E12" s="200"/>
      <c r="F12" s="886"/>
      <c r="G12" s="207" t="s">
        <v>203</v>
      </c>
      <c r="H12" s="208" cm="1">
        <f t="array" ref="H12">COUNTA(B12:D13)</f>
        <v>0</v>
      </c>
      <c r="I12" s="146"/>
      <c r="J12" s="184"/>
      <c r="K12" s="185"/>
      <c r="L12" s="185"/>
      <c r="M12" s="193"/>
      <c r="N12" s="185"/>
      <c r="O12" s="203"/>
      <c r="P12" s="209"/>
      <c r="Q12" s="196"/>
      <c r="R12" s="209"/>
      <c r="S12" s="184"/>
    </row>
    <row r="13" spans="1:19" ht="15.75" customHeight="1">
      <c r="A13" s="210" t="s">
        <v>204</v>
      </c>
      <c r="B13" s="878"/>
      <c r="C13" s="878"/>
      <c r="D13" s="211"/>
      <c r="E13" s="200"/>
      <c r="F13" s="886"/>
      <c r="G13" s="212" t="s">
        <v>205</v>
      </c>
      <c r="H13" s="213" cm="1">
        <f t="array" ref="H13">18-(COUNTBLANK(B16:B24)+COUNTBLANK(D16:D24))</f>
        <v>0</v>
      </c>
      <c r="I13" s="146"/>
      <c r="J13" s="184"/>
      <c r="K13" s="185"/>
      <c r="L13" s="185"/>
      <c r="M13" s="193"/>
      <c r="N13" s="185"/>
      <c r="O13" s="203"/>
      <c r="P13" s="214"/>
      <c r="Q13" s="196"/>
      <c r="R13" s="215"/>
      <c r="S13" s="184"/>
    </row>
    <row r="14" spans="1:19" ht="15.75" customHeight="1">
      <c r="A14" s="216"/>
      <c r="B14" s="217"/>
      <c r="C14" s="217"/>
      <c r="D14" s="218"/>
      <c r="E14" s="196"/>
      <c r="F14" s="886"/>
      <c r="G14" s="219" t="s">
        <v>206</v>
      </c>
      <c r="H14" s="220" cm="1">
        <f t="array" ref="H14">18-COUNTBLANK(B30:B47)</f>
        <v>0</v>
      </c>
      <c r="I14" s="146"/>
      <c r="J14" s="184"/>
      <c r="K14" s="185"/>
      <c r="L14" s="185"/>
      <c r="M14" s="185"/>
      <c r="N14" s="185"/>
      <c r="O14" s="203"/>
      <c r="P14" s="221"/>
      <c r="Q14" s="196"/>
      <c r="R14" s="221"/>
      <c r="S14" s="184"/>
    </row>
    <row r="15" spans="1:19" ht="24" customHeight="1">
      <c r="A15" s="222" t="s">
        <v>207</v>
      </c>
      <c r="B15" s="879" t="s">
        <v>197</v>
      </c>
      <c r="C15" s="880"/>
      <c r="D15" s="202" t="s">
        <v>198</v>
      </c>
      <c r="E15" s="200"/>
      <c r="F15" s="886"/>
      <c r="G15" s="223" t="s">
        <v>208</v>
      </c>
      <c r="H15" s="224" cm="1">
        <f t="array" ref="H15">11-COUNTBLANK(B53:B63)</f>
        <v>0</v>
      </c>
      <c r="I15" s="146"/>
      <c r="J15" s="184"/>
      <c r="K15" s="185"/>
      <c r="L15" s="185"/>
      <c r="M15" s="193"/>
      <c r="N15" s="185"/>
      <c r="O15" s="203"/>
      <c r="P15" s="196"/>
      <c r="Q15" s="196"/>
      <c r="R15" s="225"/>
      <c r="S15" s="184"/>
    </row>
    <row r="16" spans="1:19" ht="15.75" customHeight="1">
      <c r="A16" s="226" t="s">
        <v>209</v>
      </c>
      <c r="B16" s="877"/>
      <c r="C16" s="877"/>
      <c r="D16" s="227"/>
      <c r="E16" s="200"/>
      <c r="F16" s="228"/>
      <c r="G16" s="223" t="s">
        <v>210</v>
      </c>
      <c r="H16" s="229" cm="1">
        <f t="array" ref="H16">29-(COUNTBLANK(G28:G29)+COUNTBLANK(G32:G33)+COUNTBLANK(G36:G39)+COUNTBLANK(G42:G46)+COUNTBLANK(G49:G51)+COUNTBLANK(G54:G59)+COUNTBLANK(G62:G64)+COUNTBLANK(G67:G68)+COUNTBLANK(G71:G72))</f>
        <v>0</v>
      </c>
      <c r="I16" s="146"/>
      <c r="J16" s="184"/>
      <c r="K16" s="185"/>
      <c r="L16" s="185"/>
      <c r="M16" s="193"/>
      <c r="N16" s="185"/>
      <c r="O16" s="203"/>
      <c r="P16" s="209"/>
      <c r="Q16" s="196"/>
      <c r="R16" s="230"/>
      <c r="S16" s="184"/>
    </row>
    <row r="17" spans="1:19" ht="15.75" customHeight="1">
      <c r="A17" s="231" t="s">
        <v>211</v>
      </c>
      <c r="B17" s="884"/>
      <c r="C17" s="884"/>
      <c r="D17" s="232"/>
      <c r="E17" s="200"/>
      <c r="F17" s="228"/>
      <c r="G17" s="233" t="s">
        <v>212</v>
      </c>
      <c r="H17" s="234" cm="1">
        <f t="array" ref="H17">6-COUNTBLANK(G75:G80)</f>
        <v>0</v>
      </c>
      <c r="I17" s="146"/>
      <c r="J17" s="184"/>
      <c r="K17" s="185"/>
      <c r="L17" s="185"/>
      <c r="M17" s="193"/>
      <c r="N17" s="185"/>
      <c r="O17" s="203"/>
      <c r="P17" s="215"/>
      <c r="Q17" s="196"/>
      <c r="R17" s="196"/>
      <c r="S17" s="184"/>
    </row>
    <row r="18" spans="1:19" ht="15.75" customHeight="1">
      <c r="A18" s="231" t="s">
        <v>213</v>
      </c>
      <c r="B18" s="884"/>
      <c r="C18" s="884"/>
      <c r="D18" s="232"/>
      <c r="E18" s="200"/>
      <c r="F18" s="77"/>
      <c r="G18" s="235"/>
      <c r="H18" s="235"/>
      <c r="I18" s="77"/>
      <c r="J18" s="184"/>
      <c r="K18" s="185"/>
      <c r="L18" s="185"/>
      <c r="M18" s="185"/>
      <c r="N18" s="185"/>
      <c r="O18" s="203"/>
      <c r="P18" s="221"/>
      <c r="Q18" s="196"/>
      <c r="R18" s="196"/>
      <c r="S18" s="184"/>
    </row>
    <row r="19" spans="1:19" ht="15.75" customHeight="1">
      <c r="A19" s="231" t="s">
        <v>214</v>
      </c>
      <c r="B19" s="884"/>
      <c r="C19" s="884"/>
      <c r="D19" s="232"/>
      <c r="E19" s="200"/>
      <c r="F19" s="77"/>
      <c r="G19" s="75" t="str" cm="1">
        <f t="array" ref="G19">IF($H$14=0,"OM1A data missing",IF($B$27&lt;&gt;'PF calculator'!$E$39,"OM1A data not complete",""))</f>
        <v>OM1A data missing</v>
      </c>
      <c r="H19" s="196"/>
      <c r="I19" s="77"/>
      <c r="J19" s="184"/>
      <c r="K19" s="185"/>
      <c r="L19" s="185"/>
      <c r="M19" s="236"/>
      <c r="N19" s="185"/>
      <c r="O19" s="203"/>
      <c r="P19" s="196"/>
      <c r="Q19" s="196"/>
      <c r="R19" s="196"/>
      <c r="S19" s="184"/>
    </row>
    <row r="20" spans="1:19" ht="15.75" customHeight="1">
      <c r="A20" s="231" t="s">
        <v>215</v>
      </c>
      <c r="B20" s="884"/>
      <c r="C20" s="884"/>
      <c r="D20" s="232"/>
      <c r="E20" s="200"/>
      <c r="F20" s="77"/>
      <c r="G20" s="196"/>
      <c r="H20" s="196"/>
      <c r="I20" s="77"/>
      <c r="J20" s="184"/>
      <c r="K20" s="185"/>
      <c r="L20" s="185"/>
      <c r="M20" s="185"/>
      <c r="N20" s="185"/>
      <c r="O20" s="203"/>
      <c r="P20" s="209"/>
      <c r="Q20" s="196"/>
      <c r="R20" s="196"/>
      <c r="S20" s="184"/>
    </row>
    <row r="21" spans="1:19" ht="15.75" customHeight="1">
      <c r="A21" s="231" t="s">
        <v>216</v>
      </c>
      <c r="B21" s="884"/>
      <c r="C21" s="884"/>
      <c r="D21" s="232"/>
      <c r="E21" s="200"/>
      <c r="F21" s="77"/>
      <c r="G21" s="196"/>
      <c r="H21" s="196"/>
      <c r="I21" s="77"/>
      <c r="J21" s="184"/>
      <c r="K21" s="185"/>
      <c r="L21" s="185"/>
      <c r="M21" s="185"/>
      <c r="N21" s="185"/>
      <c r="O21" s="203"/>
      <c r="P21" s="237"/>
      <c r="Q21" s="196"/>
      <c r="R21" s="196"/>
      <c r="S21" s="184"/>
    </row>
    <row r="22" spans="1:19" ht="15.75" customHeight="1">
      <c r="A22" s="231" t="s">
        <v>217</v>
      </c>
      <c r="B22" s="884"/>
      <c r="C22" s="884"/>
      <c r="D22" s="232"/>
      <c r="E22" s="200"/>
      <c r="F22" s="77"/>
      <c r="G22" s="196"/>
      <c r="H22" s="196"/>
      <c r="I22" s="77"/>
      <c r="J22" s="184"/>
      <c r="K22" s="185"/>
      <c r="L22" s="185"/>
      <c r="M22" s="185"/>
      <c r="N22" s="185"/>
      <c r="O22" s="203"/>
      <c r="P22" s="221"/>
      <c r="Q22" s="238"/>
      <c r="R22" s="196"/>
      <c r="S22" s="184"/>
    </row>
    <row r="23" spans="1:19" ht="15.75" customHeight="1">
      <c r="A23" s="231" t="s">
        <v>218</v>
      </c>
      <c r="B23" s="884"/>
      <c r="C23" s="884"/>
      <c r="D23" s="232"/>
      <c r="E23" s="200"/>
      <c r="F23" s="77"/>
      <c r="G23" s="196"/>
      <c r="H23" s="196"/>
      <c r="I23" s="77"/>
      <c r="J23" s="184"/>
      <c r="K23" s="185"/>
      <c r="L23" s="185"/>
      <c r="M23" s="185"/>
      <c r="N23" s="185"/>
      <c r="O23" s="185"/>
      <c r="P23" s="239"/>
      <c r="Q23" s="239"/>
      <c r="R23" s="239"/>
      <c r="S23" s="185"/>
    </row>
    <row r="24" spans="1:19" ht="15.75" customHeight="1">
      <c r="A24" s="240" t="s">
        <v>219</v>
      </c>
      <c r="B24" s="920"/>
      <c r="C24" s="920"/>
      <c r="D24" s="241"/>
      <c r="E24" s="200"/>
      <c r="F24" s="77"/>
      <c r="G24" s="196"/>
      <c r="H24" s="196"/>
      <c r="I24" s="77"/>
      <c r="J24" s="184"/>
      <c r="K24" s="185"/>
      <c r="L24" s="185"/>
      <c r="M24" s="185"/>
      <c r="N24" s="185"/>
      <c r="O24" s="185"/>
      <c r="P24" s="185"/>
      <c r="Q24" s="185"/>
      <c r="R24" s="185"/>
      <c r="S24" s="185"/>
    </row>
    <row r="25" spans="1:19" ht="17.25" customHeight="1">
      <c r="A25" s="242" t="s">
        <v>220</v>
      </c>
      <c r="B25" s="102"/>
      <c r="C25" s="102"/>
      <c r="D25" s="102"/>
      <c r="E25" s="77"/>
      <c r="F25" s="78"/>
      <c r="G25" s="78"/>
      <c r="H25" s="78"/>
      <c r="I25" s="77"/>
      <c r="J25" s="184"/>
      <c r="K25" s="185"/>
      <c r="L25" s="185"/>
      <c r="M25" s="193"/>
      <c r="N25" s="185"/>
      <c r="O25" s="185"/>
      <c r="P25" s="185"/>
      <c r="Q25" s="185"/>
      <c r="R25" s="185"/>
      <c r="S25" s="185"/>
    </row>
    <row r="26" spans="1:19" ht="21" customHeight="1">
      <c r="A26" s="222" t="s">
        <v>206</v>
      </c>
      <c r="B26" s="243" t="s">
        <v>221</v>
      </c>
      <c r="C26" s="243" t="s">
        <v>165</v>
      </c>
      <c r="D26" s="244" t="s">
        <v>222</v>
      </c>
      <c r="E26" s="245"/>
      <c r="F26" s="222" t="s">
        <v>223</v>
      </c>
      <c r="G26" s="243" t="s">
        <v>224</v>
      </c>
      <c r="H26" s="244" t="s">
        <v>222</v>
      </c>
      <c r="I26" s="146"/>
      <c r="J26" s="184"/>
      <c r="K26" s="185"/>
      <c r="L26" s="185"/>
      <c r="M26" s="185"/>
      <c r="N26" s="185"/>
      <c r="O26" s="185"/>
      <c r="P26" s="185"/>
      <c r="Q26" s="185"/>
      <c r="R26" s="185"/>
      <c r="S26" s="185"/>
    </row>
    <row r="27" spans="1:19" ht="16.5" customHeight="1">
      <c r="A27" s="246" t="s">
        <v>225</v>
      </c>
      <c r="B27" s="247" cm="1">
        <f t="array" ref="B27">SUM(B30:B47)</f>
        <v>0</v>
      </c>
      <c r="C27" s="248" t="e" cm="1">
        <f t="array" ref="C27">SUM(C30:C47)</f>
        <v>#DIV/0!</v>
      </c>
      <c r="D27" s="249"/>
      <c r="E27" s="245"/>
      <c r="F27" s="881" t="s">
        <v>226</v>
      </c>
      <c r="G27" s="882"/>
      <c r="H27" s="883"/>
      <c r="I27" s="146"/>
      <c r="J27" s="184"/>
      <c r="K27" s="185"/>
      <c r="L27" s="185"/>
      <c r="M27" s="193"/>
      <c r="N27" s="185"/>
      <c r="O27" s="185"/>
      <c r="P27" s="185"/>
      <c r="Q27" s="185"/>
      <c r="R27" s="185"/>
      <c r="S27" s="185"/>
    </row>
    <row r="28" spans="1:19" ht="17.149999999999999" customHeight="1">
      <c r="A28" s="250" t="s">
        <v>227</v>
      </c>
      <c r="B28" s="251" t="s">
        <v>228</v>
      </c>
      <c r="C28" s="252"/>
      <c r="D28" s="253"/>
      <c r="E28" s="245"/>
      <c r="F28" s="226" t="s">
        <v>229</v>
      </c>
      <c r="G28" s="254"/>
      <c r="H28" s="255"/>
      <c r="I28" s="146"/>
      <c r="J28" s="184"/>
      <c r="K28" s="185"/>
      <c r="L28" s="185"/>
      <c r="M28" s="185"/>
      <c r="N28" s="185"/>
      <c r="O28" s="185"/>
      <c r="P28" s="185"/>
      <c r="Q28" s="185"/>
      <c r="R28" s="185"/>
      <c r="S28" s="185"/>
    </row>
    <row r="29" spans="1:19" ht="15.75" customHeight="1">
      <c r="A29" s="250" t="s">
        <v>227</v>
      </c>
      <c r="B29" s="251" t="s">
        <v>228</v>
      </c>
      <c r="C29" s="252"/>
      <c r="D29" s="253"/>
      <c r="E29" s="245"/>
      <c r="F29" s="240" t="s">
        <v>230</v>
      </c>
      <c r="G29" s="256"/>
      <c r="H29" s="257"/>
      <c r="I29" s="146"/>
      <c r="J29" s="184"/>
      <c r="K29" s="185"/>
      <c r="L29" s="185"/>
      <c r="M29" s="185"/>
      <c r="N29" s="185"/>
      <c r="O29" s="185"/>
      <c r="P29" s="185"/>
      <c r="Q29" s="185"/>
      <c r="R29" s="185"/>
      <c r="S29" s="185"/>
    </row>
    <row r="30" spans="1:19" ht="15.75" customHeight="1">
      <c r="A30" s="231" t="s">
        <v>202</v>
      </c>
      <c r="B30" s="258"/>
      <c r="C30" s="259" t="e" cm="1">
        <f t="array" ref="C30">B30/$B$27</f>
        <v>#DIV/0!</v>
      </c>
      <c r="D30" s="260"/>
      <c r="E30" s="146"/>
      <c r="F30" s="889"/>
      <c r="G30" s="889"/>
      <c r="H30" s="889"/>
      <c r="I30" s="77"/>
      <c r="J30" s="184"/>
      <c r="K30" s="185"/>
      <c r="L30" s="185"/>
      <c r="M30" s="185"/>
      <c r="N30" s="185"/>
      <c r="O30" s="185"/>
      <c r="P30" s="185"/>
      <c r="Q30" s="185"/>
      <c r="R30" s="185"/>
      <c r="S30" s="185"/>
    </row>
    <row r="31" spans="1:19" ht="16.5" customHeight="1">
      <c r="A31" s="231" t="s">
        <v>231</v>
      </c>
      <c r="B31" s="258"/>
      <c r="C31" s="259" t="e" cm="1">
        <f t="array" ref="C31">B31/$B$27</f>
        <v>#DIV/0!</v>
      </c>
      <c r="D31" s="260"/>
      <c r="E31" s="245"/>
      <c r="F31" s="881" t="s">
        <v>232</v>
      </c>
      <c r="G31" s="882"/>
      <c r="H31" s="883"/>
      <c r="I31" s="146"/>
      <c r="J31" s="184"/>
      <c r="K31" s="185"/>
      <c r="L31" s="185"/>
      <c r="M31" s="185"/>
      <c r="N31" s="185"/>
      <c r="O31" s="185"/>
      <c r="P31" s="185"/>
      <c r="Q31" s="185"/>
      <c r="R31" s="185"/>
      <c r="S31" s="185"/>
    </row>
    <row r="32" spans="1:19" ht="17.149999999999999" customHeight="1">
      <c r="A32" s="231" t="s">
        <v>233</v>
      </c>
      <c r="B32" s="258"/>
      <c r="C32" s="259" t="e" cm="1">
        <f t="array" ref="C32">B32/$B$27</f>
        <v>#DIV/0!</v>
      </c>
      <c r="D32" s="260"/>
      <c r="E32" s="245"/>
      <c r="F32" s="226" t="s">
        <v>234</v>
      </c>
      <c r="G32" s="254"/>
      <c r="H32" s="255"/>
      <c r="I32" s="146"/>
      <c r="J32" s="184"/>
      <c r="K32" s="185"/>
      <c r="L32" s="185"/>
      <c r="M32" s="185"/>
      <c r="N32" s="185"/>
      <c r="O32" s="185"/>
      <c r="P32" s="185"/>
      <c r="Q32" s="185"/>
      <c r="R32" s="185"/>
      <c r="S32" s="185"/>
    </row>
    <row r="33" spans="1:19" ht="15.75" customHeight="1">
      <c r="A33" s="231" t="s">
        <v>235</v>
      </c>
      <c r="B33" s="258"/>
      <c r="C33" s="259" t="e" cm="1">
        <f t="array" ref="C33">B33/$B$27</f>
        <v>#DIV/0!</v>
      </c>
      <c r="D33" s="260"/>
      <c r="E33" s="245"/>
      <c r="F33" s="240" t="s">
        <v>236</v>
      </c>
      <c r="G33" s="256"/>
      <c r="H33" s="257"/>
      <c r="I33" s="146"/>
      <c r="J33" s="184"/>
      <c r="K33" s="185"/>
      <c r="L33" s="185"/>
      <c r="M33" s="185"/>
      <c r="N33" s="185"/>
      <c r="O33" s="185"/>
      <c r="P33" s="185"/>
      <c r="Q33" s="185"/>
      <c r="R33" s="185"/>
      <c r="S33" s="185"/>
    </row>
    <row r="34" spans="1:19" ht="15.75" customHeight="1">
      <c r="A34" s="231" t="s">
        <v>237</v>
      </c>
      <c r="B34" s="258"/>
      <c r="C34" s="259" t="e" cm="1">
        <f t="array" ref="C34">B34/$B$27</f>
        <v>#DIV/0!</v>
      </c>
      <c r="D34" s="260"/>
      <c r="E34" s="146"/>
      <c r="F34" s="889"/>
      <c r="G34" s="889"/>
      <c r="H34" s="889"/>
      <c r="I34" s="77"/>
      <c r="J34" s="184"/>
      <c r="K34" s="185"/>
      <c r="L34" s="185"/>
      <c r="M34" s="185"/>
      <c r="N34" s="185"/>
      <c r="O34" s="185"/>
      <c r="P34" s="185"/>
      <c r="Q34" s="185"/>
      <c r="R34" s="185"/>
      <c r="S34" s="185"/>
    </row>
    <row r="35" spans="1:19" ht="16.5" customHeight="1">
      <c r="A35" s="231" t="s">
        <v>238</v>
      </c>
      <c r="B35" s="258"/>
      <c r="C35" s="259" t="e" cm="1">
        <f t="array" ref="C35">B35/$B$27</f>
        <v>#DIV/0!</v>
      </c>
      <c r="D35" s="260"/>
      <c r="E35" s="245"/>
      <c r="F35" s="881" t="s">
        <v>209</v>
      </c>
      <c r="G35" s="882"/>
      <c r="H35" s="883"/>
      <c r="I35" s="146"/>
      <c r="J35" s="184"/>
      <c r="K35" s="185"/>
      <c r="L35" s="185"/>
      <c r="M35" s="185"/>
      <c r="N35" s="185"/>
      <c r="O35" s="185"/>
      <c r="P35" s="185"/>
      <c r="Q35" s="185"/>
      <c r="R35" s="185"/>
      <c r="S35" s="185"/>
    </row>
    <row r="36" spans="1:19" ht="17.149999999999999" customHeight="1">
      <c r="A36" s="231" t="s">
        <v>239</v>
      </c>
      <c r="B36" s="258"/>
      <c r="C36" s="259" t="e" cm="1">
        <f t="array" ref="C36">B36/$B$27</f>
        <v>#DIV/0!</v>
      </c>
      <c r="D36" s="260"/>
      <c r="E36" s="245"/>
      <c r="F36" s="226" t="s">
        <v>240</v>
      </c>
      <c r="G36" s="254"/>
      <c r="H36" s="255"/>
      <c r="I36" s="146"/>
      <c r="J36" s="184"/>
      <c r="K36" s="185"/>
      <c r="L36" s="185"/>
      <c r="M36" s="185"/>
      <c r="N36" s="185"/>
      <c r="O36" s="185"/>
      <c r="P36" s="185"/>
      <c r="Q36" s="185"/>
      <c r="R36" s="185"/>
      <c r="S36" s="185"/>
    </row>
    <row r="37" spans="1:19" ht="16.649999999999999" customHeight="1">
      <c r="A37" s="231" t="s">
        <v>241</v>
      </c>
      <c r="B37" s="258"/>
      <c r="C37" s="259" t="e" cm="1">
        <f t="array" ref="C37">B37/$B$27</f>
        <v>#DIV/0!</v>
      </c>
      <c r="D37" s="260"/>
      <c r="E37" s="245"/>
      <c r="F37" s="231" t="s">
        <v>242</v>
      </c>
      <c r="G37" s="261"/>
      <c r="H37" s="260"/>
      <c r="I37" s="146"/>
      <c r="J37" s="184"/>
      <c r="K37" s="185"/>
      <c r="L37" s="185"/>
      <c r="M37" s="185"/>
      <c r="N37" s="185"/>
      <c r="O37" s="185"/>
      <c r="P37" s="185"/>
      <c r="Q37" s="185"/>
      <c r="R37" s="185"/>
      <c r="S37" s="185"/>
    </row>
    <row r="38" spans="1:19" ht="16.649999999999999" customHeight="1">
      <c r="A38" s="231" t="s">
        <v>215</v>
      </c>
      <c r="B38" s="258"/>
      <c r="C38" s="259" t="e" cm="1">
        <f t="array" ref="C38">B38/$B$27</f>
        <v>#DIV/0!</v>
      </c>
      <c r="D38" s="260"/>
      <c r="E38" s="245"/>
      <c r="F38" s="231" t="s">
        <v>243</v>
      </c>
      <c r="G38" s="261"/>
      <c r="H38" s="260"/>
      <c r="I38" s="146"/>
      <c r="J38" s="184"/>
      <c r="K38" s="185"/>
      <c r="L38" s="185"/>
      <c r="M38" s="185"/>
      <c r="N38" s="185"/>
      <c r="O38" s="185"/>
      <c r="P38" s="185"/>
      <c r="Q38" s="185"/>
      <c r="R38" s="185"/>
      <c r="S38" s="185"/>
    </row>
    <row r="39" spans="1:19" ht="15.75" customHeight="1">
      <c r="A39" s="231" t="s">
        <v>244</v>
      </c>
      <c r="B39" s="258"/>
      <c r="C39" s="259" t="e" cm="1">
        <f t="array" ref="C39">B39/$B$27</f>
        <v>#DIV/0!</v>
      </c>
      <c r="D39" s="260"/>
      <c r="E39" s="245"/>
      <c r="F39" s="240" t="s">
        <v>245</v>
      </c>
      <c r="G39" s="256"/>
      <c r="H39" s="257"/>
      <c r="I39" s="146"/>
      <c r="J39" s="184"/>
      <c r="K39" s="185"/>
      <c r="L39" s="185"/>
      <c r="M39" s="185"/>
      <c r="N39" s="185"/>
      <c r="O39" s="185"/>
      <c r="P39" s="185"/>
      <c r="Q39" s="185"/>
      <c r="R39" s="185"/>
      <c r="S39" s="185"/>
    </row>
    <row r="40" spans="1:19" ht="15.75" customHeight="1">
      <c r="A40" s="231" t="s">
        <v>246</v>
      </c>
      <c r="B40" s="258"/>
      <c r="C40" s="259" t="e" cm="1">
        <f t="array" ref="C40">B40/$B$27</f>
        <v>#DIV/0!</v>
      </c>
      <c r="D40" s="260"/>
      <c r="E40" s="146"/>
      <c r="F40" s="889"/>
      <c r="G40" s="889"/>
      <c r="H40" s="889"/>
      <c r="I40" s="77"/>
      <c r="J40" s="184"/>
      <c r="K40" s="185"/>
      <c r="L40" s="185"/>
      <c r="M40" s="185"/>
      <c r="N40" s="185"/>
      <c r="O40" s="185"/>
      <c r="P40" s="185"/>
      <c r="Q40" s="185"/>
      <c r="R40" s="185"/>
      <c r="S40" s="185"/>
    </row>
    <row r="41" spans="1:19" ht="16.5" customHeight="1">
      <c r="A41" s="231" t="s">
        <v>247</v>
      </c>
      <c r="B41" s="258"/>
      <c r="C41" s="259" t="e" cm="1">
        <f t="array" ref="C41">B41/$B$27</f>
        <v>#DIV/0!</v>
      </c>
      <c r="D41" s="260"/>
      <c r="E41" s="245"/>
      <c r="F41" s="881" t="s">
        <v>211</v>
      </c>
      <c r="G41" s="882"/>
      <c r="H41" s="883"/>
      <c r="I41" s="146"/>
      <c r="J41" s="184"/>
      <c r="K41" s="185"/>
      <c r="L41" s="185"/>
      <c r="M41" s="185"/>
      <c r="N41" s="185"/>
      <c r="O41" s="185"/>
      <c r="P41" s="185"/>
      <c r="Q41" s="185"/>
      <c r="R41" s="185"/>
      <c r="S41" s="185"/>
    </row>
    <row r="42" spans="1:19" ht="17.149999999999999" customHeight="1">
      <c r="A42" s="231" t="s">
        <v>248</v>
      </c>
      <c r="B42" s="258"/>
      <c r="C42" s="259" t="e" cm="1">
        <f t="array" ref="C42">B42/$B$27</f>
        <v>#DIV/0!</v>
      </c>
      <c r="D42" s="260"/>
      <c r="E42" s="245"/>
      <c r="F42" s="226" t="s">
        <v>249</v>
      </c>
      <c r="G42" s="254"/>
      <c r="H42" s="255"/>
      <c r="I42" s="146"/>
      <c r="J42" s="184"/>
      <c r="K42" s="185"/>
      <c r="L42" s="185"/>
      <c r="M42" s="185"/>
      <c r="N42" s="185"/>
      <c r="O42" s="185"/>
      <c r="P42" s="185"/>
      <c r="Q42" s="185"/>
      <c r="R42" s="185"/>
      <c r="S42" s="185"/>
    </row>
    <row r="43" spans="1:19" ht="16.649999999999999" customHeight="1">
      <c r="A43" s="231" t="s">
        <v>250</v>
      </c>
      <c r="B43" s="258"/>
      <c r="C43" s="259" t="e" cm="1">
        <f t="array" ref="C43">B43/$B$27</f>
        <v>#DIV/0!</v>
      </c>
      <c r="D43" s="260"/>
      <c r="E43" s="245"/>
      <c r="F43" s="231" t="s">
        <v>251</v>
      </c>
      <c r="G43" s="261"/>
      <c r="H43" s="260"/>
      <c r="I43" s="146"/>
      <c r="J43" s="184"/>
      <c r="K43" s="185"/>
      <c r="L43" s="185"/>
      <c r="M43" s="185"/>
      <c r="N43" s="185"/>
      <c r="O43" s="185"/>
      <c r="P43" s="185"/>
      <c r="Q43" s="185"/>
      <c r="R43" s="185"/>
      <c r="S43" s="185"/>
    </row>
    <row r="44" spans="1:19" ht="16.649999999999999" customHeight="1">
      <c r="A44" s="231" t="s">
        <v>252</v>
      </c>
      <c r="B44" s="258"/>
      <c r="C44" s="259" t="e" cm="1">
        <f t="array" ref="C44">B44/$B$27</f>
        <v>#DIV/0!</v>
      </c>
      <c r="D44" s="260"/>
      <c r="E44" s="245"/>
      <c r="F44" s="231" t="s">
        <v>253</v>
      </c>
      <c r="G44" s="261"/>
      <c r="H44" s="260"/>
      <c r="I44" s="146"/>
      <c r="J44" s="184"/>
      <c r="K44" s="185"/>
      <c r="L44" s="185"/>
      <c r="M44" s="185"/>
      <c r="N44" s="185"/>
      <c r="O44" s="185"/>
      <c r="P44" s="185"/>
      <c r="Q44" s="185"/>
      <c r="R44" s="185"/>
      <c r="S44" s="185"/>
    </row>
    <row r="45" spans="1:19" ht="16.649999999999999" customHeight="1">
      <c r="A45" s="262" t="s">
        <v>254</v>
      </c>
      <c r="B45" s="258"/>
      <c r="C45" s="259" t="e" cm="1">
        <f t="array" ref="C45">B45/$B$27</f>
        <v>#DIV/0!</v>
      </c>
      <c r="D45" s="260"/>
      <c r="E45" s="245"/>
      <c r="F45" s="231" t="s">
        <v>255</v>
      </c>
      <c r="G45" s="261"/>
      <c r="H45" s="260"/>
      <c r="I45" s="146"/>
      <c r="J45" s="184"/>
      <c r="K45" s="185"/>
      <c r="L45" s="185"/>
      <c r="M45" s="185"/>
      <c r="N45" s="185"/>
      <c r="O45" s="185"/>
      <c r="P45" s="185"/>
      <c r="Q45" s="185"/>
      <c r="R45" s="185"/>
      <c r="S45" s="185"/>
    </row>
    <row r="46" spans="1:19" ht="15.75" customHeight="1">
      <c r="A46" s="262" t="s">
        <v>254</v>
      </c>
      <c r="B46" s="258"/>
      <c r="C46" s="259" t="e" cm="1">
        <f t="array" ref="C46">B46/$B$27</f>
        <v>#DIV/0!</v>
      </c>
      <c r="D46" s="260"/>
      <c r="E46" s="245"/>
      <c r="F46" s="240" t="s">
        <v>256</v>
      </c>
      <c r="G46" s="256"/>
      <c r="H46" s="257"/>
      <c r="I46" s="146"/>
      <c r="J46" s="184"/>
      <c r="K46" s="185"/>
      <c r="L46" s="185"/>
      <c r="M46" s="185"/>
      <c r="N46" s="185"/>
      <c r="O46" s="185"/>
      <c r="P46" s="185"/>
      <c r="Q46" s="185"/>
      <c r="R46" s="185"/>
      <c r="S46" s="185"/>
    </row>
    <row r="47" spans="1:19" ht="15.75" customHeight="1">
      <c r="A47" s="263" t="s">
        <v>254</v>
      </c>
      <c r="B47" s="264"/>
      <c r="C47" s="259" t="e" cm="1">
        <f t="array" ref="C47">B47/$B$27</f>
        <v>#DIV/0!</v>
      </c>
      <c r="D47" s="257"/>
      <c r="E47" s="146"/>
      <c r="F47" s="889"/>
      <c r="G47" s="889"/>
      <c r="H47" s="889"/>
      <c r="I47" s="77"/>
      <c r="J47" s="184"/>
      <c r="K47" s="185"/>
      <c r="L47" s="185"/>
      <c r="M47" s="185"/>
      <c r="N47" s="185"/>
      <c r="O47" s="185"/>
      <c r="P47" s="185"/>
      <c r="Q47" s="185"/>
      <c r="R47" s="185"/>
      <c r="S47" s="185"/>
    </row>
    <row r="48" spans="1:19" ht="16.5" customHeight="1">
      <c r="A48" s="907" t="s">
        <v>257</v>
      </c>
      <c r="B48" s="908"/>
      <c r="C48" s="909"/>
      <c r="D48" s="908"/>
      <c r="E48" s="228"/>
      <c r="F48" s="881" t="s">
        <v>213</v>
      </c>
      <c r="G48" s="882"/>
      <c r="H48" s="883"/>
      <c r="I48" s="146"/>
      <c r="J48" s="184"/>
      <c r="K48" s="185"/>
      <c r="L48" s="185"/>
      <c r="M48" s="185"/>
      <c r="N48" s="185"/>
      <c r="O48" s="185"/>
      <c r="P48" s="185"/>
      <c r="Q48" s="185"/>
      <c r="R48" s="185"/>
      <c r="S48" s="185"/>
    </row>
    <row r="49" spans="1:19" ht="17.149999999999999" customHeight="1">
      <c r="A49" s="892"/>
      <c r="B49" s="893"/>
      <c r="C49" s="893"/>
      <c r="D49" s="893"/>
      <c r="E49" s="228"/>
      <c r="F49" s="226" t="s">
        <v>258</v>
      </c>
      <c r="G49" s="254"/>
      <c r="H49" s="255"/>
      <c r="I49" s="146"/>
      <c r="J49" s="184"/>
      <c r="K49" s="185"/>
      <c r="L49" s="185"/>
      <c r="M49" s="185"/>
      <c r="N49" s="185"/>
      <c r="O49" s="185"/>
      <c r="P49" s="185"/>
      <c r="Q49" s="185"/>
      <c r="R49" s="185"/>
      <c r="S49" s="185"/>
    </row>
    <row r="50" spans="1:19" ht="16.649999999999999" customHeight="1">
      <c r="A50" s="910" t="s">
        <v>259</v>
      </c>
      <c r="B50" s="911"/>
      <c r="C50" s="911"/>
      <c r="D50" s="911"/>
      <c r="E50" s="228"/>
      <c r="F50" s="231" t="s">
        <v>260</v>
      </c>
      <c r="G50" s="261"/>
      <c r="H50" s="260"/>
      <c r="I50" s="146"/>
      <c r="J50" s="184"/>
      <c r="K50" s="185"/>
      <c r="L50" s="185"/>
      <c r="M50" s="185"/>
      <c r="N50" s="185"/>
      <c r="O50" s="185"/>
      <c r="P50" s="185"/>
      <c r="Q50" s="185"/>
      <c r="R50" s="185"/>
      <c r="S50" s="185"/>
    </row>
    <row r="51" spans="1:19" ht="15.75" customHeight="1">
      <c r="A51" s="912"/>
      <c r="B51" s="913"/>
      <c r="C51" s="913"/>
      <c r="D51" s="913"/>
      <c r="E51" s="228"/>
      <c r="F51" s="240" t="s">
        <v>261</v>
      </c>
      <c r="G51" s="256"/>
      <c r="H51" s="257"/>
      <c r="I51" s="146"/>
      <c r="J51" s="184"/>
      <c r="K51" s="192"/>
      <c r="L51" s="185"/>
      <c r="M51" s="185"/>
      <c r="N51" s="185"/>
      <c r="O51" s="185"/>
      <c r="P51" s="185"/>
      <c r="Q51" s="185"/>
      <c r="R51" s="185"/>
      <c r="S51" s="185"/>
    </row>
    <row r="52" spans="1:19" ht="21" customHeight="1">
      <c r="A52" s="222" t="s">
        <v>262</v>
      </c>
      <c r="B52" s="243" t="s">
        <v>263</v>
      </c>
      <c r="C52" s="243" t="s">
        <v>165</v>
      </c>
      <c r="D52" s="244" t="s">
        <v>222</v>
      </c>
      <c r="E52" s="146"/>
      <c r="F52" s="889"/>
      <c r="G52" s="889"/>
      <c r="H52" s="889"/>
      <c r="I52" s="77"/>
      <c r="J52" s="184"/>
      <c r="K52" s="185"/>
      <c r="L52" s="185"/>
      <c r="M52" s="185"/>
      <c r="N52" s="185"/>
      <c r="O52" s="185"/>
      <c r="P52" s="185"/>
      <c r="Q52" s="185"/>
      <c r="R52" s="185"/>
      <c r="S52" s="185"/>
    </row>
    <row r="53" spans="1:19" ht="16.5" customHeight="1">
      <c r="A53" s="226" t="s">
        <v>264</v>
      </c>
      <c r="B53" s="265"/>
      <c r="C53" s="266" t="e" cm="1">
        <f t="array" ref="C53">B53/SUM($B$53:$B$63)</f>
        <v>#DIV/0!</v>
      </c>
      <c r="D53" s="267" t="s">
        <v>265</v>
      </c>
      <c r="E53" s="245"/>
      <c r="F53" s="881" t="s">
        <v>214</v>
      </c>
      <c r="G53" s="882"/>
      <c r="H53" s="883"/>
      <c r="I53" s="146"/>
      <c r="J53" s="184"/>
      <c r="K53" s="193"/>
      <c r="L53" s="185"/>
      <c r="M53" s="193"/>
      <c r="N53" s="185"/>
      <c r="O53" s="185"/>
      <c r="P53" s="185"/>
      <c r="Q53" s="185"/>
      <c r="R53" s="185"/>
      <c r="S53" s="185"/>
    </row>
    <row r="54" spans="1:19" ht="17.149999999999999" customHeight="1">
      <c r="A54" s="231" t="s">
        <v>266</v>
      </c>
      <c r="B54" s="268"/>
      <c r="C54" s="269" t="e" cm="1">
        <f t="array" ref="C54">B54/SUM($B$53:$B$63)</f>
        <v>#DIV/0!</v>
      </c>
      <c r="D54" s="270" t="s">
        <v>265</v>
      </c>
      <c r="E54" s="245"/>
      <c r="F54" s="226" t="s">
        <v>267</v>
      </c>
      <c r="G54" s="254"/>
      <c r="H54" s="255"/>
      <c r="I54" s="146"/>
      <c r="J54" s="184"/>
      <c r="K54" s="185"/>
      <c r="L54" s="185"/>
      <c r="M54" s="185"/>
      <c r="N54" s="185"/>
      <c r="O54" s="185"/>
      <c r="P54" s="185"/>
      <c r="Q54" s="185"/>
      <c r="R54" s="185"/>
      <c r="S54" s="185"/>
    </row>
    <row r="55" spans="1:19" ht="16.649999999999999" customHeight="1">
      <c r="A55" s="231" t="s">
        <v>268</v>
      </c>
      <c r="B55" s="268"/>
      <c r="C55" s="269" t="e" cm="1">
        <f t="array" ref="C55">B55/SUM($B$53:$B$63)</f>
        <v>#DIV/0!</v>
      </c>
      <c r="D55" s="270" t="s">
        <v>265</v>
      </c>
      <c r="E55" s="245"/>
      <c r="F55" s="231" t="s">
        <v>269</v>
      </c>
      <c r="G55" s="261"/>
      <c r="H55" s="260"/>
      <c r="I55" s="146"/>
      <c r="J55" s="184"/>
      <c r="K55" s="185"/>
      <c r="L55" s="185"/>
      <c r="M55" s="185"/>
      <c r="N55" s="185"/>
      <c r="O55" s="185"/>
      <c r="P55" s="185"/>
      <c r="Q55" s="185"/>
      <c r="R55" s="185"/>
      <c r="S55" s="185"/>
    </row>
    <row r="56" spans="1:19" ht="16.649999999999999" customHeight="1">
      <c r="A56" s="271"/>
      <c r="B56" s="268"/>
      <c r="C56" s="269" t="e" cm="1">
        <f t="array" ref="C56">B56/SUM($B$53:$B$63)</f>
        <v>#DIV/0!</v>
      </c>
      <c r="D56" s="272"/>
      <c r="E56" s="245"/>
      <c r="F56" s="231" t="s">
        <v>270</v>
      </c>
      <c r="G56" s="261"/>
      <c r="H56" s="260"/>
      <c r="I56" s="146"/>
      <c r="J56" s="184"/>
      <c r="K56" s="185"/>
      <c r="L56" s="185"/>
      <c r="M56" s="185"/>
      <c r="N56" s="185"/>
      <c r="O56" s="185"/>
      <c r="P56" s="185"/>
      <c r="Q56" s="185"/>
      <c r="R56" s="185"/>
      <c r="S56" s="185"/>
    </row>
    <row r="57" spans="1:19" ht="16.649999999999999" customHeight="1">
      <c r="A57" s="271"/>
      <c r="B57" s="268"/>
      <c r="C57" s="269" t="e" cm="1">
        <f t="array" ref="C57">B57/SUM($B$53:$B$63)</f>
        <v>#DIV/0!</v>
      </c>
      <c r="D57" s="272"/>
      <c r="E57" s="245"/>
      <c r="F57" s="231" t="s">
        <v>271</v>
      </c>
      <c r="G57" s="261"/>
      <c r="H57" s="260"/>
      <c r="I57" s="146"/>
      <c r="J57" s="184"/>
      <c r="K57" s="185"/>
      <c r="L57" s="185"/>
      <c r="M57" s="185"/>
      <c r="N57" s="185"/>
      <c r="O57" s="185"/>
      <c r="P57" s="185"/>
      <c r="Q57" s="185"/>
      <c r="R57" s="185"/>
      <c r="S57" s="185"/>
    </row>
    <row r="58" spans="1:19" ht="16.649999999999999" customHeight="1">
      <c r="A58" s="271"/>
      <c r="B58" s="268"/>
      <c r="C58" s="269" t="e" cm="1">
        <f t="array" ref="C58">B58/SUM($B$53:$B$63)</f>
        <v>#DIV/0!</v>
      </c>
      <c r="D58" s="272"/>
      <c r="E58" s="245"/>
      <c r="F58" s="231" t="s">
        <v>272</v>
      </c>
      <c r="G58" s="261"/>
      <c r="H58" s="260"/>
      <c r="I58" s="146"/>
      <c r="J58" s="184"/>
      <c r="K58" s="185"/>
      <c r="L58" s="185"/>
      <c r="M58" s="185"/>
      <c r="N58" s="185"/>
      <c r="O58" s="185"/>
      <c r="P58" s="185"/>
      <c r="Q58" s="185"/>
      <c r="R58" s="185"/>
      <c r="S58" s="185"/>
    </row>
    <row r="59" spans="1:19" ht="15.75" customHeight="1">
      <c r="A59" s="271"/>
      <c r="B59" s="268"/>
      <c r="C59" s="269" t="e" cm="1">
        <f t="array" ref="C59">B59/SUM($B$53:$B$63)</f>
        <v>#DIV/0!</v>
      </c>
      <c r="D59" s="272"/>
      <c r="E59" s="245"/>
      <c r="F59" s="240" t="s">
        <v>273</v>
      </c>
      <c r="G59" s="256"/>
      <c r="H59" s="257"/>
      <c r="I59" s="146"/>
      <c r="J59" s="184"/>
      <c r="K59" s="185"/>
      <c r="L59" s="185"/>
      <c r="M59" s="185"/>
      <c r="N59" s="185"/>
      <c r="O59" s="185"/>
      <c r="P59" s="185"/>
      <c r="Q59" s="185"/>
      <c r="R59" s="185"/>
      <c r="S59" s="185"/>
    </row>
    <row r="60" spans="1:19" ht="15.75" customHeight="1">
      <c r="A60" s="271"/>
      <c r="B60" s="268"/>
      <c r="C60" s="269" t="e" cm="1">
        <f t="array" ref="C60">B60/SUM($B$53:$B$63)</f>
        <v>#DIV/0!</v>
      </c>
      <c r="D60" s="272"/>
      <c r="E60" s="146"/>
      <c r="F60" s="889"/>
      <c r="G60" s="889"/>
      <c r="H60" s="889"/>
      <c r="I60" s="77"/>
      <c r="J60" s="184"/>
      <c r="K60" s="185"/>
      <c r="L60" s="185"/>
      <c r="M60" s="185"/>
      <c r="N60" s="185"/>
      <c r="O60" s="185"/>
      <c r="P60" s="185"/>
      <c r="Q60" s="185"/>
      <c r="R60" s="185"/>
      <c r="S60" s="185"/>
    </row>
    <row r="61" spans="1:19" ht="16.5" customHeight="1">
      <c r="A61" s="271"/>
      <c r="B61" s="268"/>
      <c r="C61" s="269" t="e" cm="1">
        <f t="array" ref="C61">B61/SUM($B$53:$B$63)</f>
        <v>#DIV/0!</v>
      </c>
      <c r="D61" s="272"/>
      <c r="E61" s="245"/>
      <c r="F61" s="881" t="s">
        <v>215</v>
      </c>
      <c r="G61" s="882"/>
      <c r="H61" s="883"/>
      <c r="I61" s="146"/>
      <c r="J61" s="184"/>
      <c r="K61" s="185"/>
      <c r="L61" s="185"/>
      <c r="M61" s="185"/>
      <c r="N61" s="185"/>
      <c r="O61" s="185"/>
      <c r="P61" s="185"/>
      <c r="Q61" s="185"/>
      <c r="R61" s="185"/>
      <c r="S61" s="185"/>
    </row>
    <row r="62" spans="1:19" ht="17.149999999999999" customHeight="1">
      <c r="A62" s="271"/>
      <c r="B62" s="268"/>
      <c r="C62" s="269" t="e" cm="1">
        <f t="array" ref="C62">B62/SUM($B$53:$B$63)</f>
        <v>#DIV/0!</v>
      </c>
      <c r="D62" s="272"/>
      <c r="E62" s="245"/>
      <c r="F62" s="226" t="s">
        <v>274</v>
      </c>
      <c r="G62" s="254"/>
      <c r="H62" s="255"/>
      <c r="I62" s="146"/>
      <c r="J62" s="184"/>
      <c r="K62" s="185"/>
      <c r="L62" s="185"/>
      <c r="M62" s="185"/>
      <c r="N62" s="185"/>
      <c r="O62" s="185"/>
      <c r="P62" s="185"/>
      <c r="Q62" s="185"/>
      <c r="R62" s="185"/>
      <c r="S62" s="185"/>
    </row>
    <row r="63" spans="1:19" ht="15.75" customHeight="1">
      <c r="A63" s="273"/>
      <c r="B63" s="274"/>
      <c r="C63" s="275" t="e" cm="1">
        <f t="array" ref="C63">B63/SUM($B$53:$B$63)</f>
        <v>#DIV/0!</v>
      </c>
      <c r="D63" s="276"/>
      <c r="E63" s="245"/>
      <c r="F63" s="231" t="s">
        <v>275</v>
      </c>
      <c r="G63" s="261"/>
      <c r="H63" s="260"/>
      <c r="I63" s="146"/>
      <c r="J63" s="184"/>
      <c r="K63" s="185"/>
      <c r="L63" s="185"/>
      <c r="M63" s="185"/>
      <c r="N63" s="185"/>
      <c r="O63" s="185"/>
      <c r="P63" s="185"/>
      <c r="Q63" s="185"/>
      <c r="R63" s="185"/>
      <c r="S63" s="185"/>
    </row>
    <row r="64" spans="1:19" ht="15.75" customHeight="1">
      <c r="A64" s="277"/>
      <c r="B64" s="102"/>
      <c r="C64" s="102"/>
      <c r="D64" s="102"/>
      <c r="E64" s="228"/>
      <c r="F64" s="240" t="s">
        <v>276</v>
      </c>
      <c r="G64" s="256"/>
      <c r="H64" s="257"/>
      <c r="I64" s="146"/>
      <c r="J64" s="184"/>
      <c r="K64" s="185"/>
      <c r="L64" s="185"/>
      <c r="M64" s="185"/>
      <c r="N64" s="185"/>
      <c r="O64" s="185"/>
      <c r="P64" s="185"/>
      <c r="Q64" s="185"/>
      <c r="R64" s="185"/>
      <c r="S64" s="185"/>
    </row>
    <row r="65" spans="1:19" ht="16.5" customHeight="1">
      <c r="A65" s="914" t="s">
        <v>277</v>
      </c>
      <c r="B65" s="915"/>
      <c r="C65" s="915"/>
      <c r="D65" s="916"/>
      <c r="E65" s="146"/>
      <c r="F65" s="889"/>
      <c r="G65" s="889"/>
      <c r="H65" s="889"/>
      <c r="I65" s="77"/>
      <c r="J65" s="184"/>
      <c r="K65" s="185"/>
      <c r="L65" s="185"/>
      <c r="M65" s="185"/>
      <c r="N65" s="185"/>
      <c r="O65" s="185"/>
      <c r="P65" s="185"/>
      <c r="Q65" s="185"/>
      <c r="R65" s="185"/>
      <c r="S65" s="185"/>
    </row>
    <row r="66" spans="1:19" ht="16.5" customHeight="1">
      <c r="A66" s="898"/>
      <c r="B66" s="899"/>
      <c r="C66" s="899"/>
      <c r="D66" s="900"/>
      <c r="E66" s="245"/>
      <c r="F66" s="881" t="s">
        <v>218</v>
      </c>
      <c r="G66" s="882"/>
      <c r="H66" s="883"/>
      <c r="I66" s="146"/>
      <c r="J66" s="184"/>
      <c r="K66" s="185"/>
      <c r="L66" s="185"/>
      <c r="M66" s="185"/>
      <c r="N66" s="185"/>
      <c r="O66" s="185"/>
      <c r="P66" s="185"/>
      <c r="Q66" s="185"/>
      <c r="R66" s="185"/>
      <c r="S66" s="185"/>
    </row>
    <row r="67" spans="1:19" ht="17.149999999999999" customHeight="1">
      <c r="A67" s="901"/>
      <c r="B67" s="902"/>
      <c r="C67" s="902"/>
      <c r="D67" s="903"/>
      <c r="E67" s="245"/>
      <c r="F67" s="226" t="s">
        <v>278</v>
      </c>
      <c r="G67" s="254"/>
      <c r="H67" s="255"/>
      <c r="I67" s="146"/>
      <c r="J67" s="184"/>
      <c r="K67" s="185"/>
      <c r="L67" s="185"/>
      <c r="M67" s="185"/>
      <c r="N67" s="185"/>
      <c r="O67" s="185"/>
      <c r="P67" s="185"/>
      <c r="Q67" s="185"/>
      <c r="R67" s="185"/>
      <c r="S67" s="185"/>
    </row>
    <row r="68" spans="1:19" ht="15.75" customHeight="1">
      <c r="A68" s="901"/>
      <c r="B68" s="902"/>
      <c r="C68" s="902"/>
      <c r="D68" s="903"/>
      <c r="E68" s="245"/>
      <c r="F68" s="240" t="s">
        <v>279</v>
      </c>
      <c r="G68" s="256"/>
      <c r="H68" s="257"/>
      <c r="I68" s="146"/>
      <c r="J68" s="184"/>
      <c r="K68" s="185"/>
      <c r="L68" s="185"/>
      <c r="M68" s="185"/>
      <c r="N68" s="185"/>
      <c r="O68" s="185"/>
      <c r="P68" s="185"/>
      <c r="Q68" s="185"/>
      <c r="R68" s="185"/>
      <c r="S68" s="185"/>
    </row>
    <row r="69" spans="1:19" ht="15.75" customHeight="1">
      <c r="A69" s="901"/>
      <c r="B69" s="902"/>
      <c r="C69" s="902"/>
      <c r="D69" s="903"/>
      <c r="E69" s="146"/>
      <c r="F69" s="889"/>
      <c r="G69" s="889"/>
      <c r="H69" s="889"/>
      <c r="I69" s="77"/>
      <c r="J69" s="184"/>
      <c r="K69" s="185"/>
      <c r="L69" s="185"/>
      <c r="M69" s="185"/>
      <c r="N69" s="185"/>
      <c r="O69" s="185"/>
      <c r="P69" s="185"/>
      <c r="Q69" s="185"/>
      <c r="R69" s="185"/>
      <c r="S69" s="185"/>
    </row>
    <row r="70" spans="1:19" ht="16.5" customHeight="1">
      <c r="A70" s="901"/>
      <c r="B70" s="902"/>
      <c r="C70" s="902"/>
      <c r="D70" s="903"/>
      <c r="E70" s="245"/>
      <c r="F70" s="881" t="s">
        <v>280</v>
      </c>
      <c r="G70" s="882"/>
      <c r="H70" s="883"/>
      <c r="I70" s="146"/>
      <c r="J70" s="184"/>
      <c r="K70" s="193"/>
      <c r="L70" s="185"/>
      <c r="M70" s="193"/>
      <c r="N70" s="185"/>
      <c r="O70" s="185"/>
      <c r="P70" s="185"/>
      <c r="Q70" s="185"/>
      <c r="R70" s="185"/>
      <c r="S70" s="185"/>
    </row>
    <row r="71" spans="1:19" ht="18.75" customHeight="1">
      <c r="A71" s="901"/>
      <c r="B71" s="902"/>
      <c r="C71" s="902"/>
      <c r="D71" s="903"/>
      <c r="E71" s="245"/>
      <c r="F71" s="226" t="s">
        <v>281</v>
      </c>
      <c r="G71" s="254"/>
      <c r="H71" s="278" t="s">
        <v>265</v>
      </c>
      <c r="I71" s="146"/>
      <c r="J71" s="184"/>
      <c r="K71" s="185"/>
      <c r="L71" s="185"/>
      <c r="M71" s="185"/>
      <c r="N71" s="185"/>
      <c r="O71" s="185"/>
      <c r="P71" s="185"/>
      <c r="Q71" s="185"/>
      <c r="R71" s="185"/>
      <c r="S71" s="185"/>
    </row>
    <row r="72" spans="1:19" ht="19.5" customHeight="1">
      <c r="A72" s="901"/>
      <c r="B72" s="902"/>
      <c r="C72" s="902"/>
      <c r="D72" s="903"/>
      <c r="E72" s="245"/>
      <c r="F72" s="240" t="s">
        <v>282</v>
      </c>
      <c r="G72" s="256"/>
      <c r="H72" s="279" t="s">
        <v>265</v>
      </c>
      <c r="I72" s="146"/>
      <c r="J72" s="184"/>
      <c r="K72" s="185"/>
      <c r="L72" s="185"/>
      <c r="M72" s="185"/>
      <c r="N72" s="185"/>
      <c r="O72" s="185"/>
      <c r="P72" s="185"/>
      <c r="Q72" s="185"/>
      <c r="R72" s="185"/>
      <c r="S72" s="185"/>
    </row>
    <row r="73" spans="1:19" ht="15.75" customHeight="1">
      <c r="A73" s="901"/>
      <c r="B73" s="902"/>
      <c r="C73" s="902"/>
      <c r="D73" s="903"/>
      <c r="E73" s="146"/>
      <c r="F73" s="102"/>
      <c r="G73" s="102"/>
      <c r="H73" s="102"/>
      <c r="I73" s="77"/>
      <c r="J73" s="184"/>
      <c r="K73" s="185"/>
      <c r="L73" s="185"/>
      <c r="M73" s="185"/>
      <c r="N73" s="185"/>
      <c r="O73" s="185"/>
      <c r="P73" s="185"/>
      <c r="Q73" s="185"/>
      <c r="R73" s="185"/>
      <c r="S73" s="185"/>
    </row>
    <row r="74" spans="1:19" ht="16.5" customHeight="1">
      <c r="A74" s="901"/>
      <c r="B74" s="902"/>
      <c r="C74" s="902"/>
      <c r="D74" s="903"/>
      <c r="E74" s="245"/>
      <c r="F74" s="881" t="s">
        <v>283</v>
      </c>
      <c r="G74" s="882"/>
      <c r="H74" s="883"/>
      <c r="I74" s="146"/>
      <c r="J74" s="184"/>
      <c r="K74" s="193"/>
      <c r="L74" s="185"/>
      <c r="M74" s="193"/>
      <c r="N74" s="185"/>
      <c r="O74" s="185"/>
      <c r="P74" s="185"/>
      <c r="Q74" s="185"/>
      <c r="R74" s="185"/>
      <c r="S74" s="185"/>
    </row>
    <row r="75" spans="1:19" ht="17.149999999999999" customHeight="1">
      <c r="A75" s="901"/>
      <c r="B75" s="902"/>
      <c r="C75" s="902"/>
      <c r="D75" s="903"/>
      <c r="E75" s="245"/>
      <c r="F75" s="280"/>
      <c r="G75" s="254"/>
      <c r="H75" s="255"/>
      <c r="I75" s="146"/>
      <c r="J75" s="184"/>
      <c r="K75" s="185"/>
      <c r="L75" s="185"/>
      <c r="M75" s="185"/>
      <c r="N75" s="185"/>
      <c r="O75" s="185"/>
      <c r="P75" s="185"/>
      <c r="Q75" s="185"/>
      <c r="R75" s="185"/>
      <c r="S75" s="185"/>
    </row>
    <row r="76" spans="1:19" ht="16.649999999999999" customHeight="1">
      <c r="A76" s="901"/>
      <c r="B76" s="902"/>
      <c r="C76" s="902"/>
      <c r="D76" s="903"/>
      <c r="E76" s="245"/>
      <c r="F76" s="271"/>
      <c r="G76" s="261"/>
      <c r="H76" s="260"/>
      <c r="I76" s="146"/>
      <c r="J76" s="184"/>
      <c r="K76" s="185"/>
      <c r="L76" s="185"/>
      <c r="M76" s="185"/>
      <c r="N76" s="185"/>
      <c r="O76" s="185"/>
      <c r="P76" s="185"/>
      <c r="Q76" s="185"/>
      <c r="R76" s="185"/>
      <c r="S76" s="185"/>
    </row>
    <row r="77" spans="1:19" ht="16.649999999999999" customHeight="1">
      <c r="A77" s="901"/>
      <c r="B77" s="902"/>
      <c r="C77" s="902"/>
      <c r="D77" s="903"/>
      <c r="E77" s="245"/>
      <c r="F77" s="271"/>
      <c r="G77" s="261"/>
      <c r="H77" s="260"/>
      <c r="I77" s="146"/>
      <c r="J77" s="184"/>
      <c r="K77" s="185"/>
      <c r="L77" s="185"/>
      <c r="M77" s="185"/>
      <c r="N77" s="185"/>
      <c r="O77" s="185"/>
      <c r="P77" s="185"/>
      <c r="Q77" s="185"/>
      <c r="R77" s="185"/>
      <c r="S77" s="185"/>
    </row>
    <row r="78" spans="1:19" ht="16.649999999999999" customHeight="1">
      <c r="A78" s="901"/>
      <c r="B78" s="902"/>
      <c r="C78" s="902"/>
      <c r="D78" s="903"/>
      <c r="E78" s="245"/>
      <c r="F78" s="271"/>
      <c r="G78" s="261"/>
      <c r="H78" s="260"/>
      <c r="I78" s="146"/>
      <c r="J78" s="184"/>
      <c r="K78" s="185"/>
      <c r="L78" s="185"/>
      <c r="M78" s="185"/>
      <c r="N78" s="185"/>
      <c r="O78" s="185"/>
      <c r="P78" s="185"/>
      <c r="Q78" s="185"/>
      <c r="R78" s="185"/>
      <c r="S78" s="185"/>
    </row>
    <row r="79" spans="1:19" ht="16.649999999999999" customHeight="1">
      <c r="A79" s="901"/>
      <c r="B79" s="902"/>
      <c r="C79" s="902"/>
      <c r="D79" s="903"/>
      <c r="E79" s="245"/>
      <c r="F79" s="271"/>
      <c r="G79" s="261"/>
      <c r="H79" s="260"/>
      <c r="I79" s="146"/>
      <c r="J79" s="184"/>
      <c r="K79" s="185"/>
      <c r="L79" s="185"/>
      <c r="M79" s="185"/>
      <c r="N79" s="185"/>
      <c r="O79" s="185"/>
      <c r="P79" s="185"/>
      <c r="Q79" s="185"/>
      <c r="R79" s="185"/>
      <c r="S79" s="185"/>
    </row>
    <row r="80" spans="1:19" ht="15.75" customHeight="1">
      <c r="A80" s="904"/>
      <c r="B80" s="905"/>
      <c r="C80" s="905"/>
      <c r="D80" s="906"/>
      <c r="E80" s="245"/>
      <c r="F80" s="273"/>
      <c r="G80" s="256"/>
      <c r="H80" s="257"/>
      <c r="I80" s="146"/>
      <c r="J80" s="184"/>
      <c r="K80" s="185"/>
      <c r="L80" s="185"/>
      <c r="M80" s="185"/>
      <c r="N80" s="185"/>
      <c r="O80" s="185"/>
      <c r="P80" s="185"/>
      <c r="Q80" s="185"/>
      <c r="R80" s="185"/>
      <c r="S80" s="185"/>
    </row>
    <row r="81" spans="1:19" ht="17.149999999999999" customHeight="1">
      <c r="A81" s="281"/>
      <c r="B81" s="282"/>
      <c r="C81" s="282"/>
      <c r="D81" s="282"/>
      <c r="E81" s="283"/>
      <c r="F81" s="282"/>
      <c r="G81" s="282"/>
      <c r="H81" s="282"/>
      <c r="I81" s="283"/>
      <c r="J81" s="184"/>
      <c r="K81" s="185"/>
      <c r="L81" s="185"/>
      <c r="M81" s="185"/>
      <c r="N81" s="185"/>
      <c r="O81" s="185"/>
      <c r="P81" s="185"/>
      <c r="Q81" s="185"/>
      <c r="R81" s="185"/>
      <c r="S81" s="185"/>
    </row>
  </sheetData>
  <mergeCells count="42">
    <mergeCell ref="A7:H7"/>
    <mergeCell ref="A8:H8"/>
    <mergeCell ref="A9:H9"/>
    <mergeCell ref="F70:H70"/>
    <mergeCell ref="F47:H47"/>
    <mergeCell ref="F52:H52"/>
    <mergeCell ref="A66:D80"/>
    <mergeCell ref="A48:D49"/>
    <mergeCell ref="A50:D50"/>
    <mergeCell ref="A51:D51"/>
    <mergeCell ref="A65:D65"/>
    <mergeCell ref="B11:C11"/>
    <mergeCell ref="B12:C12"/>
    <mergeCell ref="B24:C24"/>
    <mergeCell ref="B23:C23"/>
    <mergeCell ref="B17:C17"/>
    <mergeCell ref="A1:I1"/>
    <mergeCell ref="F66:H66"/>
    <mergeCell ref="F69:H69"/>
    <mergeCell ref="A4:H6"/>
    <mergeCell ref="F60:H60"/>
    <mergeCell ref="F65:H65"/>
    <mergeCell ref="F27:H27"/>
    <mergeCell ref="F31:H31"/>
    <mergeCell ref="F35:H35"/>
    <mergeCell ref="F41:H41"/>
    <mergeCell ref="F48:H48"/>
    <mergeCell ref="F53:H53"/>
    <mergeCell ref="F61:H61"/>
    <mergeCell ref="F30:H30"/>
    <mergeCell ref="F34:H34"/>
    <mergeCell ref="F40:H40"/>
    <mergeCell ref="B16:C16"/>
    <mergeCell ref="B13:C13"/>
    <mergeCell ref="B15:C15"/>
    <mergeCell ref="F74:H74"/>
    <mergeCell ref="B22:C22"/>
    <mergeCell ref="B21:C21"/>
    <mergeCell ref="B20:C20"/>
    <mergeCell ref="B19:C19"/>
    <mergeCell ref="B18:C18"/>
    <mergeCell ref="F11:F15"/>
  </mergeCells>
  <pageMargins left="0.7" right="0.7" top="0.75" bottom="0.75" header="0.3" footer="0.3"/>
  <pageSetup scale="33"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V109"/>
  <sheetViews>
    <sheetView showGridLines="0" workbookViewId="0"/>
  </sheetViews>
  <sheetFormatPr defaultColWidth="8.84375" defaultRowHeight="12.75" customHeight="1"/>
  <cols>
    <col min="1" max="1" width="6.4609375" style="5" customWidth="1"/>
    <col min="2" max="2" width="14.53515625" style="5" customWidth="1"/>
    <col min="3" max="3" width="8.15234375" style="5" customWidth="1"/>
    <col min="4" max="4" width="12.53515625" style="5" customWidth="1"/>
    <col min="5" max="5" width="2.84375" style="5" customWidth="1"/>
    <col min="6" max="9" width="8.84375" style="5" customWidth="1"/>
    <col min="10" max="10" width="4.3046875" style="5" customWidth="1"/>
    <col min="11" max="11" width="4.4609375" style="5" customWidth="1"/>
    <col min="12" max="12" width="2.84375" style="5" customWidth="1"/>
    <col min="13" max="16" width="8.84375" style="5" customWidth="1"/>
    <col min="17" max="17" width="4.4609375" style="5" customWidth="1"/>
    <col min="18" max="18" width="5.3046875" style="5" customWidth="1"/>
    <col min="19" max="19" width="2.84375" style="5" customWidth="1"/>
    <col min="20" max="25" width="8.84375" style="5" customWidth="1"/>
    <col min="26" max="30" width="10" style="5" customWidth="1"/>
    <col min="31" max="31" width="2.84375" style="5" customWidth="1"/>
    <col min="32" max="40" width="8.84375" style="5" customWidth="1"/>
    <col min="41" max="41" width="2.84375" style="5" customWidth="1"/>
    <col min="42" max="42" width="8.84375" style="5" customWidth="1"/>
    <col min="43" max="43" width="15.15234375" style="5" customWidth="1"/>
    <col min="44" max="44" width="13" style="5" customWidth="1"/>
    <col min="45" max="45" width="13.765625" style="5" customWidth="1"/>
    <col min="46" max="46" width="8.84375" style="5" customWidth="1"/>
    <col min="47" max="47" width="10.4609375" style="5" customWidth="1"/>
    <col min="48" max="48" width="2.84375" style="5" customWidth="1"/>
    <col min="49" max="49" width="8.84375" style="5" customWidth="1"/>
    <col min="50" max="16384" width="8.84375" style="5"/>
  </cols>
  <sheetData>
    <row r="1" spans="1:48" ht="33.75" customHeight="1">
      <c r="A1" s="887" t="s">
        <v>45</v>
      </c>
      <c r="B1" s="888"/>
      <c r="C1" s="888"/>
      <c r="D1" s="888"/>
      <c r="E1" s="888"/>
      <c r="F1" s="888"/>
      <c r="G1" s="888"/>
      <c r="H1" s="888"/>
      <c r="I1" s="888"/>
      <c r="J1" s="888"/>
      <c r="K1" s="888"/>
      <c r="L1" s="888"/>
      <c r="M1" s="888"/>
      <c r="N1" s="888"/>
      <c r="O1" s="888"/>
      <c r="P1" s="888"/>
      <c r="Q1" s="888"/>
      <c r="R1" s="88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284"/>
    </row>
    <row r="2" spans="1:48" ht="23.25" customHeight="1">
      <c r="A2" s="1062" t="s">
        <v>285</v>
      </c>
      <c r="B2" s="1063"/>
      <c r="C2" s="1063"/>
      <c r="D2" s="1063"/>
      <c r="E2" s="1063"/>
      <c r="F2" s="1063"/>
      <c r="G2" s="1063"/>
      <c r="H2" s="1063"/>
      <c r="I2" s="1063"/>
      <c r="J2" s="1063"/>
      <c r="K2" s="60"/>
      <c r="L2" s="60"/>
      <c r="M2" s="60"/>
      <c r="N2" s="60"/>
      <c r="O2" s="60"/>
      <c r="P2" s="60"/>
      <c r="Q2" s="60"/>
      <c r="R2" s="60"/>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285"/>
    </row>
    <row r="3" spans="1:48" ht="19.5" customHeight="1">
      <c r="A3" s="286" t="s">
        <v>286</v>
      </c>
      <c r="B3" s="287"/>
      <c r="C3" s="287"/>
      <c r="D3" s="287"/>
      <c r="E3" s="287"/>
      <c r="F3" s="287"/>
      <c r="G3" s="287"/>
      <c r="H3" s="287"/>
      <c r="I3" s="287"/>
      <c r="J3" s="287"/>
      <c r="K3" s="288"/>
      <c r="L3" s="288"/>
      <c r="M3" s="288"/>
      <c r="N3" s="288"/>
      <c r="O3" s="288"/>
      <c r="P3" s="288"/>
      <c r="Q3" s="288"/>
      <c r="R3" s="28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289"/>
    </row>
    <row r="4" spans="1:48" ht="13.5" customHeight="1">
      <c r="A4" s="277"/>
      <c r="B4" s="102"/>
      <c r="C4" s="102"/>
      <c r="D4" s="102"/>
      <c r="E4" s="112"/>
      <c r="F4" s="102"/>
      <c r="G4" s="102"/>
      <c r="H4" s="102"/>
      <c r="I4" s="102"/>
      <c r="J4" s="102"/>
      <c r="K4" s="102"/>
      <c r="L4" s="112"/>
      <c r="M4" s="102"/>
      <c r="N4" s="102"/>
      <c r="O4" s="102"/>
      <c r="P4" s="102"/>
      <c r="Q4" s="102"/>
      <c r="R4" s="102"/>
      <c r="S4" s="112"/>
      <c r="T4" s="102"/>
      <c r="U4" s="102"/>
      <c r="V4" s="102"/>
      <c r="W4" s="102"/>
      <c r="X4" s="102"/>
      <c r="Y4" s="102"/>
      <c r="Z4" s="102"/>
      <c r="AA4" s="102"/>
      <c r="AB4" s="102"/>
      <c r="AC4" s="102"/>
      <c r="AD4" s="102"/>
      <c r="AE4" s="112"/>
      <c r="AF4" s="102"/>
      <c r="AG4" s="102"/>
      <c r="AH4" s="102"/>
      <c r="AI4" s="102"/>
      <c r="AJ4" s="102"/>
      <c r="AK4" s="102"/>
      <c r="AL4" s="102"/>
      <c r="AM4" s="102"/>
      <c r="AN4" s="102"/>
      <c r="AO4" s="112"/>
      <c r="AP4" s="102"/>
      <c r="AQ4" s="102"/>
      <c r="AR4" s="102"/>
      <c r="AS4" s="102"/>
      <c r="AT4" s="102"/>
      <c r="AU4" s="102"/>
      <c r="AV4" s="290"/>
    </row>
    <row r="5" spans="1:48" ht="20.25" customHeight="1">
      <c r="A5" s="1064" t="s">
        <v>287</v>
      </c>
      <c r="B5" s="1065"/>
      <c r="C5" s="1065"/>
      <c r="D5" s="1066"/>
      <c r="E5" s="245"/>
      <c r="F5" s="1039" t="s">
        <v>288</v>
      </c>
      <c r="G5" s="1040"/>
      <c r="H5" s="1040"/>
      <c r="I5" s="1040"/>
      <c r="J5" s="1040"/>
      <c r="K5" s="1041"/>
      <c r="L5" s="245"/>
      <c r="M5" s="291" t="s">
        <v>289</v>
      </c>
      <c r="N5" s="292"/>
      <c r="O5" s="292"/>
      <c r="P5" s="292"/>
      <c r="Q5" s="292"/>
      <c r="R5" s="293"/>
      <c r="S5" s="245"/>
      <c r="T5" s="294" t="s">
        <v>290</v>
      </c>
      <c r="U5" s="295"/>
      <c r="V5" s="295"/>
      <c r="W5" s="295"/>
      <c r="X5" s="295"/>
      <c r="Y5" s="295"/>
      <c r="Z5" s="296"/>
      <c r="AA5" s="296"/>
      <c r="AB5" s="296"/>
      <c r="AC5" s="296"/>
      <c r="AD5" s="297"/>
      <c r="AE5" s="245"/>
      <c r="AF5" s="291" t="s">
        <v>291</v>
      </c>
      <c r="AG5" s="292"/>
      <c r="AH5" s="292"/>
      <c r="AI5" s="292"/>
      <c r="AJ5" s="292"/>
      <c r="AK5" s="292"/>
      <c r="AL5" s="298"/>
      <c r="AM5" s="298"/>
      <c r="AN5" s="299"/>
      <c r="AO5" s="245"/>
      <c r="AP5" s="291" t="s">
        <v>292</v>
      </c>
      <c r="AQ5" s="292"/>
      <c r="AR5" s="292"/>
      <c r="AS5" s="292"/>
      <c r="AT5" s="292"/>
      <c r="AU5" s="293"/>
      <c r="AV5" s="300"/>
    </row>
    <row r="6" spans="1:48" ht="26.25" customHeight="1">
      <c r="A6" s="1067"/>
      <c r="B6" s="1068"/>
      <c r="C6" s="1068"/>
      <c r="D6" s="1069"/>
      <c r="E6" s="245"/>
      <c r="F6" s="1042"/>
      <c r="G6" s="1043"/>
      <c r="H6" s="1043"/>
      <c r="I6" s="1043"/>
      <c r="J6" s="1043"/>
      <c r="K6" s="1044"/>
      <c r="L6" s="245"/>
      <c r="M6" s="932" t="s">
        <v>293</v>
      </c>
      <c r="N6" s="933"/>
      <c r="O6" s="933"/>
      <c r="P6" s="933"/>
      <c r="Q6" s="933"/>
      <c r="R6" s="934"/>
      <c r="S6" s="245"/>
      <c r="T6" s="932" t="s">
        <v>293</v>
      </c>
      <c r="U6" s="933"/>
      <c r="V6" s="933"/>
      <c r="W6" s="933"/>
      <c r="X6" s="933"/>
      <c r="Y6" s="933"/>
      <c r="Z6" s="301"/>
      <c r="AA6" s="301"/>
      <c r="AB6" s="301"/>
      <c r="AC6" s="301"/>
      <c r="AD6" s="302"/>
      <c r="AE6" s="245"/>
      <c r="AF6" s="932" t="s">
        <v>293</v>
      </c>
      <c r="AG6" s="933"/>
      <c r="AH6" s="933"/>
      <c r="AI6" s="933"/>
      <c r="AJ6" s="933"/>
      <c r="AK6" s="933"/>
      <c r="AL6" s="303"/>
      <c r="AM6" s="303"/>
      <c r="AN6" s="304"/>
      <c r="AO6" s="245"/>
      <c r="AP6" s="932" t="s">
        <v>293</v>
      </c>
      <c r="AQ6" s="933"/>
      <c r="AR6" s="933"/>
      <c r="AS6" s="933"/>
      <c r="AT6" s="933"/>
      <c r="AU6" s="934"/>
      <c r="AV6" s="300"/>
    </row>
    <row r="7" spans="1:48" ht="12.75" customHeight="1">
      <c r="A7" s="1076" t="s">
        <v>294</v>
      </c>
      <c r="B7" s="1077"/>
      <c r="C7" s="1077"/>
      <c r="D7" s="1078"/>
      <c r="E7" s="245"/>
      <c r="F7" s="972" t="s">
        <v>295</v>
      </c>
      <c r="G7" s="973"/>
      <c r="H7" s="973"/>
      <c r="I7" s="973"/>
      <c r="J7" s="952">
        <v>5</v>
      </c>
      <c r="K7" s="1006" t="s">
        <v>62</v>
      </c>
      <c r="L7" s="245"/>
      <c r="M7" s="972" t="s">
        <v>296</v>
      </c>
      <c r="N7" s="973"/>
      <c r="O7" s="973"/>
      <c r="P7" s="973"/>
      <c r="Q7" s="952">
        <v>20</v>
      </c>
      <c r="R7" s="953" t="s">
        <v>297</v>
      </c>
      <c r="S7" s="245"/>
      <c r="T7" s="972" t="s">
        <v>298</v>
      </c>
      <c r="U7" s="973"/>
      <c r="V7" s="973"/>
      <c r="W7" s="973"/>
      <c r="X7" s="1015">
        <v>35300</v>
      </c>
      <c r="Y7" s="942"/>
      <c r="Z7" s="305"/>
      <c r="AA7" s="306"/>
      <c r="AB7" s="306"/>
      <c r="AC7" s="306"/>
      <c r="AD7" s="307"/>
      <c r="AE7" s="245"/>
      <c r="AF7" s="972" t="s">
        <v>299</v>
      </c>
      <c r="AG7" s="973"/>
      <c r="AH7" s="973"/>
      <c r="AI7" s="973"/>
      <c r="AJ7" s="945">
        <v>6800</v>
      </c>
      <c r="AK7" s="851"/>
      <c r="AL7" s="308"/>
      <c r="AM7" s="303"/>
      <c r="AN7" s="304"/>
      <c r="AO7" s="245"/>
      <c r="AP7" s="949" t="s">
        <v>300</v>
      </c>
      <c r="AQ7" s="950"/>
      <c r="AR7" s="950"/>
      <c r="AS7" s="950"/>
      <c r="AT7" s="930">
        <v>20</v>
      </c>
      <c r="AU7" s="953" t="s">
        <v>297</v>
      </c>
      <c r="AV7" s="300"/>
    </row>
    <row r="8" spans="1:48" ht="26.25" customHeight="1">
      <c r="A8" s="309" t="s">
        <v>301</v>
      </c>
      <c r="B8" s="310" t="s">
        <v>302</v>
      </c>
      <c r="C8" s="311" t="s">
        <v>303</v>
      </c>
      <c r="D8" s="312" t="s">
        <v>304</v>
      </c>
      <c r="E8" s="245"/>
      <c r="F8" s="1003"/>
      <c r="G8" s="1004"/>
      <c r="H8" s="1004"/>
      <c r="I8" s="1004"/>
      <c r="J8" s="1005"/>
      <c r="K8" s="1007"/>
      <c r="L8" s="245"/>
      <c r="M8" s="974"/>
      <c r="N8" s="973"/>
      <c r="O8" s="973"/>
      <c r="P8" s="973"/>
      <c r="Q8" s="851"/>
      <c r="R8" s="954"/>
      <c r="S8" s="245"/>
      <c r="T8" s="974"/>
      <c r="U8" s="973"/>
      <c r="V8" s="973"/>
      <c r="W8" s="973"/>
      <c r="X8" s="943"/>
      <c r="Y8" s="944"/>
      <c r="Z8" s="305"/>
      <c r="AA8" s="306"/>
      <c r="AB8" s="306"/>
      <c r="AC8" s="306"/>
      <c r="AD8" s="307"/>
      <c r="AE8" s="245"/>
      <c r="AF8" s="974"/>
      <c r="AG8" s="973"/>
      <c r="AH8" s="973"/>
      <c r="AI8" s="973"/>
      <c r="AJ8" s="851"/>
      <c r="AK8" s="851"/>
      <c r="AL8" s="308"/>
      <c r="AM8" s="303"/>
      <c r="AN8" s="304"/>
      <c r="AO8" s="245"/>
      <c r="AP8" s="951"/>
      <c r="AQ8" s="950"/>
      <c r="AR8" s="950"/>
      <c r="AS8" s="950"/>
      <c r="AT8" s="931"/>
      <c r="AU8" s="954"/>
      <c r="AV8" s="300"/>
    </row>
    <row r="9" spans="1:48" ht="14.25" customHeight="1">
      <c r="A9" s="313">
        <v>0</v>
      </c>
      <c r="B9" s="314"/>
      <c r="C9" s="315">
        <v>1</v>
      </c>
      <c r="D9" s="316">
        <v>1</v>
      </c>
      <c r="E9" s="146"/>
      <c r="F9" s="1038"/>
      <c r="G9" s="1038"/>
      <c r="H9" s="1038"/>
      <c r="I9" s="1038"/>
      <c r="J9" s="1038"/>
      <c r="K9" s="1038"/>
      <c r="L9" s="317"/>
      <c r="M9" s="974"/>
      <c r="N9" s="973"/>
      <c r="O9" s="973"/>
      <c r="P9" s="973"/>
      <c r="Q9" s="851"/>
      <c r="R9" s="954"/>
      <c r="S9" s="318"/>
      <c r="T9" s="319"/>
      <c r="U9" s="320"/>
      <c r="V9" s="320"/>
      <c r="W9" s="320"/>
      <c r="X9" s="320"/>
      <c r="Y9" s="320"/>
      <c r="Z9" s="306"/>
      <c r="AA9" s="306"/>
      <c r="AB9" s="306"/>
      <c r="AC9" s="306"/>
      <c r="AD9" s="307"/>
      <c r="AE9" s="318"/>
      <c r="AF9" s="321"/>
      <c r="AG9" s="322"/>
      <c r="AH9" s="322"/>
      <c r="AI9" s="322"/>
      <c r="AJ9" s="322"/>
      <c r="AK9" s="322"/>
      <c r="AL9" s="303"/>
      <c r="AM9" s="303"/>
      <c r="AN9" s="304"/>
      <c r="AO9" s="318"/>
      <c r="AP9" s="1016" t="s">
        <v>305</v>
      </c>
      <c r="AQ9" s="1017"/>
      <c r="AR9" s="1017"/>
      <c r="AS9" s="1017"/>
      <c r="AT9" s="1017"/>
      <c r="AU9" s="1050"/>
      <c r="AV9" s="323"/>
    </row>
    <row r="10" spans="1:48" ht="14.25" customHeight="1">
      <c r="A10" s="313">
        <v>1</v>
      </c>
      <c r="B10" s="314">
        <v>3.5000000000000003E-2</v>
      </c>
      <c r="C10" s="315">
        <v>0.96618357487922701</v>
      </c>
      <c r="D10" s="316">
        <v>1.96618357487923</v>
      </c>
      <c r="E10" s="146"/>
      <c r="F10" s="77"/>
      <c r="G10" s="77"/>
      <c r="H10" s="77"/>
      <c r="I10" s="77"/>
      <c r="J10" s="77"/>
      <c r="K10" s="77"/>
      <c r="L10" s="317"/>
      <c r="M10" s="949" t="s">
        <v>306</v>
      </c>
      <c r="N10" s="950"/>
      <c r="O10" s="950"/>
      <c r="P10" s="950"/>
      <c r="Q10" s="952">
        <v>6</v>
      </c>
      <c r="R10" s="1079" t="s">
        <v>297</v>
      </c>
      <c r="S10" s="318"/>
      <c r="T10" s="949" t="s">
        <v>307</v>
      </c>
      <c r="U10" s="950"/>
      <c r="V10" s="950"/>
      <c r="W10" s="950"/>
      <c r="X10" s="952">
        <v>20</v>
      </c>
      <c r="Y10" s="1014" t="s">
        <v>297</v>
      </c>
      <c r="Z10" s="305"/>
      <c r="AA10" s="306"/>
      <c r="AB10" s="306"/>
      <c r="AC10" s="306"/>
      <c r="AD10" s="307"/>
      <c r="AE10" s="318"/>
      <c r="AF10" s="949" t="s">
        <v>307</v>
      </c>
      <c r="AG10" s="950"/>
      <c r="AH10" s="950"/>
      <c r="AI10" s="950"/>
      <c r="AJ10" s="952">
        <v>20</v>
      </c>
      <c r="AK10" s="1014" t="s">
        <v>297</v>
      </c>
      <c r="AL10" s="308"/>
      <c r="AM10" s="303"/>
      <c r="AN10" s="304"/>
      <c r="AO10" s="318"/>
      <c r="AP10" s="965"/>
      <c r="AQ10" s="966"/>
      <c r="AR10" s="966"/>
      <c r="AS10" s="966"/>
      <c r="AT10" s="966"/>
      <c r="AU10" s="1019"/>
      <c r="AV10" s="300"/>
    </row>
    <row r="11" spans="1:48" ht="14.25" customHeight="1">
      <c r="A11" s="313">
        <v>2</v>
      </c>
      <c r="B11" s="314">
        <v>3.5000000000000003E-2</v>
      </c>
      <c r="C11" s="315">
        <v>0.93351070036640305</v>
      </c>
      <c r="D11" s="316">
        <v>2.8996942752456301</v>
      </c>
      <c r="E11" s="146"/>
      <c r="F11" s="77"/>
      <c r="G11" s="77"/>
      <c r="H11" s="77"/>
      <c r="I11" s="77"/>
      <c r="J11" s="77"/>
      <c r="K11" s="77"/>
      <c r="L11" s="317"/>
      <c r="M11" s="1029"/>
      <c r="N11" s="1030"/>
      <c r="O11" s="1030"/>
      <c r="P11" s="1030"/>
      <c r="Q11" s="1005"/>
      <c r="R11" s="1080"/>
      <c r="S11" s="318"/>
      <c r="T11" s="951"/>
      <c r="U11" s="950"/>
      <c r="V11" s="950"/>
      <c r="W11" s="950"/>
      <c r="X11" s="851"/>
      <c r="Y11" s="950"/>
      <c r="Z11" s="305"/>
      <c r="AA11" s="306"/>
      <c r="AB11" s="306"/>
      <c r="AC11" s="306"/>
      <c r="AD11" s="307"/>
      <c r="AE11" s="318"/>
      <c r="AF11" s="951"/>
      <c r="AG11" s="950"/>
      <c r="AH11" s="950"/>
      <c r="AI11" s="950"/>
      <c r="AJ11" s="851"/>
      <c r="AK11" s="950"/>
      <c r="AL11" s="308"/>
      <c r="AM11" s="303"/>
      <c r="AN11" s="304"/>
      <c r="AO11" s="318"/>
      <c r="AP11" s="972" t="s">
        <v>308</v>
      </c>
      <c r="AQ11" s="950"/>
      <c r="AR11" s="324" t="s">
        <v>140</v>
      </c>
      <c r="AS11" s="324" t="s">
        <v>141</v>
      </c>
      <c r="AT11" s="1028" t="s">
        <v>142</v>
      </c>
      <c r="AU11" s="1033"/>
      <c r="AV11" s="300"/>
    </row>
    <row r="12" spans="1:48" ht="14.25" customHeight="1">
      <c r="A12" s="313">
        <v>3</v>
      </c>
      <c r="B12" s="314">
        <v>3.5000000000000003E-2</v>
      </c>
      <c r="C12" s="315">
        <v>0.90194270566802204</v>
      </c>
      <c r="D12" s="316">
        <v>3.8016369809136501</v>
      </c>
      <c r="E12" s="146"/>
      <c r="F12" s="78"/>
      <c r="G12" s="78"/>
      <c r="H12" s="78"/>
      <c r="I12" s="78"/>
      <c r="J12" s="78"/>
      <c r="K12" s="78"/>
      <c r="L12" s="325"/>
      <c r="M12" s="326"/>
      <c r="N12" s="326"/>
      <c r="O12" s="326"/>
      <c r="P12" s="326"/>
      <c r="Q12" s="326"/>
      <c r="R12" s="326"/>
      <c r="S12" s="109"/>
      <c r="T12" s="327"/>
      <c r="U12" s="328"/>
      <c r="V12" s="328"/>
      <c r="W12" s="328"/>
      <c r="X12" s="328"/>
      <c r="Y12" s="328"/>
      <c r="Z12" s="301"/>
      <c r="AA12" s="301"/>
      <c r="AB12" s="301"/>
      <c r="AC12" s="301"/>
      <c r="AD12" s="302"/>
      <c r="AE12" s="329"/>
      <c r="AF12" s="330"/>
      <c r="AG12" s="331"/>
      <c r="AH12" s="331"/>
      <c r="AI12" s="331"/>
      <c r="AJ12" s="331"/>
      <c r="AK12" s="331"/>
      <c r="AL12" s="303"/>
      <c r="AM12" s="303"/>
      <c r="AN12" s="304"/>
      <c r="AO12" s="329"/>
      <c r="AP12" s="949" t="s">
        <v>144</v>
      </c>
      <c r="AQ12" s="950"/>
      <c r="AR12" s="165">
        <v>1860</v>
      </c>
      <c r="AS12" s="165">
        <v>6410</v>
      </c>
      <c r="AT12" s="786">
        <v>10970</v>
      </c>
      <c r="AU12" s="1034"/>
      <c r="AV12" s="300"/>
    </row>
    <row r="13" spans="1:48" ht="14.25" customHeight="1">
      <c r="A13" s="313">
        <v>4</v>
      </c>
      <c r="B13" s="314">
        <v>3.5000000000000003E-2</v>
      </c>
      <c r="C13" s="315">
        <v>0.87144222769857205</v>
      </c>
      <c r="D13" s="316">
        <v>4.6730792086122204</v>
      </c>
      <c r="E13" s="245"/>
      <c r="F13" s="1054" t="s">
        <v>309</v>
      </c>
      <c r="G13" s="1055"/>
      <c r="H13" s="1055"/>
      <c r="I13" s="1055"/>
      <c r="J13" s="1055"/>
      <c r="K13" s="1055"/>
      <c r="L13" s="1055"/>
      <c r="M13" s="1055"/>
      <c r="N13" s="1055"/>
      <c r="O13" s="1055"/>
      <c r="P13" s="1055"/>
      <c r="Q13" s="1055"/>
      <c r="R13" s="1056"/>
      <c r="S13" s="329"/>
      <c r="T13" s="962" t="s">
        <v>310</v>
      </c>
      <c r="U13" s="963"/>
      <c r="V13" s="963"/>
      <c r="W13" s="963"/>
      <c r="X13" s="963"/>
      <c r="Y13" s="963"/>
      <c r="Z13" s="332"/>
      <c r="AA13" s="332"/>
      <c r="AB13" s="332"/>
      <c r="AC13" s="332"/>
      <c r="AD13" s="333"/>
      <c r="AE13" s="329"/>
      <c r="AF13" s="962" t="s">
        <v>310</v>
      </c>
      <c r="AG13" s="963"/>
      <c r="AH13" s="963"/>
      <c r="AI13" s="963"/>
      <c r="AJ13" s="963"/>
      <c r="AK13" s="963"/>
      <c r="AL13" s="303"/>
      <c r="AM13" s="303"/>
      <c r="AN13" s="304"/>
      <c r="AO13" s="329"/>
      <c r="AP13" s="949" t="s">
        <v>146</v>
      </c>
      <c r="AQ13" s="950"/>
      <c r="AR13" s="165">
        <v>1100</v>
      </c>
      <c r="AS13" s="165">
        <v>3440</v>
      </c>
      <c r="AT13" s="786">
        <v>6450</v>
      </c>
      <c r="AU13" s="1034"/>
      <c r="AV13" s="300"/>
    </row>
    <row r="14" spans="1:48" ht="14.25" customHeight="1">
      <c r="A14" s="313">
        <v>5</v>
      </c>
      <c r="B14" s="314">
        <v>3.5000000000000003E-2</v>
      </c>
      <c r="C14" s="315">
        <v>0.84197316685852397</v>
      </c>
      <c r="D14" s="316">
        <v>5.5150523754707503</v>
      </c>
      <c r="E14" s="245"/>
      <c r="F14" s="1057"/>
      <c r="G14" s="1058"/>
      <c r="H14" s="1058"/>
      <c r="I14" s="1058"/>
      <c r="J14" s="1058"/>
      <c r="K14" s="1058"/>
      <c r="L14" s="1058"/>
      <c r="M14" s="1058"/>
      <c r="N14" s="1058"/>
      <c r="O14" s="1058"/>
      <c r="P14" s="1058"/>
      <c r="Q14" s="1058"/>
      <c r="R14" s="1059"/>
      <c r="S14" s="329"/>
      <c r="T14" s="964"/>
      <c r="U14" s="963"/>
      <c r="V14" s="963"/>
      <c r="W14" s="963"/>
      <c r="X14" s="963"/>
      <c r="Y14" s="963"/>
      <c r="Z14" s="332"/>
      <c r="AA14" s="332"/>
      <c r="AB14" s="332"/>
      <c r="AC14" s="332"/>
      <c r="AD14" s="333"/>
      <c r="AE14" s="329"/>
      <c r="AF14" s="964"/>
      <c r="AG14" s="963"/>
      <c r="AH14" s="963"/>
      <c r="AI14" s="963"/>
      <c r="AJ14" s="963"/>
      <c r="AK14" s="963"/>
      <c r="AL14" s="303"/>
      <c r="AM14" s="303"/>
      <c r="AN14" s="304"/>
      <c r="AO14" s="329"/>
      <c r="AP14" s="949" t="s">
        <v>148</v>
      </c>
      <c r="AQ14" s="950"/>
      <c r="AR14" s="165">
        <v>1100</v>
      </c>
      <c r="AS14" s="165">
        <v>3440</v>
      </c>
      <c r="AT14" s="786">
        <v>6450</v>
      </c>
      <c r="AU14" s="1034"/>
      <c r="AV14" s="300"/>
    </row>
    <row r="15" spans="1:48" ht="14.25" customHeight="1">
      <c r="A15" s="313">
        <v>6</v>
      </c>
      <c r="B15" s="314">
        <v>3.5000000000000003E-2</v>
      </c>
      <c r="C15" s="315">
        <v>0.81350064430775304</v>
      </c>
      <c r="D15" s="316">
        <v>6.3285530197785</v>
      </c>
      <c r="E15" s="245"/>
      <c r="F15" s="1070" t="s">
        <v>311</v>
      </c>
      <c r="G15" s="1071"/>
      <c r="H15" s="1072" t="s">
        <v>312</v>
      </c>
      <c r="I15" s="1071"/>
      <c r="J15" s="1071"/>
      <c r="K15" s="1071"/>
      <c r="L15" s="1071"/>
      <c r="M15" s="1071"/>
      <c r="N15" s="1071"/>
      <c r="O15" s="1071"/>
      <c r="P15" s="1071"/>
      <c r="Q15" s="1071"/>
      <c r="R15" s="1073"/>
      <c r="S15" s="329"/>
      <c r="T15" s="965"/>
      <c r="U15" s="966"/>
      <c r="V15" s="966"/>
      <c r="W15" s="966"/>
      <c r="X15" s="966"/>
      <c r="Y15" s="966"/>
      <c r="Z15" s="332"/>
      <c r="AA15" s="332"/>
      <c r="AB15" s="332"/>
      <c r="AC15" s="332"/>
      <c r="AD15" s="333"/>
      <c r="AE15" s="329"/>
      <c r="AF15" s="965"/>
      <c r="AG15" s="966"/>
      <c r="AH15" s="966"/>
      <c r="AI15" s="966"/>
      <c r="AJ15" s="966"/>
      <c r="AK15" s="966"/>
      <c r="AL15" s="303"/>
      <c r="AM15" s="303"/>
      <c r="AN15" s="304"/>
      <c r="AO15" s="329"/>
      <c r="AP15" s="949" t="s">
        <v>150</v>
      </c>
      <c r="AQ15" s="950"/>
      <c r="AR15" s="165">
        <v>670</v>
      </c>
      <c r="AS15" s="165">
        <v>2040</v>
      </c>
      <c r="AT15" s="786">
        <v>3410</v>
      </c>
      <c r="AU15" s="1034"/>
      <c r="AV15" s="300"/>
    </row>
    <row r="16" spans="1:48" ht="14.25" customHeight="1">
      <c r="A16" s="313">
        <v>7</v>
      </c>
      <c r="B16" s="314">
        <v>3.5000000000000003E-2</v>
      </c>
      <c r="C16" s="315">
        <v>0.78599096068381902</v>
      </c>
      <c r="D16" s="316">
        <v>7.1145439804623196</v>
      </c>
      <c r="E16" s="245"/>
      <c r="F16" s="924" t="s">
        <v>75</v>
      </c>
      <c r="G16" s="925"/>
      <c r="H16" s="1032" t="s">
        <v>313</v>
      </c>
      <c r="I16" s="925"/>
      <c r="J16" s="925"/>
      <c r="K16" s="925"/>
      <c r="L16" s="925"/>
      <c r="M16" s="925"/>
      <c r="N16" s="925"/>
      <c r="O16" s="925"/>
      <c r="P16" s="925"/>
      <c r="Q16" s="925"/>
      <c r="R16" s="1074"/>
      <c r="S16" s="329"/>
      <c r="T16" s="935" t="s">
        <v>314</v>
      </c>
      <c r="U16" s="936"/>
      <c r="V16" s="936"/>
      <c r="W16" s="937"/>
      <c r="X16" s="967">
        <v>2.25</v>
      </c>
      <c r="Y16" s="968"/>
      <c r="Z16" s="334"/>
      <c r="AA16" s="335"/>
      <c r="AB16" s="335"/>
      <c r="AC16" s="335"/>
      <c r="AD16" s="336"/>
      <c r="AE16" s="329"/>
      <c r="AF16" s="935" t="s">
        <v>314</v>
      </c>
      <c r="AG16" s="936"/>
      <c r="AH16" s="936"/>
      <c r="AI16" s="937"/>
      <c r="AJ16" s="967">
        <v>2.25</v>
      </c>
      <c r="AK16" s="968"/>
      <c r="AL16" s="308"/>
      <c r="AM16" s="303"/>
      <c r="AN16" s="304"/>
      <c r="AO16" s="329"/>
      <c r="AP16" s="949" t="s">
        <v>152</v>
      </c>
      <c r="AQ16" s="950"/>
      <c r="AR16" s="165">
        <v>60</v>
      </c>
      <c r="AS16" s="165">
        <v>110</v>
      </c>
      <c r="AT16" s="786">
        <v>490</v>
      </c>
      <c r="AU16" s="1034"/>
      <c r="AV16" s="300"/>
    </row>
    <row r="17" spans="1:48" ht="14.25" customHeight="1">
      <c r="A17" s="313">
        <v>8</v>
      </c>
      <c r="B17" s="314">
        <v>3.5000000000000003E-2</v>
      </c>
      <c r="C17" s="315">
        <v>0.759411556216251</v>
      </c>
      <c r="D17" s="316">
        <v>7.8739555366785696</v>
      </c>
      <c r="E17" s="245"/>
      <c r="F17" s="924" t="s">
        <v>76</v>
      </c>
      <c r="G17" s="925"/>
      <c r="H17" s="928" t="s">
        <v>315</v>
      </c>
      <c r="I17" s="922"/>
      <c r="J17" s="922"/>
      <c r="K17" s="922"/>
      <c r="L17" s="922"/>
      <c r="M17" s="922"/>
      <c r="N17" s="922"/>
      <c r="O17" s="922"/>
      <c r="P17" s="922"/>
      <c r="Q17" s="922"/>
      <c r="R17" s="929"/>
      <c r="S17" s="329"/>
      <c r="T17" s="938"/>
      <c r="U17" s="939"/>
      <c r="V17" s="939"/>
      <c r="W17" s="940"/>
      <c r="X17" s="969"/>
      <c r="Y17" s="970"/>
      <c r="Z17" s="334"/>
      <c r="AA17" s="335"/>
      <c r="AB17" s="335"/>
      <c r="AC17" s="335"/>
      <c r="AD17" s="336"/>
      <c r="AE17" s="329"/>
      <c r="AF17" s="938"/>
      <c r="AG17" s="939"/>
      <c r="AH17" s="939"/>
      <c r="AI17" s="940"/>
      <c r="AJ17" s="969"/>
      <c r="AK17" s="970"/>
      <c r="AL17" s="308"/>
      <c r="AM17" s="303"/>
      <c r="AN17" s="304"/>
      <c r="AO17" s="329"/>
      <c r="AP17" s="949" t="s">
        <v>153</v>
      </c>
      <c r="AQ17" s="950"/>
      <c r="AR17" s="165">
        <v>90</v>
      </c>
      <c r="AS17" s="165">
        <v>1400</v>
      </c>
      <c r="AT17" s="786">
        <v>2720</v>
      </c>
      <c r="AU17" s="1034"/>
      <c r="AV17" s="300"/>
    </row>
    <row r="18" spans="1:48" ht="14.25" customHeight="1">
      <c r="A18" s="313">
        <v>9</v>
      </c>
      <c r="B18" s="314">
        <v>3.5000000000000003E-2</v>
      </c>
      <c r="C18" s="315">
        <v>0.73373097218961403</v>
      </c>
      <c r="D18" s="316">
        <v>8.6076865088681895</v>
      </c>
      <c r="E18" s="245"/>
      <c r="F18" s="1075"/>
      <c r="G18" s="925"/>
      <c r="H18" s="922"/>
      <c r="I18" s="922"/>
      <c r="J18" s="922"/>
      <c r="K18" s="922"/>
      <c r="L18" s="922"/>
      <c r="M18" s="922"/>
      <c r="N18" s="922"/>
      <c r="O18" s="922"/>
      <c r="P18" s="922"/>
      <c r="Q18" s="922"/>
      <c r="R18" s="929"/>
      <c r="S18" s="245"/>
      <c r="T18" s="935" t="s">
        <v>316</v>
      </c>
      <c r="U18" s="936"/>
      <c r="V18" s="936"/>
      <c r="W18" s="937"/>
      <c r="X18" s="941">
        <v>1.5</v>
      </c>
      <c r="Y18" s="942"/>
      <c r="Z18" s="334"/>
      <c r="AA18" s="335"/>
      <c r="AB18" s="335"/>
      <c r="AC18" s="335"/>
      <c r="AD18" s="336"/>
      <c r="AE18" s="245"/>
      <c r="AF18" s="935" t="s">
        <v>316</v>
      </c>
      <c r="AG18" s="936"/>
      <c r="AH18" s="936"/>
      <c r="AI18" s="937"/>
      <c r="AJ18" s="941">
        <v>1.5</v>
      </c>
      <c r="AK18" s="942"/>
      <c r="AL18" s="308"/>
      <c r="AM18" s="303"/>
      <c r="AN18" s="304"/>
      <c r="AO18" s="245"/>
      <c r="AP18" s="949" t="s">
        <v>154</v>
      </c>
      <c r="AQ18" s="950"/>
      <c r="AR18" s="165" cm="1">
        <f t="array" ref="AR18">AR15</f>
        <v>670</v>
      </c>
      <c r="AS18" s="165" cm="1">
        <f t="array" ref="AS18">AS15</f>
        <v>2040</v>
      </c>
      <c r="AT18" s="786" cm="1">
        <f t="array" ref="AT18">AT15</f>
        <v>3410</v>
      </c>
      <c r="AU18" s="1034"/>
      <c r="AV18" s="300"/>
    </row>
    <row r="19" spans="1:48" ht="14.25" customHeight="1">
      <c r="A19" s="313">
        <v>10</v>
      </c>
      <c r="B19" s="314">
        <v>3.5000000000000003E-2</v>
      </c>
      <c r="C19" s="315">
        <v>0.70891881370977206</v>
      </c>
      <c r="D19" s="316">
        <v>9.3166053225779599</v>
      </c>
      <c r="E19" s="245"/>
      <c r="F19" s="1075"/>
      <c r="G19" s="925"/>
      <c r="H19" s="922"/>
      <c r="I19" s="922"/>
      <c r="J19" s="922"/>
      <c r="K19" s="922"/>
      <c r="L19" s="922"/>
      <c r="M19" s="922"/>
      <c r="N19" s="922"/>
      <c r="O19" s="922"/>
      <c r="P19" s="922"/>
      <c r="Q19" s="922"/>
      <c r="R19" s="929"/>
      <c r="S19" s="245"/>
      <c r="T19" s="938"/>
      <c r="U19" s="939"/>
      <c r="V19" s="939"/>
      <c r="W19" s="940"/>
      <c r="X19" s="943"/>
      <c r="Y19" s="944"/>
      <c r="Z19" s="334"/>
      <c r="AA19" s="335"/>
      <c r="AB19" s="335"/>
      <c r="AC19" s="335"/>
      <c r="AD19" s="336"/>
      <c r="AE19" s="245"/>
      <c r="AF19" s="938"/>
      <c r="AG19" s="939"/>
      <c r="AH19" s="939"/>
      <c r="AI19" s="940"/>
      <c r="AJ19" s="943"/>
      <c r="AK19" s="944"/>
      <c r="AL19" s="308"/>
      <c r="AM19" s="303"/>
      <c r="AN19" s="304"/>
      <c r="AO19" s="245"/>
      <c r="AP19" s="949" t="s">
        <v>155</v>
      </c>
      <c r="AQ19" s="950"/>
      <c r="AR19" s="165">
        <v>30</v>
      </c>
      <c r="AS19" s="165">
        <v>50</v>
      </c>
      <c r="AT19" s="786">
        <v>60</v>
      </c>
      <c r="AU19" s="1034"/>
      <c r="AV19" s="300"/>
    </row>
    <row r="20" spans="1:48" ht="14.25" customHeight="1">
      <c r="A20" s="313">
        <v>11</v>
      </c>
      <c r="B20" s="314">
        <v>3.5000000000000003E-2</v>
      </c>
      <c r="C20" s="315">
        <v>0.68494571372924895</v>
      </c>
      <c r="D20" s="316">
        <v>10.0015510363072</v>
      </c>
      <c r="E20" s="245"/>
      <c r="F20" s="1000" t="s">
        <v>79</v>
      </c>
      <c r="G20" s="1001"/>
      <c r="H20" s="1060" t="s">
        <v>317</v>
      </c>
      <c r="I20" s="1001"/>
      <c r="J20" s="1001"/>
      <c r="K20" s="1001"/>
      <c r="L20" s="1001"/>
      <c r="M20" s="1001"/>
      <c r="N20" s="1001"/>
      <c r="O20" s="1001"/>
      <c r="P20" s="1001"/>
      <c r="Q20" s="1001"/>
      <c r="R20" s="1061"/>
      <c r="S20" s="245"/>
      <c r="T20" s="935" t="s">
        <v>318</v>
      </c>
      <c r="U20" s="936"/>
      <c r="V20" s="936"/>
      <c r="W20" s="937"/>
      <c r="X20" s="941">
        <v>1</v>
      </c>
      <c r="Y20" s="942"/>
      <c r="Z20" s="334"/>
      <c r="AA20" s="335"/>
      <c r="AB20" s="335"/>
      <c r="AC20" s="335"/>
      <c r="AD20" s="336"/>
      <c r="AE20" s="245"/>
      <c r="AF20" s="935" t="s">
        <v>318</v>
      </c>
      <c r="AG20" s="936"/>
      <c r="AH20" s="936"/>
      <c r="AI20" s="937"/>
      <c r="AJ20" s="941">
        <v>1</v>
      </c>
      <c r="AK20" s="942"/>
      <c r="AL20" s="308"/>
      <c r="AM20" s="303"/>
      <c r="AN20" s="304"/>
      <c r="AO20" s="245"/>
      <c r="AP20" s="1045" t="s">
        <v>319</v>
      </c>
      <c r="AQ20" s="1046"/>
      <c r="AR20" s="1046"/>
      <c r="AS20" s="1046"/>
      <c r="AT20" s="1046"/>
      <c r="AU20" s="1051"/>
      <c r="AV20" s="300"/>
    </row>
    <row r="21" spans="1:48" ht="14.25" customHeight="1">
      <c r="A21" s="313">
        <v>12</v>
      </c>
      <c r="B21" s="314">
        <v>3.5000000000000003E-2</v>
      </c>
      <c r="C21" s="315">
        <v>0.66178329828912896</v>
      </c>
      <c r="D21" s="316">
        <v>10.6633343345963</v>
      </c>
      <c r="E21" s="245"/>
      <c r="F21" s="1002"/>
      <c r="G21" s="1001"/>
      <c r="H21" s="1001"/>
      <c r="I21" s="1001"/>
      <c r="J21" s="1001"/>
      <c r="K21" s="1001"/>
      <c r="L21" s="1001"/>
      <c r="M21" s="1001"/>
      <c r="N21" s="1001"/>
      <c r="O21" s="1001"/>
      <c r="P21" s="1001"/>
      <c r="Q21" s="1001"/>
      <c r="R21" s="1061"/>
      <c r="S21" s="245"/>
      <c r="T21" s="938"/>
      <c r="U21" s="939"/>
      <c r="V21" s="939"/>
      <c r="W21" s="940"/>
      <c r="X21" s="943"/>
      <c r="Y21" s="944"/>
      <c r="Z21" s="334"/>
      <c r="AA21" s="335"/>
      <c r="AB21" s="335"/>
      <c r="AC21" s="335"/>
      <c r="AD21" s="336"/>
      <c r="AE21" s="245"/>
      <c r="AF21" s="938"/>
      <c r="AG21" s="939"/>
      <c r="AH21" s="939"/>
      <c r="AI21" s="940"/>
      <c r="AJ21" s="943"/>
      <c r="AK21" s="944"/>
      <c r="AL21" s="308"/>
      <c r="AM21" s="303"/>
      <c r="AN21" s="304"/>
      <c r="AO21" s="245"/>
      <c r="AP21" s="1052"/>
      <c r="AQ21" s="1049"/>
      <c r="AR21" s="1049"/>
      <c r="AS21" s="1049"/>
      <c r="AT21" s="1049"/>
      <c r="AU21" s="1053"/>
      <c r="AV21" s="337"/>
    </row>
    <row r="22" spans="1:48" ht="14.25" customHeight="1">
      <c r="A22" s="313">
        <v>13</v>
      </c>
      <c r="B22" s="314">
        <v>3.5000000000000003E-2</v>
      </c>
      <c r="C22" s="315">
        <v>0.639404152936357</v>
      </c>
      <c r="D22" s="316">
        <v>11.3027384875327</v>
      </c>
      <c r="E22" s="245"/>
      <c r="F22" s="921" t="s">
        <v>320</v>
      </c>
      <c r="G22" s="922"/>
      <c r="H22" s="928" t="s">
        <v>321</v>
      </c>
      <c r="I22" s="922"/>
      <c r="J22" s="922"/>
      <c r="K22" s="922"/>
      <c r="L22" s="922"/>
      <c r="M22" s="922"/>
      <c r="N22" s="922"/>
      <c r="O22" s="922"/>
      <c r="P22" s="922"/>
      <c r="Q22" s="922"/>
      <c r="R22" s="929"/>
      <c r="S22" s="245"/>
      <c r="T22" s="1045" t="s">
        <v>322</v>
      </c>
      <c r="U22" s="1046"/>
      <c r="V22" s="1046"/>
      <c r="W22" s="1046"/>
      <c r="X22" s="1046"/>
      <c r="Y22" s="1046"/>
      <c r="Z22" s="1047"/>
      <c r="AA22" s="303"/>
      <c r="AB22" s="303"/>
      <c r="AC22" s="303"/>
      <c r="AD22" s="304"/>
      <c r="AE22" s="245"/>
      <c r="AF22" s="1016" t="s">
        <v>323</v>
      </c>
      <c r="AG22" s="1017"/>
      <c r="AH22" s="1017"/>
      <c r="AI22" s="1017"/>
      <c r="AJ22" s="1017"/>
      <c r="AK22" s="1017"/>
      <c r="AL22" s="963"/>
      <c r="AM22" s="963"/>
      <c r="AN22" s="1018"/>
      <c r="AO22" s="245"/>
      <c r="AP22" s="1086" t="s">
        <v>324</v>
      </c>
      <c r="AQ22" s="1087"/>
      <c r="AR22" s="1087"/>
      <c r="AS22" s="1088"/>
      <c r="AT22" s="1084" t="s">
        <v>325</v>
      </c>
      <c r="AU22" s="1085"/>
      <c r="AV22" s="337"/>
    </row>
    <row r="23" spans="1:48" ht="14.25" customHeight="1">
      <c r="A23" s="313">
        <v>14</v>
      </c>
      <c r="B23" s="314">
        <v>3.5000000000000003E-2</v>
      </c>
      <c r="C23" s="315">
        <v>0.61778179027667302</v>
      </c>
      <c r="D23" s="316">
        <v>11.9205202778094</v>
      </c>
      <c r="E23" s="245"/>
      <c r="F23" s="923"/>
      <c r="G23" s="922"/>
      <c r="H23" s="922"/>
      <c r="I23" s="922"/>
      <c r="J23" s="922"/>
      <c r="K23" s="922"/>
      <c r="L23" s="922"/>
      <c r="M23" s="922"/>
      <c r="N23" s="922"/>
      <c r="O23" s="922"/>
      <c r="P23" s="922"/>
      <c r="Q23" s="922"/>
      <c r="R23" s="929"/>
      <c r="S23" s="245"/>
      <c r="T23" s="1048"/>
      <c r="U23" s="1047"/>
      <c r="V23" s="1049"/>
      <c r="W23" s="1049"/>
      <c r="X23" s="1049"/>
      <c r="Y23" s="1049"/>
      <c r="Z23" s="1049"/>
      <c r="AA23" s="338"/>
      <c r="AB23" s="338"/>
      <c r="AC23" s="303"/>
      <c r="AD23" s="304"/>
      <c r="AE23" s="245"/>
      <c r="AF23" s="964"/>
      <c r="AG23" s="963"/>
      <c r="AH23" s="966"/>
      <c r="AI23" s="966"/>
      <c r="AJ23" s="966"/>
      <c r="AK23" s="966"/>
      <c r="AL23" s="966"/>
      <c r="AM23" s="966"/>
      <c r="AN23" s="1019"/>
      <c r="AO23" s="245"/>
      <c r="AP23" s="1089" t="s">
        <v>326</v>
      </c>
      <c r="AQ23" s="1090"/>
      <c r="AR23" s="1090"/>
      <c r="AS23" s="1091"/>
      <c r="AT23" s="848">
        <v>13200</v>
      </c>
      <c r="AU23" s="1083"/>
      <c r="AV23" s="337"/>
    </row>
    <row r="24" spans="1:48" ht="14.25" customHeight="1">
      <c r="A24" s="313">
        <v>15</v>
      </c>
      <c r="B24" s="314">
        <v>3.5000000000000003E-2</v>
      </c>
      <c r="C24" s="315">
        <v>0.59689061862480497</v>
      </c>
      <c r="D24" s="316">
        <v>12.5174108964342</v>
      </c>
      <c r="E24" s="245"/>
      <c r="F24" s="921" t="s">
        <v>327</v>
      </c>
      <c r="G24" s="922"/>
      <c r="H24" s="928" t="s">
        <v>328</v>
      </c>
      <c r="I24" s="922"/>
      <c r="J24" s="922"/>
      <c r="K24" s="922"/>
      <c r="L24" s="922"/>
      <c r="M24" s="922"/>
      <c r="N24" s="922"/>
      <c r="O24" s="922"/>
      <c r="P24" s="922"/>
      <c r="Q24" s="922"/>
      <c r="R24" s="929"/>
      <c r="S24" s="245"/>
      <c r="T24" s="339"/>
      <c r="U24" s="340"/>
      <c r="V24" s="1023" t="s">
        <v>329</v>
      </c>
      <c r="W24" s="976"/>
      <c r="X24" s="1023" t="s">
        <v>330</v>
      </c>
      <c r="Y24" s="1026"/>
      <c r="Z24" s="1026"/>
      <c r="AA24" s="1026"/>
      <c r="AB24" s="976"/>
      <c r="AC24" s="305"/>
      <c r="AD24" s="307"/>
      <c r="AE24" s="245"/>
      <c r="AF24" s="1092" t="s">
        <v>331</v>
      </c>
      <c r="AG24" s="1093"/>
      <c r="AH24" s="1028" t="s">
        <v>332</v>
      </c>
      <c r="AI24" s="991"/>
      <c r="AJ24" s="987" t="s">
        <v>333</v>
      </c>
      <c r="AK24" s="988"/>
      <c r="AL24" s="988"/>
      <c r="AM24" s="987" t="s">
        <v>334</v>
      </c>
      <c r="AN24" s="1020"/>
      <c r="AO24" s="245"/>
      <c r="AP24" s="1089" t="s">
        <v>335</v>
      </c>
      <c r="AQ24" s="1090"/>
      <c r="AR24" s="1090"/>
      <c r="AS24" s="1091"/>
      <c r="AT24" s="848">
        <v>6600</v>
      </c>
      <c r="AU24" s="1083"/>
      <c r="AV24" s="337"/>
    </row>
    <row r="25" spans="1:48" ht="14.25" customHeight="1">
      <c r="A25" s="313">
        <v>16</v>
      </c>
      <c r="B25" s="314">
        <v>3.5000000000000003E-2</v>
      </c>
      <c r="C25" s="315">
        <v>0.57670591171478702</v>
      </c>
      <c r="D25" s="316">
        <v>13.094116808149</v>
      </c>
      <c r="E25" s="245"/>
      <c r="F25" s="923"/>
      <c r="G25" s="922"/>
      <c r="H25" s="922"/>
      <c r="I25" s="922"/>
      <c r="J25" s="922"/>
      <c r="K25" s="922"/>
      <c r="L25" s="922"/>
      <c r="M25" s="922"/>
      <c r="N25" s="922"/>
      <c r="O25" s="922"/>
      <c r="P25" s="922"/>
      <c r="Q25" s="922"/>
      <c r="R25" s="929"/>
      <c r="S25" s="245"/>
      <c r="T25" s="341"/>
      <c r="U25" s="342"/>
      <c r="V25" s="1024"/>
      <c r="W25" s="980"/>
      <c r="X25" s="1024"/>
      <c r="Y25" s="1027"/>
      <c r="Z25" s="1027"/>
      <c r="AA25" s="1027"/>
      <c r="AB25" s="980"/>
      <c r="AC25" s="305"/>
      <c r="AD25" s="307"/>
      <c r="AE25" s="245"/>
      <c r="AF25" s="1094"/>
      <c r="AG25" s="1095"/>
      <c r="AH25" s="991"/>
      <c r="AI25" s="991"/>
      <c r="AJ25" s="988"/>
      <c r="AK25" s="988"/>
      <c r="AL25" s="988"/>
      <c r="AM25" s="1021"/>
      <c r="AN25" s="1022"/>
      <c r="AO25" s="245"/>
      <c r="AP25" s="1035" t="s">
        <v>336</v>
      </c>
      <c r="AQ25" s="1036"/>
      <c r="AR25" s="1036"/>
      <c r="AS25" s="1037"/>
      <c r="AT25" s="1081">
        <v>3300</v>
      </c>
      <c r="AU25" s="1082"/>
      <c r="AV25" s="337"/>
    </row>
    <row r="26" spans="1:48" ht="14.25" customHeight="1">
      <c r="A26" s="313">
        <v>17</v>
      </c>
      <c r="B26" s="314">
        <v>3.5000000000000003E-2</v>
      </c>
      <c r="C26" s="315">
        <v>0.557203779434577</v>
      </c>
      <c r="D26" s="316">
        <v>13.6513205875835</v>
      </c>
      <c r="E26" s="245"/>
      <c r="F26" s="921" t="s">
        <v>337</v>
      </c>
      <c r="G26" s="922"/>
      <c r="H26" s="928" t="s">
        <v>338</v>
      </c>
      <c r="I26" s="922"/>
      <c r="J26" s="922"/>
      <c r="K26" s="922"/>
      <c r="L26" s="922"/>
      <c r="M26" s="922"/>
      <c r="N26" s="922"/>
      <c r="O26" s="922"/>
      <c r="P26" s="922"/>
      <c r="Q26" s="922"/>
      <c r="R26" s="929"/>
      <c r="S26" s="245"/>
      <c r="T26" s="935" t="s">
        <v>339</v>
      </c>
      <c r="U26" s="937"/>
      <c r="V26" s="1025" t="s">
        <v>340</v>
      </c>
      <c r="W26" s="942"/>
      <c r="X26" s="955" t="s">
        <v>341</v>
      </c>
      <c r="Y26" s="930">
        <v>20</v>
      </c>
      <c r="Z26" s="956" t="s">
        <v>342</v>
      </c>
      <c r="AA26" s="957"/>
      <c r="AB26" s="958"/>
      <c r="AC26" s="305"/>
      <c r="AD26" s="307"/>
      <c r="AE26" s="245"/>
      <c r="AF26" s="949" t="s">
        <v>135</v>
      </c>
      <c r="AG26" s="950"/>
      <c r="AH26" s="1031" t="s">
        <v>343</v>
      </c>
      <c r="AI26" s="851"/>
      <c r="AJ26" s="952">
        <v>20</v>
      </c>
      <c r="AK26" s="851"/>
      <c r="AL26" s="1032" t="s">
        <v>344</v>
      </c>
      <c r="AM26" s="945" cm="1">
        <f t="array" ref="AM26">$AJ$7*VLOOKUP($AJ26,$A$9:$D$109,3,FALSE)</f>
        <v>3417.4480141353633</v>
      </c>
      <c r="AN26" s="946"/>
      <c r="AO26" s="146"/>
      <c r="AP26" s="112"/>
      <c r="AQ26" s="112"/>
      <c r="AR26" s="112"/>
      <c r="AS26" s="112"/>
      <c r="AT26" s="112"/>
      <c r="AU26" s="112"/>
      <c r="AV26" s="285"/>
    </row>
    <row r="27" spans="1:48" ht="14.25" customHeight="1">
      <c r="A27" s="313">
        <v>18</v>
      </c>
      <c r="B27" s="314">
        <v>3.5000000000000003E-2</v>
      </c>
      <c r="C27" s="315">
        <v>0.53836113955031595</v>
      </c>
      <c r="D27" s="316">
        <v>14.1896817271339</v>
      </c>
      <c r="E27" s="245"/>
      <c r="F27" s="923"/>
      <c r="G27" s="922"/>
      <c r="H27" s="922"/>
      <c r="I27" s="922"/>
      <c r="J27" s="922"/>
      <c r="K27" s="922"/>
      <c r="L27" s="922"/>
      <c r="M27" s="922"/>
      <c r="N27" s="922"/>
      <c r="O27" s="922"/>
      <c r="P27" s="922"/>
      <c r="Q27" s="922"/>
      <c r="R27" s="929"/>
      <c r="S27" s="245"/>
      <c r="T27" s="938"/>
      <c r="U27" s="940"/>
      <c r="V27" s="943"/>
      <c r="W27" s="944"/>
      <c r="X27" s="931"/>
      <c r="Y27" s="931"/>
      <c r="Z27" s="959"/>
      <c r="AA27" s="960"/>
      <c r="AB27" s="961"/>
      <c r="AC27" s="305"/>
      <c r="AD27" s="307"/>
      <c r="AE27" s="245"/>
      <c r="AF27" s="951"/>
      <c r="AG27" s="950"/>
      <c r="AH27" s="851"/>
      <c r="AI27" s="851"/>
      <c r="AJ27" s="851"/>
      <c r="AK27" s="851"/>
      <c r="AL27" s="925"/>
      <c r="AM27" s="945"/>
      <c r="AN27" s="946"/>
      <c r="AO27" s="146"/>
      <c r="AP27" s="77"/>
      <c r="AQ27" s="77"/>
      <c r="AR27" s="77"/>
      <c r="AS27" s="77"/>
      <c r="AT27" s="77"/>
      <c r="AU27" s="77"/>
      <c r="AV27" s="285"/>
    </row>
    <row r="28" spans="1:48" ht="14.25" customHeight="1">
      <c r="A28" s="313">
        <v>19</v>
      </c>
      <c r="B28" s="314">
        <v>3.5000000000000003E-2</v>
      </c>
      <c r="C28" s="315">
        <v>0.520155690386779</v>
      </c>
      <c r="D28" s="316">
        <v>14.7098374175206</v>
      </c>
      <c r="E28" s="245"/>
      <c r="F28" s="921" t="s">
        <v>345</v>
      </c>
      <c r="G28" s="922"/>
      <c r="H28" s="928" t="s">
        <v>346</v>
      </c>
      <c r="I28" s="922"/>
      <c r="J28" s="922"/>
      <c r="K28" s="922"/>
      <c r="L28" s="922"/>
      <c r="M28" s="922"/>
      <c r="N28" s="922"/>
      <c r="O28" s="922"/>
      <c r="P28" s="922"/>
      <c r="Q28" s="922"/>
      <c r="R28" s="929"/>
      <c r="S28" s="245"/>
      <c r="T28" s="935" t="s">
        <v>347</v>
      </c>
      <c r="U28" s="937"/>
      <c r="V28" s="1025" t="s">
        <v>348</v>
      </c>
      <c r="W28" s="942"/>
      <c r="X28" s="955" t="s">
        <v>341</v>
      </c>
      <c r="Y28" s="930">
        <v>30</v>
      </c>
      <c r="Z28" s="956" t="s">
        <v>349</v>
      </c>
      <c r="AA28" s="957"/>
      <c r="AB28" s="958"/>
      <c r="AC28" s="305"/>
      <c r="AD28" s="307"/>
      <c r="AE28" s="245"/>
      <c r="AF28" s="949" t="s">
        <v>350</v>
      </c>
      <c r="AG28" s="950"/>
      <c r="AH28" s="1031" t="s">
        <v>351</v>
      </c>
      <c r="AI28" s="851"/>
      <c r="AJ28" s="952">
        <v>50</v>
      </c>
      <c r="AK28" s="851"/>
      <c r="AL28" s="1032" t="s">
        <v>344</v>
      </c>
      <c r="AM28" s="945" cm="1">
        <f t="array" ref="AM28">$AJ$7*VLOOKUP($AJ28,$A$9:$D$109,3,FALSE)</f>
        <v>1341.3864802956584</v>
      </c>
      <c r="AN28" s="946"/>
      <c r="AO28" s="146"/>
      <c r="AP28" s="77"/>
      <c r="AQ28" s="77"/>
      <c r="AR28" s="77"/>
      <c r="AS28" s="77"/>
      <c r="AT28" s="77"/>
      <c r="AU28" s="77"/>
      <c r="AV28" s="285"/>
    </row>
    <row r="29" spans="1:48" ht="14.25" customHeight="1">
      <c r="A29" s="313">
        <v>20</v>
      </c>
      <c r="B29" s="314">
        <v>3.5000000000000003E-2</v>
      </c>
      <c r="C29" s="315">
        <v>0.50256588443167105</v>
      </c>
      <c r="D29" s="316">
        <v>15.2124033019523</v>
      </c>
      <c r="E29" s="245"/>
      <c r="F29" s="923"/>
      <c r="G29" s="922"/>
      <c r="H29" s="922"/>
      <c r="I29" s="922"/>
      <c r="J29" s="922"/>
      <c r="K29" s="922"/>
      <c r="L29" s="922"/>
      <c r="M29" s="922"/>
      <c r="N29" s="922"/>
      <c r="O29" s="922"/>
      <c r="P29" s="922"/>
      <c r="Q29" s="922"/>
      <c r="R29" s="929"/>
      <c r="S29" s="245"/>
      <c r="T29" s="938"/>
      <c r="U29" s="940"/>
      <c r="V29" s="943"/>
      <c r="W29" s="944"/>
      <c r="X29" s="931"/>
      <c r="Y29" s="931"/>
      <c r="Z29" s="959"/>
      <c r="AA29" s="960"/>
      <c r="AB29" s="961"/>
      <c r="AC29" s="305"/>
      <c r="AD29" s="307"/>
      <c r="AE29" s="245"/>
      <c r="AF29" s="1029"/>
      <c r="AG29" s="1030"/>
      <c r="AH29" s="1005"/>
      <c r="AI29" s="1005"/>
      <c r="AJ29" s="1005"/>
      <c r="AK29" s="1005"/>
      <c r="AL29" s="927"/>
      <c r="AM29" s="947"/>
      <c r="AN29" s="948"/>
      <c r="AO29" s="146"/>
      <c r="AP29" s="77"/>
      <c r="AQ29" s="77"/>
      <c r="AR29" s="77"/>
      <c r="AS29" s="77"/>
      <c r="AT29" s="77"/>
      <c r="AU29" s="77"/>
      <c r="AV29" s="285"/>
    </row>
    <row r="30" spans="1:48" ht="14.25" customHeight="1">
      <c r="A30" s="313">
        <v>21</v>
      </c>
      <c r="B30" s="314">
        <v>3.5000000000000003E-2</v>
      </c>
      <c r="C30" s="315">
        <v>0.48557090283253201</v>
      </c>
      <c r="D30" s="316">
        <v>15.697974204784799</v>
      </c>
      <c r="E30" s="245"/>
      <c r="F30" s="921" t="s">
        <v>352</v>
      </c>
      <c r="G30" s="922"/>
      <c r="H30" s="928" t="s">
        <v>353</v>
      </c>
      <c r="I30" s="922"/>
      <c r="J30" s="922"/>
      <c r="K30" s="922"/>
      <c r="L30" s="922"/>
      <c r="M30" s="922"/>
      <c r="N30" s="922"/>
      <c r="O30" s="922"/>
      <c r="P30" s="922"/>
      <c r="Q30" s="922"/>
      <c r="R30" s="929"/>
      <c r="S30" s="318"/>
      <c r="T30" s="935" t="s">
        <v>354</v>
      </c>
      <c r="U30" s="937"/>
      <c r="V30" s="1025" t="s">
        <v>355</v>
      </c>
      <c r="W30" s="942"/>
      <c r="X30" s="955" t="s">
        <v>341</v>
      </c>
      <c r="Y30" s="930">
        <v>75</v>
      </c>
      <c r="Z30" s="956" t="s">
        <v>356</v>
      </c>
      <c r="AA30" s="957"/>
      <c r="AB30" s="958"/>
      <c r="AC30" s="305"/>
      <c r="AD30" s="307"/>
      <c r="AE30" s="146"/>
      <c r="AF30" s="112"/>
      <c r="AG30" s="112"/>
      <c r="AH30" s="112"/>
      <c r="AI30" s="112"/>
      <c r="AJ30" s="112"/>
      <c r="AK30" s="112"/>
      <c r="AL30" s="112"/>
      <c r="AM30" s="112"/>
      <c r="AN30" s="112"/>
      <c r="AO30" s="343"/>
      <c r="AP30" s="343"/>
      <c r="AQ30" s="343"/>
      <c r="AR30" s="343"/>
      <c r="AS30" s="343"/>
      <c r="AT30" s="343"/>
      <c r="AU30" s="343"/>
      <c r="AV30" s="344"/>
    </row>
    <row r="31" spans="1:48" ht="14.25" customHeight="1">
      <c r="A31" s="313">
        <v>22</v>
      </c>
      <c r="B31" s="314">
        <v>3.5000000000000003E-2</v>
      </c>
      <c r="C31" s="315">
        <v>0.46915063075607</v>
      </c>
      <c r="D31" s="316">
        <v>16.1671248355409</v>
      </c>
      <c r="E31" s="245"/>
      <c r="F31" s="923"/>
      <c r="G31" s="922"/>
      <c r="H31" s="922"/>
      <c r="I31" s="922"/>
      <c r="J31" s="922"/>
      <c r="K31" s="922"/>
      <c r="L31" s="922"/>
      <c r="M31" s="922"/>
      <c r="N31" s="922"/>
      <c r="O31" s="922"/>
      <c r="P31" s="922"/>
      <c r="Q31" s="922"/>
      <c r="R31" s="929"/>
      <c r="S31" s="318"/>
      <c r="T31" s="938"/>
      <c r="U31" s="940"/>
      <c r="V31" s="943"/>
      <c r="W31" s="944"/>
      <c r="X31" s="931"/>
      <c r="Y31" s="931"/>
      <c r="Z31" s="959"/>
      <c r="AA31" s="960"/>
      <c r="AB31" s="961"/>
      <c r="AC31" s="305"/>
      <c r="AD31" s="307"/>
      <c r="AE31" s="146"/>
      <c r="AF31" s="77"/>
      <c r="AG31" s="77"/>
      <c r="AH31" s="77"/>
      <c r="AI31" s="77"/>
      <c r="AJ31" s="77"/>
      <c r="AK31" s="77"/>
      <c r="AL31" s="77"/>
      <c r="AM31" s="77"/>
      <c r="AN31" s="77"/>
      <c r="AO31" s="343"/>
      <c r="AP31" s="343"/>
      <c r="AQ31" s="343"/>
      <c r="AR31" s="343"/>
      <c r="AS31" s="343"/>
      <c r="AT31" s="343"/>
      <c r="AU31" s="343"/>
      <c r="AV31" s="344"/>
    </row>
    <row r="32" spans="1:48" ht="14.25" customHeight="1">
      <c r="A32" s="313">
        <v>23</v>
      </c>
      <c r="B32" s="314">
        <v>3.5000000000000003E-2</v>
      </c>
      <c r="C32" s="315">
        <v>0.45328563358074397</v>
      </c>
      <c r="D32" s="316">
        <v>16.620410469121602</v>
      </c>
      <c r="E32" s="245"/>
      <c r="F32" s="921" t="s">
        <v>357</v>
      </c>
      <c r="G32" s="922"/>
      <c r="H32" s="928" t="s">
        <v>358</v>
      </c>
      <c r="I32" s="922"/>
      <c r="J32" s="922"/>
      <c r="K32" s="922"/>
      <c r="L32" s="922"/>
      <c r="M32" s="922"/>
      <c r="N32" s="922"/>
      <c r="O32" s="922"/>
      <c r="P32" s="922"/>
      <c r="Q32" s="922"/>
      <c r="R32" s="929"/>
      <c r="S32" s="318"/>
      <c r="T32" s="935" t="s">
        <v>359</v>
      </c>
      <c r="U32" s="937"/>
      <c r="V32" s="1025" t="s">
        <v>360</v>
      </c>
      <c r="W32" s="942"/>
      <c r="X32" s="955" t="s">
        <v>341</v>
      </c>
      <c r="Y32" s="930">
        <v>150</v>
      </c>
      <c r="Z32" s="956" t="s">
        <v>361</v>
      </c>
      <c r="AA32" s="957"/>
      <c r="AB32" s="958"/>
      <c r="AC32" s="305"/>
      <c r="AD32" s="307"/>
      <c r="AE32" s="146"/>
      <c r="AF32" s="77"/>
      <c r="AG32" s="77"/>
      <c r="AH32" s="77"/>
      <c r="AI32" s="77"/>
      <c r="AJ32" s="77"/>
      <c r="AK32" s="343"/>
      <c r="AL32" s="343"/>
      <c r="AM32" s="343"/>
      <c r="AN32" s="343"/>
      <c r="AO32" s="343"/>
      <c r="AP32" s="343"/>
      <c r="AQ32" s="343"/>
      <c r="AR32" s="343"/>
      <c r="AS32" s="343"/>
      <c r="AT32" s="343"/>
      <c r="AU32" s="343"/>
      <c r="AV32" s="344"/>
    </row>
    <row r="33" spans="1:48" ht="14.25" customHeight="1">
      <c r="A33" s="313">
        <v>24</v>
      </c>
      <c r="B33" s="314">
        <v>3.5000000000000003E-2</v>
      </c>
      <c r="C33" s="315">
        <v>0.43795713389443802</v>
      </c>
      <c r="D33" s="316">
        <v>17.058367603016102</v>
      </c>
      <c r="E33" s="245"/>
      <c r="F33" s="923"/>
      <c r="G33" s="922"/>
      <c r="H33" s="922"/>
      <c r="I33" s="922"/>
      <c r="J33" s="922"/>
      <c r="K33" s="922"/>
      <c r="L33" s="922"/>
      <c r="M33" s="922"/>
      <c r="N33" s="922"/>
      <c r="O33" s="922"/>
      <c r="P33" s="922"/>
      <c r="Q33" s="922"/>
      <c r="R33" s="929"/>
      <c r="S33" s="318"/>
      <c r="T33" s="938"/>
      <c r="U33" s="940"/>
      <c r="V33" s="943"/>
      <c r="W33" s="944"/>
      <c r="X33" s="931"/>
      <c r="Y33" s="931"/>
      <c r="Z33" s="959"/>
      <c r="AA33" s="960"/>
      <c r="AB33" s="961"/>
      <c r="AC33" s="305"/>
      <c r="AD33" s="307"/>
      <c r="AE33" s="146"/>
      <c r="AF33" s="77"/>
      <c r="AG33" s="77"/>
      <c r="AH33" s="77"/>
      <c r="AI33" s="77"/>
      <c r="AJ33" s="77"/>
      <c r="AK33" s="343"/>
      <c r="AL33" s="343"/>
      <c r="AM33" s="343"/>
      <c r="AN33" s="343"/>
      <c r="AO33" s="343"/>
      <c r="AP33" s="343"/>
      <c r="AQ33" s="343"/>
      <c r="AR33" s="343"/>
      <c r="AS33" s="343"/>
      <c r="AT33" s="343"/>
      <c r="AU33" s="343"/>
      <c r="AV33" s="344"/>
    </row>
    <row r="34" spans="1:48" ht="14.25" customHeight="1">
      <c r="A34" s="313">
        <v>25</v>
      </c>
      <c r="B34" s="314">
        <v>3.5000000000000003E-2</v>
      </c>
      <c r="C34" s="315">
        <v>0.423146989269989</v>
      </c>
      <c r="D34" s="316">
        <v>17.4815145922861</v>
      </c>
      <c r="E34" s="245"/>
      <c r="F34" s="923"/>
      <c r="G34" s="922"/>
      <c r="H34" s="922"/>
      <c r="I34" s="922"/>
      <c r="J34" s="922"/>
      <c r="K34" s="922"/>
      <c r="L34" s="922"/>
      <c r="M34" s="922"/>
      <c r="N34" s="922"/>
      <c r="O34" s="922"/>
      <c r="P34" s="922"/>
      <c r="Q34" s="922"/>
      <c r="R34" s="929"/>
      <c r="S34" s="245"/>
      <c r="T34" s="935" t="s">
        <v>362</v>
      </c>
      <c r="U34" s="937"/>
      <c r="V34" s="1025" t="s">
        <v>363</v>
      </c>
      <c r="W34" s="942"/>
      <c r="X34" s="955" t="s">
        <v>341</v>
      </c>
      <c r="Y34" s="930">
        <v>200</v>
      </c>
      <c r="Z34" s="956" t="s">
        <v>364</v>
      </c>
      <c r="AA34" s="957"/>
      <c r="AB34" s="958"/>
      <c r="AC34" s="305"/>
      <c r="AD34" s="307"/>
      <c r="AE34" s="146"/>
      <c r="AF34" s="77"/>
      <c r="AG34" s="77"/>
      <c r="AH34" s="77"/>
      <c r="AI34" s="77"/>
      <c r="AJ34" s="77"/>
      <c r="AK34" s="77"/>
      <c r="AL34" s="77"/>
      <c r="AM34" s="77"/>
      <c r="AN34" s="77"/>
      <c r="AO34" s="77"/>
      <c r="AP34" s="77"/>
      <c r="AQ34" s="77"/>
      <c r="AR34" s="77"/>
      <c r="AS34" s="77"/>
      <c r="AT34" s="77"/>
      <c r="AU34" s="77"/>
      <c r="AV34" s="285"/>
    </row>
    <row r="35" spans="1:48" ht="14.25" customHeight="1">
      <c r="A35" s="313">
        <v>26</v>
      </c>
      <c r="B35" s="314">
        <v>3.5000000000000003E-2</v>
      </c>
      <c r="C35" s="315">
        <v>0.40883767079226002</v>
      </c>
      <c r="D35" s="316">
        <v>17.890352263078299</v>
      </c>
      <c r="E35" s="245"/>
      <c r="F35" s="923"/>
      <c r="G35" s="922"/>
      <c r="H35" s="922"/>
      <c r="I35" s="922"/>
      <c r="J35" s="922"/>
      <c r="K35" s="922"/>
      <c r="L35" s="922"/>
      <c r="M35" s="922"/>
      <c r="N35" s="922"/>
      <c r="O35" s="922"/>
      <c r="P35" s="922"/>
      <c r="Q35" s="922"/>
      <c r="R35" s="929"/>
      <c r="S35" s="245"/>
      <c r="T35" s="938"/>
      <c r="U35" s="940"/>
      <c r="V35" s="943"/>
      <c r="W35" s="944"/>
      <c r="X35" s="931"/>
      <c r="Y35" s="931"/>
      <c r="Z35" s="959"/>
      <c r="AA35" s="960"/>
      <c r="AB35" s="961"/>
      <c r="AC35" s="305"/>
      <c r="AD35" s="307"/>
      <c r="AE35" s="146"/>
      <c r="AF35" s="77"/>
      <c r="AG35" s="77"/>
      <c r="AH35" s="77"/>
      <c r="AI35" s="77"/>
      <c r="AJ35" s="77"/>
      <c r="AK35" s="77"/>
      <c r="AL35" s="77"/>
      <c r="AM35" s="77"/>
      <c r="AN35" s="77"/>
      <c r="AO35" s="77"/>
      <c r="AP35" s="77"/>
      <c r="AQ35" s="77"/>
      <c r="AR35" s="77"/>
      <c r="AS35" s="77"/>
      <c r="AT35" s="77"/>
      <c r="AU35" s="77"/>
      <c r="AV35" s="285"/>
    </row>
    <row r="36" spans="1:48" ht="14.25" customHeight="1">
      <c r="A36" s="313">
        <v>27</v>
      </c>
      <c r="B36" s="314">
        <v>3.5000000000000003E-2</v>
      </c>
      <c r="C36" s="315">
        <v>0.39501224231136201</v>
      </c>
      <c r="D36" s="316">
        <v>18.285364505389701</v>
      </c>
      <c r="E36" s="245"/>
      <c r="F36" s="923"/>
      <c r="G36" s="922"/>
      <c r="H36" s="922"/>
      <c r="I36" s="922"/>
      <c r="J36" s="922"/>
      <c r="K36" s="922"/>
      <c r="L36" s="922"/>
      <c r="M36" s="922"/>
      <c r="N36" s="922"/>
      <c r="O36" s="922"/>
      <c r="P36" s="922"/>
      <c r="Q36" s="922"/>
      <c r="R36" s="929"/>
      <c r="S36" s="245"/>
      <c r="T36" s="345"/>
      <c r="U36" s="346"/>
      <c r="V36" s="346"/>
      <c r="W36" s="346"/>
      <c r="X36" s="346"/>
      <c r="Y36" s="346"/>
      <c r="Z36" s="346"/>
      <c r="AA36" s="346"/>
      <c r="AB36" s="346"/>
      <c r="AC36" s="306"/>
      <c r="AD36" s="307"/>
      <c r="AE36" s="146"/>
      <c r="AF36" s="77"/>
      <c r="AG36" s="77"/>
      <c r="AH36" s="77"/>
      <c r="AI36" s="77"/>
      <c r="AJ36" s="77"/>
      <c r="AK36" s="77"/>
      <c r="AL36" s="77"/>
      <c r="AM36" s="77"/>
      <c r="AN36" s="77"/>
      <c r="AO36" s="77"/>
      <c r="AP36" s="77"/>
      <c r="AQ36" s="77"/>
      <c r="AR36" s="77"/>
      <c r="AS36" s="77"/>
      <c r="AT36" s="77"/>
      <c r="AU36" s="77"/>
      <c r="AV36" s="285"/>
    </row>
    <row r="37" spans="1:48" ht="14.25" customHeight="1">
      <c r="A37" s="313">
        <v>28</v>
      </c>
      <c r="B37" s="314">
        <v>3.5000000000000003E-2</v>
      </c>
      <c r="C37" s="315">
        <v>0.381654340397451</v>
      </c>
      <c r="D37" s="316">
        <v>18.667018845787101</v>
      </c>
      <c r="E37" s="245"/>
      <c r="F37" s="921" t="s">
        <v>365</v>
      </c>
      <c r="G37" s="922"/>
      <c r="H37" s="928" t="s">
        <v>366</v>
      </c>
      <c r="I37" s="922"/>
      <c r="J37" s="922"/>
      <c r="K37" s="922"/>
      <c r="L37" s="922"/>
      <c r="M37" s="922"/>
      <c r="N37" s="922"/>
      <c r="O37" s="922"/>
      <c r="P37" s="922"/>
      <c r="Q37" s="922"/>
      <c r="R37" s="929"/>
      <c r="S37" s="245"/>
      <c r="T37" s="347" t="s">
        <v>367</v>
      </c>
      <c r="U37" s="348"/>
      <c r="V37" s="348"/>
      <c r="W37" s="348"/>
      <c r="X37" s="348"/>
      <c r="Y37" s="348"/>
      <c r="Z37" s="348"/>
      <c r="AA37" s="335"/>
      <c r="AB37" s="335"/>
      <c r="AC37" s="335"/>
      <c r="AD37" s="336"/>
      <c r="AE37" s="146"/>
      <c r="AF37" s="77"/>
      <c r="AG37" s="77"/>
      <c r="AH37" s="77"/>
      <c r="AI37" s="77"/>
      <c r="AJ37" s="77"/>
      <c r="AK37" s="77"/>
      <c r="AL37" s="77"/>
      <c r="AM37" s="77"/>
      <c r="AN37" s="77"/>
      <c r="AO37" s="77"/>
      <c r="AP37" s="77"/>
      <c r="AQ37" s="77"/>
      <c r="AR37" s="77"/>
      <c r="AS37" s="77"/>
      <c r="AT37" s="77"/>
      <c r="AU37" s="77"/>
      <c r="AV37" s="285"/>
    </row>
    <row r="38" spans="1:48" ht="14.25" customHeight="1">
      <c r="A38" s="313">
        <v>29</v>
      </c>
      <c r="B38" s="314">
        <v>3.5000000000000003E-2</v>
      </c>
      <c r="C38" s="315">
        <v>0.36874815497338298</v>
      </c>
      <c r="D38" s="316">
        <v>19.035767000760501</v>
      </c>
      <c r="E38" s="245"/>
      <c r="F38" s="923"/>
      <c r="G38" s="922"/>
      <c r="H38" s="922"/>
      <c r="I38" s="922"/>
      <c r="J38" s="922"/>
      <c r="K38" s="922"/>
      <c r="L38" s="922"/>
      <c r="M38" s="922"/>
      <c r="N38" s="922"/>
      <c r="O38" s="922"/>
      <c r="P38" s="922"/>
      <c r="Q38" s="922"/>
      <c r="R38" s="929"/>
      <c r="S38" s="245"/>
      <c r="T38" s="349"/>
      <c r="U38" s="348"/>
      <c r="V38" s="348"/>
      <c r="W38" s="348"/>
      <c r="X38" s="348"/>
      <c r="Y38" s="348"/>
      <c r="Z38" s="350"/>
      <c r="AA38" s="351"/>
      <c r="AB38" s="351"/>
      <c r="AC38" s="351"/>
      <c r="AD38" s="352"/>
      <c r="AE38" s="146"/>
      <c r="AF38" s="77"/>
      <c r="AG38" s="77"/>
      <c r="AH38" s="77"/>
      <c r="AI38" s="77"/>
      <c r="AJ38" s="77"/>
      <c r="AK38" s="77"/>
      <c r="AL38" s="77"/>
      <c r="AM38" s="77"/>
      <c r="AN38" s="77"/>
      <c r="AO38" s="77"/>
      <c r="AP38" s="77"/>
      <c r="AQ38" s="77"/>
      <c r="AR38" s="77"/>
      <c r="AS38" s="77"/>
      <c r="AT38" s="77"/>
      <c r="AU38" s="77"/>
      <c r="AV38" s="285"/>
    </row>
    <row r="39" spans="1:48" ht="14.25" customHeight="1">
      <c r="A39" s="313">
        <v>30</v>
      </c>
      <c r="B39" s="314">
        <v>3.5000000000000003E-2</v>
      </c>
      <c r="C39" s="315">
        <v>0.35627841060230198</v>
      </c>
      <c r="D39" s="316">
        <v>19.392045411362801</v>
      </c>
      <c r="E39" s="245"/>
      <c r="F39" s="921" t="s">
        <v>368</v>
      </c>
      <c r="G39" s="922"/>
      <c r="H39" s="928" t="s">
        <v>369</v>
      </c>
      <c r="I39" s="922"/>
      <c r="J39" s="922"/>
      <c r="K39" s="922"/>
      <c r="L39" s="922"/>
      <c r="M39" s="922"/>
      <c r="N39" s="922"/>
      <c r="O39" s="922"/>
      <c r="P39" s="922"/>
      <c r="Q39" s="922"/>
      <c r="R39" s="929"/>
      <c r="S39" s="245"/>
      <c r="T39" s="341"/>
      <c r="U39" s="353"/>
      <c r="V39" s="353"/>
      <c r="W39" s="353"/>
      <c r="X39" s="353"/>
      <c r="Y39" s="342"/>
      <c r="Z39" s="981" t="s">
        <v>370</v>
      </c>
      <c r="AA39" s="982"/>
      <c r="AB39" s="982"/>
      <c r="AC39" s="982"/>
      <c r="AD39" s="983"/>
      <c r="AE39" s="146"/>
      <c r="AF39" s="77"/>
      <c r="AG39" s="77"/>
      <c r="AH39" s="77"/>
      <c r="AI39" s="77"/>
      <c r="AJ39" s="77"/>
      <c r="AK39" s="77"/>
      <c r="AL39" s="77"/>
      <c r="AM39" s="77"/>
      <c r="AN39" s="77"/>
      <c r="AO39" s="77"/>
      <c r="AP39" s="77"/>
      <c r="AQ39" s="77"/>
      <c r="AR39" s="77"/>
      <c r="AS39" s="77"/>
      <c r="AT39" s="77"/>
      <c r="AU39" s="77"/>
      <c r="AV39" s="285"/>
    </row>
    <row r="40" spans="1:48" ht="14.25" customHeight="1">
      <c r="A40" s="313">
        <v>31</v>
      </c>
      <c r="B40" s="314">
        <v>0.03</v>
      </c>
      <c r="C40" s="315">
        <v>0.34590136951679801</v>
      </c>
      <c r="D40" s="316">
        <v>19.7379467808796</v>
      </c>
      <c r="E40" s="245"/>
      <c r="F40" s="923"/>
      <c r="G40" s="922"/>
      <c r="H40" s="922"/>
      <c r="I40" s="922"/>
      <c r="J40" s="922"/>
      <c r="K40" s="922"/>
      <c r="L40" s="922"/>
      <c r="M40" s="922"/>
      <c r="N40" s="922"/>
      <c r="O40" s="922"/>
      <c r="P40" s="922"/>
      <c r="Q40" s="922"/>
      <c r="R40" s="929"/>
      <c r="S40" s="245"/>
      <c r="T40" s="975" t="s">
        <v>371</v>
      </c>
      <c r="U40" s="976"/>
      <c r="V40" s="995" t="s">
        <v>339</v>
      </c>
      <c r="W40" s="996"/>
      <c r="X40" s="996"/>
      <c r="Y40" s="997"/>
      <c r="Z40" s="354" cm="1">
        <f t="array" ref="Z40">(1/VLOOKUP($V40,$T$26:$Y$34,6,FALSE)-1/VLOOKUP(Z$45,$T$26:$Y$34,6,FALSE))*$Y$34</f>
        <v>0</v>
      </c>
      <c r="AA40" s="354" cm="1">
        <f t="array" ref="AA40">(1/VLOOKUP($V40,$T$26:$Y$34,6,FALSE)-1/VLOOKUP(AA$45,$T$26:$Y$34,6,FALSE))*$Y$34</f>
        <v>3.3333333333333339</v>
      </c>
      <c r="AB40" s="354" cm="1">
        <f t="array" ref="AB40">(1/VLOOKUP($V40,$T$26:$Y$34,6,FALSE)-1/VLOOKUP(AB$45,$T$26:$Y$34,6,FALSE))*$Y$34</f>
        <v>7.333333333333333</v>
      </c>
      <c r="AC40" s="354" cm="1">
        <f t="array" ref="AC40">(1/VLOOKUP($V40,$T$26:$Y$34,6,FALSE)-1/VLOOKUP(AC$45,$T$26:$Y$34,6,FALSE))*$Y$34</f>
        <v>8.6666666666666679</v>
      </c>
      <c r="AD40" s="355" cm="1">
        <f t="array" ref="AD40">(1/VLOOKUP($V40,$T$26:$Y$34,6,FALSE)-1/VLOOKUP(AD$45,$T$26:$Y$34,6,FALSE))*$Y$34</f>
        <v>9.0000000000000018</v>
      </c>
      <c r="AE40" s="146"/>
      <c r="AF40" s="77"/>
      <c r="AG40" s="77"/>
      <c r="AH40" s="77"/>
      <c r="AI40" s="77"/>
      <c r="AJ40" s="77"/>
      <c r="AK40" s="77"/>
      <c r="AL40" s="77"/>
      <c r="AM40" s="77"/>
      <c r="AN40" s="77"/>
      <c r="AO40" s="77"/>
      <c r="AP40" s="77"/>
      <c r="AQ40" s="77"/>
      <c r="AR40" s="77"/>
      <c r="AS40" s="77"/>
      <c r="AT40" s="77"/>
      <c r="AU40" s="77"/>
      <c r="AV40" s="285"/>
    </row>
    <row r="41" spans="1:48" ht="14.25" customHeight="1">
      <c r="A41" s="313">
        <v>32</v>
      </c>
      <c r="B41" s="314">
        <v>0.03</v>
      </c>
      <c r="C41" s="315">
        <v>0.335826572346406</v>
      </c>
      <c r="D41" s="316">
        <v>20.073773353225999</v>
      </c>
      <c r="E41" s="245"/>
      <c r="F41" s="923"/>
      <c r="G41" s="922"/>
      <c r="H41" s="922"/>
      <c r="I41" s="922"/>
      <c r="J41" s="922"/>
      <c r="K41" s="922"/>
      <c r="L41" s="922"/>
      <c r="M41" s="922"/>
      <c r="N41" s="922"/>
      <c r="O41" s="922"/>
      <c r="P41" s="922"/>
      <c r="Q41" s="922"/>
      <c r="R41" s="929"/>
      <c r="S41" s="245"/>
      <c r="T41" s="977"/>
      <c r="U41" s="978"/>
      <c r="V41" s="995" t="s">
        <v>347</v>
      </c>
      <c r="W41" s="996"/>
      <c r="X41" s="996"/>
      <c r="Y41" s="997"/>
      <c r="Z41" s="356"/>
      <c r="AA41" s="354" cm="1">
        <f t="array" ref="AA41">(1/VLOOKUP($V41,$T$26:$Y$34,6,FALSE)-1/VLOOKUP(AA$45,$T$26:$Y$34,6,FALSE))*$Y$34</f>
        <v>0</v>
      </c>
      <c r="AB41" s="354" cm="1">
        <f t="array" ref="AB41">(1/VLOOKUP($V41,$T$26:$Y$34,6,FALSE)-1/VLOOKUP(AB$45,$T$26:$Y$34,6,FALSE))*$Y$34</f>
        <v>3.9999999999999996</v>
      </c>
      <c r="AC41" s="354" cm="1">
        <f t="array" ref="AC41">(1/VLOOKUP($V41,$T$26:$Y$34,6,FALSE)-1/VLOOKUP(AC$45,$T$26:$Y$34,6,FALSE))*$Y$34</f>
        <v>5.333333333333333</v>
      </c>
      <c r="AD41" s="355" cm="1">
        <f t="array" ref="AD41">(1/VLOOKUP($V41,$T$26:$Y$34,6,FALSE)-1/VLOOKUP(AD$45,$T$26:$Y$34,6,FALSE))*$Y$34</f>
        <v>5.6666666666666661</v>
      </c>
      <c r="AE41" s="146"/>
      <c r="AF41" s="77"/>
      <c r="AG41" s="77"/>
      <c r="AH41" s="77"/>
      <c r="AI41" s="77"/>
      <c r="AJ41" s="77"/>
      <c r="AK41" s="77"/>
      <c r="AL41" s="77"/>
      <c r="AM41" s="77"/>
      <c r="AN41" s="77"/>
      <c r="AO41" s="77"/>
      <c r="AP41" s="77"/>
      <c r="AQ41" s="77"/>
      <c r="AR41" s="77"/>
      <c r="AS41" s="77"/>
      <c r="AT41" s="77"/>
      <c r="AU41" s="77"/>
      <c r="AV41" s="285"/>
    </row>
    <row r="42" spans="1:48" ht="14.25" customHeight="1">
      <c r="A42" s="313">
        <v>33</v>
      </c>
      <c r="B42" s="314">
        <v>0.03</v>
      </c>
      <c r="C42" s="315">
        <v>0.326045215870297</v>
      </c>
      <c r="D42" s="316">
        <v>20.399818569096301</v>
      </c>
      <c r="E42" s="245"/>
      <c r="F42" s="923"/>
      <c r="G42" s="922"/>
      <c r="H42" s="922"/>
      <c r="I42" s="922"/>
      <c r="J42" s="922"/>
      <c r="K42" s="922"/>
      <c r="L42" s="922"/>
      <c r="M42" s="922"/>
      <c r="N42" s="922"/>
      <c r="O42" s="922"/>
      <c r="P42" s="922"/>
      <c r="Q42" s="922"/>
      <c r="R42" s="929"/>
      <c r="S42" s="245"/>
      <c r="T42" s="977"/>
      <c r="U42" s="978"/>
      <c r="V42" s="995" t="s">
        <v>354</v>
      </c>
      <c r="W42" s="996"/>
      <c r="X42" s="996"/>
      <c r="Y42" s="997"/>
      <c r="Z42" s="357"/>
      <c r="AA42" s="358"/>
      <c r="AB42" s="354" cm="1">
        <f t="array" ref="AB42">(1/VLOOKUP($V42,$T$26:$Y$34,6,FALSE)-1/VLOOKUP(AB$45,$T$26:$Y$34,6,FALSE))*$Y$34</f>
        <v>0</v>
      </c>
      <c r="AC42" s="354" cm="1">
        <f t="array" ref="AC42">(1/VLOOKUP($V42,$T$26:$Y$34,6,FALSE)-1/VLOOKUP(AC$45,$T$26:$Y$34,6,FALSE))*$Y$34</f>
        <v>1.3333333333333335</v>
      </c>
      <c r="AD42" s="355" cm="1">
        <f t="array" ref="AD42">(1/VLOOKUP($V42,$T$26:$Y$34,6,FALSE)-1/VLOOKUP(AD$45,$T$26:$Y$34,6,FALSE))*$Y$34</f>
        <v>1.666666666666667</v>
      </c>
      <c r="AE42" s="146"/>
      <c r="AF42" s="77"/>
      <c r="AG42" s="77"/>
      <c r="AH42" s="77"/>
      <c r="AI42" s="77"/>
      <c r="AJ42" s="77"/>
      <c r="AK42" s="77"/>
      <c r="AL42" s="77"/>
      <c r="AM42" s="77"/>
      <c r="AN42" s="77"/>
      <c r="AO42" s="77"/>
      <c r="AP42" s="77"/>
      <c r="AQ42" s="77"/>
      <c r="AR42" s="77"/>
      <c r="AS42" s="77"/>
      <c r="AT42" s="77"/>
      <c r="AU42" s="77"/>
      <c r="AV42" s="285"/>
    </row>
    <row r="43" spans="1:48" ht="14.25" customHeight="1">
      <c r="A43" s="313">
        <v>34</v>
      </c>
      <c r="B43" s="314">
        <v>0.03</v>
      </c>
      <c r="C43" s="315">
        <v>0.316548753272133</v>
      </c>
      <c r="D43" s="316">
        <v>20.716367322368502</v>
      </c>
      <c r="E43" s="245"/>
      <c r="F43" s="923"/>
      <c r="G43" s="922"/>
      <c r="H43" s="922"/>
      <c r="I43" s="922"/>
      <c r="J43" s="922"/>
      <c r="K43" s="922"/>
      <c r="L43" s="922"/>
      <c r="M43" s="922"/>
      <c r="N43" s="922"/>
      <c r="O43" s="922"/>
      <c r="P43" s="922"/>
      <c r="Q43" s="922"/>
      <c r="R43" s="929"/>
      <c r="S43" s="245"/>
      <c r="T43" s="977"/>
      <c r="U43" s="978"/>
      <c r="V43" s="995" t="s">
        <v>359</v>
      </c>
      <c r="W43" s="996"/>
      <c r="X43" s="996"/>
      <c r="Y43" s="997"/>
      <c r="Z43" s="357"/>
      <c r="AA43" s="359"/>
      <c r="AB43" s="358"/>
      <c r="AC43" s="354" cm="1">
        <f t="array" ref="AC43">(1/VLOOKUP($V43,$T$26:$Y$34,6,FALSE)-1/VLOOKUP(AC$45,$T$26:$Y$34,6,FALSE))*$Y$34</f>
        <v>0</v>
      </c>
      <c r="AD43" s="355" cm="1">
        <f t="array" ref="AD43">(1/VLOOKUP($V43,$T$26:$Y$34,6,FALSE)-1/VLOOKUP(AD$45,$T$26:$Y$34,6,FALSE))*$Y$34</f>
        <v>0.33333333333333337</v>
      </c>
      <c r="AE43" s="146"/>
      <c r="AF43" s="77"/>
      <c r="AG43" s="77"/>
      <c r="AH43" s="77"/>
      <c r="AI43" s="77"/>
      <c r="AJ43" s="77"/>
      <c r="AK43" s="77"/>
      <c r="AL43" s="77"/>
      <c r="AM43" s="77"/>
      <c r="AN43" s="77"/>
      <c r="AO43" s="77"/>
      <c r="AP43" s="77"/>
      <c r="AQ43" s="77"/>
      <c r="AR43" s="77"/>
      <c r="AS43" s="77"/>
      <c r="AT43" s="77"/>
      <c r="AU43" s="77"/>
      <c r="AV43" s="285"/>
    </row>
    <row r="44" spans="1:48" ht="14.25" customHeight="1">
      <c r="A44" s="313">
        <v>35</v>
      </c>
      <c r="B44" s="314">
        <v>0.03</v>
      </c>
      <c r="C44" s="315">
        <v>0.307328886671974</v>
      </c>
      <c r="D44" s="316">
        <v>21.023696209040398</v>
      </c>
      <c r="E44" s="245"/>
      <c r="F44" s="921" t="s">
        <v>372</v>
      </c>
      <c r="G44" s="922"/>
      <c r="H44" s="928" t="s">
        <v>373</v>
      </c>
      <c r="I44" s="922"/>
      <c r="J44" s="922"/>
      <c r="K44" s="922"/>
      <c r="L44" s="922"/>
      <c r="M44" s="922"/>
      <c r="N44" s="922"/>
      <c r="O44" s="922"/>
      <c r="P44" s="922"/>
      <c r="Q44" s="922"/>
      <c r="R44" s="929"/>
      <c r="S44" s="245"/>
      <c r="T44" s="979"/>
      <c r="U44" s="980"/>
      <c r="V44" s="995" t="s">
        <v>362</v>
      </c>
      <c r="W44" s="996"/>
      <c r="X44" s="996"/>
      <c r="Y44" s="997"/>
      <c r="Z44" s="360"/>
      <c r="AA44" s="361"/>
      <c r="AB44" s="361"/>
      <c r="AC44" s="362"/>
      <c r="AD44" s="355" cm="1">
        <f t="array" ref="AD44">(1/VLOOKUP($V44,$T$26:$Y$34,6,FALSE)-1/VLOOKUP(AD$45,$T$26:$Y$34,6,FALSE))*$Y$34</f>
        <v>0</v>
      </c>
      <c r="AE44" s="146"/>
      <c r="AF44" s="77"/>
      <c r="AG44" s="77"/>
      <c r="AH44" s="77"/>
      <c r="AI44" s="77"/>
      <c r="AJ44" s="77"/>
      <c r="AK44" s="77"/>
      <c r="AL44" s="77"/>
      <c r="AM44" s="77"/>
      <c r="AN44" s="77"/>
      <c r="AO44" s="77"/>
      <c r="AP44" s="77"/>
      <c r="AQ44" s="77"/>
      <c r="AR44" s="77"/>
      <c r="AS44" s="77"/>
      <c r="AT44" s="77"/>
      <c r="AU44" s="77"/>
      <c r="AV44" s="285"/>
    </row>
    <row r="45" spans="1:48" ht="14.25" customHeight="1">
      <c r="A45" s="313">
        <v>36</v>
      </c>
      <c r="B45" s="314">
        <v>0.03</v>
      </c>
      <c r="C45" s="315">
        <v>0.29837755987570302</v>
      </c>
      <c r="D45" s="316">
        <v>21.322073768916098</v>
      </c>
      <c r="E45" s="245"/>
      <c r="F45" s="923"/>
      <c r="G45" s="922"/>
      <c r="H45" s="922"/>
      <c r="I45" s="922"/>
      <c r="J45" s="922"/>
      <c r="K45" s="922"/>
      <c r="L45" s="922"/>
      <c r="M45" s="922"/>
      <c r="N45" s="922"/>
      <c r="O45" s="922"/>
      <c r="P45" s="922"/>
      <c r="Q45" s="922"/>
      <c r="R45" s="929"/>
      <c r="S45" s="245"/>
      <c r="T45" s="990" t="s">
        <v>374</v>
      </c>
      <c r="U45" s="991"/>
      <c r="V45" s="991"/>
      <c r="W45" s="991"/>
      <c r="X45" s="991"/>
      <c r="Y45" s="991"/>
      <c r="Z45" s="987" t="s">
        <v>339</v>
      </c>
      <c r="AA45" s="987" t="s">
        <v>347</v>
      </c>
      <c r="AB45" s="987" t="s">
        <v>354</v>
      </c>
      <c r="AC45" s="987" t="s">
        <v>359</v>
      </c>
      <c r="AD45" s="984" t="s">
        <v>362</v>
      </c>
      <c r="AE45" s="146"/>
      <c r="AF45" s="77"/>
      <c r="AG45" s="77"/>
      <c r="AH45" s="77"/>
      <c r="AI45" s="77"/>
      <c r="AJ45" s="77"/>
      <c r="AK45" s="77"/>
      <c r="AL45" s="77"/>
      <c r="AM45" s="77"/>
      <c r="AN45" s="77"/>
      <c r="AO45" s="77"/>
      <c r="AP45" s="77"/>
      <c r="AQ45" s="77"/>
      <c r="AR45" s="77"/>
      <c r="AS45" s="77"/>
      <c r="AT45" s="77"/>
      <c r="AU45" s="77"/>
      <c r="AV45" s="285"/>
    </row>
    <row r="46" spans="1:48" ht="14.25" customHeight="1">
      <c r="A46" s="313">
        <v>37</v>
      </c>
      <c r="B46" s="314">
        <v>0.03</v>
      </c>
      <c r="C46" s="315">
        <v>0.28968695133563399</v>
      </c>
      <c r="D46" s="316">
        <v>21.611760720251802</v>
      </c>
      <c r="E46" s="245"/>
      <c r="F46" s="921" t="s">
        <v>375</v>
      </c>
      <c r="G46" s="922"/>
      <c r="H46" s="928" t="s">
        <v>376</v>
      </c>
      <c r="I46" s="922"/>
      <c r="J46" s="922"/>
      <c r="K46" s="922"/>
      <c r="L46" s="922"/>
      <c r="M46" s="922"/>
      <c r="N46" s="922"/>
      <c r="O46" s="922"/>
      <c r="P46" s="922"/>
      <c r="Q46" s="922"/>
      <c r="R46" s="929"/>
      <c r="S46" s="245"/>
      <c r="T46" s="992"/>
      <c r="U46" s="991"/>
      <c r="V46" s="991"/>
      <c r="W46" s="991"/>
      <c r="X46" s="991"/>
      <c r="Y46" s="991"/>
      <c r="Z46" s="988"/>
      <c r="AA46" s="988"/>
      <c r="AB46" s="988"/>
      <c r="AC46" s="988"/>
      <c r="AD46" s="985"/>
      <c r="AE46" s="146"/>
      <c r="AF46" s="77"/>
      <c r="AG46" s="77"/>
      <c r="AH46" s="77"/>
      <c r="AI46" s="77"/>
      <c r="AJ46" s="77"/>
      <c r="AK46" s="77"/>
      <c r="AL46" s="77"/>
      <c r="AM46" s="77"/>
      <c r="AN46" s="77"/>
      <c r="AO46" s="77"/>
      <c r="AP46" s="77"/>
      <c r="AQ46" s="77"/>
      <c r="AR46" s="77"/>
      <c r="AS46" s="77"/>
      <c r="AT46" s="77"/>
      <c r="AU46" s="77"/>
      <c r="AV46" s="285"/>
    </row>
    <row r="47" spans="1:48" ht="14.25" customHeight="1">
      <c r="A47" s="313">
        <v>38</v>
      </c>
      <c r="B47" s="314">
        <v>0.03</v>
      </c>
      <c r="C47" s="315">
        <v>0.28124946731615003</v>
      </c>
      <c r="D47" s="316">
        <v>21.893010187567899</v>
      </c>
      <c r="E47" s="245"/>
      <c r="F47" s="923"/>
      <c r="G47" s="922"/>
      <c r="H47" s="922"/>
      <c r="I47" s="922"/>
      <c r="J47" s="922"/>
      <c r="K47" s="922"/>
      <c r="L47" s="922"/>
      <c r="M47" s="922"/>
      <c r="N47" s="922"/>
      <c r="O47" s="922"/>
      <c r="P47" s="922"/>
      <c r="Q47" s="922"/>
      <c r="R47" s="929"/>
      <c r="S47" s="245"/>
      <c r="T47" s="992"/>
      <c r="U47" s="991"/>
      <c r="V47" s="991"/>
      <c r="W47" s="991"/>
      <c r="X47" s="991"/>
      <c r="Y47" s="991"/>
      <c r="Z47" s="988"/>
      <c r="AA47" s="988"/>
      <c r="AB47" s="988"/>
      <c r="AC47" s="988"/>
      <c r="AD47" s="985"/>
      <c r="AE47" s="146"/>
      <c r="AF47" s="77"/>
      <c r="AG47" s="77"/>
      <c r="AH47" s="77"/>
      <c r="AI47" s="77"/>
      <c r="AJ47" s="77"/>
      <c r="AK47" s="77"/>
      <c r="AL47" s="77"/>
      <c r="AM47" s="77"/>
      <c r="AN47" s="77"/>
      <c r="AO47" s="77"/>
      <c r="AP47" s="77"/>
      <c r="AQ47" s="77"/>
      <c r="AR47" s="77"/>
      <c r="AS47" s="77"/>
      <c r="AT47" s="77"/>
      <c r="AU47" s="77"/>
      <c r="AV47" s="285"/>
    </row>
    <row r="48" spans="1:48" ht="14.25" customHeight="1">
      <c r="A48" s="313">
        <v>39</v>
      </c>
      <c r="B48" s="314">
        <v>0.03</v>
      </c>
      <c r="C48" s="315">
        <v>0.27305773525839799</v>
      </c>
      <c r="D48" s="316">
        <v>22.166067922826301</v>
      </c>
      <c r="E48" s="245"/>
      <c r="F48" s="923"/>
      <c r="G48" s="922"/>
      <c r="H48" s="922"/>
      <c r="I48" s="922"/>
      <c r="J48" s="922"/>
      <c r="K48" s="922"/>
      <c r="L48" s="922"/>
      <c r="M48" s="922"/>
      <c r="N48" s="922"/>
      <c r="O48" s="922"/>
      <c r="P48" s="922"/>
      <c r="Q48" s="922"/>
      <c r="R48" s="929"/>
      <c r="S48" s="245"/>
      <c r="T48" s="327"/>
      <c r="U48" s="328"/>
      <c r="V48" s="328"/>
      <c r="W48" s="328"/>
      <c r="X48" s="328"/>
      <c r="Y48" s="328"/>
      <c r="Z48" s="328"/>
      <c r="AA48" s="328"/>
      <c r="AB48" s="328"/>
      <c r="AC48" s="328"/>
      <c r="AD48" s="363"/>
      <c r="AE48" s="146"/>
      <c r="AF48" s="77"/>
      <c r="AG48" s="77"/>
      <c r="AH48" s="77"/>
      <c r="AI48" s="77"/>
      <c r="AJ48" s="77"/>
      <c r="AK48" s="77"/>
      <c r="AL48" s="77"/>
      <c r="AM48" s="77"/>
      <c r="AN48" s="77"/>
      <c r="AO48" s="77"/>
      <c r="AP48" s="77"/>
      <c r="AQ48" s="77"/>
      <c r="AR48" s="77"/>
      <c r="AS48" s="77"/>
      <c r="AT48" s="77"/>
      <c r="AU48" s="77"/>
      <c r="AV48" s="285"/>
    </row>
    <row r="49" spans="1:48" ht="14.25" customHeight="1">
      <c r="A49" s="313">
        <v>40</v>
      </c>
      <c r="B49" s="314">
        <v>0.03</v>
      </c>
      <c r="C49" s="315">
        <v>0.26510459733824998</v>
      </c>
      <c r="D49" s="316">
        <v>22.431172520164601</v>
      </c>
      <c r="E49" s="245"/>
      <c r="F49" s="923"/>
      <c r="G49" s="922"/>
      <c r="H49" s="922"/>
      <c r="I49" s="922"/>
      <c r="J49" s="922"/>
      <c r="K49" s="922"/>
      <c r="L49" s="922"/>
      <c r="M49" s="922"/>
      <c r="N49" s="922"/>
      <c r="O49" s="922"/>
      <c r="P49" s="922"/>
      <c r="Q49" s="922"/>
      <c r="R49" s="929"/>
      <c r="S49" s="245"/>
      <c r="T49" s="1008" t="s">
        <v>377</v>
      </c>
      <c r="U49" s="1009"/>
      <c r="V49" s="1009"/>
      <c r="W49" s="1009"/>
      <c r="X49" s="1009"/>
      <c r="Y49" s="1009"/>
      <c r="Z49" s="1009"/>
      <c r="AA49" s="1009"/>
      <c r="AB49" s="1009"/>
      <c r="AC49" s="1009"/>
      <c r="AD49" s="1010"/>
      <c r="AE49" s="146"/>
      <c r="AF49" s="77"/>
      <c r="AG49" s="77"/>
      <c r="AH49" s="77"/>
      <c r="AI49" s="77"/>
      <c r="AJ49" s="77"/>
      <c r="AK49" s="77"/>
      <c r="AL49" s="77"/>
      <c r="AM49" s="77"/>
      <c r="AN49" s="77"/>
      <c r="AO49" s="77"/>
      <c r="AP49" s="77"/>
      <c r="AQ49" s="77"/>
      <c r="AR49" s="77"/>
      <c r="AS49" s="77"/>
      <c r="AT49" s="77"/>
      <c r="AU49" s="77"/>
      <c r="AV49" s="285"/>
    </row>
    <row r="50" spans="1:48" ht="14.25" customHeight="1">
      <c r="A50" s="313">
        <v>41</v>
      </c>
      <c r="B50" s="314">
        <v>0.03</v>
      </c>
      <c r="C50" s="315">
        <v>0.25738310421189298</v>
      </c>
      <c r="D50" s="316">
        <v>22.688555624376502</v>
      </c>
      <c r="E50" s="245"/>
      <c r="F50" s="921" t="s">
        <v>378</v>
      </c>
      <c r="G50" s="922"/>
      <c r="H50" s="928" t="s">
        <v>379</v>
      </c>
      <c r="I50" s="922"/>
      <c r="J50" s="922"/>
      <c r="K50" s="922"/>
      <c r="L50" s="922"/>
      <c r="M50" s="922"/>
      <c r="N50" s="922"/>
      <c r="O50" s="922"/>
      <c r="P50" s="922"/>
      <c r="Q50" s="922"/>
      <c r="R50" s="929"/>
      <c r="S50" s="245"/>
      <c r="T50" s="1011"/>
      <c r="U50" s="1009"/>
      <c r="V50" s="1009"/>
      <c r="W50" s="1009"/>
      <c r="X50" s="1009"/>
      <c r="Y50" s="1009"/>
      <c r="Z50" s="1012"/>
      <c r="AA50" s="1012"/>
      <c r="AB50" s="1012"/>
      <c r="AC50" s="1012"/>
      <c r="AD50" s="1013"/>
      <c r="AE50" s="146"/>
      <c r="AF50" s="77"/>
      <c r="AG50" s="77"/>
      <c r="AH50" s="77"/>
      <c r="AI50" s="77"/>
      <c r="AJ50" s="77"/>
      <c r="AK50" s="77"/>
      <c r="AL50" s="77"/>
      <c r="AM50" s="77"/>
      <c r="AN50" s="77"/>
      <c r="AO50" s="77"/>
      <c r="AP50" s="77"/>
      <c r="AQ50" s="77"/>
      <c r="AR50" s="77"/>
      <c r="AS50" s="77"/>
      <c r="AT50" s="77"/>
      <c r="AU50" s="77"/>
      <c r="AV50" s="285"/>
    </row>
    <row r="51" spans="1:48" ht="14.25" customHeight="1">
      <c r="A51" s="313">
        <v>42</v>
      </c>
      <c r="B51" s="314">
        <v>0.03</v>
      </c>
      <c r="C51" s="315">
        <v>0.24988650894358599</v>
      </c>
      <c r="D51" s="316">
        <v>22.938442133320098</v>
      </c>
      <c r="E51" s="245"/>
      <c r="F51" s="923"/>
      <c r="G51" s="922"/>
      <c r="H51" s="922"/>
      <c r="I51" s="922"/>
      <c r="J51" s="922"/>
      <c r="K51" s="922"/>
      <c r="L51" s="922"/>
      <c r="M51" s="922"/>
      <c r="N51" s="922"/>
      <c r="O51" s="922"/>
      <c r="P51" s="922"/>
      <c r="Q51" s="922"/>
      <c r="R51" s="929"/>
      <c r="S51" s="245"/>
      <c r="T51" s="364"/>
      <c r="U51" s="365"/>
      <c r="V51" s="365"/>
      <c r="W51" s="365"/>
      <c r="X51" s="365"/>
      <c r="Y51" s="366"/>
      <c r="Z51" s="981" t="s">
        <v>380</v>
      </c>
      <c r="AA51" s="982"/>
      <c r="AB51" s="982"/>
      <c r="AC51" s="982"/>
      <c r="AD51" s="983"/>
      <c r="AE51" s="146"/>
      <c r="AF51" s="77"/>
      <c r="AG51" s="77"/>
      <c r="AH51" s="77"/>
      <c r="AI51" s="77"/>
      <c r="AJ51" s="77"/>
      <c r="AK51" s="77"/>
      <c r="AL51" s="77"/>
      <c r="AM51" s="77"/>
      <c r="AN51" s="77"/>
      <c r="AO51" s="77"/>
      <c r="AP51" s="77"/>
      <c r="AQ51" s="77"/>
      <c r="AR51" s="77"/>
      <c r="AS51" s="77"/>
      <c r="AT51" s="77"/>
      <c r="AU51" s="77"/>
      <c r="AV51" s="285"/>
    </row>
    <row r="52" spans="1:48" ht="14.25" customHeight="1">
      <c r="A52" s="313">
        <v>43</v>
      </c>
      <c r="B52" s="314">
        <v>0.03</v>
      </c>
      <c r="C52" s="315">
        <v>0.242608261110277</v>
      </c>
      <c r="D52" s="316">
        <v>23.181050394430301</v>
      </c>
      <c r="E52" s="245"/>
      <c r="F52" s="921" t="s">
        <v>381</v>
      </c>
      <c r="G52" s="922"/>
      <c r="H52" s="928" t="s">
        <v>382</v>
      </c>
      <c r="I52" s="922"/>
      <c r="J52" s="922"/>
      <c r="K52" s="922"/>
      <c r="L52" s="922"/>
      <c r="M52" s="922"/>
      <c r="N52" s="922"/>
      <c r="O52" s="922"/>
      <c r="P52" s="922"/>
      <c r="Q52" s="922"/>
      <c r="R52" s="929"/>
      <c r="S52" s="245"/>
      <c r="T52" s="975" t="s">
        <v>371</v>
      </c>
      <c r="U52" s="976"/>
      <c r="V52" s="995" t="s">
        <v>339</v>
      </c>
      <c r="W52" s="996"/>
      <c r="X52" s="996"/>
      <c r="Y52" s="997"/>
      <c r="Z52" s="169" cm="1">
        <f t="array" ref="Z52">($X$7/$Y$34)*((1/VLOOKUP($V52,$T$26:$Y$34,6,FALSE)-1/VLOOKUP(Z$45,$T$26:$Y$34,6,FALSE))*$Y$34)</f>
        <v>0</v>
      </c>
      <c r="AA52" s="169" cm="1">
        <f t="array" ref="AA52">($X$7/$Y$34)*((1/VLOOKUP($V52,$T$26:$Y$34,6,FALSE)-1/VLOOKUP(AA$45,$T$26:$Y$34,6,FALSE))*$Y$34)</f>
        <v>588.33333333333348</v>
      </c>
      <c r="AB52" s="169" cm="1">
        <f t="array" ref="AB52">($X$7/$Y$34)*((1/VLOOKUP($V52,$T$26:$Y$34,6,FALSE)-1/VLOOKUP(AB$45,$T$26:$Y$34,6,FALSE))*$Y$34)</f>
        <v>1294.3333333333333</v>
      </c>
      <c r="AC52" s="169" cm="1">
        <f t="array" ref="AC52">($X$7/$Y$34)*((1/VLOOKUP($V52,$T$26:$Y$34,6,FALSE)-1/VLOOKUP(AC$45,$T$26:$Y$34,6,FALSE))*$Y$34)</f>
        <v>1529.666666666667</v>
      </c>
      <c r="AD52" s="367" cm="1">
        <f t="array" ref="AD52">($X$7/$Y$34)*((1/VLOOKUP($V52,$T$26:$Y$34,6,FALSE)-1/VLOOKUP(AD$45,$T$26:$Y$34,6,FALSE))*$Y$34)</f>
        <v>1588.5000000000002</v>
      </c>
      <c r="AE52" s="146"/>
      <c r="AF52" s="77"/>
      <c r="AG52" s="77"/>
      <c r="AH52" s="77"/>
      <c r="AI52" s="77"/>
      <c r="AJ52" s="77"/>
      <c r="AK52" s="77"/>
      <c r="AL52" s="77"/>
      <c r="AM52" s="77"/>
      <c r="AN52" s="77"/>
      <c r="AO52" s="77"/>
      <c r="AP52" s="77"/>
      <c r="AQ52" s="77"/>
      <c r="AR52" s="77"/>
      <c r="AS52" s="77"/>
      <c r="AT52" s="77"/>
      <c r="AU52" s="77"/>
      <c r="AV52" s="285"/>
    </row>
    <row r="53" spans="1:48" ht="14.25" customHeight="1">
      <c r="A53" s="313">
        <v>44</v>
      </c>
      <c r="B53" s="314">
        <v>0.03</v>
      </c>
      <c r="C53" s="315">
        <v>0.23554200107793899</v>
      </c>
      <c r="D53" s="316">
        <v>23.4165923955083</v>
      </c>
      <c r="E53" s="245"/>
      <c r="F53" s="923"/>
      <c r="G53" s="922"/>
      <c r="H53" s="922"/>
      <c r="I53" s="922"/>
      <c r="J53" s="922"/>
      <c r="K53" s="922"/>
      <c r="L53" s="922"/>
      <c r="M53" s="922"/>
      <c r="N53" s="922"/>
      <c r="O53" s="922"/>
      <c r="P53" s="922"/>
      <c r="Q53" s="922"/>
      <c r="R53" s="929"/>
      <c r="S53" s="245"/>
      <c r="T53" s="977"/>
      <c r="U53" s="978"/>
      <c r="V53" s="995" t="s">
        <v>347</v>
      </c>
      <c r="W53" s="996"/>
      <c r="X53" s="996"/>
      <c r="Y53" s="997"/>
      <c r="Z53" s="368"/>
      <c r="AA53" s="169" cm="1">
        <f t="array" ref="AA53">($X$7/$Y$34)*((1/VLOOKUP($V53,$T$26:$Y$34,6,FALSE)-1/VLOOKUP(AA$45,$T$26:$Y$34,6,FALSE))*$Y$34)</f>
        <v>0</v>
      </c>
      <c r="AB53" s="169" cm="1">
        <f t="array" ref="AB53">($X$7/$Y$34)*((1/VLOOKUP($V53,$T$26:$Y$34,6,FALSE)-1/VLOOKUP(AB$45,$T$26:$Y$34,6,FALSE))*$Y$34)</f>
        <v>705.99999999999989</v>
      </c>
      <c r="AC53" s="169" cm="1">
        <f t="array" ref="AC53">($X$7/$Y$34)*((1/VLOOKUP($V53,$T$26:$Y$34,6,FALSE)-1/VLOOKUP(AC$45,$T$26:$Y$34,6,FALSE))*$Y$34)</f>
        <v>941.33333333333326</v>
      </c>
      <c r="AD53" s="367" cm="1">
        <f t="array" ref="AD53">($X$7/$Y$34)*((1/VLOOKUP($V53,$T$26:$Y$34,6,FALSE)-1/VLOOKUP(AD$45,$T$26:$Y$34,6,FALSE))*$Y$34)</f>
        <v>1000.1666666666665</v>
      </c>
      <c r="AE53" s="146"/>
      <c r="AF53" s="77"/>
      <c r="AG53" s="77"/>
      <c r="AH53" s="77"/>
      <c r="AI53" s="77"/>
      <c r="AJ53" s="77"/>
      <c r="AK53" s="77"/>
      <c r="AL53" s="77"/>
      <c r="AM53" s="77"/>
      <c r="AN53" s="77"/>
      <c r="AO53" s="77"/>
      <c r="AP53" s="77"/>
      <c r="AQ53" s="77"/>
      <c r="AR53" s="77"/>
      <c r="AS53" s="77"/>
      <c r="AT53" s="77"/>
      <c r="AU53" s="77"/>
      <c r="AV53" s="285"/>
    </row>
    <row r="54" spans="1:48" ht="14.25" customHeight="1">
      <c r="A54" s="313">
        <v>45</v>
      </c>
      <c r="B54" s="314">
        <v>0.03</v>
      </c>
      <c r="C54" s="315">
        <v>0.228681554444601</v>
      </c>
      <c r="D54" s="316">
        <v>23.645273949952902</v>
      </c>
      <c r="E54" s="245"/>
      <c r="F54" s="921" t="s">
        <v>383</v>
      </c>
      <c r="G54" s="922"/>
      <c r="H54" s="928" t="s">
        <v>384</v>
      </c>
      <c r="I54" s="922"/>
      <c r="J54" s="922"/>
      <c r="K54" s="922"/>
      <c r="L54" s="922"/>
      <c r="M54" s="922"/>
      <c r="N54" s="922"/>
      <c r="O54" s="922"/>
      <c r="P54" s="922"/>
      <c r="Q54" s="922"/>
      <c r="R54" s="929"/>
      <c r="S54" s="245"/>
      <c r="T54" s="977"/>
      <c r="U54" s="978"/>
      <c r="V54" s="995" t="s">
        <v>354</v>
      </c>
      <c r="W54" s="996"/>
      <c r="X54" s="996"/>
      <c r="Y54" s="997"/>
      <c r="Z54" s="369"/>
      <c r="AA54" s="370"/>
      <c r="AB54" s="169" cm="1">
        <f t="array" ref="AB54">($X$7/$Y$34)*((1/VLOOKUP($V54,$T$26:$Y$34,6,FALSE)-1/VLOOKUP(AB$45,$T$26:$Y$34,6,FALSE))*$Y$34)</f>
        <v>0</v>
      </c>
      <c r="AC54" s="169" cm="1">
        <f t="array" ref="AC54">($X$7/$Y$34)*((1/VLOOKUP($V54,$T$26:$Y$34,6,FALSE)-1/VLOOKUP(AC$45,$T$26:$Y$34,6,FALSE))*$Y$34)</f>
        <v>235.33333333333337</v>
      </c>
      <c r="AD54" s="367" cm="1">
        <f t="array" ref="AD54">($X$7/$Y$34)*((1/VLOOKUP($V54,$T$26:$Y$34,6,FALSE)-1/VLOOKUP(AD$45,$T$26:$Y$34,6,FALSE))*$Y$34)</f>
        <v>294.16666666666674</v>
      </c>
      <c r="AE54" s="146"/>
      <c r="AF54" s="77"/>
      <c r="AG54" s="77"/>
      <c r="AH54" s="77"/>
      <c r="AI54" s="77"/>
      <c r="AJ54" s="77"/>
      <c r="AK54" s="77"/>
      <c r="AL54" s="77"/>
      <c r="AM54" s="77"/>
      <c r="AN54" s="77"/>
      <c r="AO54" s="77"/>
      <c r="AP54" s="77"/>
      <c r="AQ54" s="77"/>
      <c r="AR54" s="77"/>
      <c r="AS54" s="77"/>
      <c r="AT54" s="77"/>
      <c r="AU54" s="77"/>
      <c r="AV54" s="285"/>
    </row>
    <row r="55" spans="1:48" ht="14.25" customHeight="1">
      <c r="A55" s="313">
        <v>46</v>
      </c>
      <c r="B55" s="314">
        <v>0.03</v>
      </c>
      <c r="C55" s="315">
        <v>0.222020926645244</v>
      </c>
      <c r="D55" s="316">
        <v>23.867294876598098</v>
      </c>
      <c r="E55" s="245"/>
      <c r="F55" s="923"/>
      <c r="G55" s="922"/>
      <c r="H55" s="922"/>
      <c r="I55" s="922"/>
      <c r="J55" s="922"/>
      <c r="K55" s="922"/>
      <c r="L55" s="922"/>
      <c r="M55" s="922"/>
      <c r="N55" s="922"/>
      <c r="O55" s="922"/>
      <c r="P55" s="922"/>
      <c r="Q55" s="922"/>
      <c r="R55" s="929"/>
      <c r="S55" s="245"/>
      <c r="T55" s="977"/>
      <c r="U55" s="978"/>
      <c r="V55" s="995" t="s">
        <v>359</v>
      </c>
      <c r="W55" s="996"/>
      <c r="X55" s="996"/>
      <c r="Y55" s="997"/>
      <c r="Z55" s="369"/>
      <c r="AA55" s="371"/>
      <c r="AB55" s="370"/>
      <c r="AC55" s="169" cm="1">
        <f t="array" ref="AC55">($X$7/$Y$34)*((1/VLOOKUP($V55,$T$26:$Y$34,6,FALSE)-1/VLOOKUP(AC$45,$T$26:$Y$34,6,FALSE))*$Y$34)</f>
        <v>0</v>
      </c>
      <c r="AD55" s="367" cm="1">
        <f t="array" ref="AD55">($X$7/$Y$34)*((1/VLOOKUP($V55,$T$26:$Y$34,6,FALSE)-1/VLOOKUP(AD$45,$T$26:$Y$34,6,FALSE))*$Y$34)</f>
        <v>58.833333333333343</v>
      </c>
      <c r="AE55" s="146"/>
      <c r="AF55" s="77"/>
      <c r="AG55" s="77"/>
      <c r="AH55" s="77"/>
      <c r="AI55" s="77"/>
      <c r="AJ55" s="77"/>
      <c r="AK55" s="77"/>
      <c r="AL55" s="77"/>
      <c r="AM55" s="77"/>
      <c r="AN55" s="77"/>
      <c r="AO55" s="77"/>
      <c r="AP55" s="77"/>
      <c r="AQ55" s="77"/>
      <c r="AR55" s="77"/>
      <c r="AS55" s="77"/>
      <c r="AT55" s="77"/>
      <c r="AU55" s="77"/>
      <c r="AV55" s="285"/>
    </row>
    <row r="56" spans="1:48" ht="14.25" customHeight="1">
      <c r="A56" s="313">
        <v>47</v>
      </c>
      <c r="B56" s="314">
        <v>0.03</v>
      </c>
      <c r="C56" s="315">
        <v>0.215554297713829</v>
      </c>
      <c r="D56" s="316">
        <v>24.0828491743119</v>
      </c>
      <c r="E56" s="245"/>
      <c r="F56" s="921" t="s">
        <v>385</v>
      </c>
      <c r="G56" s="922"/>
      <c r="H56" s="928" t="s">
        <v>386</v>
      </c>
      <c r="I56" s="922"/>
      <c r="J56" s="922"/>
      <c r="K56" s="922"/>
      <c r="L56" s="922"/>
      <c r="M56" s="922"/>
      <c r="N56" s="922"/>
      <c r="O56" s="922"/>
      <c r="P56" s="922"/>
      <c r="Q56" s="922"/>
      <c r="R56" s="929"/>
      <c r="S56" s="245"/>
      <c r="T56" s="979"/>
      <c r="U56" s="980"/>
      <c r="V56" s="995" t="s">
        <v>362</v>
      </c>
      <c r="W56" s="996"/>
      <c r="X56" s="996"/>
      <c r="Y56" s="997"/>
      <c r="Z56" s="372"/>
      <c r="AA56" s="373"/>
      <c r="AB56" s="373"/>
      <c r="AC56" s="374"/>
      <c r="AD56" s="367" cm="1">
        <f t="array" ref="AD56">($X$7/$Y$34)*((1/VLOOKUP($V56,$T$26:$Y$34,6,FALSE)-1/VLOOKUP(AD$45,$T$26:$Y$34,6,FALSE))*$Y$34)</f>
        <v>0</v>
      </c>
      <c r="AE56" s="146"/>
      <c r="AF56" s="77"/>
      <c r="AG56" s="77"/>
      <c r="AH56" s="77"/>
      <c r="AI56" s="77"/>
      <c r="AJ56" s="77"/>
      <c r="AK56" s="77"/>
      <c r="AL56" s="77"/>
      <c r="AM56" s="77"/>
      <c r="AN56" s="77"/>
      <c r="AO56" s="77"/>
      <c r="AP56" s="77"/>
      <c r="AQ56" s="77"/>
      <c r="AR56" s="77"/>
      <c r="AS56" s="77"/>
      <c r="AT56" s="77"/>
      <c r="AU56" s="77"/>
      <c r="AV56" s="285"/>
    </row>
    <row r="57" spans="1:48" ht="14.25" customHeight="1">
      <c r="A57" s="313">
        <v>48</v>
      </c>
      <c r="B57" s="314">
        <v>0.03</v>
      </c>
      <c r="C57" s="315">
        <v>0.20927601719789199</v>
      </c>
      <c r="D57" s="316">
        <v>24.2921251915098</v>
      </c>
      <c r="E57" s="245"/>
      <c r="F57" s="923"/>
      <c r="G57" s="922"/>
      <c r="H57" s="922"/>
      <c r="I57" s="922"/>
      <c r="J57" s="922"/>
      <c r="K57" s="922"/>
      <c r="L57" s="922"/>
      <c r="M57" s="922"/>
      <c r="N57" s="922"/>
      <c r="O57" s="922"/>
      <c r="P57" s="922"/>
      <c r="Q57" s="922"/>
      <c r="R57" s="929"/>
      <c r="S57" s="245"/>
      <c r="T57" s="990" t="s">
        <v>374</v>
      </c>
      <c r="U57" s="991"/>
      <c r="V57" s="991"/>
      <c r="W57" s="991"/>
      <c r="X57" s="991"/>
      <c r="Y57" s="991"/>
      <c r="Z57" s="987" t="s">
        <v>339</v>
      </c>
      <c r="AA57" s="987" t="s">
        <v>347</v>
      </c>
      <c r="AB57" s="987" t="s">
        <v>354</v>
      </c>
      <c r="AC57" s="987" t="s">
        <v>359</v>
      </c>
      <c r="AD57" s="984" t="s">
        <v>362</v>
      </c>
      <c r="AE57" s="146"/>
      <c r="AF57" s="77"/>
      <c r="AG57" s="77"/>
      <c r="AH57" s="77"/>
      <c r="AI57" s="77"/>
      <c r="AJ57" s="77"/>
      <c r="AK57" s="77"/>
      <c r="AL57" s="77"/>
      <c r="AM57" s="77"/>
      <c r="AN57" s="77"/>
      <c r="AO57" s="77"/>
      <c r="AP57" s="77"/>
      <c r="AQ57" s="77"/>
      <c r="AR57" s="77"/>
      <c r="AS57" s="77"/>
      <c r="AT57" s="77"/>
      <c r="AU57" s="77"/>
      <c r="AV57" s="285"/>
    </row>
    <row r="58" spans="1:48" ht="14.25" customHeight="1">
      <c r="A58" s="313">
        <v>49</v>
      </c>
      <c r="B58" s="314">
        <v>0.03</v>
      </c>
      <c r="C58" s="315">
        <v>0.203180599221255</v>
      </c>
      <c r="D58" s="316">
        <v>24.495305790731098</v>
      </c>
      <c r="E58" s="245"/>
      <c r="F58" s="924" t="s">
        <v>387</v>
      </c>
      <c r="G58" s="925"/>
      <c r="H58" s="928" t="s">
        <v>388</v>
      </c>
      <c r="I58" s="922"/>
      <c r="J58" s="922"/>
      <c r="K58" s="922"/>
      <c r="L58" s="922"/>
      <c r="M58" s="922"/>
      <c r="N58" s="922"/>
      <c r="O58" s="922"/>
      <c r="P58" s="922"/>
      <c r="Q58" s="922"/>
      <c r="R58" s="929"/>
      <c r="S58" s="245"/>
      <c r="T58" s="992"/>
      <c r="U58" s="991"/>
      <c r="V58" s="991"/>
      <c r="W58" s="991"/>
      <c r="X58" s="991"/>
      <c r="Y58" s="991"/>
      <c r="Z58" s="988"/>
      <c r="AA58" s="988"/>
      <c r="AB58" s="988"/>
      <c r="AC58" s="988"/>
      <c r="AD58" s="985"/>
      <c r="AE58" s="146"/>
      <c r="AF58" s="77"/>
      <c r="AG58" s="77"/>
      <c r="AH58" s="77"/>
      <c r="AI58" s="77"/>
      <c r="AJ58" s="77"/>
      <c r="AK58" s="77"/>
      <c r="AL58" s="77"/>
      <c r="AM58" s="77"/>
      <c r="AN58" s="77"/>
      <c r="AO58" s="77"/>
      <c r="AP58" s="77"/>
      <c r="AQ58" s="77"/>
      <c r="AR58" s="77"/>
      <c r="AS58" s="77"/>
      <c r="AT58" s="77"/>
      <c r="AU58" s="77"/>
      <c r="AV58" s="285"/>
    </row>
    <row r="59" spans="1:48" ht="14.25" customHeight="1">
      <c r="A59" s="313">
        <v>50</v>
      </c>
      <c r="B59" s="314">
        <v>0.03</v>
      </c>
      <c r="C59" s="315">
        <v>0.19726271769053799</v>
      </c>
      <c r="D59" s="316">
        <v>24.692568508421601</v>
      </c>
      <c r="E59" s="245"/>
      <c r="F59" s="926"/>
      <c r="G59" s="927"/>
      <c r="H59" s="998"/>
      <c r="I59" s="998"/>
      <c r="J59" s="998"/>
      <c r="K59" s="998"/>
      <c r="L59" s="998"/>
      <c r="M59" s="998"/>
      <c r="N59" s="998"/>
      <c r="O59" s="998"/>
      <c r="P59" s="998"/>
      <c r="Q59" s="998"/>
      <c r="R59" s="999"/>
      <c r="S59" s="245"/>
      <c r="T59" s="993"/>
      <c r="U59" s="994"/>
      <c r="V59" s="994"/>
      <c r="W59" s="994"/>
      <c r="X59" s="994"/>
      <c r="Y59" s="994"/>
      <c r="Z59" s="989"/>
      <c r="AA59" s="989"/>
      <c r="AB59" s="989"/>
      <c r="AC59" s="989"/>
      <c r="AD59" s="986"/>
      <c r="AE59" s="146"/>
      <c r="AF59" s="77"/>
      <c r="AG59" s="77"/>
      <c r="AH59" s="77"/>
      <c r="AI59" s="77"/>
      <c r="AJ59" s="77"/>
      <c r="AK59" s="77"/>
      <c r="AL59" s="77"/>
      <c r="AM59" s="77"/>
      <c r="AN59" s="77"/>
      <c r="AO59" s="77"/>
      <c r="AP59" s="77"/>
      <c r="AQ59" s="77"/>
      <c r="AR59" s="77"/>
      <c r="AS59" s="77"/>
      <c r="AT59" s="77"/>
      <c r="AU59" s="77"/>
      <c r="AV59" s="285"/>
    </row>
    <row r="60" spans="1:48" ht="14.25" customHeight="1">
      <c r="A60" s="313">
        <v>51</v>
      </c>
      <c r="B60" s="314">
        <v>0.03</v>
      </c>
      <c r="C60" s="315">
        <v>0.19151720164129901</v>
      </c>
      <c r="D60" s="316">
        <v>24.884085710062902</v>
      </c>
      <c r="E60" s="146"/>
      <c r="F60" s="112"/>
      <c r="G60" s="112"/>
      <c r="H60" s="112"/>
      <c r="I60" s="112"/>
      <c r="J60" s="112"/>
      <c r="K60" s="112"/>
      <c r="L60" s="112"/>
      <c r="M60" s="112"/>
      <c r="N60" s="112"/>
      <c r="O60" s="112"/>
      <c r="P60" s="112"/>
      <c r="Q60" s="112"/>
      <c r="R60" s="112"/>
      <c r="S60" s="77"/>
      <c r="T60" s="112"/>
      <c r="U60" s="112"/>
      <c r="V60" s="112"/>
      <c r="W60" s="112"/>
      <c r="X60" s="112"/>
      <c r="Y60" s="112"/>
      <c r="Z60" s="112"/>
      <c r="AA60" s="112"/>
      <c r="AB60" s="112"/>
      <c r="AC60" s="112"/>
      <c r="AD60" s="112"/>
      <c r="AE60" s="77"/>
      <c r="AF60" s="77"/>
      <c r="AG60" s="77"/>
      <c r="AH60" s="77"/>
      <c r="AI60" s="77"/>
      <c r="AJ60" s="77"/>
      <c r="AK60" s="77"/>
      <c r="AL60" s="77"/>
      <c r="AM60" s="77"/>
      <c r="AN60" s="77"/>
      <c r="AO60" s="77"/>
      <c r="AP60" s="77"/>
      <c r="AQ60" s="77"/>
      <c r="AR60" s="77"/>
      <c r="AS60" s="77"/>
      <c r="AT60" s="77"/>
      <c r="AU60" s="77"/>
      <c r="AV60" s="285"/>
    </row>
    <row r="61" spans="1:48" ht="14.25" customHeight="1">
      <c r="A61" s="313">
        <v>52</v>
      </c>
      <c r="B61" s="314">
        <v>0.03</v>
      </c>
      <c r="C61" s="315">
        <v>0.18593903071970799</v>
      </c>
      <c r="D61" s="316">
        <v>25.0700247407826</v>
      </c>
      <c r="E61" s="146"/>
      <c r="F61" s="77"/>
      <c r="G61" s="77"/>
      <c r="H61" s="77"/>
      <c r="I61" s="77"/>
      <c r="J61" s="77"/>
      <c r="K61" s="77"/>
      <c r="L61" s="77"/>
      <c r="M61" s="77"/>
      <c r="N61" s="77"/>
      <c r="O61" s="77"/>
      <c r="P61" s="77"/>
      <c r="Q61" s="77"/>
      <c r="R61" s="77"/>
      <c r="S61" s="77"/>
      <c r="T61" s="77"/>
      <c r="U61" s="77"/>
      <c r="V61" s="77"/>
      <c r="W61" s="77"/>
      <c r="X61" s="77"/>
      <c r="Y61" s="77"/>
      <c r="Z61" s="375"/>
      <c r="AA61" s="375"/>
      <c r="AB61" s="375"/>
      <c r="AC61" s="375"/>
      <c r="AD61" s="375"/>
      <c r="AE61" s="77"/>
      <c r="AF61" s="77"/>
      <c r="AG61" s="77"/>
      <c r="AH61" s="77"/>
      <c r="AI61" s="77"/>
      <c r="AJ61" s="77"/>
      <c r="AK61" s="77"/>
      <c r="AL61" s="77"/>
      <c r="AM61" s="77"/>
      <c r="AN61" s="77"/>
      <c r="AO61" s="77"/>
      <c r="AP61" s="77"/>
      <c r="AQ61" s="77"/>
      <c r="AR61" s="77"/>
      <c r="AS61" s="77"/>
      <c r="AT61" s="77"/>
      <c r="AU61" s="77"/>
      <c r="AV61" s="285"/>
    </row>
    <row r="62" spans="1:48" ht="14.25" customHeight="1">
      <c r="A62" s="313">
        <v>53</v>
      </c>
      <c r="B62" s="314">
        <v>0.03</v>
      </c>
      <c r="C62" s="315">
        <v>0.18052333079583299</v>
      </c>
      <c r="D62" s="316">
        <v>25.2505480715785</v>
      </c>
      <c r="E62" s="146"/>
      <c r="F62" s="77"/>
      <c r="G62" s="77"/>
      <c r="H62" s="77"/>
      <c r="I62" s="77"/>
      <c r="J62" s="77"/>
      <c r="K62" s="77"/>
      <c r="L62" s="77"/>
      <c r="M62" s="77"/>
      <c r="N62" s="77"/>
      <c r="O62" s="77"/>
      <c r="P62" s="77"/>
      <c r="Q62" s="77"/>
      <c r="R62" s="77"/>
      <c r="S62" s="77"/>
      <c r="T62" s="77"/>
      <c r="U62" s="77"/>
      <c r="V62" s="77"/>
      <c r="W62" s="77"/>
      <c r="X62" s="77"/>
      <c r="Y62" s="77"/>
      <c r="Z62" s="971"/>
      <c r="AA62" s="971"/>
      <c r="AB62" s="971"/>
      <c r="AC62" s="971"/>
      <c r="AD62" s="971"/>
      <c r="AE62" s="77"/>
      <c r="AF62" s="77"/>
      <c r="AG62" s="77"/>
      <c r="AH62" s="77"/>
      <c r="AI62" s="77"/>
      <c r="AJ62" s="77"/>
      <c r="AK62" s="77"/>
      <c r="AL62" s="77"/>
      <c r="AM62" s="77"/>
      <c r="AN62" s="77"/>
      <c r="AO62" s="77"/>
      <c r="AP62" s="77"/>
      <c r="AQ62" s="77"/>
      <c r="AR62" s="77"/>
      <c r="AS62" s="77"/>
      <c r="AT62" s="77"/>
      <c r="AU62" s="77"/>
      <c r="AV62" s="285"/>
    </row>
    <row r="63" spans="1:48" ht="14.25" customHeight="1">
      <c r="A63" s="313">
        <v>54</v>
      </c>
      <c r="B63" s="314">
        <v>0.03</v>
      </c>
      <c r="C63" s="315">
        <v>0.175265369704692</v>
      </c>
      <c r="D63" s="316">
        <v>25.4258134412832</v>
      </c>
      <c r="E63" s="146"/>
      <c r="F63" s="77"/>
      <c r="G63" s="77"/>
      <c r="H63" s="77"/>
      <c r="I63" s="77"/>
      <c r="J63" s="77"/>
      <c r="K63" s="77"/>
      <c r="L63" s="77"/>
      <c r="M63" s="77"/>
      <c r="N63" s="77"/>
      <c r="O63" s="77"/>
      <c r="P63" s="77"/>
      <c r="Q63" s="77"/>
      <c r="R63" s="77"/>
      <c r="S63" s="77"/>
      <c r="T63" s="77"/>
      <c r="U63" s="77"/>
      <c r="V63" s="77"/>
      <c r="W63" s="77"/>
      <c r="X63" s="77"/>
      <c r="Y63" s="77"/>
      <c r="Z63" s="971"/>
      <c r="AA63" s="971"/>
      <c r="AB63" s="971"/>
      <c r="AC63" s="971"/>
      <c r="AD63" s="971"/>
      <c r="AE63" s="77"/>
      <c r="AF63" s="77"/>
      <c r="AG63" s="77"/>
      <c r="AH63" s="77"/>
      <c r="AI63" s="77"/>
      <c r="AJ63" s="77"/>
      <c r="AK63" s="77"/>
      <c r="AL63" s="77"/>
      <c r="AM63" s="77"/>
      <c r="AN63" s="77"/>
      <c r="AO63" s="77"/>
      <c r="AP63" s="77"/>
      <c r="AQ63" s="77"/>
      <c r="AR63" s="77"/>
      <c r="AS63" s="77"/>
      <c r="AT63" s="77"/>
      <c r="AU63" s="77"/>
      <c r="AV63" s="285"/>
    </row>
    <row r="64" spans="1:48" ht="14.25" customHeight="1">
      <c r="A64" s="313">
        <v>55</v>
      </c>
      <c r="B64" s="314">
        <v>0.03</v>
      </c>
      <c r="C64" s="315">
        <v>0.170160553111352</v>
      </c>
      <c r="D64" s="316">
        <v>25.595973994394502</v>
      </c>
      <c r="E64" s="146"/>
      <c r="F64" s="77"/>
      <c r="G64" s="77"/>
      <c r="H64" s="77"/>
      <c r="I64" s="77"/>
      <c r="J64" s="77"/>
      <c r="K64" s="77"/>
      <c r="L64" s="77"/>
      <c r="M64" s="77"/>
      <c r="N64" s="77"/>
      <c r="O64" s="77"/>
      <c r="P64" s="77"/>
      <c r="Q64" s="77"/>
      <c r="R64" s="77"/>
      <c r="S64" s="77"/>
      <c r="T64" s="77"/>
      <c r="U64" s="77"/>
      <c r="V64" s="77"/>
      <c r="W64" s="77"/>
      <c r="X64" s="77"/>
      <c r="Y64" s="77"/>
      <c r="Z64" s="971"/>
      <c r="AA64" s="971"/>
      <c r="AB64" s="971"/>
      <c r="AC64" s="971"/>
      <c r="AD64" s="971"/>
      <c r="AE64" s="77"/>
      <c r="AF64" s="77"/>
      <c r="AG64" s="77"/>
      <c r="AH64" s="77"/>
      <c r="AI64" s="77"/>
      <c r="AJ64" s="77"/>
      <c r="AK64" s="77"/>
      <c r="AL64" s="77"/>
      <c r="AM64" s="77"/>
      <c r="AN64" s="77"/>
      <c r="AO64" s="77"/>
      <c r="AP64" s="77"/>
      <c r="AQ64" s="77"/>
      <c r="AR64" s="77"/>
      <c r="AS64" s="77"/>
      <c r="AT64" s="77"/>
      <c r="AU64" s="77"/>
      <c r="AV64" s="285"/>
    </row>
    <row r="65" spans="1:48" ht="14.25" customHeight="1">
      <c r="A65" s="313">
        <v>56</v>
      </c>
      <c r="B65" s="314">
        <v>0.03</v>
      </c>
      <c r="C65" s="315">
        <v>0.165204420496458</v>
      </c>
      <c r="D65" s="316">
        <v>25.761178414890999</v>
      </c>
      <c r="E65" s="146"/>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285"/>
    </row>
    <row r="66" spans="1:48" ht="14.25" customHeight="1">
      <c r="A66" s="313">
        <v>57</v>
      </c>
      <c r="B66" s="314">
        <v>0.03</v>
      </c>
      <c r="C66" s="315">
        <v>0.16039264125869701</v>
      </c>
      <c r="D66" s="316">
        <v>25.921571056149698</v>
      </c>
      <c r="E66" s="146"/>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285"/>
    </row>
    <row r="67" spans="1:48" ht="14.25" customHeight="1">
      <c r="A67" s="313">
        <v>58</v>
      </c>
      <c r="B67" s="314">
        <v>0.03</v>
      </c>
      <c r="C67" s="315">
        <v>0.15572101093077401</v>
      </c>
      <c r="D67" s="316">
        <v>26.0772920670804</v>
      </c>
      <c r="E67" s="146"/>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7"/>
      <c r="AT67" s="77"/>
      <c r="AU67" s="77"/>
      <c r="AV67" s="285"/>
    </row>
    <row r="68" spans="1:48" ht="14.25" customHeight="1">
      <c r="A68" s="313">
        <v>59</v>
      </c>
      <c r="B68" s="314">
        <v>0.03</v>
      </c>
      <c r="C68" s="315">
        <v>0.151185447505606</v>
      </c>
      <c r="D68" s="316">
        <v>26.2284775145861</v>
      </c>
      <c r="E68" s="146"/>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285"/>
    </row>
    <row r="69" spans="1:48" ht="14.25" customHeight="1">
      <c r="A69" s="313">
        <v>60</v>
      </c>
      <c r="B69" s="314">
        <v>0.03</v>
      </c>
      <c r="C69" s="315">
        <v>0.14678198786951999</v>
      </c>
      <c r="D69" s="316">
        <v>26.375259502455599</v>
      </c>
      <c r="E69" s="146"/>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285"/>
    </row>
    <row r="70" spans="1:48" ht="14.25" customHeight="1">
      <c r="A70" s="313">
        <v>61</v>
      </c>
      <c r="B70" s="314">
        <v>0.03</v>
      </c>
      <c r="C70" s="315">
        <v>0.14250678433934</v>
      </c>
      <c r="D70" s="316">
        <v>26.517766286794899</v>
      </c>
      <c r="E70" s="146"/>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285"/>
    </row>
    <row r="71" spans="1:48" ht="14.25" customHeight="1">
      <c r="A71" s="313">
        <v>62</v>
      </c>
      <c r="B71" s="314">
        <v>0.03</v>
      </c>
      <c r="C71" s="315">
        <v>0.13835610130032999</v>
      </c>
      <c r="D71" s="316">
        <v>26.656122388095199</v>
      </c>
      <c r="E71" s="146"/>
      <c r="F71" s="77"/>
      <c r="G71" s="77"/>
      <c r="H71" s="77"/>
      <c r="I71" s="77"/>
      <c r="J71" s="77"/>
      <c r="K71" s="77"/>
      <c r="L71" s="77"/>
      <c r="M71" s="77"/>
      <c r="N71" s="77"/>
      <c r="O71" s="77"/>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7"/>
      <c r="AR71" s="77"/>
      <c r="AS71" s="77"/>
      <c r="AT71" s="77"/>
      <c r="AU71" s="77"/>
      <c r="AV71" s="285"/>
    </row>
    <row r="72" spans="1:48" ht="14.25" customHeight="1">
      <c r="A72" s="313">
        <v>63</v>
      </c>
      <c r="B72" s="314">
        <v>0.03</v>
      </c>
      <c r="C72" s="315">
        <v>0.13432631194206801</v>
      </c>
      <c r="D72" s="316">
        <v>26.790448700037299</v>
      </c>
      <c r="E72" s="146"/>
      <c r="F72" s="77"/>
      <c r="G72" s="77"/>
      <c r="H72" s="77"/>
      <c r="I72" s="77"/>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285"/>
    </row>
    <row r="73" spans="1:48" ht="14.25" customHeight="1">
      <c r="A73" s="313">
        <v>64</v>
      </c>
      <c r="B73" s="314">
        <v>0.03</v>
      </c>
      <c r="C73" s="315">
        <v>0.130413895089387</v>
      </c>
      <c r="D73" s="316">
        <v>26.9208625951267</v>
      </c>
      <c r="E73" s="146"/>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285"/>
    </row>
    <row r="74" spans="1:48" ht="14.25" customHeight="1">
      <c r="A74" s="313">
        <v>65</v>
      </c>
      <c r="B74" s="314">
        <v>0.03</v>
      </c>
      <c r="C74" s="315">
        <v>0.12661543212561799</v>
      </c>
      <c r="D74" s="316">
        <v>27.0474780272523</v>
      </c>
      <c r="E74" s="146"/>
      <c r="F74" s="77"/>
      <c r="G74" s="77"/>
      <c r="H74" s="77"/>
      <c r="I74" s="77"/>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285"/>
    </row>
    <row r="75" spans="1:48" ht="14.25" customHeight="1">
      <c r="A75" s="313">
        <v>66</v>
      </c>
      <c r="B75" s="314">
        <v>0.03</v>
      </c>
      <c r="C75" s="315">
        <v>0.12292760400545399</v>
      </c>
      <c r="D75" s="316">
        <v>27.1704056312578</v>
      </c>
      <c r="E75" s="146"/>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285"/>
    </row>
    <row r="76" spans="1:48" ht="14.25" customHeight="1">
      <c r="A76" s="313">
        <v>67</v>
      </c>
      <c r="B76" s="314">
        <v>0.03</v>
      </c>
      <c r="C76" s="315">
        <v>0.11934718835480999</v>
      </c>
      <c r="D76" s="316">
        <v>27.289752819612598</v>
      </c>
      <c r="E76" s="146"/>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285"/>
    </row>
    <row r="77" spans="1:48" ht="14.25" customHeight="1">
      <c r="A77" s="313">
        <v>68</v>
      </c>
      <c r="B77" s="314">
        <v>0.03</v>
      </c>
      <c r="C77" s="315">
        <v>0.115871056655155</v>
      </c>
      <c r="D77" s="316">
        <v>27.4056238762677</v>
      </c>
      <c r="E77" s="146"/>
      <c r="F77" s="77"/>
      <c r="G77" s="77"/>
      <c r="H77" s="77"/>
      <c r="I77" s="77"/>
      <c r="J77" s="77"/>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285"/>
    </row>
    <row r="78" spans="1:48" ht="14.25" customHeight="1">
      <c r="A78" s="313">
        <v>69</v>
      </c>
      <c r="B78" s="314">
        <v>0.03</v>
      </c>
      <c r="C78" s="315">
        <v>0.11249617150985999</v>
      </c>
      <c r="D78" s="316">
        <v>27.5181200477776</v>
      </c>
      <c r="E78" s="146"/>
      <c r="F78" s="77"/>
      <c r="G78" s="77"/>
      <c r="H78" s="77"/>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285"/>
    </row>
    <row r="79" spans="1:48" ht="14.25" customHeight="1">
      <c r="A79" s="313">
        <v>70</v>
      </c>
      <c r="B79" s="314">
        <v>0.03</v>
      </c>
      <c r="C79" s="315">
        <v>0.10921958399015499</v>
      </c>
      <c r="D79" s="316">
        <v>27.6273396317678</v>
      </c>
      <c r="E79" s="146"/>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285"/>
    </row>
    <row r="80" spans="1:48" ht="14.25" customHeight="1">
      <c r="A80" s="313">
        <v>71</v>
      </c>
      <c r="B80" s="314">
        <v>0.03</v>
      </c>
      <c r="C80" s="315">
        <v>0.10603843105840299</v>
      </c>
      <c r="D80" s="316">
        <v>27.733378062826201</v>
      </c>
      <c r="E80" s="146"/>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285"/>
    </row>
    <row r="81" spans="1:48" ht="14.25" customHeight="1">
      <c r="A81" s="313">
        <v>72</v>
      </c>
      <c r="B81" s="314">
        <v>0.03</v>
      </c>
      <c r="C81" s="315">
        <v>0.102949933066411</v>
      </c>
      <c r="D81" s="316">
        <v>27.836327995892599</v>
      </c>
      <c r="E81" s="146"/>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285"/>
    </row>
    <row r="82" spans="1:48" ht="14.25" customHeight="1">
      <c r="A82" s="313">
        <v>73</v>
      </c>
      <c r="B82" s="314">
        <v>0.03</v>
      </c>
      <c r="C82" s="315">
        <v>9.9951391326612196E-2</v>
      </c>
      <c r="D82" s="316">
        <v>27.936279387219201</v>
      </c>
      <c r="E82" s="146"/>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c r="AP82" s="77"/>
      <c r="AQ82" s="77"/>
      <c r="AR82" s="77"/>
      <c r="AS82" s="77"/>
      <c r="AT82" s="77"/>
      <c r="AU82" s="77"/>
      <c r="AV82" s="285"/>
    </row>
    <row r="83" spans="1:48" ht="14.25" customHeight="1">
      <c r="A83" s="313">
        <v>74</v>
      </c>
      <c r="B83" s="314">
        <v>0.03</v>
      </c>
      <c r="C83" s="315">
        <v>9.7040185753992397E-2</v>
      </c>
      <c r="D83" s="316">
        <v>28.033319572973198</v>
      </c>
      <c r="E83" s="146"/>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c r="AP83" s="77"/>
      <c r="AQ83" s="77"/>
      <c r="AR83" s="77"/>
      <c r="AS83" s="77"/>
      <c r="AT83" s="77"/>
      <c r="AU83" s="77"/>
      <c r="AV83" s="285"/>
    </row>
    <row r="84" spans="1:48" ht="14.25" customHeight="1">
      <c r="A84" s="313">
        <v>75</v>
      </c>
      <c r="B84" s="314">
        <v>0.03</v>
      </c>
      <c r="C84" s="315">
        <v>9.4213772576691598E-2</v>
      </c>
      <c r="D84" s="316">
        <v>28.127533345549899</v>
      </c>
      <c r="E84" s="146"/>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c r="AP84" s="77"/>
      <c r="AQ84" s="77"/>
      <c r="AR84" s="77"/>
      <c r="AS84" s="77"/>
      <c r="AT84" s="77"/>
      <c r="AU84" s="77"/>
      <c r="AV84" s="285"/>
    </row>
    <row r="85" spans="1:48" ht="14.25" customHeight="1">
      <c r="A85" s="313">
        <v>76</v>
      </c>
      <c r="B85" s="314">
        <v>2.5000000000000001E-2</v>
      </c>
      <c r="C85" s="315">
        <v>9.1915875684577195E-2</v>
      </c>
      <c r="D85" s="316">
        <v>28.219449221234399</v>
      </c>
      <c r="E85" s="146"/>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c r="AP85" s="77"/>
      <c r="AQ85" s="77"/>
      <c r="AR85" s="77"/>
      <c r="AS85" s="77"/>
      <c r="AT85" s="77"/>
      <c r="AU85" s="77"/>
      <c r="AV85" s="285"/>
    </row>
    <row r="86" spans="1:48" ht="14.25" customHeight="1">
      <c r="A86" s="313">
        <v>77</v>
      </c>
      <c r="B86" s="314">
        <v>2.5000000000000001E-2</v>
      </c>
      <c r="C86" s="315">
        <v>8.9674025058124093E-2</v>
      </c>
      <c r="D86" s="316">
        <v>28.3091232462926</v>
      </c>
      <c r="E86" s="146"/>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c r="AP86" s="77"/>
      <c r="AQ86" s="77"/>
      <c r="AR86" s="77"/>
      <c r="AS86" s="77"/>
      <c r="AT86" s="77"/>
      <c r="AU86" s="77"/>
      <c r="AV86" s="285"/>
    </row>
    <row r="87" spans="1:48" ht="14.25" customHeight="1">
      <c r="A87" s="313">
        <v>78</v>
      </c>
      <c r="B87" s="314">
        <v>2.5000000000000001E-2</v>
      </c>
      <c r="C87" s="315">
        <v>8.7486853715242993E-2</v>
      </c>
      <c r="D87" s="316">
        <v>28.396610100007798</v>
      </c>
      <c r="E87" s="146"/>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285"/>
    </row>
    <row r="88" spans="1:48" ht="14.25" customHeight="1">
      <c r="A88" s="313">
        <v>79</v>
      </c>
      <c r="B88" s="314">
        <v>2.5000000000000001E-2</v>
      </c>
      <c r="C88" s="315">
        <v>8.5353028014871296E-2</v>
      </c>
      <c r="D88" s="316">
        <v>28.481963128022699</v>
      </c>
      <c r="E88" s="146"/>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c r="AP88" s="77"/>
      <c r="AQ88" s="77"/>
      <c r="AR88" s="77"/>
      <c r="AS88" s="77"/>
      <c r="AT88" s="77"/>
      <c r="AU88" s="77"/>
      <c r="AV88" s="285"/>
    </row>
    <row r="89" spans="1:48" ht="14.25" customHeight="1">
      <c r="A89" s="313">
        <v>80</v>
      </c>
      <c r="B89" s="314">
        <v>2.5000000000000001E-2</v>
      </c>
      <c r="C89" s="315">
        <v>8.3271246843776806E-2</v>
      </c>
      <c r="D89" s="316">
        <v>28.565234374866499</v>
      </c>
      <c r="E89" s="146"/>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c r="AP89" s="77"/>
      <c r="AQ89" s="77"/>
      <c r="AR89" s="77"/>
      <c r="AS89" s="77"/>
      <c r="AT89" s="77"/>
      <c r="AU89" s="77"/>
      <c r="AV89" s="285"/>
    </row>
    <row r="90" spans="1:48" ht="14.25" customHeight="1">
      <c r="A90" s="313">
        <v>81</v>
      </c>
      <c r="B90" s="314">
        <v>2.5000000000000001E-2</v>
      </c>
      <c r="C90" s="315">
        <v>8.1240240823196905E-2</v>
      </c>
      <c r="D90" s="316">
        <v>28.646474615689598</v>
      </c>
      <c r="E90" s="146"/>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c r="AP90" s="77"/>
      <c r="AQ90" s="77"/>
      <c r="AR90" s="77"/>
      <c r="AS90" s="77"/>
      <c r="AT90" s="77"/>
      <c r="AU90" s="77"/>
      <c r="AV90" s="285"/>
    </row>
    <row r="91" spans="1:48" ht="14.25" customHeight="1">
      <c r="A91" s="313">
        <v>82</v>
      </c>
      <c r="B91" s="314">
        <v>2.5000000000000001E-2</v>
      </c>
      <c r="C91" s="315">
        <v>7.92587715348263E-2</v>
      </c>
      <c r="D91" s="316">
        <v>28.725733387224501</v>
      </c>
      <c r="E91" s="146"/>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285"/>
    </row>
    <row r="92" spans="1:48" ht="14.25" customHeight="1">
      <c r="A92" s="313">
        <v>83</v>
      </c>
      <c r="B92" s="314">
        <v>2.5000000000000001E-2</v>
      </c>
      <c r="C92" s="315">
        <v>7.7325630765684203E-2</v>
      </c>
      <c r="D92" s="316">
        <v>28.803059017990201</v>
      </c>
      <c r="E92" s="146"/>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285"/>
    </row>
    <row r="93" spans="1:48" ht="14.25" customHeight="1">
      <c r="A93" s="313">
        <v>84</v>
      </c>
      <c r="B93" s="314">
        <v>2.5000000000000001E-2</v>
      </c>
      <c r="C93" s="315">
        <v>7.5439639771399197E-2</v>
      </c>
      <c r="D93" s="316">
        <v>28.8784986577616</v>
      </c>
      <c r="E93" s="146"/>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285"/>
    </row>
    <row r="94" spans="1:48" ht="14.25" customHeight="1">
      <c r="A94" s="313">
        <v>85</v>
      </c>
      <c r="B94" s="314">
        <v>2.5000000000000001E-2</v>
      </c>
      <c r="C94" s="315">
        <v>7.3599648557462594E-2</v>
      </c>
      <c r="D94" s="316">
        <v>28.952098306319002</v>
      </c>
      <c r="E94" s="146"/>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285"/>
    </row>
    <row r="95" spans="1:48" ht="14.25" customHeight="1">
      <c r="A95" s="313">
        <v>86</v>
      </c>
      <c r="B95" s="314">
        <v>2.5000000000000001E-2</v>
      </c>
      <c r="C95" s="315">
        <v>7.1804535178012302E-2</v>
      </c>
      <c r="D95" s="316">
        <v>29.023902841497002</v>
      </c>
      <c r="E95" s="146"/>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7"/>
      <c r="AT95" s="77"/>
      <c r="AU95" s="77"/>
      <c r="AV95" s="285"/>
    </row>
    <row r="96" spans="1:48" ht="14.25" customHeight="1">
      <c r="A96" s="313">
        <v>87</v>
      </c>
      <c r="B96" s="314">
        <v>2.5000000000000001E-2</v>
      </c>
      <c r="C96" s="315">
        <v>7.00532050517194E-2</v>
      </c>
      <c r="D96" s="316">
        <v>29.093956046548801</v>
      </c>
      <c r="E96" s="146"/>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c r="AP96" s="77"/>
      <c r="AQ96" s="77"/>
      <c r="AR96" s="77"/>
      <c r="AS96" s="77"/>
      <c r="AT96" s="77"/>
      <c r="AU96" s="77"/>
      <c r="AV96" s="285"/>
    </row>
    <row r="97" spans="1:48" ht="14.25" customHeight="1">
      <c r="A97" s="313">
        <v>88</v>
      </c>
      <c r="B97" s="314">
        <v>2.5000000000000001E-2</v>
      </c>
      <c r="C97" s="315">
        <v>6.8344590294360394E-2</v>
      </c>
      <c r="D97" s="316">
        <v>29.162300636843099</v>
      </c>
      <c r="E97" s="146"/>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c r="AP97" s="77"/>
      <c r="AQ97" s="77"/>
      <c r="AR97" s="77"/>
      <c r="AS97" s="77"/>
      <c r="AT97" s="77"/>
      <c r="AU97" s="77"/>
      <c r="AV97" s="285"/>
    </row>
    <row r="98" spans="1:48" ht="14.25" customHeight="1">
      <c r="A98" s="313">
        <v>89</v>
      </c>
      <c r="B98" s="314">
        <v>2.5000000000000001E-2</v>
      </c>
      <c r="C98" s="315">
        <v>6.6677649067668696E-2</v>
      </c>
      <c r="D98" s="316">
        <v>29.228978285910799</v>
      </c>
      <c r="E98" s="146"/>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285"/>
    </row>
    <row r="99" spans="1:48" ht="14.25" customHeight="1">
      <c r="A99" s="313">
        <v>90</v>
      </c>
      <c r="B99" s="314">
        <v>2.5000000000000001E-2</v>
      </c>
      <c r="C99" s="315">
        <v>6.5051364944067006E-2</v>
      </c>
      <c r="D99" s="316">
        <v>29.294029650854799</v>
      </c>
      <c r="E99" s="146"/>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c r="AS99" s="77"/>
      <c r="AT99" s="77"/>
      <c r="AU99" s="77"/>
      <c r="AV99" s="285"/>
    </row>
    <row r="100" spans="1:48" ht="14.25" customHeight="1">
      <c r="A100" s="313">
        <v>91</v>
      </c>
      <c r="B100" s="314">
        <v>2.5000000000000001E-2</v>
      </c>
      <c r="C100" s="315">
        <v>6.3464746286894594E-2</v>
      </c>
      <c r="D100" s="316">
        <v>29.3574943971417</v>
      </c>
      <c r="E100" s="146"/>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c r="AV100" s="285"/>
    </row>
    <row r="101" spans="1:48" ht="14.25" customHeight="1">
      <c r="A101" s="313">
        <v>92</v>
      </c>
      <c r="B101" s="314">
        <v>2.5000000000000001E-2</v>
      </c>
      <c r="C101" s="315">
        <v>6.1916825645750899E-2</v>
      </c>
      <c r="D101" s="316">
        <v>29.419411222787499</v>
      </c>
      <c r="E101" s="146"/>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c r="AV101" s="285"/>
    </row>
    <row r="102" spans="1:48" ht="14.25" customHeight="1">
      <c r="A102" s="313">
        <v>93</v>
      </c>
      <c r="B102" s="314">
        <v>2.5000000000000001E-2</v>
      </c>
      <c r="C102" s="315">
        <v>6.0406659166586198E-2</v>
      </c>
      <c r="D102" s="316">
        <v>29.479817881954101</v>
      </c>
      <c r="E102" s="146"/>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285"/>
    </row>
    <row r="103" spans="1:48" ht="14.25" customHeight="1">
      <c r="A103" s="313">
        <v>94</v>
      </c>
      <c r="B103" s="314">
        <v>2.5000000000000001E-2</v>
      </c>
      <c r="C103" s="315">
        <v>5.8933326016181703E-2</v>
      </c>
      <c r="D103" s="316">
        <v>29.5387512079703</v>
      </c>
      <c r="E103" s="146"/>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285"/>
    </row>
    <row r="104" spans="1:48" ht="14.25" customHeight="1">
      <c r="A104" s="313">
        <v>95</v>
      </c>
      <c r="B104" s="314">
        <v>2.5000000000000001E-2</v>
      </c>
      <c r="C104" s="315">
        <v>5.7495927820665101E-2</v>
      </c>
      <c r="D104" s="316">
        <v>29.5962471357909</v>
      </c>
      <c r="E104" s="146"/>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c r="AV104" s="285"/>
    </row>
    <row r="105" spans="1:48" ht="14.25" customHeight="1">
      <c r="A105" s="313">
        <v>96</v>
      </c>
      <c r="B105" s="314">
        <v>2.5000000000000001E-2</v>
      </c>
      <c r="C105" s="315">
        <v>5.6093588117721999E-2</v>
      </c>
      <c r="D105" s="316">
        <v>29.652340723908601</v>
      </c>
      <c r="E105" s="146"/>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285"/>
    </row>
    <row r="106" spans="1:48" ht="14.25" customHeight="1">
      <c r="A106" s="313">
        <v>97</v>
      </c>
      <c r="B106" s="314">
        <v>2.5000000000000001E-2</v>
      </c>
      <c r="C106" s="315">
        <v>5.47254518221678E-2</v>
      </c>
      <c r="D106" s="316">
        <v>29.707066175730802</v>
      </c>
      <c r="E106" s="146"/>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c r="AV106" s="285"/>
    </row>
    <row r="107" spans="1:48" ht="14.25" customHeight="1">
      <c r="A107" s="313">
        <v>98</v>
      </c>
      <c r="B107" s="314">
        <v>2.5000000000000001E-2</v>
      </c>
      <c r="C107" s="315">
        <v>5.3390684704553999E-2</v>
      </c>
      <c r="D107" s="316">
        <v>29.760456860435401</v>
      </c>
      <c r="E107" s="146"/>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285"/>
    </row>
    <row r="108" spans="1:48" ht="14.25" customHeight="1">
      <c r="A108" s="313">
        <v>99</v>
      </c>
      <c r="B108" s="314">
        <v>2.5000000000000001E-2</v>
      </c>
      <c r="C108" s="315">
        <v>5.2088472882491701E-2</v>
      </c>
      <c r="D108" s="316">
        <v>29.8125453333179</v>
      </c>
      <c r="E108" s="146"/>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c r="AV108" s="285"/>
    </row>
    <row r="109" spans="1:48" ht="14.25" customHeight="1">
      <c r="A109" s="376">
        <v>100</v>
      </c>
      <c r="B109" s="377">
        <v>2.5000000000000001E-2</v>
      </c>
      <c r="C109" s="378">
        <v>5.0818022324382102E-2</v>
      </c>
      <c r="D109" s="379">
        <v>29.8633633556422</v>
      </c>
      <c r="E109" s="380"/>
      <c r="F109" s="283"/>
      <c r="G109" s="283"/>
      <c r="H109" s="283"/>
      <c r="I109" s="283"/>
      <c r="J109" s="283"/>
      <c r="K109" s="283"/>
      <c r="L109" s="283"/>
      <c r="M109" s="283"/>
      <c r="N109" s="283"/>
      <c r="O109" s="283"/>
      <c r="P109" s="283"/>
      <c r="Q109" s="283"/>
      <c r="R109" s="283"/>
      <c r="S109" s="283"/>
      <c r="T109" s="283"/>
      <c r="U109" s="283"/>
      <c r="V109" s="283"/>
      <c r="W109" s="283"/>
      <c r="X109" s="283"/>
      <c r="Y109" s="283"/>
      <c r="Z109" s="283"/>
      <c r="AA109" s="283"/>
      <c r="AB109" s="283"/>
      <c r="AC109" s="283"/>
      <c r="AD109" s="283"/>
      <c r="AE109" s="283"/>
      <c r="AF109" s="283"/>
      <c r="AG109" s="283"/>
      <c r="AH109" s="283"/>
      <c r="AI109" s="283"/>
      <c r="AJ109" s="283"/>
      <c r="AK109" s="283"/>
      <c r="AL109" s="283"/>
      <c r="AM109" s="283"/>
      <c r="AN109" s="283"/>
      <c r="AO109" s="283"/>
      <c r="AP109" s="283"/>
      <c r="AQ109" s="283"/>
      <c r="AR109" s="283"/>
      <c r="AS109" s="283"/>
      <c r="AT109" s="283"/>
      <c r="AU109" s="283"/>
      <c r="AV109" s="381"/>
    </row>
  </sheetData>
  <mergeCells count="188">
    <mergeCell ref="F24:G25"/>
    <mergeCell ref="H24:R25"/>
    <mergeCell ref="F26:G27"/>
    <mergeCell ref="H26:R27"/>
    <mergeCell ref="AT25:AU25"/>
    <mergeCell ref="AT24:AU24"/>
    <mergeCell ref="AT23:AU23"/>
    <mergeCell ref="AT22:AU22"/>
    <mergeCell ref="AP22:AS22"/>
    <mergeCell ref="AP23:AS23"/>
    <mergeCell ref="AP24:AS24"/>
    <mergeCell ref="AM26:AN27"/>
    <mergeCell ref="AF24:AG25"/>
    <mergeCell ref="Y26:Y27"/>
    <mergeCell ref="T26:U27"/>
    <mergeCell ref="A1:R1"/>
    <mergeCell ref="F9:K9"/>
    <mergeCell ref="F5:K6"/>
    <mergeCell ref="T22:Z23"/>
    <mergeCell ref="AP9:AU10"/>
    <mergeCell ref="AP20:AU21"/>
    <mergeCell ref="F13:R14"/>
    <mergeCell ref="F22:G23"/>
    <mergeCell ref="H22:R23"/>
    <mergeCell ref="M7:P9"/>
    <mergeCell ref="H20:R21"/>
    <mergeCell ref="A2:J2"/>
    <mergeCell ref="A5:D6"/>
    <mergeCell ref="F15:G15"/>
    <mergeCell ref="H15:R15"/>
    <mergeCell ref="F16:G16"/>
    <mergeCell ref="H16:R16"/>
    <mergeCell ref="H17:R19"/>
    <mergeCell ref="F17:G19"/>
    <mergeCell ref="M6:R6"/>
    <mergeCell ref="A7:D7"/>
    <mergeCell ref="M10:P11"/>
    <mergeCell ref="Q10:Q11"/>
    <mergeCell ref="R10:R11"/>
    <mergeCell ref="V55:Y55"/>
    <mergeCell ref="AL28:AL29"/>
    <mergeCell ref="AL26:AL27"/>
    <mergeCell ref="AJ28:AK29"/>
    <mergeCell ref="AT11:AU11"/>
    <mergeCell ref="AT19:AU19"/>
    <mergeCell ref="AT18:AU18"/>
    <mergeCell ref="AT17:AU17"/>
    <mergeCell ref="AT16:AU16"/>
    <mergeCell ref="AT15:AU15"/>
    <mergeCell ref="AT14:AU14"/>
    <mergeCell ref="AT13:AU13"/>
    <mergeCell ref="AT12:AU12"/>
    <mergeCell ref="AP11:AQ11"/>
    <mergeCell ref="AP19:AQ19"/>
    <mergeCell ref="AP18:AQ18"/>
    <mergeCell ref="AP17:AQ17"/>
    <mergeCell ref="AP16:AQ16"/>
    <mergeCell ref="AP15:AQ15"/>
    <mergeCell ref="AP14:AQ14"/>
    <mergeCell ref="AP12:AQ12"/>
    <mergeCell ref="AP25:AS25"/>
    <mergeCell ref="Z34:AB35"/>
    <mergeCell ref="X34:X35"/>
    <mergeCell ref="T28:U29"/>
    <mergeCell ref="T30:U31"/>
    <mergeCell ref="T32:U33"/>
    <mergeCell ref="T34:U35"/>
    <mergeCell ref="Z39:AD39"/>
    <mergeCell ref="AH24:AI25"/>
    <mergeCell ref="AF26:AG27"/>
    <mergeCell ref="AF28:AG29"/>
    <mergeCell ref="X30:X31"/>
    <mergeCell ref="AH28:AI29"/>
    <mergeCell ref="AH26:AI27"/>
    <mergeCell ref="V40:Y40"/>
    <mergeCell ref="V44:Y44"/>
    <mergeCell ref="V43:Y43"/>
    <mergeCell ref="V42:Y42"/>
    <mergeCell ref="V41:Y41"/>
    <mergeCell ref="AF7:AI8"/>
    <mergeCell ref="Y30:Y31"/>
    <mergeCell ref="X32:X33"/>
    <mergeCell ref="AF22:AN23"/>
    <mergeCell ref="AK10:AK11"/>
    <mergeCell ref="AJ10:AJ11"/>
    <mergeCell ref="AM24:AN25"/>
    <mergeCell ref="V24:W25"/>
    <mergeCell ref="V34:W35"/>
    <mergeCell ref="V32:W33"/>
    <mergeCell ref="V30:W31"/>
    <mergeCell ref="V28:W29"/>
    <mergeCell ref="V26:W27"/>
    <mergeCell ref="Y34:Y35"/>
    <mergeCell ref="AJ26:AK27"/>
    <mergeCell ref="AJ24:AL25"/>
    <mergeCell ref="X24:AB25"/>
    <mergeCell ref="F20:G21"/>
    <mergeCell ref="F28:G29"/>
    <mergeCell ref="V54:Y54"/>
    <mergeCell ref="V53:Y53"/>
    <mergeCell ref="V52:Y52"/>
    <mergeCell ref="F7:I8"/>
    <mergeCell ref="J7:J8"/>
    <mergeCell ref="K7:K8"/>
    <mergeCell ref="Q7:Q9"/>
    <mergeCell ref="R7:R9"/>
    <mergeCell ref="X18:Y19"/>
    <mergeCell ref="X20:Y21"/>
    <mergeCell ref="T16:W17"/>
    <mergeCell ref="T18:W19"/>
    <mergeCell ref="T20:W21"/>
    <mergeCell ref="T13:Y15"/>
    <mergeCell ref="T49:AD50"/>
    <mergeCell ref="X16:Y17"/>
    <mergeCell ref="Y10:Y11"/>
    <mergeCell ref="X7:Y8"/>
    <mergeCell ref="T45:Y47"/>
    <mergeCell ref="Z32:AB33"/>
    <mergeCell ref="Z30:AB31"/>
    <mergeCell ref="Y32:Y33"/>
    <mergeCell ref="H28:R29"/>
    <mergeCell ref="AD62:AD64"/>
    <mergeCell ref="AC62:AC64"/>
    <mergeCell ref="AB62:AB64"/>
    <mergeCell ref="AA62:AA64"/>
    <mergeCell ref="Z62:Z64"/>
    <mergeCell ref="T7:W8"/>
    <mergeCell ref="T40:U44"/>
    <mergeCell ref="Z51:AD51"/>
    <mergeCell ref="AD57:AD59"/>
    <mergeCell ref="AC57:AC59"/>
    <mergeCell ref="AB57:AB59"/>
    <mergeCell ref="AA57:AA59"/>
    <mergeCell ref="Z57:Z59"/>
    <mergeCell ref="T57:Y59"/>
    <mergeCell ref="AD45:AD47"/>
    <mergeCell ref="AC45:AC47"/>
    <mergeCell ref="AB45:AB47"/>
    <mergeCell ref="AA45:AA47"/>
    <mergeCell ref="Z45:Z47"/>
    <mergeCell ref="V56:Y56"/>
    <mergeCell ref="H56:R57"/>
    <mergeCell ref="H58:R59"/>
    <mergeCell ref="T52:U56"/>
    <mergeCell ref="AT7:AT8"/>
    <mergeCell ref="AP6:AU6"/>
    <mergeCell ref="AF20:AI21"/>
    <mergeCell ref="AJ20:AK21"/>
    <mergeCell ref="AM28:AN29"/>
    <mergeCell ref="T10:W11"/>
    <mergeCell ref="X10:X11"/>
    <mergeCell ref="AU7:AU8"/>
    <mergeCell ref="AP7:AS8"/>
    <mergeCell ref="X28:X29"/>
    <mergeCell ref="X26:X27"/>
    <mergeCell ref="Z28:AB29"/>
    <mergeCell ref="Z26:AB27"/>
    <mergeCell ref="Y28:Y29"/>
    <mergeCell ref="AF13:AK15"/>
    <mergeCell ref="AF16:AI17"/>
    <mergeCell ref="AJ16:AK17"/>
    <mergeCell ref="AF18:AI19"/>
    <mergeCell ref="AJ18:AK19"/>
    <mergeCell ref="AF6:AK6"/>
    <mergeCell ref="AF10:AI11"/>
    <mergeCell ref="T6:Y6"/>
    <mergeCell ref="AJ7:AK8"/>
    <mergeCell ref="AP13:AQ13"/>
    <mergeCell ref="F30:G31"/>
    <mergeCell ref="H30:R31"/>
    <mergeCell ref="H37:R38"/>
    <mergeCell ref="F37:G38"/>
    <mergeCell ref="H44:R45"/>
    <mergeCell ref="F44:G45"/>
    <mergeCell ref="F32:G36"/>
    <mergeCell ref="H32:R36"/>
    <mergeCell ref="F39:G43"/>
    <mergeCell ref="H39:R43"/>
    <mergeCell ref="F56:G57"/>
    <mergeCell ref="F58:G59"/>
    <mergeCell ref="F46:G49"/>
    <mergeCell ref="H46:R49"/>
    <mergeCell ref="H50:R51"/>
    <mergeCell ref="F50:G51"/>
    <mergeCell ref="H52:R53"/>
    <mergeCell ref="F52:G53"/>
    <mergeCell ref="F54:G55"/>
    <mergeCell ref="H54:R55"/>
  </mergeCells>
  <conditionalFormatting sqref="X7 AJ7 AM26:AN29">
    <cfRule type="cellIs" dxfId="7" priority="1" stopIfTrue="1" operator="lessThan">
      <formula>0</formula>
    </cfRule>
  </conditionalFormatting>
  <hyperlinks>
    <hyperlink ref="A7" r:id="rId1" xr:uid="{00000000-0004-0000-0400-000000000000}"/>
  </hyperlinks>
  <pageMargins left="0.7" right="0.7" top="0.75" bottom="0.75" header="0.3" footer="0.3"/>
  <pageSetup scale="25" orientation="portrait"/>
  <headerFooter>
    <oddFooter>&amp;C&amp;"Helvetica Neue,Regular"&amp;12&amp;K000000&amp;P</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28"/>
  <sheetViews>
    <sheetView showGridLines="0" workbookViewId="0"/>
  </sheetViews>
  <sheetFormatPr defaultColWidth="8.84375" defaultRowHeight="12.75" customHeight="1"/>
  <cols>
    <col min="1" max="1" width="13.765625" style="5" customWidth="1"/>
    <col min="2" max="3" width="20" style="5" customWidth="1"/>
    <col min="4" max="4" width="19.84375" style="5" customWidth="1"/>
    <col min="5" max="5" width="5.3046875" style="5" customWidth="1"/>
    <col min="6" max="7" width="13.765625" style="5" customWidth="1"/>
    <col min="8" max="9" width="20" style="5" customWidth="1"/>
    <col min="10" max="10" width="19.84375" style="5" customWidth="1"/>
    <col min="11" max="12" width="5.4609375" style="5" customWidth="1"/>
    <col min="13" max="13" width="13.84375" style="5" customWidth="1"/>
    <col min="14" max="16" width="19.84375" style="5" customWidth="1"/>
    <col min="17" max="17" width="5.4609375" style="5" customWidth="1"/>
    <col min="18" max="19" width="13.84375" style="5" customWidth="1"/>
    <col min="20" max="22" width="19.84375" style="5" customWidth="1"/>
    <col min="23" max="23" width="4.3046875" style="5" customWidth="1"/>
    <col min="24" max="24" width="13.84375" style="5" customWidth="1"/>
    <col min="25" max="26" width="17.15234375" style="5" customWidth="1"/>
    <col min="27" max="27" width="13.84375" style="5" customWidth="1"/>
    <col min="28" max="30" width="18.84375" style="5" customWidth="1"/>
    <col min="31" max="31" width="10.15234375" style="5" customWidth="1"/>
    <col min="32" max="32" width="15.765625" style="5" customWidth="1"/>
    <col min="33" max="33" width="8.84375" style="5" customWidth="1"/>
    <col min="34" max="16384" width="8.84375" style="5"/>
  </cols>
  <sheetData>
    <row r="1" spans="1:32" ht="33.75" customHeight="1">
      <c r="A1" s="382" t="s">
        <v>45</v>
      </c>
      <c r="B1" s="383"/>
      <c r="C1" s="384"/>
      <c r="D1" s="384"/>
      <c r="E1" s="384"/>
      <c r="F1" s="384"/>
      <c r="G1" s="384"/>
      <c r="H1" s="384"/>
      <c r="I1" s="384"/>
      <c r="J1" s="384"/>
      <c r="K1" s="384"/>
      <c r="L1" s="384"/>
      <c r="M1" s="385" t="s">
        <v>390</v>
      </c>
      <c r="N1" s="384"/>
      <c r="O1" s="384"/>
      <c r="P1" s="384"/>
      <c r="Q1" s="384"/>
      <c r="R1" s="384"/>
      <c r="S1" s="384"/>
      <c r="T1" s="384"/>
      <c r="U1" s="384"/>
      <c r="V1" s="384"/>
      <c r="W1" s="384"/>
      <c r="X1" s="1149" t="s">
        <v>391</v>
      </c>
      <c r="Y1" s="1150"/>
      <c r="Z1" s="1150"/>
      <c r="AA1" s="1150"/>
      <c r="AB1" s="1150"/>
      <c r="AC1" s="1150"/>
      <c r="AD1" s="1150"/>
      <c r="AE1" s="52"/>
      <c r="AF1" s="53"/>
    </row>
    <row r="2" spans="1:32" ht="23.25" customHeight="1">
      <c r="A2" s="386" t="s">
        <v>392</v>
      </c>
      <c r="B2" s="387"/>
      <c r="C2" s="387"/>
      <c r="D2" s="387"/>
      <c r="E2" s="387"/>
      <c r="F2" s="387"/>
      <c r="G2" s="387"/>
      <c r="H2" s="387"/>
      <c r="I2" s="387"/>
      <c r="J2" s="388"/>
      <c r="K2" s="387"/>
      <c r="L2" s="387"/>
      <c r="M2" s="389" t="s">
        <v>393</v>
      </c>
      <c r="N2" s="390" t="s">
        <v>394</v>
      </c>
      <c r="O2" s="387"/>
      <c r="P2" s="387"/>
      <c r="Q2" s="387"/>
      <c r="R2" s="387"/>
      <c r="S2" s="387"/>
      <c r="T2" s="387"/>
      <c r="U2" s="387"/>
      <c r="V2" s="388"/>
      <c r="W2" s="387"/>
      <c r="X2" s="1151"/>
      <c r="Y2" s="1151"/>
      <c r="Z2" s="1151"/>
      <c r="AA2" s="1151"/>
      <c r="AB2" s="1151"/>
      <c r="AC2" s="1151"/>
      <c r="AD2" s="1151"/>
      <c r="AE2" s="57"/>
      <c r="AF2" s="58"/>
    </row>
    <row r="3" spans="1:32" ht="20.25" customHeight="1">
      <c r="A3" s="391" t="s">
        <v>286</v>
      </c>
      <c r="B3" s="392"/>
      <c r="C3" s="392"/>
      <c r="D3" s="392"/>
      <c r="E3" s="392"/>
      <c r="F3" s="392"/>
      <c r="G3" s="392"/>
      <c r="H3" s="392"/>
      <c r="I3" s="393" t="s">
        <v>48</v>
      </c>
      <c r="J3" s="63" t="s">
        <v>395</v>
      </c>
      <c r="K3" s="394"/>
      <c r="L3" s="395"/>
      <c r="M3" s="396" t="s">
        <v>396</v>
      </c>
      <c r="N3" s="397"/>
      <c r="O3" s="397"/>
      <c r="P3" s="397"/>
      <c r="Q3" s="397"/>
      <c r="R3" s="397"/>
      <c r="S3" s="395"/>
      <c r="T3" s="395"/>
      <c r="U3" s="393" t="s">
        <v>48</v>
      </c>
      <c r="V3" s="63" t="s">
        <v>395</v>
      </c>
      <c r="W3" s="398"/>
      <c r="X3" s="399" t="s">
        <v>397</v>
      </c>
      <c r="Y3" s="400"/>
      <c r="Z3" s="400"/>
      <c r="AA3" s="401"/>
      <c r="AB3" s="401"/>
      <c r="AC3" s="401"/>
      <c r="AD3" s="401"/>
      <c r="AE3" s="57"/>
      <c r="AF3" s="58"/>
    </row>
    <row r="4" spans="1:32" ht="18.75" customHeight="1">
      <c r="A4" s="1129" t="s">
        <v>398</v>
      </c>
      <c r="B4" s="1121"/>
      <c r="C4" s="1121"/>
      <c r="D4" s="1121"/>
      <c r="E4" s="1121"/>
      <c r="F4" s="1121"/>
      <c r="G4" s="1121"/>
      <c r="H4" s="1121"/>
      <c r="I4" s="1130"/>
      <c r="J4" s="404" t="s">
        <v>52</v>
      </c>
      <c r="K4" s="394"/>
      <c r="L4" s="395"/>
      <c r="M4" s="1120" t="s">
        <v>399</v>
      </c>
      <c r="N4" s="1121"/>
      <c r="O4" s="1121"/>
      <c r="P4" s="1121"/>
      <c r="Q4" s="1121"/>
      <c r="R4" s="1121"/>
      <c r="S4" s="397"/>
      <c r="T4" s="397"/>
      <c r="U4" s="405"/>
      <c r="V4" s="406" t="s">
        <v>52</v>
      </c>
      <c r="W4" s="407"/>
      <c r="X4" s="1157" t="s">
        <v>400</v>
      </c>
      <c r="Y4" s="1158"/>
      <c r="Z4" s="1158"/>
      <c r="AA4" s="1158"/>
      <c r="AB4" s="1158"/>
      <c r="AC4" s="1158"/>
      <c r="AD4" s="1158"/>
      <c r="AE4" s="56"/>
      <c r="AF4" s="58"/>
    </row>
    <row r="5" spans="1:32" ht="18.75" customHeight="1">
      <c r="A5" s="1129" t="s">
        <v>401</v>
      </c>
      <c r="B5" s="1121"/>
      <c r="C5" s="1121"/>
      <c r="D5" s="1121"/>
      <c r="E5" s="1121"/>
      <c r="F5" s="1121"/>
      <c r="G5" s="1121"/>
      <c r="H5" s="1121"/>
      <c r="I5" s="1121"/>
      <c r="J5" s="408"/>
      <c r="K5" s="402"/>
      <c r="L5" s="402"/>
      <c r="M5" s="1121"/>
      <c r="N5" s="1121"/>
      <c r="O5" s="1121"/>
      <c r="P5" s="1121"/>
      <c r="Q5" s="1121"/>
      <c r="R5" s="1121"/>
      <c r="S5" s="409"/>
      <c r="T5" s="410" t="s">
        <v>402</v>
      </c>
      <c r="U5" s="402"/>
      <c r="V5" s="411"/>
      <c r="W5" s="403"/>
      <c r="X5" s="1152" t="s">
        <v>403</v>
      </c>
      <c r="Y5" s="1096" t="s">
        <v>404</v>
      </c>
      <c r="Z5" s="1096" t="s">
        <v>405</v>
      </c>
      <c r="AA5" s="1159" t="s">
        <v>406</v>
      </c>
      <c r="AB5" s="1152" t="s">
        <v>407</v>
      </c>
      <c r="AC5" s="1154"/>
      <c r="AD5" s="1154"/>
      <c r="AE5" s="56"/>
      <c r="AF5" s="58"/>
    </row>
    <row r="6" spans="1:32" ht="18.75" customHeight="1">
      <c r="A6" s="1129" t="s">
        <v>408</v>
      </c>
      <c r="B6" s="1121"/>
      <c r="C6" s="1121"/>
      <c r="D6" s="1121"/>
      <c r="E6" s="1121"/>
      <c r="F6" s="1121"/>
      <c r="G6" s="1121"/>
      <c r="H6" s="1121"/>
      <c r="I6" s="1121"/>
      <c r="J6" s="409"/>
      <c r="K6" s="402"/>
      <c r="L6" s="402"/>
      <c r="M6" s="1121"/>
      <c r="N6" s="1121"/>
      <c r="O6" s="1121"/>
      <c r="P6" s="1121"/>
      <c r="Q6" s="1121"/>
      <c r="R6" s="1121"/>
      <c r="S6" s="409"/>
      <c r="T6" s="1124" t="s">
        <v>409</v>
      </c>
      <c r="U6" s="1125"/>
      <c r="V6" s="412"/>
      <c r="W6" s="413"/>
      <c r="X6" s="1153"/>
      <c r="Y6" s="1102"/>
      <c r="Z6" s="1102"/>
      <c r="AA6" s="1160"/>
      <c r="AB6" s="1154"/>
      <c r="AC6" s="1154"/>
      <c r="AD6" s="1154"/>
      <c r="AE6" s="56"/>
      <c r="AF6" s="58"/>
    </row>
    <row r="7" spans="1:32" ht="18.75" customHeight="1">
      <c r="A7" s="1137"/>
      <c r="B7" s="1121"/>
      <c r="C7" s="1121"/>
      <c r="D7" s="1121"/>
      <c r="E7" s="1121"/>
      <c r="F7" s="1121"/>
      <c r="G7" s="1121"/>
      <c r="H7" s="1121"/>
      <c r="I7" s="1121"/>
      <c r="J7" s="409"/>
      <c r="K7" s="402"/>
      <c r="L7" s="402"/>
      <c r="M7" s="1121"/>
      <c r="N7" s="1121"/>
      <c r="O7" s="1121"/>
      <c r="P7" s="1121"/>
      <c r="Q7" s="1121"/>
      <c r="R7" s="1121"/>
      <c r="S7" s="409"/>
      <c r="T7" s="1124" t="s">
        <v>410</v>
      </c>
      <c r="U7" s="1125"/>
      <c r="V7" s="412"/>
      <c r="W7" s="413"/>
      <c r="X7" s="1153"/>
      <c r="Y7" s="1102"/>
      <c r="Z7" s="1102"/>
      <c r="AA7" s="1160"/>
      <c r="AB7" s="1155" t="s">
        <v>411</v>
      </c>
      <c r="AC7" s="1155" t="s">
        <v>412</v>
      </c>
      <c r="AD7" s="1155" t="s">
        <v>413</v>
      </c>
      <c r="AE7" s="56"/>
      <c r="AF7" s="58"/>
    </row>
    <row r="8" spans="1:32" ht="18.75" customHeight="1">
      <c r="A8" s="414"/>
      <c r="B8" s="415"/>
      <c r="C8" s="416"/>
      <c r="D8" s="416"/>
      <c r="E8" s="416"/>
      <c r="F8" s="416"/>
      <c r="G8" s="416"/>
      <c r="H8" s="416"/>
      <c r="I8" s="416"/>
      <c r="J8" s="416"/>
      <c r="K8" s="402"/>
      <c r="L8" s="402"/>
      <c r="M8" s="1120" t="s">
        <v>414</v>
      </c>
      <c r="N8" s="1121"/>
      <c r="O8" s="1121"/>
      <c r="P8" s="1121"/>
      <c r="Q8" s="1121"/>
      <c r="R8" s="1121"/>
      <c r="S8" s="409"/>
      <c r="T8" s="416"/>
      <c r="U8" s="416"/>
      <c r="V8" s="417"/>
      <c r="W8" s="418"/>
      <c r="X8" s="1153"/>
      <c r="Y8" s="1102"/>
      <c r="Z8" s="1102"/>
      <c r="AA8" s="1160"/>
      <c r="AB8" s="1156"/>
      <c r="AC8" s="1156"/>
      <c r="AD8" s="1156"/>
      <c r="AE8" s="56"/>
      <c r="AF8" s="58"/>
    </row>
    <row r="9" spans="1:32" ht="18.75" customHeight="1">
      <c r="A9" s="419" t="s">
        <v>415</v>
      </c>
      <c r="B9" s="420"/>
      <c r="C9" s="421"/>
      <c r="D9" s="421"/>
      <c r="E9" s="421"/>
      <c r="F9" s="421"/>
      <c r="G9" s="421"/>
      <c r="H9" s="421"/>
      <c r="I9" s="421"/>
      <c r="J9" s="422"/>
      <c r="K9" s="402"/>
      <c r="L9" s="402"/>
      <c r="M9" s="1121"/>
      <c r="N9" s="1121"/>
      <c r="O9" s="1121"/>
      <c r="P9" s="1121"/>
      <c r="Q9" s="1121"/>
      <c r="R9" s="1121"/>
      <c r="S9" s="409"/>
      <c r="T9" s="410" t="s">
        <v>416</v>
      </c>
      <c r="U9" s="416"/>
      <c r="V9" s="416"/>
      <c r="W9" s="418"/>
      <c r="X9" s="1153"/>
      <c r="Y9" s="1102"/>
      <c r="Z9" s="1102"/>
      <c r="AA9" s="1160"/>
      <c r="AB9" s="1156"/>
      <c r="AC9" s="1156"/>
      <c r="AD9" s="1156"/>
      <c r="AE9" s="56"/>
      <c r="AF9" s="58"/>
    </row>
    <row r="10" spans="1:32" ht="20.25" customHeight="1">
      <c r="A10" s="1131" t="s">
        <v>417</v>
      </c>
      <c r="B10" s="1132"/>
      <c r="C10" s="1132"/>
      <c r="D10" s="1132"/>
      <c r="E10" s="1132"/>
      <c r="F10" s="1132"/>
      <c r="G10" s="1132"/>
      <c r="H10" s="1132"/>
      <c r="I10" s="1132"/>
      <c r="J10" s="1133"/>
      <c r="K10" s="423"/>
      <c r="L10" s="402"/>
      <c r="M10" s="1121"/>
      <c r="N10" s="1121"/>
      <c r="O10" s="1121"/>
      <c r="P10" s="1121"/>
      <c r="Q10" s="1121"/>
      <c r="R10" s="1121"/>
      <c r="S10" s="416"/>
      <c r="T10" s="1126" t="s">
        <v>418</v>
      </c>
      <c r="U10" s="1127"/>
      <c r="V10" s="1127"/>
      <c r="W10" s="403"/>
      <c r="X10" s="1153"/>
      <c r="Y10" s="1102"/>
      <c r="Z10" s="1102"/>
      <c r="AA10" s="1160"/>
      <c r="AB10" s="1156"/>
      <c r="AC10" s="1156"/>
      <c r="AD10" s="1156"/>
      <c r="AE10" s="56"/>
      <c r="AF10" s="58"/>
    </row>
    <row r="11" spans="1:32" ht="20.25" customHeight="1">
      <c r="A11" s="1134" t="s">
        <v>419</v>
      </c>
      <c r="B11" s="1135"/>
      <c r="C11" s="1135"/>
      <c r="D11" s="1135"/>
      <c r="E11" s="1135"/>
      <c r="F11" s="1135"/>
      <c r="G11" s="1135"/>
      <c r="H11" s="1135"/>
      <c r="I11" s="1135"/>
      <c r="J11" s="1136"/>
      <c r="K11" s="423"/>
      <c r="L11" s="402"/>
      <c r="M11" s="396" t="s">
        <v>420</v>
      </c>
      <c r="N11" s="424"/>
      <c r="O11" s="424"/>
      <c r="P11" s="424"/>
      <c r="Q11" s="424"/>
      <c r="R11" s="424"/>
      <c r="S11" s="416"/>
      <c r="T11" s="1127"/>
      <c r="U11" s="1127"/>
      <c r="V11" s="1127"/>
      <c r="W11" s="403"/>
      <c r="X11" s="1153"/>
      <c r="Y11" s="1103"/>
      <c r="Z11" s="1103"/>
      <c r="AA11" s="1161"/>
      <c r="AB11" s="1156"/>
      <c r="AC11" s="1156"/>
      <c r="AD11" s="1156"/>
      <c r="AE11" s="425"/>
      <c r="AF11" s="58"/>
    </row>
    <row r="12" spans="1:32" ht="20.25" customHeight="1">
      <c r="A12" s="1134" t="s">
        <v>421</v>
      </c>
      <c r="B12" s="1135"/>
      <c r="C12" s="1135"/>
      <c r="D12" s="1135"/>
      <c r="E12" s="1135"/>
      <c r="F12" s="1135"/>
      <c r="G12" s="1135"/>
      <c r="H12" s="1135"/>
      <c r="I12" s="1135"/>
      <c r="J12" s="1136"/>
      <c r="K12" s="426"/>
      <c r="L12" s="427"/>
      <c r="M12" s="1120" t="s">
        <v>422</v>
      </c>
      <c r="N12" s="1121"/>
      <c r="O12" s="1121"/>
      <c r="P12" s="1121"/>
      <c r="Q12" s="1121"/>
      <c r="R12" s="1121"/>
      <c r="S12" s="424"/>
      <c r="T12" s="416"/>
      <c r="U12" s="416"/>
      <c r="V12" s="421"/>
      <c r="W12" s="428"/>
      <c r="X12" s="1153"/>
      <c r="Y12" s="429" cm="1">
        <f t="array" ref="Y12">SUM(Y13:Y114)</f>
        <v>0</v>
      </c>
      <c r="Z12" s="429" cm="1">
        <f t="array" ref="Z12">SUM(Z13:Z114)</f>
        <v>0</v>
      </c>
      <c r="AA12" s="430">
        <v>3.5000000000000003E-2</v>
      </c>
      <c r="AB12" s="431" cm="1">
        <f t="array" ref="AB12">SUM(AB13:AB114)</f>
        <v>0</v>
      </c>
      <c r="AC12" s="431" cm="1">
        <f t="array" ref="AC12">SUM(AC13:AC114)</f>
        <v>0</v>
      </c>
      <c r="AD12" s="431" cm="1">
        <f t="array" ref="AD12">SUM(AD13:AD114)</f>
        <v>0</v>
      </c>
      <c r="AE12" s="56"/>
      <c r="AF12" s="58"/>
    </row>
    <row r="13" spans="1:32" ht="20.25" customHeight="1">
      <c r="A13" s="1134" t="s">
        <v>423</v>
      </c>
      <c r="B13" s="1135"/>
      <c r="C13" s="1135"/>
      <c r="D13" s="1135"/>
      <c r="E13" s="1135"/>
      <c r="F13" s="1135"/>
      <c r="G13" s="1135"/>
      <c r="H13" s="1135"/>
      <c r="I13" s="1135"/>
      <c r="J13" s="1136"/>
      <c r="K13" s="426"/>
      <c r="L13" s="427"/>
      <c r="M13" s="1121"/>
      <c r="N13" s="1121"/>
      <c r="O13" s="1121"/>
      <c r="P13" s="1121"/>
      <c r="Q13" s="1121"/>
      <c r="R13" s="1121"/>
      <c r="S13" s="416"/>
      <c r="T13" s="1124" t="s">
        <v>424</v>
      </c>
      <c r="U13" s="1125"/>
      <c r="V13" s="432"/>
      <c r="W13" s="433"/>
      <c r="X13" s="434" t="s">
        <v>425</v>
      </c>
      <c r="Y13" s="435"/>
      <c r="Z13" s="435"/>
      <c r="AA13" s="436" cm="1">
        <f t="array" ref="AA13">1</f>
        <v>1</v>
      </c>
      <c r="AB13" s="437" cm="1">
        <f t="array" ref="AB13">Y13*AA13</f>
        <v>0</v>
      </c>
      <c r="AC13" s="438"/>
      <c r="AD13" s="439" cm="1">
        <f t="array" ref="AD13">AB13</f>
        <v>0</v>
      </c>
      <c r="AE13" s="56"/>
      <c r="AF13" s="58"/>
    </row>
    <row r="14" spans="1:32" ht="18.75" customHeight="1">
      <c r="A14" s="1138"/>
      <c r="B14" s="1139"/>
      <c r="C14" s="1139"/>
      <c r="D14" s="1139"/>
      <c r="E14" s="1139"/>
      <c r="F14" s="1139"/>
      <c r="G14" s="1139"/>
      <c r="H14" s="1139"/>
      <c r="I14" s="1139"/>
      <c r="J14" s="1140"/>
      <c r="K14" s="426"/>
      <c r="L14" s="427"/>
      <c r="M14" s="1121"/>
      <c r="N14" s="1121"/>
      <c r="O14" s="1121"/>
      <c r="P14" s="1121"/>
      <c r="Q14" s="1121"/>
      <c r="R14" s="1121"/>
      <c r="S14" s="416"/>
      <c r="T14" s="1124" t="s">
        <v>426</v>
      </c>
      <c r="U14" s="1125"/>
      <c r="V14" s="440"/>
      <c r="W14" s="433"/>
      <c r="X14" s="434" t="s">
        <v>427</v>
      </c>
      <c r="Y14" s="435"/>
      <c r="Z14" s="435"/>
      <c r="AA14" s="436" cm="1">
        <f t="array" ref="AA14">1</f>
        <v>1</v>
      </c>
      <c r="AB14" s="437" cm="1">
        <f t="array" ref="AB14">Y14*AA14</f>
        <v>0</v>
      </c>
      <c r="AC14" s="437" cm="1">
        <f t="array" ref="AC14">Z14*AA14</f>
        <v>0</v>
      </c>
      <c r="AD14" s="439" cm="1">
        <f t="array" ref="AD14">AB14+AC14</f>
        <v>0</v>
      </c>
      <c r="AE14" s="56"/>
      <c r="AF14" s="58"/>
    </row>
    <row r="15" spans="1:32" ht="18.75" customHeight="1">
      <c r="A15" s="441"/>
      <c r="B15" s="442"/>
      <c r="C15" s="442"/>
      <c r="D15" s="442"/>
      <c r="E15" s="442"/>
      <c r="F15" s="442"/>
      <c r="G15" s="442"/>
      <c r="H15" s="442"/>
      <c r="I15" s="442"/>
      <c r="J15" s="442"/>
      <c r="K15" s="427"/>
      <c r="L15" s="427"/>
      <c r="M15" s="402"/>
      <c r="N15" s="402"/>
      <c r="O15" s="402"/>
      <c r="P15" s="402"/>
      <c r="Q15" s="402"/>
      <c r="R15" s="402"/>
      <c r="S15" s="416"/>
      <c r="T15" s="416"/>
      <c r="U15" s="416"/>
      <c r="V15" s="417"/>
      <c r="W15" s="428"/>
      <c r="X15" s="443">
        <v>1</v>
      </c>
      <c r="Y15" s="435"/>
      <c r="Z15" s="435"/>
      <c r="AA15" s="436" cm="1">
        <f t="array" ref="AA15">(1/($AA$12+1))^X15</f>
        <v>0.96618357487922713</v>
      </c>
      <c r="AB15" s="437" cm="1">
        <f t="array" ref="AB15">Y15*AA15</f>
        <v>0</v>
      </c>
      <c r="AC15" s="437" cm="1">
        <f t="array" ref="AC15">(Z15*AA15)</f>
        <v>0</v>
      </c>
      <c r="AD15" s="439" cm="1">
        <f t="array" ref="AD15">AB15+AC15</f>
        <v>0</v>
      </c>
      <c r="AE15" s="56"/>
      <c r="AF15" s="58"/>
    </row>
    <row r="16" spans="1:32" ht="18.75" customHeight="1">
      <c r="A16" s="1141" t="s">
        <v>428</v>
      </c>
      <c r="B16" s="1123"/>
      <c r="C16" s="1123"/>
      <c r="D16" s="444" t="s">
        <v>188</v>
      </c>
      <c r="E16" s="416"/>
      <c r="F16" s="416"/>
      <c r="G16" s="416"/>
      <c r="H16" s="416"/>
      <c r="I16" s="416"/>
      <c r="J16" s="427"/>
      <c r="K16" s="427"/>
      <c r="L16" s="427"/>
      <c r="M16" s="1122" t="s">
        <v>429</v>
      </c>
      <c r="N16" s="1123"/>
      <c r="O16" s="1123"/>
      <c r="P16" s="444" t="s">
        <v>188</v>
      </c>
      <c r="Q16" s="416"/>
      <c r="R16" s="416"/>
      <c r="S16" s="416"/>
      <c r="T16" s="396" t="s">
        <v>430</v>
      </c>
      <c r="U16" s="416"/>
      <c r="V16" s="427"/>
      <c r="W16" s="428"/>
      <c r="X16" s="443">
        <v>2</v>
      </c>
      <c r="Y16" s="435"/>
      <c r="Z16" s="435"/>
      <c r="AA16" s="436" cm="1">
        <f t="array" ref="AA16">(1/($AA$12+1))^X16</f>
        <v>0.93351070036640305</v>
      </c>
      <c r="AB16" s="437" cm="1">
        <f t="array" ref="AB16">Y16*AA16</f>
        <v>0</v>
      </c>
      <c r="AC16" s="437" cm="1">
        <f t="array" ref="AC16">(Z16*AA16)</f>
        <v>0</v>
      </c>
      <c r="AD16" s="439" cm="1">
        <f t="array" ref="AD16">AB16+AC16</f>
        <v>0</v>
      </c>
      <c r="AE16" s="56"/>
      <c r="AF16" s="58"/>
    </row>
    <row r="17" spans="1:32" ht="18.75" customHeight="1">
      <c r="A17" s="1128" t="s">
        <v>431</v>
      </c>
      <c r="B17" s="1118"/>
      <c r="C17" s="1119"/>
      <c r="D17" s="445" cm="1">
        <f t="array" ref="D17">D26</f>
        <v>0</v>
      </c>
      <c r="E17" s="446"/>
      <c r="F17" s="416"/>
      <c r="G17" s="416"/>
      <c r="H17" s="416"/>
      <c r="I17" s="416"/>
      <c r="J17" s="427"/>
      <c r="K17" s="427"/>
      <c r="L17" s="427"/>
      <c r="M17" s="1117" t="s">
        <v>432</v>
      </c>
      <c r="N17" s="1118"/>
      <c r="O17" s="1119"/>
      <c r="P17" s="447" cm="1">
        <f t="array" ref="P17">IF(P26&gt;0,P26,IF(V14&gt;0,V14,IF(AND(V6="Yes",V7="No"),B26*V13,IF(AND(V6="Yes",V7="Yes"),D26*V13,IF(AND(V6="No",V7="No"),0,C26*V13)))))</f>
        <v>0</v>
      </c>
      <c r="Q17" s="426"/>
      <c r="R17" s="416"/>
      <c r="S17" s="416"/>
      <c r="T17" s="1120" t="s">
        <v>433</v>
      </c>
      <c r="U17" s="1121"/>
      <c r="V17" s="1121"/>
      <c r="W17" s="428"/>
      <c r="X17" s="443">
        <v>3</v>
      </c>
      <c r="Y17" s="435"/>
      <c r="Z17" s="435"/>
      <c r="AA17" s="436" cm="1">
        <f t="array" ref="AA17">(1/($AA$12+1))^X17</f>
        <v>0.90194270566802237</v>
      </c>
      <c r="AB17" s="437" cm="1">
        <f t="array" ref="AB17">Y17*AA17</f>
        <v>0</v>
      </c>
      <c r="AC17" s="437" cm="1">
        <f t="array" ref="AC17">(Z17*AA17)</f>
        <v>0</v>
      </c>
      <c r="AD17" s="439" cm="1">
        <f t="array" ref="AD17">AB17+AC17</f>
        <v>0</v>
      </c>
      <c r="AE17" s="56"/>
      <c r="AF17" s="58"/>
    </row>
    <row r="18" spans="1:32" ht="18.75" customHeight="1">
      <c r="A18" s="1128" t="s">
        <v>434</v>
      </c>
      <c r="B18" s="1118"/>
      <c r="C18" s="1119"/>
      <c r="D18" s="445" cm="1">
        <f t="array" ref="D18">J26</f>
        <v>0</v>
      </c>
      <c r="E18" s="446"/>
      <c r="F18" s="416"/>
      <c r="G18" s="416"/>
      <c r="H18" s="416"/>
      <c r="I18" s="416"/>
      <c r="J18" s="427"/>
      <c r="K18" s="427"/>
      <c r="L18" s="427"/>
      <c r="M18" s="1117" t="s">
        <v>435</v>
      </c>
      <c r="N18" s="1118"/>
      <c r="O18" s="1119"/>
      <c r="P18" s="447" cm="1">
        <f t="array" ref="P18">V26</f>
        <v>0</v>
      </c>
      <c r="Q18" s="426"/>
      <c r="R18" s="416"/>
      <c r="S18" s="416"/>
      <c r="T18" s="1121"/>
      <c r="U18" s="1121"/>
      <c r="V18" s="1121"/>
      <c r="W18" s="428"/>
      <c r="X18" s="443">
        <v>4</v>
      </c>
      <c r="Y18" s="435"/>
      <c r="Z18" s="435"/>
      <c r="AA18" s="436" cm="1">
        <f t="array" ref="AA18">(1/($AA$12+1))^X18</f>
        <v>0.87144222769857238</v>
      </c>
      <c r="AB18" s="437" cm="1">
        <f t="array" ref="AB18">Y18*AA18</f>
        <v>0</v>
      </c>
      <c r="AC18" s="437" cm="1">
        <f t="array" ref="AC18">(Z18*AA18)</f>
        <v>0</v>
      </c>
      <c r="AD18" s="439" cm="1">
        <f t="array" ref="AD18">AB18+AC18</f>
        <v>0</v>
      </c>
      <c r="AE18" s="56"/>
      <c r="AF18" s="448"/>
    </row>
    <row r="19" spans="1:32" ht="18.75" customHeight="1">
      <c r="A19" s="449"/>
      <c r="B19" s="450"/>
      <c r="C19" s="450"/>
      <c r="D19" s="417"/>
      <c r="E19" s="416"/>
      <c r="F19" s="451"/>
      <c r="G19" s="452"/>
      <c r="H19" s="453"/>
      <c r="I19" s="454"/>
      <c r="J19" s="427"/>
      <c r="K19" s="427"/>
      <c r="L19" s="427"/>
      <c r="M19" s="416"/>
      <c r="N19" s="416"/>
      <c r="O19" s="416"/>
      <c r="P19" s="417"/>
      <c r="Q19" s="427"/>
      <c r="R19" s="427"/>
      <c r="S19" s="427"/>
      <c r="T19" s="1121"/>
      <c r="U19" s="1121"/>
      <c r="V19" s="1121"/>
      <c r="W19" s="428"/>
      <c r="X19" s="443">
        <v>5</v>
      </c>
      <c r="Y19" s="435"/>
      <c r="Z19" s="435"/>
      <c r="AA19" s="436" cm="1">
        <f t="array" ref="AA19">(1/($AA$12+1))^X19</f>
        <v>0.84197316685852408</v>
      </c>
      <c r="AB19" s="437" cm="1">
        <f t="array" ref="AB19">Y19*AA19</f>
        <v>0</v>
      </c>
      <c r="AC19" s="437" cm="1">
        <f t="array" ref="AC19">(Z19*AA19)</f>
        <v>0</v>
      </c>
      <c r="AD19" s="439" cm="1">
        <f t="array" ref="AD19">AB19+AC19</f>
        <v>0</v>
      </c>
      <c r="AE19" s="56"/>
      <c r="AF19" s="58"/>
    </row>
    <row r="20" spans="1:32" ht="18.75" customHeight="1">
      <c r="A20" s="455" t="s">
        <v>436</v>
      </c>
      <c r="B20" s="452"/>
      <c r="C20" s="456"/>
      <c r="D20" s="416"/>
      <c r="E20" s="416"/>
      <c r="F20" s="451"/>
      <c r="G20" s="452"/>
      <c r="H20" s="456"/>
      <c r="I20" s="454"/>
      <c r="J20" s="427"/>
      <c r="K20" s="427"/>
      <c r="L20" s="427"/>
      <c r="M20" s="410" t="s">
        <v>437</v>
      </c>
      <c r="N20" s="427"/>
      <c r="O20" s="427"/>
      <c r="P20" s="427"/>
      <c r="Q20" s="427"/>
      <c r="R20" s="427"/>
      <c r="S20" s="427"/>
      <c r="T20" s="427"/>
      <c r="U20" s="427"/>
      <c r="V20" s="427"/>
      <c r="W20" s="428"/>
      <c r="X20" s="443">
        <v>6</v>
      </c>
      <c r="Y20" s="435"/>
      <c r="Z20" s="435"/>
      <c r="AA20" s="436" cm="1">
        <f t="array" ref="AA20">(1/($AA$12+1))^X20</f>
        <v>0.81350064430775282</v>
      </c>
      <c r="AB20" s="437" cm="1">
        <f t="array" ref="AB20">Y20*AA20</f>
        <v>0</v>
      </c>
      <c r="AC20" s="437" cm="1">
        <f t="array" ref="AC20">(Z20*AA20)</f>
        <v>0</v>
      </c>
      <c r="AD20" s="439" cm="1">
        <f t="array" ref="AD20">AB20+AC20</f>
        <v>0</v>
      </c>
      <c r="AE20" s="56"/>
      <c r="AF20" s="58"/>
    </row>
    <row r="21" spans="1:32" ht="27.75" customHeight="1">
      <c r="A21" s="457" t="s">
        <v>438</v>
      </c>
      <c r="B21" s="458"/>
      <c r="C21" s="458"/>
      <c r="D21" s="458"/>
      <c r="E21" s="459"/>
      <c r="F21" s="421"/>
      <c r="G21" s="421"/>
      <c r="H21" s="421"/>
      <c r="I21" s="421"/>
      <c r="J21" s="421"/>
      <c r="K21" s="416"/>
      <c r="L21" s="416"/>
      <c r="M21" s="460" t="s">
        <v>439</v>
      </c>
      <c r="N21" s="421"/>
      <c r="O21" s="421"/>
      <c r="P21" s="421"/>
      <c r="Q21" s="416"/>
      <c r="R21" s="421"/>
      <c r="S21" s="421"/>
      <c r="T21" s="421"/>
      <c r="U21" s="421"/>
      <c r="V21" s="421"/>
      <c r="W21" s="461"/>
      <c r="X21" s="443">
        <v>7</v>
      </c>
      <c r="Y21" s="435"/>
      <c r="Z21" s="435"/>
      <c r="AA21" s="436" cm="1">
        <f t="array" ref="AA21">(1/($AA$12+1))^X21</f>
        <v>0.78599096068381924</v>
      </c>
      <c r="AB21" s="437" cm="1">
        <f t="array" ref="AB21">Y21*AA21</f>
        <v>0</v>
      </c>
      <c r="AC21" s="437" cm="1">
        <f t="array" ref="AC21">(Z21*AA21)</f>
        <v>0</v>
      </c>
      <c r="AD21" s="439" cm="1">
        <f t="array" ref="AD21">AB21+AC21</f>
        <v>0</v>
      </c>
      <c r="AE21" s="56"/>
      <c r="AF21" s="58"/>
    </row>
    <row r="22" spans="1:32" ht="18.75" customHeight="1">
      <c r="A22" s="1142" t="s">
        <v>440</v>
      </c>
      <c r="B22" s="1143"/>
      <c r="C22" s="1143"/>
      <c r="D22" s="1144"/>
      <c r="E22" s="462"/>
      <c r="F22" s="1106" t="s">
        <v>441</v>
      </c>
      <c r="G22" s="1107"/>
      <c r="H22" s="1107"/>
      <c r="I22" s="1107"/>
      <c r="J22" s="1108"/>
      <c r="K22" s="463"/>
      <c r="L22" s="464"/>
      <c r="M22" s="1142" t="s">
        <v>442</v>
      </c>
      <c r="N22" s="1143"/>
      <c r="O22" s="1143"/>
      <c r="P22" s="1144"/>
      <c r="Q22" s="465"/>
      <c r="R22" s="1106" t="s">
        <v>443</v>
      </c>
      <c r="S22" s="1107"/>
      <c r="T22" s="1107"/>
      <c r="U22" s="1107"/>
      <c r="V22" s="1108"/>
      <c r="W22" s="466"/>
      <c r="X22" s="443">
        <v>8</v>
      </c>
      <c r="Y22" s="435"/>
      <c r="Z22" s="435"/>
      <c r="AA22" s="436" cm="1">
        <f t="array" ref="AA22">(1/($AA$12+1))^X22</f>
        <v>0.75941155621625045</v>
      </c>
      <c r="AB22" s="437" cm="1">
        <f t="array" ref="AB22">Y22*AA22</f>
        <v>0</v>
      </c>
      <c r="AC22" s="437" cm="1">
        <f t="array" ref="AC22">(Z22*AA22)</f>
        <v>0</v>
      </c>
      <c r="AD22" s="439" cm="1">
        <f t="array" ref="AD22">AB22+AC22</f>
        <v>0</v>
      </c>
      <c r="AE22" s="56"/>
      <c r="AF22" s="58"/>
    </row>
    <row r="23" spans="1:32" ht="18.75" customHeight="1">
      <c r="A23" s="1109" t="s">
        <v>444</v>
      </c>
      <c r="B23" s="1113" t="s">
        <v>445</v>
      </c>
      <c r="C23" s="1114"/>
      <c r="D23" s="1115"/>
      <c r="E23" s="462"/>
      <c r="F23" s="1146" t="s">
        <v>444</v>
      </c>
      <c r="G23" s="1096" t="s">
        <v>446</v>
      </c>
      <c r="H23" s="1113" t="s">
        <v>447</v>
      </c>
      <c r="I23" s="1114"/>
      <c r="J23" s="1115"/>
      <c r="K23" s="467"/>
      <c r="L23" s="468"/>
      <c r="M23" s="1109" t="s">
        <v>448</v>
      </c>
      <c r="N23" s="1113" t="s">
        <v>449</v>
      </c>
      <c r="O23" s="1114"/>
      <c r="P23" s="1115"/>
      <c r="Q23" s="465"/>
      <c r="R23" s="1109" t="s">
        <v>448</v>
      </c>
      <c r="S23" s="1096" t="s">
        <v>446</v>
      </c>
      <c r="T23" s="1113" t="s">
        <v>450</v>
      </c>
      <c r="U23" s="1114"/>
      <c r="V23" s="1115"/>
      <c r="W23" s="469"/>
      <c r="X23" s="443">
        <v>9</v>
      </c>
      <c r="Y23" s="435"/>
      <c r="Z23" s="435"/>
      <c r="AA23" s="436" cm="1">
        <f t="array" ref="AA23">(1/($AA$12+1))^X23</f>
        <v>0.73373097218961403</v>
      </c>
      <c r="AB23" s="437" cm="1">
        <f t="array" ref="AB23">Y23*AA23</f>
        <v>0</v>
      </c>
      <c r="AC23" s="437" cm="1">
        <f t="array" ref="AC23">(Z23*AA23)</f>
        <v>0</v>
      </c>
      <c r="AD23" s="439" cm="1">
        <f t="array" ref="AD23">AB23+AC23</f>
        <v>0</v>
      </c>
      <c r="AE23" s="56"/>
      <c r="AF23" s="58"/>
    </row>
    <row r="24" spans="1:32" ht="18.75" customHeight="1">
      <c r="A24" s="1110"/>
      <c r="B24" s="1096" t="s">
        <v>451</v>
      </c>
      <c r="C24" s="1098" t="s">
        <v>452</v>
      </c>
      <c r="D24" s="1100" t="s">
        <v>453</v>
      </c>
      <c r="E24" s="462"/>
      <c r="F24" s="1147"/>
      <c r="G24" s="1102"/>
      <c r="H24" s="1096" t="s">
        <v>454</v>
      </c>
      <c r="I24" s="1098" t="s">
        <v>452</v>
      </c>
      <c r="J24" s="1100" t="s">
        <v>455</v>
      </c>
      <c r="K24" s="470"/>
      <c r="L24" s="471"/>
      <c r="M24" s="1110"/>
      <c r="N24" s="1096" t="s">
        <v>456</v>
      </c>
      <c r="O24" s="1098" t="s">
        <v>457</v>
      </c>
      <c r="P24" s="1100" t="s">
        <v>458</v>
      </c>
      <c r="Q24" s="465"/>
      <c r="R24" s="1110"/>
      <c r="S24" s="1102"/>
      <c r="T24" s="1096" t="s">
        <v>456</v>
      </c>
      <c r="U24" s="1098" t="s">
        <v>457</v>
      </c>
      <c r="V24" s="1100" t="s">
        <v>458</v>
      </c>
      <c r="W24" s="472"/>
      <c r="X24" s="443">
        <v>10</v>
      </c>
      <c r="Y24" s="435"/>
      <c r="Z24" s="435"/>
      <c r="AA24" s="436" cm="1">
        <f t="array" ref="AA24">(1/($AA$12+1))^X24</f>
        <v>0.70891881370977206</v>
      </c>
      <c r="AB24" s="437" cm="1">
        <f t="array" ref="AB24">Y24*AA24</f>
        <v>0</v>
      </c>
      <c r="AC24" s="437" cm="1">
        <f t="array" ref="AC24">(Z24*AA24)</f>
        <v>0</v>
      </c>
      <c r="AD24" s="439" cm="1">
        <f t="array" ref="AD24">AB24+AC24</f>
        <v>0</v>
      </c>
      <c r="AE24" s="56"/>
      <c r="AF24" s="58"/>
    </row>
    <row r="25" spans="1:32" ht="59.25" customHeight="1">
      <c r="A25" s="1110"/>
      <c r="B25" s="1104"/>
      <c r="C25" s="1105"/>
      <c r="D25" s="1116"/>
      <c r="E25" s="462"/>
      <c r="F25" s="1147"/>
      <c r="G25" s="1102"/>
      <c r="H25" s="1104"/>
      <c r="I25" s="1105"/>
      <c r="J25" s="1116"/>
      <c r="K25" s="470"/>
      <c r="L25" s="471"/>
      <c r="M25" s="1110"/>
      <c r="N25" s="1097"/>
      <c r="O25" s="1099"/>
      <c r="P25" s="1101"/>
      <c r="Q25" s="465"/>
      <c r="R25" s="1110"/>
      <c r="S25" s="1102"/>
      <c r="T25" s="1104"/>
      <c r="U25" s="1105"/>
      <c r="V25" s="1116"/>
      <c r="W25" s="472"/>
      <c r="X25" s="443">
        <v>11</v>
      </c>
      <c r="Y25" s="435"/>
      <c r="Z25" s="435"/>
      <c r="AA25" s="436" cm="1">
        <f t="array" ref="AA25">(1/($AA$12+1))^X25</f>
        <v>0.6849457137292484</v>
      </c>
      <c r="AB25" s="437" cm="1">
        <f t="array" ref="AB25">Y25*AA25</f>
        <v>0</v>
      </c>
      <c r="AC25" s="437" cm="1">
        <f t="array" ref="AC25">(Z25*AA25)</f>
        <v>0</v>
      </c>
      <c r="AD25" s="439" cm="1">
        <f t="array" ref="AD25">AB25+AC25</f>
        <v>0</v>
      </c>
      <c r="AE25" s="56"/>
      <c r="AF25" s="58"/>
    </row>
    <row r="26" spans="1:32" ht="18.75" customHeight="1">
      <c r="A26" s="1145"/>
      <c r="B26" s="473" cm="1">
        <f t="array" ref="B26">SUM(B27:B128)</f>
        <v>0</v>
      </c>
      <c r="C26" s="474" cm="1">
        <f t="array" ref="C26">SUM(C27:C128)</f>
        <v>0</v>
      </c>
      <c r="D26" s="475" cm="1">
        <f t="array" ref="D26">SUM(D27:D128)</f>
        <v>0</v>
      </c>
      <c r="E26" s="462"/>
      <c r="F26" s="1148"/>
      <c r="G26" s="1112"/>
      <c r="H26" s="473" cm="1">
        <f t="array" ref="H26">SUM(H27:H128)</f>
        <v>0</v>
      </c>
      <c r="I26" s="474" cm="1">
        <f t="array" ref="I26">SUM(I27:I128)</f>
        <v>0</v>
      </c>
      <c r="J26" s="475" cm="1">
        <f t="array" ref="J26">SUM(J27:J128)</f>
        <v>0</v>
      </c>
      <c r="K26" s="476"/>
      <c r="L26" s="477"/>
      <c r="M26" s="1111"/>
      <c r="N26" s="439" cm="1">
        <f t="array" ref="N26">SUM(N27:N128)</f>
        <v>0</v>
      </c>
      <c r="O26" s="439" cm="1">
        <f t="array" ref="O26">SUM(O27:O128)</f>
        <v>0</v>
      </c>
      <c r="P26" s="439" cm="1">
        <f t="array" ref="P26">SUM(P27:P128)</f>
        <v>0</v>
      </c>
      <c r="Q26" s="478"/>
      <c r="R26" s="1111"/>
      <c r="S26" s="1112"/>
      <c r="T26" s="479" cm="1">
        <f t="array" ref="T26">SUM(T27:T128)</f>
        <v>0</v>
      </c>
      <c r="U26" s="480" cm="1">
        <f t="array" ref="U26">SUM(U27:U128)</f>
        <v>0</v>
      </c>
      <c r="V26" s="481" cm="1">
        <f t="array" ref="V26">SUM(V27:V128)</f>
        <v>0</v>
      </c>
      <c r="W26" s="482"/>
      <c r="X26" s="443">
        <v>12</v>
      </c>
      <c r="Y26" s="435"/>
      <c r="Z26" s="435"/>
      <c r="AA26" s="436" cm="1">
        <f t="array" ref="AA26">(1/($AA$12+1))^X26</f>
        <v>0.66178329828912896</v>
      </c>
      <c r="AB26" s="437" cm="1">
        <f t="array" ref="AB26">Y26*AA26</f>
        <v>0</v>
      </c>
      <c r="AC26" s="437" cm="1">
        <f t="array" ref="AC26">(Z26*AA26)</f>
        <v>0</v>
      </c>
      <c r="AD26" s="439" cm="1">
        <f t="array" ref="AD26">AB26+AC26</f>
        <v>0</v>
      </c>
      <c r="AE26" s="56"/>
      <c r="AF26" s="58"/>
    </row>
    <row r="27" spans="1:32" ht="18.75" customHeight="1">
      <c r="A27" s="483" t="s">
        <v>425</v>
      </c>
      <c r="B27" s="484"/>
      <c r="C27" s="485"/>
      <c r="D27" s="486" cm="1">
        <f t="array" ref="D27">B27</f>
        <v>0</v>
      </c>
      <c r="E27" s="462"/>
      <c r="F27" s="483" t="s">
        <v>425</v>
      </c>
      <c r="G27" s="487">
        <v>1</v>
      </c>
      <c r="H27" s="488" cm="1">
        <f t="array" ref="H27">B27</f>
        <v>0</v>
      </c>
      <c r="I27" s="485"/>
      <c r="J27" s="486" cm="1">
        <f t="array" ref="J27">H27</f>
        <v>0</v>
      </c>
      <c r="K27" s="489"/>
      <c r="L27" s="490"/>
      <c r="M27" s="483" t="s">
        <v>425</v>
      </c>
      <c r="N27" s="435"/>
      <c r="O27" s="438"/>
      <c r="P27" s="439" cm="1">
        <f t="array" ref="P27">N27</f>
        <v>0</v>
      </c>
      <c r="Q27" s="478"/>
      <c r="R27" s="483" t="s">
        <v>425</v>
      </c>
      <c r="S27" s="487">
        <v>1</v>
      </c>
      <c r="T27" s="491" cm="1">
        <f t="array" ref="T27">IFERROR(IF($V$6="No",0,IF(AND($V$13=0,$V$14=0),N27*S27,IF($V$13&gt;0,H27*$V$13,IF($V$14&gt;0,IF(AND($V$6="Yes",$V$7="Yes"),((B27/$D$26)*$V$14)*S27,((B27/$B$26)*$V$14)*S27))))),0)</f>
        <v>0</v>
      </c>
      <c r="U27" s="492"/>
      <c r="V27" s="493" cm="1">
        <f t="array" ref="V27">T27</f>
        <v>0</v>
      </c>
      <c r="W27" s="494"/>
      <c r="X27" s="443">
        <v>13</v>
      </c>
      <c r="Y27" s="435"/>
      <c r="Z27" s="435"/>
      <c r="AA27" s="436" cm="1">
        <f t="array" ref="AA27">(1/($AA$12+1))^X27</f>
        <v>0.63940415293635644</v>
      </c>
      <c r="AB27" s="437" cm="1">
        <f t="array" ref="AB27">Y27*AA27</f>
        <v>0</v>
      </c>
      <c r="AC27" s="437" cm="1">
        <f t="array" ref="AC27">(Z27*AA27)</f>
        <v>0</v>
      </c>
      <c r="AD27" s="439" cm="1">
        <f t="array" ref="AD27">AB27+AC27</f>
        <v>0</v>
      </c>
      <c r="AE27" s="56"/>
      <c r="AF27" s="58"/>
    </row>
    <row r="28" spans="1:32" ht="18.75" customHeight="1">
      <c r="A28" s="495" t="s">
        <v>427</v>
      </c>
      <c r="B28" s="435"/>
      <c r="C28" s="496"/>
      <c r="D28" s="497" cm="1">
        <f t="array" ref="D28">B28+C28</f>
        <v>0</v>
      </c>
      <c r="E28" s="462"/>
      <c r="F28" s="495" t="s">
        <v>427</v>
      </c>
      <c r="G28" s="498">
        <v>1</v>
      </c>
      <c r="H28" s="499" cm="1">
        <f t="array" ref="H28">B28*G28</f>
        <v>0</v>
      </c>
      <c r="I28" s="500" cm="1">
        <f t="array" ref="I28">C28*G28</f>
        <v>0</v>
      </c>
      <c r="J28" s="497" cm="1">
        <f t="array" ref="J28">H28+I28</f>
        <v>0</v>
      </c>
      <c r="K28" s="489"/>
      <c r="L28" s="490"/>
      <c r="M28" s="495" t="s">
        <v>427</v>
      </c>
      <c r="N28" s="435"/>
      <c r="O28" s="435"/>
      <c r="P28" s="439" cm="1">
        <f t="array" ref="P28">N28+O28</f>
        <v>0</v>
      </c>
      <c r="Q28" s="478"/>
      <c r="R28" s="495" t="s">
        <v>427</v>
      </c>
      <c r="S28" s="498">
        <v>1</v>
      </c>
      <c r="T28" s="491" cm="1">
        <f t="array" ref="T28">IFERROR(IF($V$6="No",0,IF(AND($V$13=0,$V$14=0),N28*S28,IF($V$13&gt;0,H28*$V$13,IF($V$14&gt;0,IF(AND($V$6="Yes",$V$7="Yes"),((B28/$D$26)*$V$14)*S28,((B28/$B$26)*$V$14)*S28))))),0)</f>
        <v>0</v>
      </c>
      <c r="U28" s="501" cm="1">
        <f t="array" ref="U28">IFERROR(IF($V$7="No",0,IF(AND($V$13=0,$V$14=0),O27*S27,IF($V$13&gt;0,I27*$V$13,IF($V$14&gt;0,IF(AND($V$6="Yes",$V$7="Yes"),((C27/$D$26)*$V$14)*S27,((C27/$C$26)*$V$14)*S27))))),0)</f>
        <v>0</v>
      </c>
      <c r="V28" s="502" cm="1">
        <f t="array" ref="V28">T28+U28</f>
        <v>0</v>
      </c>
      <c r="W28" s="494"/>
      <c r="X28" s="443">
        <v>14</v>
      </c>
      <c r="Y28" s="435"/>
      <c r="Z28" s="435"/>
      <c r="AA28" s="436" cm="1">
        <f t="array" ref="AA28">(1/($AA$12+1))^X28</f>
        <v>0.61778179027667302</v>
      </c>
      <c r="AB28" s="437" cm="1">
        <f t="array" ref="AB28">Y28*AA28</f>
        <v>0</v>
      </c>
      <c r="AC28" s="437" cm="1">
        <f t="array" ref="AC28">(Z28*AA28)</f>
        <v>0</v>
      </c>
      <c r="AD28" s="439" cm="1">
        <f t="array" ref="AD28">AB28+AC28</f>
        <v>0</v>
      </c>
      <c r="AE28" s="56"/>
      <c r="AF28" s="58"/>
    </row>
    <row r="29" spans="1:32" ht="18.75" customHeight="1">
      <c r="A29" s="503">
        <v>1</v>
      </c>
      <c r="B29" s="435"/>
      <c r="C29" s="496"/>
      <c r="D29" s="497" cm="1">
        <f t="array" ref="D29">B29+C29</f>
        <v>0</v>
      </c>
      <c r="E29" s="462"/>
      <c r="F29" s="503">
        <v>1</v>
      </c>
      <c r="G29" s="498">
        <v>0.96618357487922701</v>
      </c>
      <c r="H29" s="499" cm="1">
        <f t="array" ref="H29">B29*G29</f>
        <v>0</v>
      </c>
      <c r="I29" s="500" cm="1">
        <f t="array" ref="I29">C29*G29</f>
        <v>0</v>
      </c>
      <c r="J29" s="497" cm="1">
        <f t="array" ref="J29">H29+I29</f>
        <v>0</v>
      </c>
      <c r="K29" s="489"/>
      <c r="L29" s="490"/>
      <c r="M29" s="503">
        <v>1</v>
      </c>
      <c r="N29" s="435"/>
      <c r="O29" s="435"/>
      <c r="P29" s="439" cm="1">
        <f t="array" ref="P29">N29+O29</f>
        <v>0</v>
      </c>
      <c r="Q29" s="478"/>
      <c r="R29" s="503">
        <v>1</v>
      </c>
      <c r="S29" s="498">
        <v>0.96618357487922701</v>
      </c>
      <c r="T29" s="491" cm="1">
        <f t="array" ref="T29">IFERROR(IF($V$6="No",0,IF(AND($V$13=0,$V$14=0),N29*S29,IF($V$13&gt;0,H29*$V$13,IF($V$14&gt;0,IF(AND($V$6="Yes",$V$7="Yes"),((B29/$D$26)*$V$14)*S29,((B29/$B$26)*$V$14)*S29))))),0)</f>
        <v>0</v>
      </c>
      <c r="U29" s="501" cm="1">
        <f t="array" ref="U29">IFERROR(IF($V$7="No",0,IF(AND($V$13=0,$V$14=0),O28*S28,IF($V$13&gt;0,I28*$V$13,IF($V$14&gt;0,IF(AND($V$6="Yes",$V$7="Yes"),((C28/$D$26)*$V$14)*S28,((C28/$C$26)*$V$14)*S28))))),0)</f>
        <v>0</v>
      </c>
      <c r="V29" s="502" cm="1">
        <f t="array" ref="V29">T29+U29</f>
        <v>0</v>
      </c>
      <c r="W29" s="494"/>
      <c r="X29" s="443">
        <v>15</v>
      </c>
      <c r="Y29" s="435"/>
      <c r="Z29" s="435"/>
      <c r="AA29" s="436" cm="1">
        <f t="array" ref="AA29">(1/($AA$12+1))^X29</f>
        <v>0.59689061862480486</v>
      </c>
      <c r="AB29" s="437" cm="1">
        <f t="array" ref="AB29">Y29*AA29</f>
        <v>0</v>
      </c>
      <c r="AC29" s="437" cm="1">
        <f t="array" ref="AC29">(Z29*AA29)</f>
        <v>0</v>
      </c>
      <c r="AD29" s="439" cm="1">
        <f t="array" ref="AD29">AB29+AC29</f>
        <v>0</v>
      </c>
      <c r="AE29" s="56"/>
      <c r="AF29" s="58"/>
    </row>
    <row r="30" spans="1:32" ht="18.75" customHeight="1">
      <c r="A30" s="503">
        <v>2</v>
      </c>
      <c r="B30" s="435"/>
      <c r="C30" s="496"/>
      <c r="D30" s="497" cm="1">
        <f t="array" ref="D30">B30+C30</f>
        <v>0</v>
      </c>
      <c r="E30" s="462"/>
      <c r="F30" s="503">
        <v>2</v>
      </c>
      <c r="G30" s="498">
        <v>0.93351070036640305</v>
      </c>
      <c r="H30" s="499" cm="1">
        <f t="array" ref="H30">B30*G30</f>
        <v>0</v>
      </c>
      <c r="I30" s="500" cm="1">
        <f t="array" ref="I30">C30*G30</f>
        <v>0</v>
      </c>
      <c r="J30" s="497" cm="1">
        <f t="array" ref="J30">H30+I30</f>
        <v>0</v>
      </c>
      <c r="K30" s="489"/>
      <c r="L30" s="490"/>
      <c r="M30" s="503">
        <v>2</v>
      </c>
      <c r="N30" s="435"/>
      <c r="O30" s="435"/>
      <c r="P30" s="439" cm="1">
        <f t="array" ref="P30">N30+O30</f>
        <v>0</v>
      </c>
      <c r="Q30" s="478"/>
      <c r="R30" s="503">
        <v>2</v>
      </c>
      <c r="S30" s="498">
        <v>0.93351070036640305</v>
      </c>
      <c r="T30" s="491" cm="1">
        <f t="array" ref="T30">IFERROR(IF($V$6="No",0,IF(AND($V$13=0,$V$14=0),N30*S30,IF($V$13&gt;0,H30*$V$13,IF($V$14&gt;0,IF(AND($V$6="Yes",$V$7="Yes"),((B30/$D$26)*$V$14)*S30,((B30/$B$26)*$V$14)*S30))))),0)</f>
        <v>0</v>
      </c>
      <c r="U30" s="501" cm="1">
        <f t="array" ref="U30">IFERROR(IF($V$7="No",0,IF(AND($V$13=0,$V$14=0),O29*S29,IF($V$13&gt;0,I29*$V$13,IF($V$14&gt;0,IF(AND($V$6="Yes",$V$7="Yes"),((C29/$D$26)*$V$14)*S29,((C29/$C$26)*$V$14)*S29))))),0)</f>
        <v>0</v>
      </c>
      <c r="V30" s="502" cm="1">
        <f t="array" ref="V30">T30+U30</f>
        <v>0</v>
      </c>
      <c r="W30" s="494"/>
      <c r="X30" s="443">
        <v>16</v>
      </c>
      <c r="Y30" s="435"/>
      <c r="Z30" s="435"/>
      <c r="AA30" s="436" cm="1">
        <f t="array" ref="AA30">(1/($AA$12+1))^X30</f>
        <v>0.57670591171478736</v>
      </c>
      <c r="AB30" s="437" cm="1">
        <f t="array" ref="AB30">Y30*AA30</f>
        <v>0</v>
      </c>
      <c r="AC30" s="437" cm="1">
        <f t="array" ref="AC30">(Z30*AA30)</f>
        <v>0</v>
      </c>
      <c r="AD30" s="439" cm="1">
        <f t="array" ref="AD30">AB30+AC30</f>
        <v>0</v>
      </c>
      <c r="AE30" s="56"/>
      <c r="AF30" s="58"/>
    </row>
    <row r="31" spans="1:32" ht="18.75" customHeight="1">
      <c r="A31" s="503">
        <v>3</v>
      </c>
      <c r="B31" s="435"/>
      <c r="C31" s="496"/>
      <c r="D31" s="497" cm="1">
        <f t="array" ref="D31">B31+C31</f>
        <v>0</v>
      </c>
      <c r="E31" s="462"/>
      <c r="F31" s="503">
        <v>3</v>
      </c>
      <c r="G31" s="498">
        <v>0.90194270566802204</v>
      </c>
      <c r="H31" s="499" cm="1">
        <f t="array" ref="H31">B31*G31</f>
        <v>0</v>
      </c>
      <c r="I31" s="500" cm="1">
        <f t="array" ref="I31">C31*G31</f>
        <v>0</v>
      </c>
      <c r="J31" s="497" cm="1">
        <f t="array" ref="J31">H31+I31</f>
        <v>0</v>
      </c>
      <c r="K31" s="489"/>
      <c r="L31" s="490"/>
      <c r="M31" s="503">
        <v>3</v>
      </c>
      <c r="N31" s="435"/>
      <c r="O31" s="435"/>
      <c r="P31" s="439" cm="1">
        <f t="array" ref="P31">N31+O31</f>
        <v>0</v>
      </c>
      <c r="Q31" s="478"/>
      <c r="R31" s="503">
        <v>3</v>
      </c>
      <c r="S31" s="498">
        <v>0.90194270566802204</v>
      </c>
      <c r="T31" s="491" cm="1">
        <f t="array" ref="T31">IFERROR(IF($V$6="No",0,IF(AND($V$13=0,$V$14=0),N31*S31,IF($V$13&gt;0,H31*$V$13,IF($V$14&gt;0,IF(AND($V$6="Yes",$V$7="Yes"),((B31/$D$26)*$V$14)*S31,((B31/$B$26)*$V$14)*S31))))),0)</f>
        <v>0</v>
      </c>
      <c r="U31" s="501" cm="1">
        <f t="array" ref="U31">IFERROR(IF($V$7="No",0,IF(AND($V$13=0,$V$14=0),O30*S30,IF($V$13&gt;0,I30*$V$13,IF($V$14&gt;0,IF(AND($V$6="Yes",$V$7="Yes"),((C30/$D$26)*$V$14)*S30,((C30/$C$26)*$V$14)*S30))))),0)</f>
        <v>0</v>
      </c>
      <c r="V31" s="502" cm="1">
        <f t="array" ref="V31">T31+U31</f>
        <v>0</v>
      </c>
      <c r="W31" s="494"/>
      <c r="X31" s="443">
        <v>17</v>
      </c>
      <c r="Y31" s="435"/>
      <c r="Z31" s="435"/>
      <c r="AA31" s="436" cm="1">
        <f t="array" ref="AA31">(1/($AA$12+1))^X31</f>
        <v>0.55720377943457722</v>
      </c>
      <c r="AB31" s="437" cm="1">
        <f t="array" ref="AB31">Y31*AA31</f>
        <v>0</v>
      </c>
      <c r="AC31" s="437" cm="1">
        <f t="array" ref="AC31">(Z31*AA31)</f>
        <v>0</v>
      </c>
      <c r="AD31" s="439" cm="1">
        <f t="array" ref="AD31">AB31+AC31</f>
        <v>0</v>
      </c>
      <c r="AE31" s="56"/>
      <c r="AF31" s="58"/>
    </row>
    <row r="32" spans="1:32" ht="18.75" customHeight="1">
      <c r="A32" s="503">
        <v>4</v>
      </c>
      <c r="B32" s="435"/>
      <c r="C32" s="496"/>
      <c r="D32" s="497" cm="1">
        <f t="array" ref="D32">B32+C32</f>
        <v>0</v>
      </c>
      <c r="E32" s="462"/>
      <c r="F32" s="503">
        <v>4</v>
      </c>
      <c r="G32" s="498">
        <v>0.87144222769857205</v>
      </c>
      <c r="H32" s="499" cm="1">
        <f t="array" ref="H32">B32*G32</f>
        <v>0</v>
      </c>
      <c r="I32" s="500" cm="1">
        <f t="array" ref="I32">C32*G32</f>
        <v>0</v>
      </c>
      <c r="J32" s="497" cm="1">
        <f t="array" ref="J32">H32+I32</f>
        <v>0</v>
      </c>
      <c r="K32" s="489"/>
      <c r="L32" s="490"/>
      <c r="M32" s="503">
        <v>4</v>
      </c>
      <c r="N32" s="435"/>
      <c r="O32" s="435"/>
      <c r="P32" s="439" cm="1">
        <f t="array" ref="P32">N32+O32</f>
        <v>0</v>
      </c>
      <c r="Q32" s="478"/>
      <c r="R32" s="503">
        <v>4</v>
      </c>
      <c r="S32" s="498">
        <v>0.87144222769857205</v>
      </c>
      <c r="T32" s="491" cm="1">
        <f t="array" ref="T32">IFERROR(IF($V$6="No",0,IF(AND($V$13=0,$V$14=0),N32*S32,IF($V$13&gt;0,H32*$V$13,IF($V$14&gt;0,IF(AND($V$6="Yes",$V$7="Yes"),((B32/$D$26)*$V$14)*S32,((B32/$B$26)*$V$14)*S32))))),0)</f>
        <v>0</v>
      </c>
      <c r="U32" s="501" cm="1">
        <f t="array" ref="U32">IFERROR(IF($V$7="No",0,IF(AND($V$13=0,$V$14=0),O31*S31,IF($V$13&gt;0,I31*$V$13,IF($V$14&gt;0,IF(AND($V$6="Yes",$V$7="Yes"),((C31/$D$26)*$V$14)*S31,((C31/$C$26)*$V$14)*S31))))),0)</f>
        <v>0</v>
      </c>
      <c r="V32" s="502" cm="1">
        <f t="array" ref="V32">T32+U32</f>
        <v>0</v>
      </c>
      <c r="W32" s="494"/>
      <c r="X32" s="443">
        <v>18</v>
      </c>
      <c r="Y32" s="435"/>
      <c r="Z32" s="435"/>
      <c r="AA32" s="436" cm="1">
        <f t="array" ref="AA32">(1/($AA$12+1))^X32</f>
        <v>0.53836113955031617</v>
      </c>
      <c r="AB32" s="437" cm="1">
        <f t="array" ref="AB32">Y32*AA32</f>
        <v>0</v>
      </c>
      <c r="AC32" s="437" cm="1">
        <f t="array" ref="AC32">(Z32*AA32)</f>
        <v>0</v>
      </c>
      <c r="AD32" s="439" cm="1">
        <f t="array" ref="AD32">AB32+AC32</f>
        <v>0</v>
      </c>
      <c r="AE32" s="56"/>
      <c r="AF32" s="58"/>
    </row>
    <row r="33" spans="1:32" ht="18.75" customHeight="1">
      <c r="A33" s="503">
        <v>5</v>
      </c>
      <c r="B33" s="435"/>
      <c r="C33" s="496"/>
      <c r="D33" s="497" cm="1">
        <f t="array" ref="D33">B33+C33</f>
        <v>0</v>
      </c>
      <c r="E33" s="462"/>
      <c r="F33" s="503">
        <v>5</v>
      </c>
      <c r="G33" s="498">
        <v>0.84197316685852397</v>
      </c>
      <c r="H33" s="499" cm="1">
        <f t="array" ref="H33">B33*G33</f>
        <v>0</v>
      </c>
      <c r="I33" s="500" cm="1">
        <f t="array" ref="I33">C33*G33</f>
        <v>0</v>
      </c>
      <c r="J33" s="497" cm="1">
        <f t="array" ref="J33">H33+I33</f>
        <v>0</v>
      </c>
      <c r="K33" s="489"/>
      <c r="L33" s="490"/>
      <c r="M33" s="503">
        <v>5</v>
      </c>
      <c r="N33" s="435"/>
      <c r="O33" s="435"/>
      <c r="P33" s="439" cm="1">
        <f t="array" ref="P33">N33+O33</f>
        <v>0</v>
      </c>
      <c r="Q33" s="478"/>
      <c r="R33" s="503">
        <v>5</v>
      </c>
      <c r="S33" s="498">
        <v>0.84197316685852397</v>
      </c>
      <c r="T33" s="491" cm="1">
        <f t="array" ref="T33">IFERROR(IF($V$6="No",0,IF(AND($V$13=0,$V$14=0),N33*S33,IF($V$13&gt;0,H33*$V$13,IF($V$14&gt;0,IF(AND($V$6="Yes",$V$7="Yes"),((B33/$D$26)*$V$14)*S33,((B33/$B$26)*$V$14)*S33))))),0)</f>
        <v>0</v>
      </c>
      <c r="U33" s="501" cm="1">
        <f t="array" ref="U33">IFERROR(IF($V$7="No",0,IF(AND($V$13=0,$V$14=0),O32*S32,IF($V$13&gt;0,I32*$V$13,IF($V$14&gt;0,IF(AND($V$6="Yes",$V$7="Yes"),((C32/$D$26)*$V$14)*S32,((C32/$C$26)*$V$14)*S32))))),0)</f>
        <v>0</v>
      </c>
      <c r="V33" s="502" cm="1">
        <f t="array" ref="V33">T33+U33</f>
        <v>0</v>
      </c>
      <c r="W33" s="494"/>
      <c r="X33" s="443">
        <v>19</v>
      </c>
      <c r="Y33" s="435"/>
      <c r="Z33" s="435"/>
      <c r="AA33" s="436" cm="1">
        <f t="array" ref="AA33">(1/($AA$12+1))^X33</f>
        <v>0.520155690386779</v>
      </c>
      <c r="AB33" s="437" cm="1">
        <f t="array" ref="AB33">Y33*AA33</f>
        <v>0</v>
      </c>
      <c r="AC33" s="437" cm="1">
        <f t="array" ref="AC33">(Z33*AA33)</f>
        <v>0</v>
      </c>
      <c r="AD33" s="439" cm="1">
        <f t="array" ref="AD33">AB33+AC33</f>
        <v>0</v>
      </c>
      <c r="AE33" s="56"/>
      <c r="AF33" s="58"/>
    </row>
    <row r="34" spans="1:32" ht="18.75" customHeight="1">
      <c r="A34" s="503">
        <v>6</v>
      </c>
      <c r="B34" s="435"/>
      <c r="C34" s="496"/>
      <c r="D34" s="497" cm="1">
        <f t="array" ref="D34">B34+C34</f>
        <v>0</v>
      </c>
      <c r="E34" s="462"/>
      <c r="F34" s="503">
        <v>6</v>
      </c>
      <c r="G34" s="498">
        <v>0.81350064430775304</v>
      </c>
      <c r="H34" s="499" cm="1">
        <f t="array" ref="H34">B34*G34</f>
        <v>0</v>
      </c>
      <c r="I34" s="500" cm="1">
        <f t="array" ref="I34">C34*G34</f>
        <v>0</v>
      </c>
      <c r="J34" s="497" cm="1">
        <f t="array" ref="J34">H34+I34</f>
        <v>0</v>
      </c>
      <c r="K34" s="489"/>
      <c r="L34" s="490"/>
      <c r="M34" s="503">
        <v>6</v>
      </c>
      <c r="N34" s="435"/>
      <c r="O34" s="435"/>
      <c r="P34" s="439" cm="1">
        <f t="array" ref="P34">N34+O34</f>
        <v>0</v>
      </c>
      <c r="Q34" s="478"/>
      <c r="R34" s="503">
        <v>6</v>
      </c>
      <c r="S34" s="498">
        <v>0.81350064430775304</v>
      </c>
      <c r="T34" s="491" cm="1">
        <f t="array" ref="T34">IFERROR(IF($V$6="No",0,IF(AND($V$13=0,$V$14=0),N34*S34,IF($V$13&gt;0,H34*$V$13,IF($V$14&gt;0,IF(AND($V$6="Yes",$V$7="Yes"),((B34/$D$26)*$V$14)*S34,((B34/$B$26)*$V$14)*S34))))),0)</f>
        <v>0</v>
      </c>
      <c r="U34" s="501" cm="1">
        <f t="array" ref="U34">IFERROR(IF($V$7="No",0,IF(AND($V$13=0,$V$14=0),O33*S33,IF($V$13&gt;0,I33*$V$13,IF($V$14&gt;0,IF(AND($V$6="Yes",$V$7="Yes"),((C33/$D$26)*$V$14)*S33,((C33/$C$26)*$V$14)*S33))))),0)</f>
        <v>0</v>
      </c>
      <c r="V34" s="502" cm="1">
        <f t="array" ref="V34">T34+U34</f>
        <v>0</v>
      </c>
      <c r="W34" s="494"/>
      <c r="X34" s="443">
        <v>20</v>
      </c>
      <c r="Y34" s="435"/>
      <c r="Z34" s="435"/>
      <c r="AA34" s="436" cm="1">
        <f t="array" ref="AA34">(1/($AA$12+1))^X34</f>
        <v>0.5025658844316705</v>
      </c>
      <c r="AB34" s="437" cm="1">
        <f t="array" ref="AB34">Y34*AA34</f>
        <v>0</v>
      </c>
      <c r="AC34" s="437" cm="1">
        <f t="array" ref="AC34">(Z34*AA34)</f>
        <v>0</v>
      </c>
      <c r="AD34" s="439" cm="1">
        <f t="array" ref="AD34">AB34+AC34</f>
        <v>0</v>
      </c>
      <c r="AE34" s="56"/>
      <c r="AF34" s="58"/>
    </row>
    <row r="35" spans="1:32" ht="18.75" customHeight="1">
      <c r="A35" s="503">
        <v>7</v>
      </c>
      <c r="B35" s="435"/>
      <c r="C35" s="496"/>
      <c r="D35" s="497" cm="1">
        <f t="array" ref="D35">B35+C35</f>
        <v>0</v>
      </c>
      <c r="E35" s="462"/>
      <c r="F35" s="503">
        <v>7</v>
      </c>
      <c r="G35" s="498">
        <v>0.78599096068381902</v>
      </c>
      <c r="H35" s="499" cm="1">
        <f t="array" ref="H35">B35*G35</f>
        <v>0</v>
      </c>
      <c r="I35" s="500" cm="1">
        <f t="array" ref="I35">C35*G35</f>
        <v>0</v>
      </c>
      <c r="J35" s="497" cm="1">
        <f t="array" ref="J35">H35+I35</f>
        <v>0</v>
      </c>
      <c r="K35" s="489"/>
      <c r="L35" s="490"/>
      <c r="M35" s="503">
        <v>7</v>
      </c>
      <c r="N35" s="435"/>
      <c r="O35" s="435"/>
      <c r="P35" s="439" cm="1">
        <f t="array" ref="P35">N35+O35</f>
        <v>0</v>
      </c>
      <c r="Q35" s="478"/>
      <c r="R35" s="503">
        <v>7</v>
      </c>
      <c r="S35" s="498">
        <v>0.78599096068381902</v>
      </c>
      <c r="T35" s="491" cm="1">
        <f t="array" ref="T35">IFERROR(IF($V$6="No",0,IF(AND($V$13=0,$V$14=0),N35*S35,IF($V$13&gt;0,H35*$V$13,IF($V$14&gt;0,IF(AND($V$6="Yes",$V$7="Yes"),((B35/$D$26)*$V$14)*S35,((B35/$B$26)*$V$14)*S35))))),0)</f>
        <v>0</v>
      </c>
      <c r="U35" s="501" cm="1">
        <f t="array" ref="U35">IFERROR(IF($V$7="No",0,IF(AND($V$13=0,$V$14=0),O34*S34,IF($V$13&gt;0,I34*$V$13,IF($V$14&gt;0,IF(AND($V$6="Yes",$V$7="Yes"),((C34/$D$26)*$V$14)*S34,((C34/$C$26)*$V$14)*S34))))),0)</f>
        <v>0</v>
      </c>
      <c r="V35" s="502" cm="1">
        <f t="array" ref="V35">T35+U35</f>
        <v>0</v>
      </c>
      <c r="W35" s="494"/>
      <c r="X35" s="443">
        <v>21</v>
      </c>
      <c r="Y35" s="435"/>
      <c r="Z35" s="435"/>
      <c r="AA35" s="436" cm="1">
        <f t="array" ref="AA35">(1/($AA$12+1))^X35</f>
        <v>0.4855709028325319</v>
      </c>
      <c r="AB35" s="437" cm="1">
        <f t="array" ref="AB35">Y35*AA35</f>
        <v>0</v>
      </c>
      <c r="AC35" s="437" cm="1">
        <f t="array" ref="AC35">(Z35*AA35)</f>
        <v>0</v>
      </c>
      <c r="AD35" s="439" cm="1">
        <f t="array" ref="AD35">AB35+AC35</f>
        <v>0</v>
      </c>
      <c r="AE35" s="56"/>
      <c r="AF35" s="58"/>
    </row>
    <row r="36" spans="1:32" ht="18.75" customHeight="1">
      <c r="A36" s="503">
        <v>8</v>
      </c>
      <c r="B36" s="435"/>
      <c r="C36" s="496"/>
      <c r="D36" s="497" cm="1">
        <f t="array" ref="D36">B36+C36</f>
        <v>0</v>
      </c>
      <c r="E36" s="462"/>
      <c r="F36" s="503">
        <v>8</v>
      </c>
      <c r="G36" s="498">
        <v>0.759411556216251</v>
      </c>
      <c r="H36" s="499" cm="1">
        <f t="array" ref="H36">B36*G36</f>
        <v>0</v>
      </c>
      <c r="I36" s="500" cm="1">
        <f t="array" ref="I36">C36*G36</f>
        <v>0</v>
      </c>
      <c r="J36" s="497" cm="1">
        <f t="array" ref="J36">H36+I36</f>
        <v>0</v>
      </c>
      <c r="K36" s="489"/>
      <c r="L36" s="490"/>
      <c r="M36" s="503">
        <v>8</v>
      </c>
      <c r="N36" s="435"/>
      <c r="O36" s="435"/>
      <c r="P36" s="439" cm="1">
        <f t="array" ref="P36">N36+O36</f>
        <v>0</v>
      </c>
      <c r="Q36" s="478"/>
      <c r="R36" s="503">
        <v>8</v>
      </c>
      <c r="S36" s="498">
        <v>0.759411556216251</v>
      </c>
      <c r="T36" s="491" cm="1">
        <f t="array" ref="T36">IFERROR(IF($V$6="No",0,IF(AND($V$13=0,$V$14=0),N36*S36,IF($V$13&gt;0,H36*$V$13,IF($V$14&gt;0,IF(AND($V$6="Yes",$V$7="Yes"),((B36/$D$26)*$V$14)*S36,((B36/$B$26)*$V$14)*S36))))),0)</f>
        <v>0</v>
      </c>
      <c r="U36" s="501" cm="1">
        <f t="array" ref="U36">IFERROR(IF($V$7="No",0,IF(AND($V$13=0,$V$14=0),O35*S35,IF($V$13&gt;0,I35*$V$13,IF($V$14&gt;0,IF(AND($V$6="Yes",$V$7="Yes"),((C35/$D$26)*$V$14)*S35,((C35/$C$26)*$V$14)*S35))))),0)</f>
        <v>0</v>
      </c>
      <c r="V36" s="502" cm="1">
        <f t="array" ref="V36">T36+U36</f>
        <v>0</v>
      </c>
      <c r="W36" s="494"/>
      <c r="X36" s="443">
        <v>22</v>
      </c>
      <c r="Y36" s="435"/>
      <c r="Z36" s="435"/>
      <c r="AA36" s="436" cm="1">
        <f t="array" ref="AA36">(1/($AA$12+1))^X36</f>
        <v>0.46915063075606955</v>
      </c>
      <c r="AB36" s="437" cm="1">
        <f t="array" ref="AB36">Y36*AA36</f>
        <v>0</v>
      </c>
      <c r="AC36" s="437" cm="1">
        <f t="array" ref="AC36">(Z36*AA36)</f>
        <v>0</v>
      </c>
      <c r="AD36" s="439" cm="1">
        <f t="array" ref="AD36">AB36+AC36</f>
        <v>0</v>
      </c>
      <c r="AE36" s="56"/>
      <c r="AF36" s="58"/>
    </row>
    <row r="37" spans="1:32" ht="18.75" customHeight="1">
      <c r="A37" s="503">
        <v>9</v>
      </c>
      <c r="B37" s="435"/>
      <c r="C37" s="496"/>
      <c r="D37" s="497" cm="1">
        <f t="array" ref="D37">B37+C37</f>
        <v>0</v>
      </c>
      <c r="E37" s="462"/>
      <c r="F37" s="503">
        <v>9</v>
      </c>
      <c r="G37" s="498">
        <v>0.73373097218961403</v>
      </c>
      <c r="H37" s="499" cm="1">
        <f t="array" ref="H37">B37*G37</f>
        <v>0</v>
      </c>
      <c r="I37" s="500" cm="1">
        <f t="array" ref="I37">C37*G37</f>
        <v>0</v>
      </c>
      <c r="J37" s="497" cm="1">
        <f t="array" ref="J37">H37+I37</f>
        <v>0</v>
      </c>
      <c r="K37" s="489"/>
      <c r="L37" s="490"/>
      <c r="M37" s="503">
        <v>9</v>
      </c>
      <c r="N37" s="435"/>
      <c r="O37" s="435"/>
      <c r="P37" s="439" cm="1">
        <f t="array" ref="P37">N37+O37</f>
        <v>0</v>
      </c>
      <c r="Q37" s="478"/>
      <c r="R37" s="503">
        <v>9</v>
      </c>
      <c r="S37" s="498">
        <v>0.73373097218961403</v>
      </c>
      <c r="T37" s="491" cm="1">
        <f t="array" ref="T37">IFERROR(IF($V$6="No",0,IF(AND($V$13=0,$V$14=0),N37*S37,IF($V$13&gt;0,H37*$V$13,IF($V$14&gt;0,IF(AND($V$6="Yes",$V$7="Yes"),((B37/$D$26)*$V$14)*S37,((B37/$B$26)*$V$14)*S37))))),0)</f>
        <v>0</v>
      </c>
      <c r="U37" s="501" cm="1">
        <f t="array" ref="U37">IFERROR(IF($V$7="No",0,IF(AND($V$13=0,$V$14=0),O36*S36,IF($V$13&gt;0,I36*$V$13,IF($V$14&gt;0,IF(AND($V$6="Yes",$V$7="Yes"),((C36/$D$26)*$V$14)*S36,((C36/$C$26)*$V$14)*S36))))),0)</f>
        <v>0</v>
      </c>
      <c r="V37" s="502" cm="1">
        <f t="array" ref="V37">T37+U37</f>
        <v>0</v>
      </c>
      <c r="W37" s="494"/>
      <c r="X37" s="443">
        <v>23</v>
      </c>
      <c r="Y37" s="435"/>
      <c r="Z37" s="435"/>
      <c r="AA37" s="436" cm="1">
        <f t="array" ref="AA37">(1/($AA$12+1))^X37</f>
        <v>0.45328563358074359</v>
      </c>
      <c r="AB37" s="437" cm="1">
        <f t="array" ref="AB37">Y37*AA37</f>
        <v>0</v>
      </c>
      <c r="AC37" s="437" cm="1">
        <f t="array" ref="AC37">(Z37*AA37)</f>
        <v>0</v>
      </c>
      <c r="AD37" s="439" cm="1">
        <f t="array" ref="AD37">AB37+AC37</f>
        <v>0</v>
      </c>
      <c r="AE37" s="56"/>
      <c r="AF37" s="58"/>
    </row>
    <row r="38" spans="1:32" ht="18.75" customHeight="1">
      <c r="A38" s="503">
        <v>10</v>
      </c>
      <c r="B38" s="435"/>
      <c r="C38" s="496"/>
      <c r="D38" s="497" cm="1">
        <f t="array" ref="D38">B38+C38</f>
        <v>0</v>
      </c>
      <c r="E38" s="462"/>
      <c r="F38" s="503">
        <v>10</v>
      </c>
      <c r="G38" s="498">
        <v>0.70891881370977206</v>
      </c>
      <c r="H38" s="499" cm="1">
        <f t="array" ref="H38">B38*G38</f>
        <v>0</v>
      </c>
      <c r="I38" s="500" cm="1">
        <f t="array" ref="I38">C38*G38</f>
        <v>0</v>
      </c>
      <c r="J38" s="497" cm="1">
        <f t="array" ref="J38">H38+I38</f>
        <v>0</v>
      </c>
      <c r="K38" s="489"/>
      <c r="L38" s="490"/>
      <c r="M38" s="503">
        <v>10</v>
      </c>
      <c r="N38" s="435"/>
      <c r="O38" s="435"/>
      <c r="P38" s="439" cm="1">
        <f t="array" ref="P38">N38+O38</f>
        <v>0</v>
      </c>
      <c r="Q38" s="478"/>
      <c r="R38" s="503">
        <v>10</v>
      </c>
      <c r="S38" s="498">
        <v>0.70891881370977206</v>
      </c>
      <c r="T38" s="491" cm="1">
        <f t="array" ref="T38">IFERROR(IF($V$6="No",0,IF(AND($V$13=0,$V$14=0),N38*S38,IF($V$13&gt;0,H38*$V$13,IF($V$14&gt;0,IF(AND($V$6="Yes",$V$7="Yes"),((B38/$D$26)*$V$14)*S38,((B38/$B$26)*$V$14)*S38))))),0)</f>
        <v>0</v>
      </c>
      <c r="U38" s="501" cm="1">
        <f t="array" ref="U38">IFERROR(IF($V$7="No",0,IF(AND($V$13=0,$V$14=0),O37*S37,IF($V$13&gt;0,I37*$V$13,IF($V$14&gt;0,IF(AND($V$6="Yes",$V$7="Yes"),((C37/$D$26)*$V$14)*S37,((C37/$C$26)*$V$14)*S37))))),0)</f>
        <v>0</v>
      </c>
      <c r="V38" s="502" cm="1">
        <f t="array" ref="V38">T38+U38</f>
        <v>0</v>
      </c>
      <c r="W38" s="494"/>
      <c r="X38" s="443">
        <v>24</v>
      </c>
      <c r="Y38" s="435"/>
      <c r="Z38" s="435"/>
      <c r="AA38" s="436" cm="1">
        <f t="array" ref="AA38">(1/($AA$12+1))^X38</f>
        <v>0.43795713389443819</v>
      </c>
      <c r="AB38" s="437" cm="1">
        <f t="array" ref="AB38">Y38*AA38</f>
        <v>0</v>
      </c>
      <c r="AC38" s="437" cm="1">
        <f t="array" ref="AC38">(Z38*AA38)</f>
        <v>0</v>
      </c>
      <c r="AD38" s="439" cm="1">
        <f t="array" ref="AD38">AB38+AC38</f>
        <v>0</v>
      </c>
      <c r="AE38" s="56"/>
      <c r="AF38" s="58"/>
    </row>
    <row r="39" spans="1:32" ht="18.75" customHeight="1">
      <c r="A39" s="503">
        <v>11</v>
      </c>
      <c r="B39" s="435"/>
      <c r="C39" s="496"/>
      <c r="D39" s="497" cm="1">
        <f t="array" ref="D39">B39+C39</f>
        <v>0</v>
      </c>
      <c r="E39" s="462"/>
      <c r="F39" s="503">
        <v>11</v>
      </c>
      <c r="G39" s="498">
        <v>0.68494571372924895</v>
      </c>
      <c r="H39" s="499" cm="1">
        <f t="array" ref="H39">B39*G39</f>
        <v>0</v>
      </c>
      <c r="I39" s="500" cm="1">
        <f t="array" ref="I39">C39*G39</f>
        <v>0</v>
      </c>
      <c r="J39" s="497" cm="1">
        <f t="array" ref="J39">H39+I39</f>
        <v>0</v>
      </c>
      <c r="K39" s="489"/>
      <c r="L39" s="490"/>
      <c r="M39" s="503">
        <v>11</v>
      </c>
      <c r="N39" s="435"/>
      <c r="O39" s="435"/>
      <c r="P39" s="439" cm="1">
        <f t="array" ref="P39">N39+O39</f>
        <v>0</v>
      </c>
      <c r="Q39" s="478"/>
      <c r="R39" s="503">
        <v>11</v>
      </c>
      <c r="S39" s="498">
        <v>0.68494571372924895</v>
      </c>
      <c r="T39" s="491" cm="1">
        <f t="array" ref="T39">IFERROR(IF($V$6="No",0,IF(AND($V$13=0,$V$14=0),N39*S39,IF($V$13&gt;0,H39*$V$13,IF($V$14&gt;0,IF(AND($V$6="Yes",$V$7="Yes"),((B39/$D$26)*$V$14)*S39,((B39/$B$26)*$V$14)*S39))))),0)</f>
        <v>0</v>
      </c>
      <c r="U39" s="501" cm="1">
        <f t="array" ref="U39">IFERROR(IF($V$7="No",0,IF(AND($V$13=0,$V$14=0),O38*S38,IF($V$13&gt;0,I38*$V$13,IF($V$14&gt;0,IF(AND($V$6="Yes",$V$7="Yes"),((C38/$D$26)*$V$14)*S38,((C38/$C$26)*$V$14)*S38))))),0)</f>
        <v>0</v>
      </c>
      <c r="V39" s="502" cm="1">
        <f t="array" ref="V39">T39+U39</f>
        <v>0</v>
      </c>
      <c r="W39" s="494"/>
      <c r="X39" s="443">
        <v>25</v>
      </c>
      <c r="Y39" s="435"/>
      <c r="Z39" s="435"/>
      <c r="AA39" s="436" cm="1">
        <f t="array" ref="AA39">(1/($AA$12+1))^X39</f>
        <v>0.42314698926998867</v>
      </c>
      <c r="AB39" s="437" cm="1">
        <f t="array" ref="AB39">Y39*AA39</f>
        <v>0</v>
      </c>
      <c r="AC39" s="437" cm="1">
        <f t="array" ref="AC39">(Z39*AA39)</f>
        <v>0</v>
      </c>
      <c r="AD39" s="439" cm="1">
        <f t="array" ref="AD39">AB39+AC39</f>
        <v>0</v>
      </c>
      <c r="AE39" s="56"/>
      <c r="AF39" s="58"/>
    </row>
    <row r="40" spans="1:32" ht="18.75" customHeight="1">
      <c r="A40" s="503">
        <v>12</v>
      </c>
      <c r="B40" s="435"/>
      <c r="C40" s="496"/>
      <c r="D40" s="497" cm="1">
        <f t="array" ref="D40">B40+C40</f>
        <v>0</v>
      </c>
      <c r="E40" s="462"/>
      <c r="F40" s="503">
        <v>12</v>
      </c>
      <c r="G40" s="498">
        <v>0.66178329828912896</v>
      </c>
      <c r="H40" s="499" cm="1">
        <f t="array" ref="H40">B40*G40</f>
        <v>0</v>
      </c>
      <c r="I40" s="500" cm="1">
        <f t="array" ref="I40">C40*G40</f>
        <v>0</v>
      </c>
      <c r="J40" s="497" cm="1">
        <f t="array" ref="J40">H40+I40</f>
        <v>0</v>
      </c>
      <c r="K40" s="489"/>
      <c r="L40" s="490"/>
      <c r="M40" s="503">
        <v>12</v>
      </c>
      <c r="N40" s="435"/>
      <c r="O40" s="435"/>
      <c r="P40" s="439" cm="1">
        <f t="array" ref="P40">N40+O40</f>
        <v>0</v>
      </c>
      <c r="Q40" s="478"/>
      <c r="R40" s="503">
        <v>12</v>
      </c>
      <c r="S40" s="498">
        <v>0.66178329828912896</v>
      </c>
      <c r="T40" s="491" cm="1">
        <f t="array" ref="T40">IFERROR(IF($V$6="No",0,IF(AND($V$13=0,$V$14=0),N40*S40,IF($V$13&gt;0,H40*$V$13,IF($V$14&gt;0,IF(AND($V$6="Yes",$V$7="Yes"),((B40/$D$26)*$V$14)*S40,((B40/$B$26)*$V$14)*S40))))),0)</f>
        <v>0</v>
      </c>
      <c r="U40" s="501" cm="1">
        <f t="array" ref="U40">IFERROR(IF($V$7="No",0,IF(AND($V$13=0,$V$14=0),O39*S39,IF($V$13&gt;0,I39*$V$13,IF($V$14&gt;0,IF(AND($V$6="Yes",$V$7="Yes"),((C39/$D$26)*$V$14)*S39,((C39/$C$26)*$V$14)*S39))))),0)</f>
        <v>0</v>
      </c>
      <c r="V40" s="502" cm="1">
        <f t="array" ref="V40">T40+U40</f>
        <v>0</v>
      </c>
      <c r="W40" s="494"/>
      <c r="X40" s="443">
        <v>26</v>
      </c>
      <c r="Y40" s="435"/>
      <c r="Z40" s="435"/>
      <c r="AA40" s="436" cm="1">
        <f t="array" ref="AA40">(1/($AA$12+1))^X40</f>
        <v>0.40883767079225958</v>
      </c>
      <c r="AB40" s="437" cm="1">
        <f t="array" ref="AB40">Y40*AA40</f>
        <v>0</v>
      </c>
      <c r="AC40" s="437" cm="1">
        <f t="array" ref="AC40">(Z40*AA40)</f>
        <v>0</v>
      </c>
      <c r="AD40" s="439" cm="1">
        <f t="array" ref="AD40">AB40+AC40</f>
        <v>0</v>
      </c>
      <c r="AE40" s="56"/>
      <c r="AF40" s="58"/>
    </row>
    <row r="41" spans="1:32" ht="18.75" customHeight="1">
      <c r="A41" s="503">
        <v>13</v>
      </c>
      <c r="B41" s="435"/>
      <c r="C41" s="496"/>
      <c r="D41" s="497" cm="1">
        <f t="array" ref="D41">B41+C41</f>
        <v>0</v>
      </c>
      <c r="E41" s="462"/>
      <c r="F41" s="503">
        <v>13</v>
      </c>
      <c r="G41" s="498">
        <v>0.639404152936357</v>
      </c>
      <c r="H41" s="499" cm="1">
        <f t="array" ref="H41">B41*G41</f>
        <v>0</v>
      </c>
      <c r="I41" s="500" cm="1">
        <f t="array" ref="I41">C41*G41</f>
        <v>0</v>
      </c>
      <c r="J41" s="497" cm="1">
        <f t="array" ref="J41">H41+I41</f>
        <v>0</v>
      </c>
      <c r="K41" s="489"/>
      <c r="L41" s="490"/>
      <c r="M41" s="503">
        <v>13</v>
      </c>
      <c r="N41" s="435"/>
      <c r="O41" s="435"/>
      <c r="P41" s="439" cm="1">
        <f t="array" ref="P41">N41+O41</f>
        <v>0</v>
      </c>
      <c r="Q41" s="478"/>
      <c r="R41" s="503">
        <v>13</v>
      </c>
      <c r="S41" s="498">
        <v>0.639404152936357</v>
      </c>
      <c r="T41" s="491" cm="1">
        <f t="array" ref="T41">IFERROR(IF($V$6="No",0,IF(AND($V$13=0,$V$14=0),N41*S41,IF($V$13&gt;0,H41*$V$13,IF($V$14&gt;0,IF(AND($V$6="Yes",$V$7="Yes"),((B41/$D$26)*$V$14)*S41,((B41/$B$26)*$V$14)*S41))))),0)</f>
        <v>0</v>
      </c>
      <c r="U41" s="501" cm="1">
        <f t="array" ref="U41">IFERROR(IF($V$7="No",0,IF(AND($V$13=0,$V$14=0),O40*S40,IF($V$13&gt;0,I40*$V$13,IF($V$14&gt;0,IF(AND($V$6="Yes",$V$7="Yes"),((C40/$D$26)*$V$14)*S40,((C40/$C$26)*$V$14)*S40))))),0)</f>
        <v>0</v>
      </c>
      <c r="V41" s="502" cm="1">
        <f t="array" ref="V41">T41+U41</f>
        <v>0</v>
      </c>
      <c r="W41" s="494"/>
      <c r="X41" s="443">
        <v>27</v>
      </c>
      <c r="Y41" s="435"/>
      <c r="Z41" s="435"/>
      <c r="AA41" s="436" cm="1">
        <f t="array" ref="AA41">(1/($AA$12+1))^X41</f>
        <v>0.39501224231136195</v>
      </c>
      <c r="AB41" s="437" cm="1">
        <f t="array" ref="AB41">Y41*AA41</f>
        <v>0</v>
      </c>
      <c r="AC41" s="437" cm="1">
        <f t="array" ref="AC41">(Z41*AA41)</f>
        <v>0</v>
      </c>
      <c r="AD41" s="439" cm="1">
        <f t="array" ref="AD41">AB41+AC41</f>
        <v>0</v>
      </c>
      <c r="AE41" s="56"/>
      <c r="AF41" s="58"/>
    </row>
    <row r="42" spans="1:32" ht="18.75" customHeight="1">
      <c r="A42" s="503">
        <v>14</v>
      </c>
      <c r="B42" s="435"/>
      <c r="C42" s="496"/>
      <c r="D42" s="497" cm="1">
        <f t="array" ref="D42">B42+C42</f>
        <v>0</v>
      </c>
      <c r="E42" s="462"/>
      <c r="F42" s="503">
        <v>14</v>
      </c>
      <c r="G42" s="498">
        <v>0.61778179027667302</v>
      </c>
      <c r="H42" s="499" cm="1">
        <f t="array" ref="H42">B42*G42</f>
        <v>0</v>
      </c>
      <c r="I42" s="500" cm="1">
        <f t="array" ref="I42">C42*G42</f>
        <v>0</v>
      </c>
      <c r="J42" s="497" cm="1">
        <f t="array" ref="J42">H42+I42</f>
        <v>0</v>
      </c>
      <c r="K42" s="489"/>
      <c r="L42" s="490"/>
      <c r="M42" s="503">
        <v>14</v>
      </c>
      <c r="N42" s="435"/>
      <c r="O42" s="435"/>
      <c r="P42" s="439" cm="1">
        <f t="array" ref="P42">N42+O42</f>
        <v>0</v>
      </c>
      <c r="Q42" s="478"/>
      <c r="R42" s="503">
        <v>14</v>
      </c>
      <c r="S42" s="498">
        <v>0.61778179027667302</v>
      </c>
      <c r="T42" s="491" cm="1">
        <f t="array" ref="T42">IFERROR(IF($V$6="No",0,IF(AND($V$13=0,$V$14=0),N42*S42,IF($V$13&gt;0,H42*$V$13,IF($V$14&gt;0,IF(AND($V$6="Yes",$V$7="Yes"),((B42/$D$26)*$V$14)*S42,((B42/$B$26)*$V$14)*S42))))),0)</f>
        <v>0</v>
      </c>
      <c r="U42" s="501" cm="1">
        <f t="array" ref="U42">IFERROR(IF($V$7="No",0,IF(AND($V$13=0,$V$14=0),O41*S41,IF($V$13&gt;0,I41*$V$13,IF($V$14&gt;0,IF(AND($V$6="Yes",$V$7="Yes"),((C41/$D$26)*$V$14)*S41,((C41/$C$26)*$V$14)*S41))))),0)</f>
        <v>0</v>
      </c>
      <c r="V42" s="502" cm="1">
        <f t="array" ref="V42">T42+U42</f>
        <v>0</v>
      </c>
      <c r="W42" s="494"/>
      <c r="X42" s="443">
        <v>28</v>
      </c>
      <c r="Y42" s="435"/>
      <c r="Z42" s="435"/>
      <c r="AA42" s="436" cm="1">
        <f t="array" ref="AA42">(1/($AA$12+1))^X42</f>
        <v>0.38165434039745122</v>
      </c>
      <c r="AB42" s="437" cm="1">
        <f t="array" ref="AB42">Y42*AA42</f>
        <v>0</v>
      </c>
      <c r="AC42" s="437" cm="1">
        <f t="array" ref="AC42">(Z42*AA42)</f>
        <v>0</v>
      </c>
      <c r="AD42" s="439" cm="1">
        <f t="array" ref="AD42">AB42+AC42</f>
        <v>0</v>
      </c>
      <c r="AE42" s="56"/>
      <c r="AF42" s="58"/>
    </row>
    <row r="43" spans="1:32" ht="18.75" customHeight="1">
      <c r="A43" s="503">
        <v>15</v>
      </c>
      <c r="B43" s="435"/>
      <c r="C43" s="496"/>
      <c r="D43" s="497" cm="1">
        <f t="array" ref="D43">B43+C43</f>
        <v>0</v>
      </c>
      <c r="E43" s="462"/>
      <c r="F43" s="503">
        <v>15</v>
      </c>
      <c r="G43" s="498">
        <v>0.59689061862480497</v>
      </c>
      <c r="H43" s="499" cm="1">
        <f t="array" ref="H43">B43*G43</f>
        <v>0</v>
      </c>
      <c r="I43" s="500" cm="1">
        <f t="array" ref="I43">C43*G43</f>
        <v>0</v>
      </c>
      <c r="J43" s="497" cm="1">
        <f t="array" ref="J43">H43+I43</f>
        <v>0</v>
      </c>
      <c r="K43" s="489"/>
      <c r="L43" s="490"/>
      <c r="M43" s="503">
        <v>15</v>
      </c>
      <c r="N43" s="435"/>
      <c r="O43" s="435"/>
      <c r="P43" s="439" cm="1">
        <f t="array" ref="P43">N43+O43</f>
        <v>0</v>
      </c>
      <c r="Q43" s="478"/>
      <c r="R43" s="503">
        <v>15</v>
      </c>
      <c r="S43" s="498">
        <v>0.59689061862480497</v>
      </c>
      <c r="T43" s="491" cm="1">
        <f t="array" ref="T43">IFERROR(IF($V$6="No",0,IF(AND($V$13=0,$V$14=0),N43*S43,IF($V$13&gt;0,H43*$V$13,IF($V$14&gt;0,IF(AND($V$6="Yes",$V$7="Yes"),((B43/$D$26)*$V$14)*S43,((B43/$B$26)*$V$14)*S43))))),0)</f>
        <v>0</v>
      </c>
      <c r="U43" s="501" cm="1">
        <f t="array" ref="U43">IFERROR(IF($V$7="No",0,IF(AND($V$13=0,$V$14=0),O42*S42,IF($V$13&gt;0,I42*$V$13,IF($V$14&gt;0,IF(AND($V$6="Yes",$V$7="Yes"),((C42/$D$26)*$V$14)*S42,((C42/$C$26)*$V$14)*S42))))),0)</f>
        <v>0</v>
      </c>
      <c r="V43" s="502" cm="1">
        <f t="array" ref="V43">T43+U43</f>
        <v>0</v>
      </c>
      <c r="W43" s="494"/>
      <c r="X43" s="443">
        <v>29</v>
      </c>
      <c r="Y43" s="435"/>
      <c r="Z43" s="435"/>
      <c r="AA43" s="436" cm="1">
        <f t="array" ref="AA43">(1/($AA$12+1))^X43</f>
        <v>0.36874815497338276</v>
      </c>
      <c r="AB43" s="437" cm="1">
        <f t="array" ref="AB43">Y43*AA43</f>
        <v>0</v>
      </c>
      <c r="AC43" s="437" cm="1">
        <f t="array" ref="AC43">(Z43*AA43)</f>
        <v>0</v>
      </c>
      <c r="AD43" s="439" cm="1">
        <f t="array" ref="AD43">AB43+AC43</f>
        <v>0</v>
      </c>
      <c r="AE43" s="56"/>
      <c r="AF43" s="58"/>
    </row>
    <row r="44" spans="1:32" ht="18.75" customHeight="1">
      <c r="A44" s="503">
        <v>16</v>
      </c>
      <c r="B44" s="435"/>
      <c r="C44" s="496"/>
      <c r="D44" s="497" cm="1">
        <f t="array" ref="D44">B44+C44</f>
        <v>0</v>
      </c>
      <c r="E44" s="462"/>
      <c r="F44" s="503">
        <v>16</v>
      </c>
      <c r="G44" s="498">
        <v>0.57670591171478702</v>
      </c>
      <c r="H44" s="499" cm="1">
        <f t="array" ref="H44">B44*G44</f>
        <v>0</v>
      </c>
      <c r="I44" s="500" cm="1">
        <f t="array" ref="I44">C44*G44</f>
        <v>0</v>
      </c>
      <c r="J44" s="497" cm="1">
        <f t="array" ref="J44">H44+I44</f>
        <v>0</v>
      </c>
      <c r="K44" s="489"/>
      <c r="L44" s="490"/>
      <c r="M44" s="503">
        <v>16</v>
      </c>
      <c r="N44" s="435"/>
      <c r="O44" s="435"/>
      <c r="P44" s="439" cm="1">
        <f t="array" ref="P44">N44+O44</f>
        <v>0</v>
      </c>
      <c r="Q44" s="478"/>
      <c r="R44" s="503">
        <v>16</v>
      </c>
      <c r="S44" s="498">
        <v>0.57670591171478702</v>
      </c>
      <c r="T44" s="491" cm="1">
        <f t="array" ref="T44">IFERROR(IF($V$6="No",0,IF(AND($V$13=0,$V$14=0),N44*S44,IF($V$13&gt;0,H44*$V$13,IF($V$14&gt;0,IF(AND($V$6="Yes",$V$7="Yes"),((B44/$D$26)*$V$14)*S44,((B44/$B$26)*$V$14)*S44))))),0)</f>
        <v>0</v>
      </c>
      <c r="U44" s="501" cm="1">
        <f t="array" ref="U44">IFERROR(IF($V$7="No",0,IF(AND($V$13=0,$V$14=0),O43*S43,IF($V$13&gt;0,I43*$V$13,IF($V$14&gt;0,IF(AND($V$6="Yes",$V$7="Yes"),((C43/$D$26)*$V$14)*S43,((C43/$C$26)*$V$14)*S43))))),0)</f>
        <v>0</v>
      </c>
      <c r="V44" s="502" cm="1">
        <f t="array" ref="V44">T44+U44</f>
        <v>0</v>
      </c>
      <c r="W44" s="494"/>
      <c r="X44" s="443">
        <v>30</v>
      </c>
      <c r="Y44" s="435"/>
      <c r="Z44" s="435"/>
      <c r="AA44" s="436" cm="1">
        <f t="array" ref="AA44">(1/($AA$12+1))^X44</f>
        <v>0.35627841060230225</v>
      </c>
      <c r="AB44" s="437" cm="1">
        <f t="array" ref="AB44">Y44*AA44</f>
        <v>0</v>
      </c>
      <c r="AC44" s="437" cm="1">
        <f t="array" ref="AC44">(Z44*AA44)</f>
        <v>0</v>
      </c>
      <c r="AD44" s="439" cm="1">
        <f t="array" ref="AD44">AB44+AC44</f>
        <v>0</v>
      </c>
      <c r="AE44" s="56"/>
      <c r="AF44" s="58"/>
    </row>
    <row r="45" spans="1:32" ht="18.75" customHeight="1">
      <c r="A45" s="503">
        <v>17</v>
      </c>
      <c r="B45" s="435"/>
      <c r="C45" s="496"/>
      <c r="D45" s="497" cm="1">
        <f t="array" ref="D45">B45+C45</f>
        <v>0</v>
      </c>
      <c r="E45" s="462"/>
      <c r="F45" s="503">
        <v>17</v>
      </c>
      <c r="G45" s="498">
        <v>0.557203779434577</v>
      </c>
      <c r="H45" s="499" cm="1">
        <f t="array" ref="H45">B45*G45</f>
        <v>0</v>
      </c>
      <c r="I45" s="500" cm="1">
        <f t="array" ref="I45">C45*G45</f>
        <v>0</v>
      </c>
      <c r="J45" s="497" cm="1">
        <f t="array" ref="J45">H45+I45</f>
        <v>0</v>
      </c>
      <c r="K45" s="489"/>
      <c r="L45" s="490"/>
      <c r="M45" s="503">
        <v>17</v>
      </c>
      <c r="N45" s="435"/>
      <c r="O45" s="435"/>
      <c r="P45" s="439" cm="1">
        <f t="array" ref="P45">N45+O45</f>
        <v>0</v>
      </c>
      <c r="Q45" s="478"/>
      <c r="R45" s="503">
        <v>17</v>
      </c>
      <c r="S45" s="498">
        <v>0.557203779434577</v>
      </c>
      <c r="T45" s="491" cm="1">
        <f t="array" ref="T45">IFERROR(IF($V$6="No",0,IF(AND($V$13=0,$V$14=0),N45*S45,IF($V$13&gt;0,H45*$V$13,IF($V$14&gt;0,IF(AND($V$6="Yes",$V$7="Yes"),((B45/$D$26)*$V$14)*S45,((B45/$B$26)*$V$14)*S45))))),0)</f>
        <v>0</v>
      </c>
      <c r="U45" s="501" cm="1">
        <f t="array" ref="U45">IFERROR(IF($V$7="No",0,IF(AND($V$13=0,$V$14=0),O44*S44,IF($V$13&gt;0,I44*$V$13,IF($V$14&gt;0,IF(AND($V$6="Yes",$V$7="Yes"),((C44/$D$26)*$V$14)*S44,((C44/$C$26)*$V$14)*S44))))),0)</f>
        <v>0</v>
      </c>
      <c r="V45" s="502" cm="1">
        <f t="array" ref="V45">T45+U45</f>
        <v>0</v>
      </c>
      <c r="W45" s="494"/>
      <c r="X45" s="443">
        <v>31</v>
      </c>
      <c r="Y45" s="435"/>
      <c r="Z45" s="435"/>
      <c r="AA45" s="436" cm="1">
        <f t="array" ref="AA45">(1/($AA$12+1))^X45</f>
        <v>0.34423034840802152</v>
      </c>
      <c r="AB45" s="437" cm="1">
        <f t="array" ref="AB45">Y45*AA45</f>
        <v>0</v>
      </c>
      <c r="AC45" s="437" cm="1">
        <f t="array" ref="AC45">(Z45*AA45)</f>
        <v>0</v>
      </c>
      <c r="AD45" s="439" cm="1">
        <f t="array" ref="AD45">AB45+AC45</f>
        <v>0</v>
      </c>
      <c r="AE45" s="56"/>
      <c r="AF45" s="58"/>
    </row>
    <row r="46" spans="1:32" ht="18.75" customHeight="1">
      <c r="A46" s="503">
        <v>18</v>
      </c>
      <c r="B46" s="435"/>
      <c r="C46" s="496"/>
      <c r="D46" s="497" cm="1">
        <f t="array" ref="D46">B46+C46</f>
        <v>0</v>
      </c>
      <c r="E46" s="462"/>
      <c r="F46" s="503">
        <v>18</v>
      </c>
      <c r="G46" s="498">
        <v>0.53836113955031595</v>
      </c>
      <c r="H46" s="499" cm="1">
        <f t="array" ref="H46">B46*G46</f>
        <v>0</v>
      </c>
      <c r="I46" s="500" cm="1">
        <f t="array" ref="I46">C46*G46</f>
        <v>0</v>
      </c>
      <c r="J46" s="497" cm="1">
        <f t="array" ref="J46">H46+I46</f>
        <v>0</v>
      </c>
      <c r="K46" s="489"/>
      <c r="L46" s="490"/>
      <c r="M46" s="503">
        <v>18</v>
      </c>
      <c r="N46" s="435"/>
      <c r="O46" s="435"/>
      <c r="P46" s="439" cm="1">
        <f t="array" ref="P46">N46+O46</f>
        <v>0</v>
      </c>
      <c r="Q46" s="478"/>
      <c r="R46" s="503">
        <v>18</v>
      </c>
      <c r="S46" s="498">
        <v>0.53836113955031595</v>
      </c>
      <c r="T46" s="491" cm="1">
        <f t="array" ref="T46">IFERROR(IF($V$6="No",0,IF(AND($V$13=0,$V$14=0),N46*S46,IF($V$13&gt;0,H46*$V$13,IF($V$14&gt;0,IF(AND($V$6="Yes",$V$7="Yes"),((B46/$D$26)*$V$14)*S46,((B46/$B$26)*$V$14)*S46))))),0)</f>
        <v>0</v>
      </c>
      <c r="U46" s="501" cm="1">
        <f t="array" ref="U46">IFERROR(IF($V$7="No",0,IF(AND($V$13=0,$V$14=0),O45*S45,IF($V$13&gt;0,I45*$V$13,IF($V$14&gt;0,IF(AND($V$6="Yes",$V$7="Yes"),((C45/$D$26)*$V$14)*S45,((C45/$C$26)*$V$14)*S45))))),0)</f>
        <v>0</v>
      </c>
      <c r="V46" s="502" cm="1">
        <f t="array" ref="V46">T46+U46</f>
        <v>0</v>
      </c>
      <c r="W46" s="494"/>
      <c r="X46" s="443">
        <v>32</v>
      </c>
      <c r="Y46" s="435"/>
      <c r="Z46" s="435"/>
      <c r="AA46" s="436" cm="1">
        <f t="array" ref="AA46">(1/($AA$12+1))^X46</f>
        <v>0.33258970860678411</v>
      </c>
      <c r="AB46" s="437" cm="1">
        <f t="array" ref="AB46">Y46*AA46</f>
        <v>0</v>
      </c>
      <c r="AC46" s="437" cm="1">
        <f t="array" ref="AC46">(Z46*AA46)</f>
        <v>0</v>
      </c>
      <c r="AD46" s="439" cm="1">
        <f t="array" ref="AD46">AB46+AC46</f>
        <v>0</v>
      </c>
      <c r="AE46" s="56"/>
      <c r="AF46" s="58"/>
    </row>
    <row r="47" spans="1:32" ht="18.75" customHeight="1">
      <c r="A47" s="503">
        <v>19</v>
      </c>
      <c r="B47" s="435"/>
      <c r="C47" s="496"/>
      <c r="D47" s="497" cm="1">
        <f t="array" ref="D47">B47+C47</f>
        <v>0</v>
      </c>
      <c r="E47" s="462"/>
      <c r="F47" s="503">
        <v>19</v>
      </c>
      <c r="G47" s="498">
        <v>0.520155690386779</v>
      </c>
      <c r="H47" s="499" cm="1">
        <f t="array" ref="H47">B47*G47</f>
        <v>0</v>
      </c>
      <c r="I47" s="500" cm="1">
        <f t="array" ref="I47">C47*G47</f>
        <v>0</v>
      </c>
      <c r="J47" s="497" cm="1">
        <f t="array" ref="J47">H47+I47</f>
        <v>0</v>
      </c>
      <c r="K47" s="489"/>
      <c r="L47" s="490"/>
      <c r="M47" s="503">
        <v>19</v>
      </c>
      <c r="N47" s="435"/>
      <c r="O47" s="435"/>
      <c r="P47" s="439" cm="1">
        <f t="array" ref="P47">N47+O47</f>
        <v>0</v>
      </c>
      <c r="Q47" s="478"/>
      <c r="R47" s="503">
        <v>19</v>
      </c>
      <c r="S47" s="498">
        <v>0.520155690386779</v>
      </c>
      <c r="T47" s="491" cm="1">
        <f t="array" ref="T47">IFERROR(IF($V$6="No",0,IF(AND($V$13=0,$V$14=0),N47*S47,IF($V$13&gt;0,H47*$V$13,IF($V$14&gt;0,IF(AND($V$6="Yes",$V$7="Yes"),((B47/$D$26)*$V$14)*S47,((B47/$B$26)*$V$14)*S47))))),0)</f>
        <v>0</v>
      </c>
      <c r="U47" s="501" cm="1">
        <f t="array" ref="U47">IFERROR(IF($V$7="No",0,IF(AND($V$13=0,$V$14=0),O46*S46,IF($V$13&gt;0,I46*$V$13,IF($V$14&gt;0,IF(AND($V$6="Yes",$V$7="Yes"),((C46/$D$26)*$V$14)*S46,((C46/$C$26)*$V$14)*S46))))),0)</f>
        <v>0</v>
      </c>
      <c r="V47" s="502" cm="1">
        <f t="array" ref="V47">T47+U47</f>
        <v>0</v>
      </c>
      <c r="W47" s="494"/>
      <c r="X47" s="443">
        <v>33</v>
      </c>
      <c r="Y47" s="435"/>
      <c r="Z47" s="435"/>
      <c r="AA47" s="436" cm="1">
        <f t="array" ref="AA47">(1/($AA$12+1))^X47</f>
        <v>0.32134271362974315</v>
      </c>
      <c r="AB47" s="437" cm="1">
        <f t="array" ref="AB47">Y47*AA47</f>
        <v>0</v>
      </c>
      <c r="AC47" s="437" cm="1">
        <f t="array" ref="AC47">(Z47*AA47)</f>
        <v>0</v>
      </c>
      <c r="AD47" s="439" cm="1">
        <f t="array" ref="AD47">AB47+AC47</f>
        <v>0</v>
      </c>
      <c r="AE47" s="56"/>
      <c r="AF47" s="58"/>
    </row>
    <row r="48" spans="1:32" ht="18.75" customHeight="1">
      <c r="A48" s="503">
        <v>20</v>
      </c>
      <c r="B48" s="435"/>
      <c r="C48" s="496"/>
      <c r="D48" s="497" cm="1">
        <f t="array" ref="D48">B48+C48</f>
        <v>0</v>
      </c>
      <c r="E48" s="462"/>
      <c r="F48" s="503">
        <v>20</v>
      </c>
      <c r="G48" s="498">
        <v>0.50256588443167105</v>
      </c>
      <c r="H48" s="499" cm="1">
        <f t="array" ref="H48">B48*G48</f>
        <v>0</v>
      </c>
      <c r="I48" s="500" cm="1">
        <f t="array" ref="I48">C48*G48</f>
        <v>0</v>
      </c>
      <c r="J48" s="497" cm="1">
        <f t="array" ref="J48">H48+I48</f>
        <v>0</v>
      </c>
      <c r="K48" s="489"/>
      <c r="L48" s="490"/>
      <c r="M48" s="503">
        <v>20</v>
      </c>
      <c r="N48" s="435"/>
      <c r="O48" s="435"/>
      <c r="P48" s="439" cm="1">
        <f t="array" ref="P48">N48+O48</f>
        <v>0</v>
      </c>
      <c r="Q48" s="478"/>
      <c r="R48" s="503">
        <v>20</v>
      </c>
      <c r="S48" s="498">
        <v>0.50256588443167105</v>
      </c>
      <c r="T48" s="491" cm="1">
        <f t="array" ref="T48">IFERROR(IF($V$6="No",0,IF(AND($V$13=0,$V$14=0),N48*S48,IF($V$13&gt;0,H48*$V$13,IF($V$14&gt;0,IF(AND($V$6="Yes",$V$7="Yes"),((B48/$D$26)*$V$14)*S48,((B48/$B$26)*$V$14)*S48))))),0)</f>
        <v>0</v>
      </c>
      <c r="U48" s="501" cm="1">
        <f t="array" ref="U48">IFERROR(IF($V$7="No",0,IF(AND($V$13=0,$V$14=0),O47*S47,IF($V$13&gt;0,I47*$V$13,IF($V$14&gt;0,IF(AND($V$6="Yes",$V$7="Yes"),((C47/$D$26)*$V$14)*S47,((C47/$C$26)*$V$14)*S47))))),0)</f>
        <v>0</v>
      </c>
      <c r="V48" s="502" cm="1">
        <f t="array" ref="V48">T48+U48</f>
        <v>0</v>
      </c>
      <c r="W48" s="494"/>
      <c r="X48" s="443">
        <v>34</v>
      </c>
      <c r="Y48" s="435"/>
      <c r="Z48" s="435"/>
      <c r="AA48" s="436" cm="1">
        <f t="array" ref="AA48">(1/($AA$12+1))^X48</f>
        <v>0.31047605181617693</v>
      </c>
      <c r="AB48" s="437" cm="1">
        <f t="array" ref="AB48">Y48*AA48</f>
        <v>0</v>
      </c>
      <c r="AC48" s="437" cm="1">
        <f t="array" ref="AC48">(Z48*AA48)</f>
        <v>0</v>
      </c>
      <c r="AD48" s="439" cm="1">
        <f t="array" ref="AD48">AB48+AC48</f>
        <v>0</v>
      </c>
      <c r="AE48" s="56"/>
      <c r="AF48" s="58"/>
    </row>
    <row r="49" spans="1:32" ht="18.75" customHeight="1">
      <c r="A49" s="503">
        <v>21</v>
      </c>
      <c r="B49" s="435"/>
      <c r="C49" s="496"/>
      <c r="D49" s="497" cm="1">
        <f t="array" ref="D49">B49+C49</f>
        <v>0</v>
      </c>
      <c r="E49" s="462"/>
      <c r="F49" s="503">
        <v>21</v>
      </c>
      <c r="G49" s="498">
        <v>0.48557090283253201</v>
      </c>
      <c r="H49" s="499" cm="1">
        <f t="array" ref="H49">B49*G49</f>
        <v>0</v>
      </c>
      <c r="I49" s="500" cm="1">
        <f t="array" ref="I49">C49*G49</f>
        <v>0</v>
      </c>
      <c r="J49" s="497" cm="1">
        <f t="array" ref="J49">H49+I49</f>
        <v>0</v>
      </c>
      <c r="K49" s="489"/>
      <c r="L49" s="490"/>
      <c r="M49" s="503">
        <v>21</v>
      </c>
      <c r="N49" s="435"/>
      <c r="O49" s="435"/>
      <c r="P49" s="439" cm="1">
        <f t="array" ref="P49">N49+O49</f>
        <v>0</v>
      </c>
      <c r="Q49" s="478"/>
      <c r="R49" s="503">
        <v>21</v>
      </c>
      <c r="S49" s="498">
        <v>0.48557090283253201</v>
      </c>
      <c r="T49" s="491" cm="1">
        <f t="array" ref="T49">IFERROR(IF($V$6="No",0,IF(AND($V$13=0,$V$14=0),N49*S49,IF($V$13&gt;0,H49*$V$13,IF($V$14&gt;0,IF(AND($V$6="Yes",$V$7="Yes"),((B49/$D$26)*$V$14)*S49,((B49/$B$26)*$V$14)*S49))))),0)</f>
        <v>0</v>
      </c>
      <c r="U49" s="501" cm="1">
        <f t="array" ref="U49">IFERROR(IF($V$7="No",0,IF(AND($V$13=0,$V$14=0),O48*S48,IF($V$13&gt;0,I48*$V$13,IF($V$14&gt;0,IF(AND($V$6="Yes",$V$7="Yes"),((C48/$D$26)*$V$14)*S48,((C48/$C$26)*$V$14)*S48))))),0)</f>
        <v>0</v>
      </c>
      <c r="V49" s="502" cm="1">
        <f t="array" ref="V49">T49+U49</f>
        <v>0</v>
      </c>
      <c r="W49" s="494"/>
      <c r="X49" s="443">
        <v>35</v>
      </c>
      <c r="Y49" s="435"/>
      <c r="Z49" s="435"/>
      <c r="AA49" s="436" cm="1">
        <f t="array" ref="AA49">(1/($AA$12+1))^X49</f>
        <v>0.29997686165814202</v>
      </c>
      <c r="AB49" s="437" cm="1">
        <f t="array" ref="AB49">Y49*AA49</f>
        <v>0</v>
      </c>
      <c r="AC49" s="437" cm="1">
        <f t="array" ref="AC49">(Z49*AA49)</f>
        <v>0</v>
      </c>
      <c r="AD49" s="439" cm="1">
        <f t="array" ref="AD49">AB49+AC49</f>
        <v>0</v>
      </c>
      <c r="AE49" s="56"/>
      <c r="AF49" s="58"/>
    </row>
    <row r="50" spans="1:32" ht="18.75" customHeight="1">
      <c r="A50" s="503">
        <v>22</v>
      </c>
      <c r="B50" s="435"/>
      <c r="C50" s="496"/>
      <c r="D50" s="497" cm="1">
        <f t="array" ref="D50">B50+C50</f>
        <v>0</v>
      </c>
      <c r="E50" s="462"/>
      <c r="F50" s="503">
        <v>22</v>
      </c>
      <c r="G50" s="498">
        <v>0.46915063075607</v>
      </c>
      <c r="H50" s="499" cm="1">
        <f t="array" ref="H50">B50*G50</f>
        <v>0</v>
      </c>
      <c r="I50" s="500" cm="1">
        <f t="array" ref="I50">C50*G50</f>
        <v>0</v>
      </c>
      <c r="J50" s="497" cm="1">
        <f t="array" ref="J50">H50+I50</f>
        <v>0</v>
      </c>
      <c r="K50" s="489"/>
      <c r="L50" s="490"/>
      <c r="M50" s="503">
        <v>22</v>
      </c>
      <c r="N50" s="435"/>
      <c r="O50" s="435"/>
      <c r="P50" s="439" cm="1">
        <f t="array" ref="P50">N50+O50</f>
        <v>0</v>
      </c>
      <c r="Q50" s="478"/>
      <c r="R50" s="503">
        <v>22</v>
      </c>
      <c r="S50" s="498">
        <v>0.46915063075607</v>
      </c>
      <c r="T50" s="491" cm="1">
        <f t="array" ref="T50">IFERROR(IF($V$6="No",0,IF(AND($V$13=0,$V$14=0),N50*S50,IF($V$13&gt;0,H50*$V$13,IF($V$14&gt;0,IF(AND($V$6="Yes",$V$7="Yes"),((B50/$D$26)*$V$14)*S50,((B50/$B$26)*$V$14)*S50))))),0)</f>
        <v>0</v>
      </c>
      <c r="U50" s="501" cm="1">
        <f t="array" ref="U50">IFERROR(IF($V$7="No",0,IF(AND($V$13=0,$V$14=0),O49*S49,IF($V$13&gt;0,I49*$V$13,IF($V$14&gt;0,IF(AND($V$6="Yes",$V$7="Yes"),((C49/$D$26)*$V$14)*S49,((C49/$C$26)*$V$14)*S49))))),0)</f>
        <v>0</v>
      </c>
      <c r="V50" s="502" cm="1">
        <f t="array" ref="V50">T50+U50</f>
        <v>0</v>
      </c>
      <c r="W50" s="494"/>
      <c r="X50" s="443">
        <v>36</v>
      </c>
      <c r="Y50" s="435"/>
      <c r="Z50" s="435"/>
      <c r="AA50" s="436" cm="1">
        <f t="array" ref="AA50">(1/($AA$12+1))^X50</f>
        <v>0.28983271657791498</v>
      </c>
      <c r="AB50" s="437" cm="1">
        <f t="array" ref="AB50">Y50*AA50</f>
        <v>0</v>
      </c>
      <c r="AC50" s="437" cm="1">
        <f t="array" ref="AC50">(Z50*AA50)</f>
        <v>0</v>
      </c>
      <c r="AD50" s="439" cm="1">
        <f t="array" ref="AD50">AB50+AC50</f>
        <v>0</v>
      </c>
      <c r="AE50" s="56"/>
      <c r="AF50" s="58"/>
    </row>
    <row r="51" spans="1:32" ht="18.75" customHeight="1">
      <c r="A51" s="503">
        <v>23</v>
      </c>
      <c r="B51" s="435"/>
      <c r="C51" s="496"/>
      <c r="D51" s="497" cm="1">
        <f t="array" ref="D51">B51+C51</f>
        <v>0</v>
      </c>
      <c r="E51" s="462"/>
      <c r="F51" s="503">
        <v>23</v>
      </c>
      <c r="G51" s="498">
        <v>0.45328563358074397</v>
      </c>
      <c r="H51" s="499" cm="1">
        <f t="array" ref="H51">B51*G51</f>
        <v>0</v>
      </c>
      <c r="I51" s="500" cm="1">
        <f t="array" ref="I51">C51*G51</f>
        <v>0</v>
      </c>
      <c r="J51" s="497" cm="1">
        <f t="array" ref="J51">H51+I51</f>
        <v>0</v>
      </c>
      <c r="K51" s="489"/>
      <c r="L51" s="490"/>
      <c r="M51" s="503">
        <v>23</v>
      </c>
      <c r="N51" s="435"/>
      <c r="O51" s="435"/>
      <c r="P51" s="439" cm="1">
        <f t="array" ref="P51">N51+O51</f>
        <v>0</v>
      </c>
      <c r="Q51" s="478"/>
      <c r="R51" s="503">
        <v>23</v>
      </c>
      <c r="S51" s="498">
        <v>0.45328563358074397</v>
      </c>
      <c r="T51" s="491" cm="1">
        <f t="array" ref="T51">IFERROR(IF($V$6="No",0,IF(AND($V$13=0,$V$14=0),N51*S51,IF($V$13&gt;0,H51*$V$13,IF($V$14&gt;0,IF(AND($V$6="Yes",$V$7="Yes"),((B51/$D$26)*$V$14)*S51,((B51/$B$26)*$V$14)*S51))))),0)</f>
        <v>0</v>
      </c>
      <c r="U51" s="501" cm="1">
        <f t="array" ref="U51">IFERROR(IF($V$7="No",0,IF(AND($V$13=0,$V$14=0),O50*S50,IF($V$13&gt;0,I50*$V$13,IF($V$14&gt;0,IF(AND($V$6="Yes",$V$7="Yes"),((C50/$D$26)*$V$14)*S50,((C50/$C$26)*$V$14)*S50))))),0)</f>
        <v>0</v>
      </c>
      <c r="V51" s="502" cm="1">
        <f t="array" ref="V51">T51+U51</f>
        <v>0</v>
      </c>
      <c r="W51" s="494"/>
      <c r="X51" s="443">
        <v>37</v>
      </c>
      <c r="Y51" s="435"/>
      <c r="Z51" s="435"/>
      <c r="AA51" s="436" cm="1">
        <f t="array" ref="AA51">(1/($AA$12+1))^X51</f>
        <v>0.28003161022020773</v>
      </c>
      <c r="AB51" s="437" cm="1">
        <f t="array" ref="AB51">Y51*AA51</f>
        <v>0</v>
      </c>
      <c r="AC51" s="437" cm="1">
        <f t="array" ref="AC51">(Z51*AA51)</f>
        <v>0</v>
      </c>
      <c r="AD51" s="439" cm="1">
        <f t="array" ref="AD51">AB51+AC51</f>
        <v>0</v>
      </c>
      <c r="AE51" s="56"/>
      <c r="AF51" s="58"/>
    </row>
    <row r="52" spans="1:32" ht="18.75" customHeight="1">
      <c r="A52" s="503">
        <v>24</v>
      </c>
      <c r="B52" s="435"/>
      <c r="C52" s="496"/>
      <c r="D52" s="497" cm="1">
        <f t="array" ref="D52">B52+C52</f>
        <v>0</v>
      </c>
      <c r="E52" s="462"/>
      <c r="F52" s="503">
        <v>24</v>
      </c>
      <c r="G52" s="498">
        <v>0.43795713389443802</v>
      </c>
      <c r="H52" s="499" cm="1">
        <f t="array" ref="H52">B52*G52</f>
        <v>0</v>
      </c>
      <c r="I52" s="500" cm="1">
        <f t="array" ref="I52">C52*G52</f>
        <v>0</v>
      </c>
      <c r="J52" s="497" cm="1">
        <f t="array" ref="J52">H52+I52</f>
        <v>0</v>
      </c>
      <c r="K52" s="489"/>
      <c r="L52" s="490"/>
      <c r="M52" s="503">
        <v>24</v>
      </c>
      <c r="N52" s="435"/>
      <c r="O52" s="435"/>
      <c r="P52" s="439" cm="1">
        <f t="array" ref="P52">N52+O52</f>
        <v>0</v>
      </c>
      <c r="Q52" s="478"/>
      <c r="R52" s="503">
        <v>24</v>
      </c>
      <c r="S52" s="498">
        <v>0.43795713389443802</v>
      </c>
      <c r="T52" s="491" cm="1">
        <f t="array" ref="T52">IFERROR(IF($V$6="No",0,IF(AND($V$13=0,$V$14=0),N52*S52,IF($V$13&gt;0,H52*$V$13,IF($V$14&gt;0,IF(AND($V$6="Yes",$V$7="Yes"),((B52/$D$26)*$V$14)*S52,((B52/$B$26)*$V$14)*S52))))),0)</f>
        <v>0</v>
      </c>
      <c r="U52" s="501" cm="1">
        <f t="array" ref="U52">IFERROR(IF($V$7="No",0,IF(AND($V$13=0,$V$14=0),O51*S51,IF($V$13&gt;0,I51*$V$13,IF($V$14&gt;0,IF(AND($V$6="Yes",$V$7="Yes"),((C51/$D$26)*$V$14)*S51,((C51/$C$26)*$V$14)*S51))))),0)</f>
        <v>0</v>
      </c>
      <c r="V52" s="502" cm="1">
        <f t="array" ref="V52">T52+U52</f>
        <v>0</v>
      </c>
      <c r="W52" s="494"/>
      <c r="X52" s="443">
        <v>38</v>
      </c>
      <c r="Y52" s="435"/>
      <c r="Z52" s="435"/>
      <c r="AA52" s="436" cm="1">
        <f t="array" ref="AA52">(1/($AA$12+1))^X52</f>
        <v>0.27056194224174662</v>
      </c>
      <c r="AB52" s="437" cm="1">
        <f t="array" ref="AB52">Y52*AA52</f>
        <v>0</v>
      </c>
      <c r="AC52" s="437" cm="1">
        <f t="array" ref="AC52">(Z52*AA52)</f>
        <v>0</v>
      </c>
      <c r="AD52" s="439" cm="1">
        <f t="array" ref="AD52">AB52+AC52</f>
        <v>0</v>
      </c>
      <c r="AE52" s="56"/>
      <c r="AF52" s="58"/>
    </row>
    <row r="53" spans="1:32" ht="18.75" customHeight="1">
      <c r="A53" s="503">
        <v>25</v>
      </c>
      <c r="B53" s="435"/>
      <c r="C53" s="496"/>
      <c r="D53" s="497" cm="1">
        <f t="array" ref="D53">B53+C53</f>
        <v>0</v>
      </c>
      <c r="E53" s="462"/>
      <c r="F53" s="503">
        <v>25</v>
      </c>
      <c r="G53" s="498">
        <v>0.423146989269989</v>
      </c>
      <c r="H53" s="499" cm="1">
        <f t="array" ref="H53">B53*G53</f>
        <v>0</v>
      </c>
      <c r="I53" s="500" cm="1">
        <f t="array" ref="I53">C53*G53</f>
        <v>0</v>
      </c>
      <c r="J53" s="497" cm="1">
        <f t="array" ref="J53">H53+I53</f>
        <v>0</v>
      </c>
      <c r="K53" s="489"/>
      <c r="L53" s="490"/>
      <c r="M53" s="503">
        <v>25</v>
      </c>
      <c r="N53" s="435"/>
      <c r="O53" s="435"/>
      <c r="P53" s="439" cm="1">
        <f t="array" ref="P53">N53+O53</f>
        <v>0</v>
      </c>
      <c r="Q53" s="478"/>
      <c r="R53" s="503">
        <v>25</v>
      </c>
      <c r="S53" s="498">
        <v>0.423146989269989</v>
      </c>
      <c r="T53" s="491" cm="1">
        <f t="array" ref="T53">IFERROR(IF($V$6="No",0,IF(AND($V$13=0,$V$14=0),N53*S53,IF($V$13&gt;0,H53*$V$13,IF($V$14&gt;0,IF(AND($V$6="Yes",$V$7="Yes"),((B53/$D$26)*$V$14)*S53,((B53/$B$26)*$V$14)*S53))))),0)</f>
        <v>0</v>
      </c>
      <c r="U53" s="501" cm="1">
        <f t="array" ref="U53">IFERROR(IF($V$7="No",0,IF(AND($V$13=0,$V$14=0),O52*S52,IF($V$13&gt;0,I52*$V$13,IF($V$14&gt;0,IF(AND($V$6="Yes",$V$7="Yes"),((C52/$D$26)*$V$14)*S52,((C52/$C$26)*$V$14)*S52))))),0)</f>
        <v>0</v>
      </c>
      <c r="V53" s="502" cm="1">
        <f t="array" ref="V53">T53+U53</f>
        <v>0</v>
      </c>
      <c r="W53" s="494"/>
      <c r="X53" s="443">
        <v>39</v>
      </c>
      <c r="Y53" s="435"/>
      <c r="Z53" s="435"/>
      <c r="AA53" s="436" cm="1">
        <f t="array" ref="AA53">(1/($AA$12+1))^X53</f>
        <v>0.26141250458139775</v>
      </c>
      <c r="AB53" s="437" cm="1">
        <f t="array" ref="AB53">Y53*AA53</f>
        <v>0</v>
      </c>
      <c r="AC53" s="437" cm="1">
        <f t="array" ref="AC53">(Z53*AA53)</f>
        <v>0</v>
      </c>
      <c r="AD53" s="439" cm="1">
        <f t="array" ref="AD53">AB53+AC53</f>
        <v>0</v>
      </c>
      <c r="AE53" s="56"/>
      <c r="AF53" s="58"/>
    </row>
    <row r="54" spans="1:32" ht="18.75" customHeight="1">
      <c r="A54" s="503">
        <v>26</v>
      </c>
      <c r="B54" s="435"/>
      <c r="C54" s="496"/>
      <c r="D54" s="497" cm="1">
        <f t="array" ref="D54">B54+C54</f>
        <v>0</v>
      </c>
      <c r="E54" s="462"/>
      <c r="F54" s="503">
        <v>26</v>
      </c>
      <c r="G54" s="498">
        <v>0.40883767079226002</v>
      </c>
      <c r="H54" s="499" cm="1">
        <f t="array" ref="H54">B54*G54</f>
        <v>0</v>
      </c>
      <c r="I54" s="500" cm="1">
        <f t="array" ref="I54">C54*G54</f>
        <v>0</v>
      </c>
      <c r="J54" s="497" cm="1">
        <f t="array" ref="J54">H54+I54</f>
        <v>0</v>
      </c>
      <c r="K54" s="489"/>
      <c r="L54" s="490"/>
      <c r="M54" s="503">
        <v>26</v>
      </c>
      <c r="N54" s="435"/>
      <c r="O54" s="435"/>
      <c r="P54" s="439" cm="1">
        <f t="array" ref="P54">N54+O54</f>
        <v>0</v>
      </c>
      <c r="Q54" s="478"/>
      <c r="R54" s="503">
        <v>26</v>
      </c>
      <c r="S54" s="498">
        <v>0.40883767079226002</v>
      </c>
      <c r="T54" s="491" cm="1">
        <f t="array" ref="T54">IFERROR(IF($V$6="No",0,IF(AND($V$13=0,$V$14=0),N54*S54,IF($V$13&gt;0,H54*$V$13,IF($V$14&gt;0,IF(AND($V$6="Yes",$V$7="Yes"),((B54/$D$26)*$V$14)*S54,((B54/$B$26)*$V$14)*S54))))),0)</f>
        <v>0</v>
      </c>
      <c r="U54" s="501" cm="1">
        <f t="array" ref="U54">IFERROR(IF($V$7="No",0,IF(AND($V$13=0,$V$14=0),O53*S53,IF($V$13&gt;0,I53*$V$13,IF($V$14&gt;0,IF(AND($V$6="Yes",$V$7="Yes"),((C53/$D$26)*$V$14)*S53,((C53/$C$26)*$V$14)*S53))))),0)</f>
        <v>0</v>
      </c>
      <c r="V54" s="502" cm="1">
        <f t="array" ref="V54">T54+U54</f>
        <v>0</v>
      </c>
      <c r="W54" s="494"/>
      <c r="X54" s="443">
        <v>40</v>
      </c>
      <c r="Y54" s="435"/>
      <c r="Z54" s="435"/>
      <c r="AA54" s="436" cm="1">
        <f t="array" ref="AA54">(1/($AA$12+1))^X54</f>
        <v>0.25257246819458717</v>
      </c>
      <c r="AB54" s="437" cm="1">
        <f t="array" ref="AB54">Y54*AA54</f>
        <v>0</v>
      </c>
      <c r="AC54" s="437" cm="1">
        <f t="array" ref="AC54">(Z54*AA54)</f>
        <v>0</v>
      </c>
      <c r="AD54" s="439" cm="1">
        <f t="array" ref="AD54">AB54+AC54</f>
        <v>0</v>
      </c>
      <c r="AE54" s="56"/>
      <c r="AF54" s="58"/>
    </row>
    <row r="55" spans="1:32" ht="18.75" customHeight="1">
      <c r="A55" s="503">
        <v>27</v>
      </c>
      <c r="B55" s="435"/>
      <c r="C55" s="496"/>
      <c r="D55" s="497" cm="1">
        <f t="array" ref="D55">B55+C55</f>
        <v>0</v>
      </c>
      <c r="E55" s="462"/>
      <c r="F55" s="503">
        <v>27</v>
      </c>
      <c r="G55" s="498">
        <v>0.39501224231136201</v>
      </c>
      <c r="H55" s="499" cm="1">
        <f t="array" ref="H55">B55*G55</f>
        <v>0</v>
      </c>
      <c r="I55" s="500" cm="1">
        <f t="array" ref="I55">C55*G55</f>
        <v>0</v>
      </c>
      <c r="J55" s="497" cm="1">
        <f t="array" ref="J55">H55+I55</f>
        <v>0</v>
      </c>
      <c r="K55" s="489"/>
      <c r="L55" s="490"/>
      <c r="M55" s="503">
        <v>27</v>
      </c>
      <c r="N55" s="435"/>
      <c r="O55" s="435"/>
      <c r="P55" s="439" cm="1">
        <f t="array" ref="P55">N55+O55</f>
        <v>0</v>
      </c>
      <c r="Q55" s="478"/>
      <c r="R55" s="503">
        <v>27</v>
      </c>
      <c r="S55" s="498">
        <v>0.39501224231136201</v>
      </c>
      <c r="T55" s="491" cm="1">
        <f t="array" ref="T55">IFERROR(IF($V$6="No",0,IF(AND($V$13=0,$V$14=0),N55*S55,IF($V$13&gt;0,H55*$V$13,IF($V$14&gt;0,IF(AND($V$6="Yes",$V$7="Yes"),((B55/$D$26)*$V$14)*S55,((B55/$B$26)*$V$14)*S55))))),0)</f>
        <v>0</v>
      </c>
      <c r="U55" s="501" cm="1">
        <f t="array" ref="U55">IFERROR(IF($V$7="No",0,IF(AND($V$13=0,$V$14=0),O54*S54,IF($V$13&gt;0,I54*$V$13,IF($V$14&gt;0,IF(AND($V$6="Yes",$V$7="Yes"),((C54/$D$26)*$V$14)*S54,((C54/$C$26)*$V$14)*S54))))),0)</f>
        <v>0</v>
      </c>
      <c r="V55" s="502" cm="1">
        <f t="array" ref="V55">T55+U55</f>
        <v>0</v>
      </c>
      <c r="W55" s="494"/>
      <c r="X55" s="443">
        <v>41</v>
      </c>
      <c r="Y55" s="435"/>
      <c r="Z55" s="435"/>
      <c r="AA55" s="436" cm="1">
        <f t="array" ref="AA55">(1/($AA$12+1))^X55</f>
        <v>0.24403137023631613</v>
      </c>
      <c r="AB55" s="437" cm="1">
        <f t="array" ref="AB55">Y55*AA55</f>
        <v>0</v>
      </c>
      <c r="AC55" s="437" cm="1">
        <f t="array" ref="AC55">(Z55*AA55)</f>
        <v>0</v>
      </c>
      <c r="AD55" s="439" cm="1">
        <f t="array" ref="AD55">AB55+AC55</f>
        <v>0</v>
      </c>
      <c r="AE55" s="56"/>
      <c r="AF55" s="58"/>
    </row>
    <row r="56" spans="1:32" ht="18.75" customHeight="1">
      <c r="A56" s="503">
        <v>28</v>
      </c>
      <c r="B56" s="435"/>
      <c r="C56" s="496"/>
      <c r="D56" s="497" cm="1">
        <f t="array" ref="D56">B56+C56</f>
        <v>0</v>
      </c>
      <c r="E56" s="462"/>
      <c r="F56" s="503">
        <v>28</v>
      </c>
      <c r="G56" s="498">
        <v>0.381654340397451</v>
      </c>
      <c r="H56" s="499" cm="1">
        <f t="array" ref="H56">B56*G56</f>
        <v>0</v>
      </c>
      <c r="I56" s="500" cm="1">
        <f t="array" ref="I56">C56*G56</f>
        <v>0</v>
      </c>
      <c r="J56" s="497" cm="1">
        <f t="array" ref="J56">H56+I56</f>
        <v>0</v>
      </c>
      <c r="K56" s="489"/>
      <c r="L56" s="490"/>
      <c r="M56" s="503">
        <v>28</v>
      </c>
      <c r="N56" s="435"/>
      <c r="O56" s="435"/>
      <c r="P56" s="439" cm="1">
        <f t="array" ref="P56">N56+O56</f>
        <v>0</v>
      </c>
      <c r="Q56" s="478"/>
      <c r="R56" s="503">
        <v>28</v>
      </c>
      <c r="S56" s="498">
        <v>0.381654340397451</v>
      </c>
      <c r="T56" s="491" cm="1">
        <f t="array" ref="T56">IFERROR(IF($V$6="No",0,IF(AND($V$13=0,$V$14=0),N56*S56,IF($V$13&gt;0,H56*$V$13,IF($V$14&gt;0,IF(AND($V$6="Yes",$V$7="Yes"),((B56/$D$26)*$V$14)*S56,((B56/$B$26)*$V$14)*S56))))),0)</f>
        <v>0</v>
      </c>
      <c r="U56" s="501" cm="1">
        <f t="array" ref="U56">IFERROR(IF($V$7="No",0,IF(AND($V$13=0,$V$14=0),O55*S55,IF($V$13&gt;0,I55*$V$13,IF($V$14&gt;0,IF(AND($V$6="Yes",$V$7="Yes"),((C55/$D$26)*$V$14)*S55,((C55/$C$26)*$V$14)*S55))))),0)</f>
        <v>0</v>
      </c>
      <c r="V56" s="502" cm="1">
        <f t="array" ref="V56">T56+U56</f>
        <v>0</v>
      </c>
      <c r="W56" s="494"/>
      <c r="X56" s="443">
        <v>42</v>
      </c>
      <c r="Y56" s="435"/>
      <c r="Z56" s="435"/>
      <c r="AA56" s="436" cm="1">
        <f t="array" ref="AA56">(1/($AA$12+1))^X56</f>
        <v>0.23577910167760016</v>
      </c>
      <c r="AB56" s="437" cm="1">
        <f t="array" ref="AB56">Y56*AA56</f>
        <v>0</v>
      </c>
      <c r="AC56" s="437" cm="1">
        <f t="array" ref="AC56">(Z56*AA56)</f>
        <v>0</v>
      </c>
      <c r="AD56" s="439" cm="1">
        <f t="array" ref="AD56">AB56+AC56</f>
        <v>0</v>
      </c>
      <c r="AE56" s="56"/>
      <c r="AF56" s="58"/>
    </row>
    <row r="57" spans="1:32" ht="18.75" customHeight="1">
      <c r="A57" s="503">
        <v>29</v>
      </c>
      <c r="B57" s="435"/>
      <c r="C57" s="496"/>
      <c r="D57" s="497" cm="1">
        <f t="array" ref="D57">B57+C57</f>
        <v>0</v>
      </c>
      <c r="E57" s="462"/>
      <c r="F57" s="503">
        <v>29</v>
      </c>
      <c r="G57" s="498">
        <v>0.36874815497338298</v>
      </c>
      <c r="H57" s="499" cm="1">
        <f t="array" ref="H57">B57*G57</f>
        <v>0</v>
      </c>
      <c r="I57" s="500" cm="1">
        <f t="array" ref="I57">C57*G57</f>
        <v>0</v>
      </c>
      <c r="J57" s="497" cm="1">
        <f t="array" ref="J57">H57+I57</f>
        <v>0</v>
      </c>
      <c r="K57" s="489"/>
      <c r="L57" s="490"/>
      <c r="M57" s="503">
        <v>29</v>
      </c>
      <c r="N57" s="435"/>
      <c r="O57" s="435"/>
      <c r="P57" s="439" cm="1">
        <f t="array" ref="P57">N57+O57</f>
        <v>0</v>
      </c>
      <c r="Q57" s="478"/>
      <c r="R57" s="503">
        <v>29</v>
      </c>
      <c r="S57" s="498">
        <v>0.36874815497338298</v>
      </c>
      <c r="T57" s="491" cm="1">
        <f t="array" ref="T57">IFERROR(IF($V$6="No",0,IF(AND($V$13=0,$V$14=0),N57*S57,IF($V$13&gt;0,H57*$V$13,IF($V$14&gt;0,IF(AND($V$6="Yes",$V$7="Yes"),((B57/$D$26)*$V$14)*S57,((B57/$B$26)*$V$14)*S57))))),0)</f>
        <v>0</v>
      </c>
      <c r="U57" s="501" cm="1">
        <f t="array" ref="U57">IFERROR(IF($V$7="No",0,IF(AND($V$13=0,$V$14=0),O56*S56,IF($V$13&gt;0,I56*$V$13,IF($V$14&gt;0,IF(AND($V$6="Yes",$V$7="Yes"),((C56/$D$26)*$V$14)*S56,((C56/$C$26)*$V$14)*S56))))),0)</f>
        <v>0</v>
      </c>
      <c r="V57" s="502" cm="1">
        <f t="array" ref="V57">T57+U57</f>
        <v>0</v>
      </c>
      <c r="W57" s="494"/>
      <c r="X57" s="443">
        <v>43</v>
      </c>
      <c r="Y57" s="435"/>
      <c r="Z57" s="435"/>
      <c r="AA57" s="436" cm="1">
        <f t="array" ref="AA57">(1/($AA$12+1))^X57</f>
        <v>0.2278058953406765</v>
      </c>
      <c r="AB57" s="437" cm="1">
        <f t="array" ref="AB57">Y57*AA57</f>
        <v>0</v>
      </c>
      <c r="AC57" s="437" cm="1">
        <f t="array" ref="AC57">(Z57*AA57)</f>
        <v>0</v>
      </c>
      <c r="AD57" s="439" cm="1">
        <f t="array" ref="AD57">AB57+AC57</f>
        <v>0</v>
      </c>
      <c r="AE57" s="56"/>
      <c r="AF57" s="58"/>
    </row>
    <row r="58" spans="1:32" ht="18.75" customHeight="1">
      <c r="A58" s="503">
        <v>30</v>
      </c>
      <c r="B58" s="435"/>
      <c r="C58" s="496"/>
      <c r="D58" s="497" cm="1">
        <f t="array" ref="D58">B58+C58</f>
        <v>0</v>
      </c>
      <c r="E58" s="462"/>
      <c r="F58" s="503">
        <v>30</v>
      </c>
      <c r="G58" s="498">
        <v>0.35627841060230198</v>
      </c>
      <c r="H58" s="499" cm="1">
        <f t="array" ref="H58">B58*G58</f>
        <v>0</v>
      </c>
      <c r="I58" s="500" cm="1">
        <f t="array" ref="I58">C58*G58</f>
        <v>0</v>
      </c>
      <c r="J58" s="497" cm="1">
        <f t="array" ref="J58">H58+I58</f>
        <v>0</v>
      </c>
      <c r="K58" s="489"/>
      <c r="L58" s="490"/>
      <c r="M58" s="503">
        <v>30</v>
      </c>
      <c r="N58" s="435"/>
      <c r="O58" s="435"/>
      <c r="P58" s="439" cm="1">
        <f t="array" ref="P58">N58+O58</f>
        <v>0</v>
      </c>
      <c r="Q58" s="478"/>
      <c r="R58" s="503">
        <v>30</v>
      </c>
      <c r="S58" s="498">
        <v>0.35627841060230198</v>
      </c>
      <c r="T58" s="491" cm="1">
        <f t="array" ref="T58">IFERROR(IF($V$6="No",0,IF(AND($V$13=0,$V$14=0),N58*S58,IF($V$13&gt;0,H58*$V$13,IF($V$14&gt;0,IF(AND($V$6="Yes",$V$7="Yes"),((B58/$D$26)*$V$14)*S58,((B58/$B$26)*$V$14)*S58))))),0)</f>
        <v>0</v>
      </c>
      <c r="U58" s="501" cm="1">
        <f t="array" ref="U58">IFERROR(IF($V$7="No",0,IF(AND($V$13=0,$V$14=0),O57*S57,IF($V$13&gt;0,I57*$V$13,IF($V$14&gt;0,IF(AND($V$6="Yes",$V$7="Yes"),((C57/$D$26)*$V$14)*S57,((C57/$C$26)*$V$14)*S57))))),0)</f>
        <v>0</v>
      </c>
      <c r="V58" s="502" cm="1">
        <f t="array" ref="V58">T58+U58</f>
        <v>0</v>
      </c>
      <c r="W58" s="494"/>
      <c r="X58" s="443">
        <v>44</v>
      </c>
      <c r="Y58" s="435"/>
      <c r="Z58" s="435"/>
      <c r="AA58" s="436" cm="1">
        <f t="array" ref="AA58">(1/($AA$12+1))^X58</f>
        <v>0.22010231433881788</v>
      </c>
      <c r="AB58" s="437" cm="1">
        <f t="array" ref="AB58">Y58*AA58</f>
        <v>0</v>
      </c>
      <c r="AC58" s="437" cm="1">
        <f t="array" ref="AC58">(Z58*AA58)</f>
        <v>0</v>
      </c>
      <c r="AD58" s="439" cm="1">
        <f t="array" ref="AD58">AB58+AC58</f>
        <v>0</v>
      </c>
      <c r="AE58" s="56"/>
      <c r="AF58" s="58"/>
    </row>
    <row r="59" spans="1:32" ht="18.75" customHeight="1">
      <c r="A59" s="503">
        <v>31</v>
      </c>
      <c r="B59" s="435"/>
      <c r="C59" s="496"/>
      <c r="D59" s="497" cm="1">
        <f t="array" ref="D59">B59+C59</f>
        <v>0</v>
      </c>
      <c r="E59" s="462"/>
      <c r="F59" s="503">
        <v>31</v>
      </c>
      <c r="G59" s="498">
        <v>0.34590136951679801</v>
      </c>
      <c r="H59" s="499" cm="1">
        <f t="array" ref="H59">B59*G59</f>
        <v>0</v>
      </c>
      <c r="I59" s="500" cm="1">
        <f t="array" ref="I59">C59*G59</f>
        <v>0</v>
      </c>
      <c r="J59" s="497" cm="1">
        <f t="array" ref="J59">H59+I59</f>
        <v>0</v>
      </c>
      <c r="K59" s="489"/>
      <c r="L59" s="490"/>
      <c r="M59" s="503">
        <v>31</v>
      </c>
      <c r="N59" s="435"/>
      <c r="O59" s="435"/>
      <c r="P59" s="439" cm="1">
        <f t="array" ref="P59">N59+O59</f>
        <v>0</v>
      </c>
      <c r="Q59" s="478"/>
      <c r="R59" s="503">
        <v>31</v>
      </c>
      <c r="S59" s="498">
        <v>0.34590136951679801</v>
      </c>
      <c r="T59" s="491" cm="1">
        <f t="array" ref="T59">IFERROR(IF($V$6="No",0,IF(AND($V$13=0,$V$14=0),N59*S59,IF($V$13&gt;0,H59*$V$13,IF($V$14&gt;0,IF(AND($V$6="Yes",$V$7="Yes"),((B59/$D$26)*$V$14)*S59,((B59/$B$26)*$V$14)*S59))))),0)</f>
        <v>0</v>
      </c>
      <c r="U59" s="501" cm="1">
        <f t="array" ref="U59">IFERROR(IF($V$7="No",0,IF(AND($V$13=0,$V$14=0),O58*S58,IF($V$13&gt;0,I58*$V$13,IF($V$14&gt;0,IF(AND($V$6="Yes",$V$7="Yes"),((C58/$D$26)*$V$14)*S58,((C58/$C$26)*$V$14)*S58))))),0)</f>
        <v>0</v>
      </c>
      <c r="V59" s="502" cm="1">
        <f t="array" ref="V59">T59+U59</f>
        <v>0</v>
      </c>
      <c r="W59" s="494"/>
      <c r="X59" s="443">
        <v>45</v>
      </c>
      <c r="Y59" s="435"/>
      <c r="Z59" s="435"/>
      <c r="AA59" s="436" cm="1">
        <f t="array" ref="AA59">(1/($AA$12+1))^X59</f>
        <v>0.21265924090707042</v>
      </c>
      <c r="AB59" s="437" cm="1">
        <f t="array" ref="AB59">Y59*AA59</f>
        <v>0</v>
      </c>
      <c r="AC59" s="437" cm="1">
        <f t="array" ref="AC59">(Z59*AA59)</f>
        <v>0</v>
      </c>
      <c r="AD59" s="439" cm="1">
        <f t="array" ref="AD59">AB59+AC59</f>
        <v>0</v>
      </c>
      <c r="AE59" s="56"/>
      <c r="AF59" s="58"/>
    </row>
    <row r="60" spans="1:32" ht="18.75" customHeight="1">
      <c r="A60" s="503">
        <v>32</v>
      </c>
      <c r="B60" s="435"/>
      <c r="C60" s="496"/>
      <c r="D60" s="497" cm="1">
        <f t="array" ref="D60">B60+C60</f>
        <v>0</v>
      </c>
      <c r="E60" s="462"/>
      <c r="F60" s="503">
        <v>32</v>
      </c>
      <c r="G60" s="498">
        <v>0.335826572346406</v>
      </c>
      <c r="H60" s="499" cm="1">
        <f t="array" ref="H60">B60*G60</f>
        <v>0</v>
      </c>
      <c r="I60" s="500" cm="1">
        <f t="array" ref="I60">C60*G60</f>
        <v>0</v>
      </c>
      <c r="J60" s="497" cm="1">
        <f t="array" ref="J60">H60+I60</f>
        <v>0</v>
      </c>
      <c r="K60" s="489"/>
      <c r="L60" s="490"/>
      <c r="M60" s="503">
        <v>32</v>
      </c>
      <c r="N60" s="435"/>
      <c r="O60" s="435"/>
      <c r="P60" s="439" cm="1">
        <f t="array" ref="P60">N60+O60</f>
        <v>0</v>
      </c>
      <c r="Q60" s="478"/>
      <c r="R60" s="503">
        <v>32</v>
      </c>
      <c r="S60" s="498">
        <v>0.335826572346406</v>
      </c>
      <c r="T60" s="491" cm="1">
        <f t="array" ref="T60">IFERROR(IF($V$6="No",0,IF(AND($V$13=0,$V$14=0),N60*S60,IF($V$13&gt;0,H60*$V$13,IF($V$14&gt;0,IF(AND($V$6="Yes",$V$7="Yes"),((B60/$D$26)*$V$14)*S60,((B60/$B$26)*$V$14)*S60))))),0)</f>
        <v>0</v>
      </c>
      <c r="U60" s="501" cm="1">
        <f t="array" ref="U60">IFERROR(IF($V$7="No",0,IF(AND($V$13=0,$V$14=0),O59*S59,IF($V$13&gt;0,I59*$V$13,IF($V$14&gt;0,IF(AND($V$6="Yes",$V$7="Yes"),((C59/$D$26)*$V$14)*S59,((C59/$C$26)*$V$14)*S59))))),0)</f>
        <v>0</v>
      </c>
      <c r="V60" s="502" cm="1">
        <f t="array" ref="V60">T60+U60</f>
        <v>0</v>
      </c>
      <c r="W60" s="494"/>
      <c r="X60" s="443">
        <v>46</v>
      </c>
      <c r="Y60" s="435"/>
      <c r="Z60" s="435"/>
      <c r="AA60" s="436" cm="1">
        <f t="array" ref="AA60">(1/($AA$12+1))^X60</f>
        <v>0.20546786561069608</v>
      </c>
      <c r="AB60" s="437" cm="1">
        <f t="array" ref="AB60">Y60*AA60</f>
        <v>0</v>
      </c>
      <c r="AC60" s="437" cm="1">
        <f t="array" ref="AC60">(Z60*AA60)</f>
        <v>0</v>
      </c>
      <c r="AD60" s="439" cm="1">
        <f t="array" ref="AD60">AB60+AC60</f>
        <v>0</v>
      </c>
      <c r="AE60" s="56"/>
      <c r="AF60" s="58"/>
    </row>
    <row r="61" spans="1:32" ht="18.75" customHeight="1">
      <c r="A61" s="503">
        <v>33</v>
      </c>
      <c r="B61" s="435"/>
      <c r="C61" s="496"/>
      <c r="D61" s="497" cm="1">
        <f t="array" ref="D61">B61+C61</f>
        <v>0</v>
      </c>
      <c r="E61" s="462"/>
      <c r="F61" s="503">
        <v>33</v>
      </c>
      <c r="G61" s="498">
        <v>0.326045215870297</v>
      </c>
      <c r="H61" s="499" cm="1">
        <f t="array" ref="H61">B61*G61</f>
        <v>0</v>
      </c>
      <c r="I61" s="500" cm="1">
        <f t="array" ref="I61">C61*G61</f>
        <v>0</v>
      </c>
      <c r="J61" s="497" cm="1">
        <f t="array" ref="J61">H61+I61</f>
        <v>0</v>
      </c>
      <c r="K61" s="489"/>
      <c r="L61" s="490"/>
      <c r="M61" s="503">
        <v>33</v>
      </c>
      <c r="N61" s="435"/>
      <c r="O61" s="435"/>
      <c r="P61" s="439" cm="1">
        <f t="array" ref="P61">N61+O61</f>
        <v>0</v>
      </c>
      <c r="Q61" s="478"/>
      <c r="R61" s="503">
        <v>33</v>
      </c>
      <c r="S61" s="498">
        <v>0.326045215870297</v>
      </c>
      <c r="T61" s="491" cm="1">
        <f t="array" ref="T61">IFERROR(IF($V$6="No",0,IF(AND($V$13=0,$V$14=0),N61*S61,IF($V$13&gt;0,H61*$V$13,IF($V$14&gt;0,IF(AND($V$6="Yes",$V$7="Yes"),((B61/$D$26)*$V$14)*S61,((B61/$B$26)*$V$14)*S61))))),0)</f>
        <v>0</v>
      </c>
      <c r="U61" s="501" cm="1">
        <f t="array" ref="U61">IFERROR(IF($V$7="No",0,IF(AND($V$13=0,$V$14=0),O60*S60,IF($V$13&gt;0,I60*$V$13,IF($V$14&gt;0,IF(AND($V$6="Yes",$V$7="Yes"),((C60/$D$26)*$V$14)*S60,((C60/$C$26)*$V$14)*S60))))),0)</f>
        <v>0</v>
      </c>
      <c r="V61" s="502" cm="1">
        <f t="array" ref="V61">T61+U61</f>
        <v>0</v>
      </c>
      <c r="W61" s="494"/>
      <c r="X61" s="443">
        <v>47</v>
      </c>
      <c r="Y61" s="435"/>
      <c r="Z61" s="435"/>
      <c r="AA61" s="436" cm="1">
        <f t="array" ref="AA61">(1/($AA$12+1))^X61</f>
        <v>0.19851967691854694</v>
      </c>
      <c r="AB61" s="437" cm="1">
        <f t="array" ref="AB61">Y61*AA61</f>
        <v>0</v>
      </c>
      <c r="AC61" s="437" cm="1">
        <f t="array" ref="AC61">(Z61*AA61)</f>
        <v>0</v>
      </c>
      <c r="AD61" s="439" cm="1">
        <f t="array" ref="AD61">AB61+AC61</f>
        <v>0</v>
      </c>
      <c r="AE61" s="56"/>
      <c r="AF61" s="58"/>
    </row>
    <row r="62" spans="1:32" ht="18.75" customHeight="1">
      <c r="A62" s="503">
        <v>34</v>
      </c>
      <c r="B62" s="435"/>
      <c r="C62" s="496"/>
      <c r="D62" s="497" cm="1">
        <f t="array" ref="D62">B62+C62</f>
        <v>0</v>
      </c>
      <c r="E62" s="462"/>
      <c r="F62" s="503">
        <v>34</v>
      </c>
      <c r="G62" s="498">
        <v>0.316548753272133</v>
      </c>
      <c r="H62" s="499" cm="1">
        <f t="array" ref="H62">B62*G62</f>
        <v>0</v>
      </c>
      <c r="I62" s="500" cm="1">
        <f t="array" ref="I62">C62*G62</f>
        <v>0</v>
      </c>
      <c r="J62" s="497" cm="1">
        <f t="array" ref="J62">H62+I62</f>
        <v>0</v>
      </c>
      <c r="K62" s="489"/>
      <c r="L62" s="490"/>
      <c r="M62" s="503">
        <v>34</v>
      </c>
      <c r="N62" s="435"/>
      <c r="O62" s="435"/>
      <c r="P62" s="439" cm="1">
        <f t="array" ref="P62">N62+O62</f>
        <v>0</v>
      </c>
      <c r="Q62" s="478"/>
      <c r="R62" s="503">
        <v>34</v>
      </c>
      <c r="S62" s="498">
        <v>0.316548753272133</v>
      </c>
      <c r="T62" s="491" cm="1">
        <f t="array" ref="T62">IFERROR(IF($V$6="No",0,IF(AND($V$13=0,$V$14=0),N62*S62,IF($V$13&gt;0,H62*$V$13,IF($V$14&gt;0,IF(AND($V$6="Yes",$V$7="Yes"),((B62/$D$26)*$V$14)*S62,((B62/$B$26)*$V$14)*S62))))),0)</f>
        <v>0</v>
      </c>
      <c r="U62" s="501" cm="1">
        <f t="array" ref="U62">IFERROR(IF($V$7="No",0,IF(AND($V$13=0,$V$14=0),O61*S61,IF($V$13&gt;0,I61*$V$13,IF($V$14&gt;0,IF(AND($V$6="Yes",$V$7="Yes"),((C61/$D$26)*$V$14)*S61,((C61/$C$26)*$V$14)*S61))))),0)</f>
        <v>0</v>
      </c>
      <c r="V62" s="502" cm="1">
        <f t="array" ref="V62">T62+U62</f>
        <v>0</v>
      </c>
      <c r="W62" s="494"/>
      <c r="X62" s="443">
        <v>48</v>
      </c>
      <c r="Y62" s="435"/>
      <c r="Z62" s="435"/>
      <c r="AA62" s="436" cm="1">
        <f t="array" ref="AA62">(1/($AA$12+1))^X62</f>
        <v>0.19180645112903089</v>
      </c>
      <c r="AB62" s="437" cm="1">
        <f t="array" ref="AB62">Y62*AA62</f>
        <v>0</v>
      </c>
      <c r="AC62" s="437" cm="1">
        <f t="array" ref="AC62">(Z62*AA62)</f>
        <v>0</v>
      </c>
      <c r="AD62" s="439" cm="1">
        <f t="array" ref="AD62">AB62+AC62</f>
        <v>0</v>
      </c>
      <c r="AE62" s="56"/>
      <c r="AF62" s="58"/>
    </row>
    <row r="63" spans="1:32" ht="18.75" customHeight="1">
      <c r="A63" s="503">
        <v>35</v>
      </c>
      <c r="B63" s="435"/>
      <c r="C63" s="496"/>
      <c r="D63" s="497" cm="1">
        <f t="array" ref="D63">B63+C63</f>
        <v>0</v>
      </c>
      <c r="E63" s="462"/>
      <c r="F63" s="503">
        <v>35</v>
      </c>
      <c r="G63" s="498">
        <v>0.307328886671974</v>
      </c>
      <c r="H63" s="499" cm="1">
        <f t="array" ref="H63">B63*G63</f>
        <v>0</v>
      </c>
      <c r="I63" s="500" cm="1">
        <f t="array" ref="I63">C63*G63</f>
        <v>0</v>
      </c>
      <c r="J63" s="497" cm="1">
        <f t="array" ref="J63">H63+I63</f>
        <v>0</v>
      </c>
      <c r="K63" s="489"/>
      <c r="L63" s="490"/>
      <c r="M63" s="503">
        <v>35</v>
      </c>
      <c r="N63" s="435"/>
      <c r="O63" s="435"/>
      <c r="P63" s="439" cm="1">
        <f t="array" ref="P63">N63+O63</f>
        <v>0</v>
      </c>
      <c r="Q63" s="478"/>
      <c r="R63" s="503">
        <v>35</v>
      </c>
      <c r="S63" s="498">
        <v>0.307328886671974</v>
      </c>
      <c r="T63" s="491" cm="1">
        <f t="array" ref="T63">IFERROR(IF($V$6="No",0,IF(AND($V$13=0,$V$14=0),N63*S63,IF($V$13&gt;0,H63*$V$13,IF($V$14&gt;0,IF(AND($V$6="Yes",$V$7="Yes"),((B63/$D$26)*$V$14)*S63,((B63/$B$26)*$V$14)*S63))))),0)</f>
        <v>0</v>
      </c>
      <c r="U63" s="501" cm="1">
        <f t="array" ref="U63">IFERROR(IF($V$7="No",0,IF(AND($V$13=0,$V$14=0),O62*S62,IF($V$13&gt;0,I62*$V$13,IF($V$14&gt;0,IF(AND($V$6="Yes",$V$7="Yes"),((C62/$D$26)*$V$14)*S62,((C62/$C$26)*$V$14)*S62))))),0)</f>
        <v>0</v>
      </c>
      <c r="V63" s="502" cm="1">
        <f t="array" ref="V63">T63+U63</f>
        <v>0</v>
      </c>
      <c r="W63" s="494"/>
      <c r="X63" s="443">
        <v>49</v>
      </c>
      <c r="Y63" s="435"/>
      <c r="Z63" s="435"/>
      <c r="AA63" s="436" cm="1">
        <f t="array" ref="AA63">(1/($AA$12+1))^X63</f>
        <v>0.18532024263674485</v>
      </c>
      <c r="AB63" s="437" cm="1">
        <f t="array" ref="AB63">Y63*AA63</f>
        <v>0</v>
      </c>
      <c r="AC63" s="437" cm="1">
        <f t="array" ref="AC63">(Z63*AA63)</f>
        <v>0</v>
      </c>
      <c r="AD63" s="439" cm="1">
        <f t="array" ref="AD63">AB63+AC63</f>
        <v>0</v>
      </c>
      <c r="AE63" s="56"/>
      <c r="AF63" s="58"/>
    </row>
    <row r="64" spans="1:32" ht="18.75" customHeight="1">
      <c r="A64" s="503">
        <v>36</v>
      </c>
      <c r="B64" s="435"/>
      <c r="C64" s="496"/>
      <c r="D64" s="497" cm="1">
        <f t="array" ref="D64">B64+C64</f>
        <v>0</v>
      </c>
      <c r="E64" s="462"/>
      <c r="F64" s="503">
        <v>36</v>
      </c>
      <c r="G64" s="498">
        <v>0.29837755987570302</v>
      </c>
      <c r="H64" s="499" cm="1">
        <f t="array" ref="H64">B64*G64</f>
        <v>0</v>
      </c>
      <c r="I64" s="500" cm="1">
        <f t="array" ref="I64">C64*G64</f>
        <v>0</v>
      </c>
      <c r="J64" s="497" cm="1">
        <f t="array" ref="J64">H64+I64</f>
        <v>0</v>
      </c>
      <c r="K64" s="489"/>
      <c r="L64" s="490"/>
      <c r="M64" s="503">
        <v>36</v>
      </c>
      <c r="N64" s="435"/>
      <c r="O64" s="435"/>
      <c r="P64" s="439" cm="1">
        <f t="array" ref="P64">N64+O64</f>
        <v>0</v>
      </c>
      <c r="Q64" s="478"/>
      <c r="R64" s="503">
        <v>36</v>
      </c>
      <c r="S64" s="498">
        <v>0.29837755987570302</v>
      </c>
      <c r="T64" s="491" cm="1">
        <f t="array" ref="T64">IFERROR(IF($V$6="No",0,IF(AND($V$13=0,$V$14=0),N64*S64,IF($V$13&gt;0,H64*$V$13,IF($V$14&gt;0,IF(AND($V$6="Yes",$V$7="Yes"),((B64/$D$26)*$V$14)*S64,((B64/$B$26)*$V$14)*S64))))),0)</f>
        <v>0</v>
      </c>
      <c r="U64" s="501" cm="1">
        <f t="array" ref="U64">IFERROR(IF($V$7="No",0,IF(AND($V$13=0,$V$14=0),O63*S63,IF($V$13&gt;0,I63*$V$13,IF($V$14&gt;0,IF(AND($V$6="Yes",$V$7="Yes"),((C63/$D$26)*$V$14)*S63,((C63/$C$26)*$V$14)*S63))))),0)</f>
        <v>0</v>
      </c>
      <c r="V64" s="502" cm="1">
        <f t="array" ref="V64">T64+U64</f>
        <v>0</v>
      </c>
      <c r="W64" s="494"/>
      <c r="X64" s="443">
        <v>50</v>
      </c>
      <c r="Y64" s="435"/>
      <c r="Z64" s="435"/>
      <c r="AA64" s="436" cm="1">
        <f t="array" ref="AA64">(1/($AA$12+1))^X64</f>
        <v>0.1790533745282559</v>
      </c>
      <c r="AB64" s="437" cm="1">
        <f t="array" ref="AB64">Y64*AA64</f>
        <v>0</v>
      </c>
      <c r="AC64" s="437" cm="1">
        <f t="array" ref="AC64">(Z64*AA64)</f>
        <v>0</v>
      </c>
      <c r="AD64" s="439" cm="1">
        <f t="array" ref="AD64">AB64+AC64</f>
        <v>0</v>
      </c>
      <c r="AE64" s="56"/>
      <c r="AF64" s="58"/>
    </row>
    <row r="65" spans="1:32" ht="18.75" customHeight="1">
      <c r="A65" s="503">
        <v>37</v>
      </c>
      <c r="B65" s="435"/>
      <c r="C65" s="496"/>
      <c r="D65" s="497" cm="1">
        <f t="array" ref="D65">B65+C65</f>
        <v>0</v>
      </c>
      <c r="E65" s="462"/>
      <c r="F65" s="503">
        <v>37</v>
      </c>
      <c r="G65" s="498">
        <v>0.28968695133563399</v>
      </c>
      <c r="H65" s="499" cm="1">
        <f t="array" ref="H65">B65*G65</f>
        <v>0</v>
      </c>
      <c r="I65" s="500" cm="1">
        <f t="array" ref="I65">C65*G65</f>
        <v>0</v>
      </c>
      <c r="J65" s="497" cm="1">
        <f t="array" ref="J65">H65+I65</f>
        <v>0</v>
      </c>
      <c r="K65" s="489"/>
      <c r="L65" s="490"/>
      <c r="M65" s="503">
        <v>37</v>
      </c>
      <c r="N65" s="435"/>
      <c r="O65" s="435"/>
      <c r="P65" s="439" cm="1">
        <f t="array" ref="P65">N65+O65</f>
        <v>0</v>
      </c>
      <c r="Q65" s="478"/>
      <c r="R65" s="503">
        <v>37</v>
      </c>
      <c r="S65" s="498">
        <v>0.28968695133563399</v>
      </c>
      <c r="T65" s="491" cm="1">
        <f t="array" ref="T65">IFERROR(IF($V$6="No",0,IF(AND($V$13=0,$V$14=0),N65*S65,IF($V$13&gt;0,H65*$V$13,IF($V$14&gt;0,IF(AND($V$6="Yes",$V$7="Yes"),((B65/$D$26)*$V$14)*S65,((B65/$B$26)*$V$14)*S65))))),0)</f>
        <v>0</v>
      </c>
      <c r="U65" s="501" cm="1">
        <f t="array" ref="U65">IFERROR(IF($V$7="No",0,IF(AND($V$13=0,$V$14=0),O64*S64,IF($V$13&gt;0,I64*$V$13,IF($V$14&gt;0,IF(AND($V$6="Yes",$V$7="Yes"),((C64/$D$26)*$V$14)*S64,((C64/$C$26)*$V$14)*S64))))),0)</f>
        <v>0</v>
      </c>
      <c r="V65" s="502" cm="1">
        <f t="array" ref="V65">T65+U65</f>
        <v>0</v>
      </c>
      <c r="W65" s="494"/>
      <c r="X65" s="443">
        <v>51</v>
      </c>
      <c r="Y65" s="435"/>
      <c r="Z65" s="435"/>
      <c r="AA65" s="436" cm="1">
        <f t="array" ref="AA65">(1/($AA$12+1))^X65</f>
        <v>0.17299842949589944</v>
      </c>
      <c r="AB65" s="437" cm="1">
        <f t="array" ref="AB65">Y65*AA65</f>
        <v>0</v>
      </c>
      <c r="AC65" s="437" cm="1">
        <f t="array" ref="AC65">(Z65*AA65)</f>
        <v>0</v>
      </c>
      <c r="AD65" s="439" cm="1">
        <f t="array" ref="AD65">AB65+AC65</f>
        <v>0</v>
      </c>
      <c r="AE65" s="56"/>
      <c r="AF65" s="58"/>
    </row>
    <row r="66" spans="1:32" ht="18.75" customHeight="1">
      <c r="A66" s="503">
        <v>38</v>
      </c>
      <c r="B66" s="435"/>
      <c r="C66" s="496"/>
      <c r="D66" s="497" cm="1">
        <f t="array" ref="D66">B66+C66</f>
        <v>0</v>
      </c>
      <c r="E66" s="462"/>
      <c r="F66" s="503">
        <v>38</v>
      </c>
      <c r="G66" s="498">
        <v>0.28124946731615003</v>
      </c>
      <c r="H66" s="499" cm="1">
        <f t="array" ref="H66">B66*G66</f>
        <v>0</v>
      </c>
      <c r="I66" s="500" cm="1">
        <f t="array" ref="I66">C66*G66</f>
        <v>0</v>
      </c>
      <c r="J66" s="497" cm="1">
        <f t="array" ref="J66">H66+I66</f>
        <v>0</v>
      </c>
      <c r="K66" s="489"/>
      <c r="L66" s="490"/>
      <c r="M66" s="503">
        <v>38</v>
      </c>
      <c r="N66" s="435"/>
      <c r="O66" s="435"/>
      <c r="P66" s="439" cm="1">
        <f t="array" ref="P66">N66+O66</f>
        <v>0</v>
      </c>
      <c r="Q66" s="478"/>
      <c r="R66" s="503">
        <v>38</v>
      </c>
      <c r="S66" s="498">
        <v>0.28124946731615003</v>
      </c>
      <c r="T66" s="491" cm="1">
        <f t="array" ref="T66">IFERROR(IF($V$6="No",0,IF(AND($V$13=0,$V$14=0),N66*S66,IF($V$13&gt;0,H66*$V$13,IF($V$14&gt;0,IF(AND($V$6="Yes",$V$7="Yes"),((B66/$D$26)*$V$14)*S66,((B66/$B$26)*$V$14)*S66))))),0)</f>
        <v>0</v>
      </c>
      <c r="U66" s="501" cm="1">
        <f t="array" ref="U66">IFERROR(IF($V$7="No",0,IF(AND($V$13=0,$V$14=0),O65*S65,IF($V$13&gt;0,I65*$V$13,IF($V$14&gt;0,IF(AND($V$6="Yes",$V$7="Yes"),((C65/$D$26)*$V$14)*S65,((C65/$C$26)*$V$14)*S65))))),0)</f>
        <v>0</v>
      </c>
      <c r="V66" s="502" cm="1">
        <f t="array" ref="V66">T66+U66</f>
        <v>0</v>
      </c>
      <c r="W66" s="494"/>
      <c r="X66" s="443">
        <v>52</v>
      </c>
      <c r="Y66" s="435"/>
      <c r="Z66" s="435"/>
      <c r="AA66" s="436" cm="1">
        <f t="array" ref="AA66">(1/($AA$12+1))^X66</f>
        <v>0.16714824105884002</v>
      </c>
      <c r="AB66" s="437" cm="1">
        <f t="array" ref="AB66">Y66*AA66</f>
        <v>0</v>
      </c>
      <c r="AC66" s="437" cm="1">
        <f t="array" ref="AC66">(Z66*AA66)</f>
        <v>0</v>
      </c>
      <c r="AD66" s="439" cm="1">
        <f t="array" ref="AD66">AB66+AC66</f>
        <v>0</v>
      </c>
      <c r="AE66" s="56"/>
      <c r="AF66" s="58"/>
    </row>
    <row r="67" spans="1:32" ht="18.75" customHeight="1">
      <c r="A67" s="503">
        <v>39</v>
      </c>
      <c r="B67" s="435"/>
      <c r="C67" s="496"/>
      <c r="D67" s="497" cm="1">
        <f t="array" ref="D67">B67+C67</f>
        <v>0</v>
      </c>
      <c r="E67" s="462"/>
      <c r="F67" s="503">
        <v>39</v>
      </c>
      <c r="G67" s="498">
        <v>0.27305773525839799</v>
      </c>
      <c r="H67" s="499" cm="1">
        <f t="array" ref="H67">B67*G67</f>
        <v>0</v>
      </c>
      <c r="I67" s="500" cm="1">
        <f t="array" ref="I67">C67*G67</f>
        <v>0</v>
      </c>
      <c r="J67" s="497" cm="1">
        <f t="array" ref="J67">H67+I67</f>
        <v>0</v>
      </c>
      <c r="K67" s="489"/>
      <c r="L67" s="490"/>
      <c r="M67" s="503">
        <v>39</v>
      </c>
      <c r="N67" s="435"/>
      <c r="O67" s="435"/>
      <c r="P67" s="439" cm="1">
        <f t="array" ref="P67">N67+O67</f>
        <v>0</v>
      </c>
      <c r="Q67" s="478"/>
      <c r="R67" s="503">
        <v>39</v>
      </c>
      <c r="S67" s="498">
        <v>0.27305773525839799</v>
      </c>
      <c r="T67" s="491" cm="1">
        <f t="array" ref="T67">IFERROR(IF($V$6="No",0,IF(AND($V$13=0,$V$14=0),N67*S67,IF($V$13&gt;0,H67*$V$13,IF($V$14&gt;0,IF(AND($V$6="Yes",$V$7="Yes"),((B67/$D$26)*$V$14)*S67,((B67/$B$26)*$V$14)*S67))))),0)</f>
        <v>0</v>
      </c>
      <c r="U67" s="501" cm="1">
        <f t="array" ref="U67">IFERROR(IF($V$7="No",0,IF(AND($V$13=0,$V$14=0),O66*S66,IF($V$13&gt;0,I66*$V$13,IF($V$14&gt;0,IF(AND($V$6="Yes",$V$7="Yes"),((C66/$D$26)*$V$14)*S66,((C66/$C$26)*$V$14)*S66))))),0)</f>
        <v>0</v>
      </c>
      <c r="V67" s="502" cm="1">
        <f t="array" ref="V67">T67+U67</f>
        <v>0</v>
      </c>
      <c r="W67" s="494"/>
      <c r="X67" s="443">
        <v>53</v>
      </c>
      <c r="Y67" s="435"/>
      <c r="Z67" s="435"/>
      <c r="AA67" s="436" cm="1">
        <f t="array" ref="AA67">(1/($AA$12+1))^X67</f>
        <v>0.16149588508100488</v>
      </c>
      <c r="AB67" s="437" cm="1">
        <f t="array" ref="AB67">Y67*AA67</f>
        <v>0</v>
      </c>
      <c r="AC67" s="437" cm="1">
        <f t="array" ref="AC67">(Z67*AA67)</f>
        <v>0</v>
      </c>
      <c r="AD67" s="439" cm="1">
        <f t="array" ref="AD67">AB67+AC67</f>
        <v>0</v>
      </c>
      <c r="AE67" s="56"/>
      <c r="AF67" s="58"/>
    </row>
    <row r="68" spans="1:32" ht="18.75" customHeight="1">
      <c r="A68" s="503">
        <v>40</v>
      </c>
      <c r="B68" s="435"/>
      <c r="C68" s="496"/>
      <c r="D68" s="497" cm="1">
        <f t="array" ref="D68">B68+C68</f>
        <v>0</v>
      </c>
      <c r="E68" s="462"/>
      <c r="F68" s="503">
        <v>40</v>
      </c>
      <c r="G68" s="498">
        <v>0.26510459733824998</v>
      </c>
      <c r="H68" s="499" cm="1">
        <f t="array" ref="H68">B68*G68</f>
        <v>0</v>
      </c>
      <c r="I68" s="500" cm="1">
        <f t="array" ref="I68">C68*G68</f>
        <v>0</v>
      </c>
      <c r="J68" s="497" cm="1">
        <f t="array" ref="J68">H68+I68</f>
        <v>0</v>
      </c>
      <c r="K68" s="489"/>
      <c r="L68" s="490"/>
      <c r="M68" s="503">
        <v>40</v>
      </c>
      <c r="N68" s="435"/>
      <c r="O68" s="435"/>
      <c r="P68" s="439" cm="1">
        <f t="array" ref="P68">N68+O68</f>
        <v>0</v>
      </c>
      <c r="Q68" s="478"/>
      <c r="R68" s="503">
        <v>40</v>
      </c>
      <c r="S68" s="498">
        <v>0.26510459733824998</v>
      </c>
      <c r="T68" s="491" cm="1">
        <f t="array" ref="T68">IFERROR(IF($V$6="No",0,IF(AND($V$13=0,$V$14=0),N68*S68,IF($V$13&gt;0,H68*$V$13,IF($V$14&gt;0,IF(AND($V$6="Yes",$V$7="Yes"),((B68/$D$26)*$V$14)*S68,((B68/$B$26)*$V$14)*S68))))),0)</f>
        <v>0</v>
      </c>
      <c r="U68" s="501" cm="1">
        <f t="array" ref="U68">IFERROR(IF($V$7="No",0,IF(AND($V$13=0,$V$14=0),O67*S67,IF($V$13&gt;0,I67*$V$13,IF($V$14&gt;0,IF(AND($V$6="Yes",$V$7="Yes"),((C67/$D$26)*$V$14)*S67,((C67/$C$26)*$V$14)*S67))))),0)</f>
        <v>0</v>
      </c>
      <c r="V68" s="502" cm="1">
        <f t="array" ref="V68">T68+U68</f>
        <v>0</v>
      </c>
      <c r="W68" s="494"/>
      <c r="X68" s="443">
        <v>54</v>
      </c>
      <c r="Y68" s="435"/>
      <c r="Z68" s="435"/>
      <c r="AA68" s="436" cm="1">
        <f t="array" ref="AA68">(1/($AA$12+1))^X68</f>
        <v>0.15603467157585013</v>
      </c>
      <c r="AB68" s="437" cm="1">
        <f t="array" ref="AB68">Y68*AA68</f>
        <v>0</v>
      </c>
      <c r="AC68" s="437" cm="1">
        <f t="array" ref="AC68">(Z68*AA68)</f>
        <v>0</v>
      </c>
      <c r="AD68" s="439" cm="1">
        <f t="array" ref="AD68">AB68+AC68</f>
        <v>0</v>
      </c>
      <c r="AE68" s="56"/>
      <c r="AF68" s="58"/>
    </row>
    <row r="69" spans="1:32" ht="18.75" customHeight="1">
      <c r="A69" s="503">
        <v>41</v>
      </c>
      <c r="B69" s="435"/>
      <c r="C69" s="496"/>
      <c r="D69" s="497" cm="1">
        <f t="array" ref="D69">B69+C69</f>
        <v>0</v>
      </c>
      <c r="E69" s="462"/>
      <c r="F69" s="503">
        <v>41</v>
      </c>
      <c r="G69" s="498">
        <v>0.25738310421189298</v>
      </c>
      <c r="H69" s="499" cm="1">
        <f t="array" ref="H69">B69*G69</f>
        <v>0</v>
      </c>
      <c r="I69" s="500" cm="1">
        <f t="array" ref="I69">C69*G69</f>
        <v>0</v>
      </c>
      <c r="J69" s="497" cm="1">
        <f t="array" ref="J69">H69+I69</f>
        <v>0</v>
      </c>
      <c r="K69" s="489"/>
      <c r="L69" s="490"/>
      <c r="M69" s="503">
        <v>41</v>
      </c>
      <c r="N69" s="435"/>
      <c r="O69" s="435"/>
      <c r="P69" s="439" cm="1">
        <f t="array" ref="P69">N69+O69</f>
        <v>0</v>
      </c>
      <c r="Q69" s="478"/>
      <c r="R69" s="503">
        <v>41</v>
      </c>
      <c r="S69" s="498">
        <v>0.25738310421189298</v>
      </c>
      <c r="T69" s="491" cm="1">
        <f t="array" ref="T69">IFERROR(IF($V$6="No",0,IF(AND($V$13=0,$V$14=0),N69*S69,IF($V$13&gt;0,H69*$V$13,IF($V$14&gt;0,IF(AND($V$6="Yes",$V$7="Yes"),((B69/$D$26)*$V$14)*S69,((B69/$B$26)*$V$14)*S69))))),0)</f>
        <v>0</v>
      </c>
      <c r="U69" s="501" cm="1">
        <f t="array" ref="U69">IFERROR(IF($V$7="No",0,IF(AND($V$13=0,$V$14=0),O68*S68,IF($V$13&gt;0,I68*$V$13,IF($V$14&gt;0,IF(AND($V$6="Yes",$V$7="Yes"),((C68/$D$26)*$V$14)*S68,((C68/$C$26)*$V$14)*S68))))),0)</f>
        <v>0</v>
      </c>
      <c r="V69" s="502" cm="1">
        <f t="array" ref="V69">T69+U69</f>
        <v>0</v>
      </c>
      <c r="W69" s="494"/>
      <c r="X69" s="443">
        <v>55</v>
      </c>
      <c r="Y69" s="435"/>
      <c r="Z69" s="435"/>
      <c r="AA69" s="436" cm="1">
        <f t="array" ref="AA69">(1/($AA$12+1))^X69</f>
        <v>0.15075813678826103</v>
      </c>
      <c r="AB69" s="437" cm="1">
        <f t="array" ref="AB69">Y69*AA69</f>
        <v>0</v>
      </c>
      <c r="AC69" s="437" cm="1">
        <f t="array" ref="AC69">(Z69*AA69)</f>
        <v>0</v>
      </c>
      <c r="AD69" s="439" cm="1">
        <f t="array" ref="AD69">AB69+AC69</f>
        <v>0</v>
      </c>
      <c r="AE69" s="56"/>
      <c r="AF69" s="58"/>
    </row>
    <row r="70" spans="1:32" ht="18.75" customHeight="1">
      <c r="A70" s="503">
        <v>42</v>
      </c>
      <c r="B70" s="435"/>
      <c r="C70" s="496"/>
      <c r="D70" s="497" cm="1">
        <f t="array" ref="D70">B70+C70</f>
        <v>0</v>
      </c>
      <c r="E70" s="462"/>
      <c r="F70" s="503">
        <v>42</v>
      </c>
      <c r="G70" s="498">
        <v>0.24988650894358599</v>
      </c>
      <c r="H70" s="499" cm="1">
        <f t="array" ref="H70">B70*G70</f>
        <v>0</v>
      </c>
      <c r="I70" s="500" cm="1">
        <f t="array" ref="I70">C70*G70</f>
        <v>0</v>
      </c>
      <c r="J70" s="497" cm="1">
        <f t="array" ref="J70">H70+I70</f>
        <v>0</v>
      </c>
      <c r="K70" s="489"/>
      <c r="L70" s="490"/>
      <c r="M70" s="503">
        <v>42</v>
      </c>
      <c r="N70" s="435"/>
      <c r="O70" s="435"/>
      <c r="P70" s="439" cm="1">
        <f t="array" ref="P70">N70+O70</f>
        <v>0</v>
      </c>
      <c r="Q70" s="478"/>
      <c r="R70" s="503">
        <v>42</v>
      </c>
      <c r="S70" s="498">
        <v>0.24988650894358599</v>
      </c>
      <c r="T70" s="491" cm="1">
        <f t="array" ref="T70">IFERROR(IF($V$6="No",0,IF(AND($V$13=0,$V$14=0),N70*S70,IF($V$13&gt;0,H70*$V$13,IF($V$14&gt;0,IF(AND($V$6="Yes",$V$7="Yes"),((B70/$D$26)*$V$14)*S70,((B70/$B$26)*$V$14)*S70))))),0)</f>
        <v>0</v>
      </c>
      <c r="U70" s="501" cm="1">
        <f t="array" ref="U70">IFERROR(IF($V$7="No",0,IF(AND($V$13=0,$V$14=0),O69*S69,IF($V$13&gt;0,I69*$V$13,IF($V$14&gt;0,IF(AND($V$6="Yes",$V$7="Yes"),((C69/$D$26)*$V$14)*S69,((C69/$C$26)*$V$14)*S69))))),0)</f>
        <v>0</v>
      </c>
      <c r="V70" s="502" cm="1">
        <f t="array" ref="V70">T70+U70</f>
        <v>0</v>
      </c>
      <c r="W70" s="494"/>
      <c r="X70" s="443">
        <v>56</v>
      </c>
      <c r="Y70" s="435"/>
      <c r="Z70" s="435"/>
      <c r="AA70" s="436" cm="1">
        <f t="array" ref="AA70">(1/($AA$12+1))^X70</f>
        <v>0.14566003554421353</v>
      </c>
      <c r="AB70" s="437" cm="1">
        <f t="array" ref="AB70">Y70*AA70</f>
        <v>0</v>
      </c>
      <c r="AC70" s="437" cm="1">
        <f t="array" ref="AC70">(Z70*AA70)</f>
        <v>0</v>
      </c>
      <c r="AD70" s="439" cm="1">
        <f t="array" ref="AD70">AB70+AC70</f>
        <v>0</v>
      </c>
      <c r="AE70" s="56"/>
      <c r="AF70" s="58"/>
    </row>
    <row r="71" spans="1:32" ht="18.75" customHeight="1">
      <c r="A71" s="503">
        <v>43</v>
      </c>
      <c r="B71" s="435"/>
      <c r="C71" s="496"/>
      <c r="D71" s="497" cm="1">
        <f t="array" ref="D71">B71+C71</f>
        <v>0</v>
      </c>
      <c r="E71" s="462"/>
      <c r="F71" s="503">
        <v>43</v>
      </c>
      <c r="G71" s="498">
        <v>0.242608261110277</v>
      </c>
      <c r="H71" s="499" cm="1">
        <f t="array" ref="H71">B71*G71</f>
        <v>0</v>
      </c>
      <c r="I71" s="500" cm="1">
        <f t="array" ref="I71">C71*G71</f>
        <v>0</v>
      </c>
      <c r="J71" s="497" cm="1">
        <f t="array" ref="J71">H71+I71</f>
        <v>0</v>
      </c>
      <c r="K71" s="489"/>
      <c r="L71" s="490"/>
      <c r="M71" s="503">
        <v>43</v>
      </c>
      <c r="N71" s="435"/>
      <c r="O71" s="435"/>
      <c r="P71" s="439" cm="1">
        <f t="array" ref="P71">N71+O71</f>
        <v>0</v>
      </c>
      <c r="Q71" s="478"/>
      <c r="R71" s="503">
        <v>43</v>
      </c>
      <c r="S71" s="498">
        <v>0.242608261110277</v>
      </c>
      <c r="T71" s="491" cm="1">
        <f t="array" ref="T71">IFERROR(IF($V$6="No",0,IF(AND($V$13=0,$V$14=0),N71*S71,IF($V$13&gt;0,H71*$V$13,IF($V$14&gt;0,IF(AND($V$6="Yes",$V$7="Yes"),((B71/$D$26)*$V$14)*S71,((B71/$B$26)*$V$14)*S71))))),0)</f>
        <v>0</v>
      </c>
      <c r="U71" s="501" cm="1">
        <f t="array" ref="U71">IFERROR(IF($V$7="No",0,IF(AND($V$13=0,$V$14=0),O70*S70,IF($V$13&gt;0,I70*$V$13,IF($V$14&gt;0,IF(AND($V$6="Yes",$V$7="Yes"),((C70/$D$26)*$V$14)*S70,((C70/$C$26)*$V$14)*S70))))),0)</f>
        <v>0</v>
      </c>
      <c r="V71" s="502" cm="1">
        <f t="array" ref="V71">T71+U71</f>
        <v>0</v>
      </c>
      <c r="W71" s="494"/>
      <c r="X71" s="443">
        <v>57</v>
      </c>
      <c r="Y71" s="435"/>
      <c r="Z71" s="435"/>
      <c r="AA71" s="436" cm="1">
        <f t="array" ref="AA71">(1/($AA$12+1))^X71</f>
        <v>0.14073433385914352</v>
      </c>
      <c r="AB71" s="437" cm="1">
        <f t="array" ref="AB71">Y71*AA71</f>
        <v>0</v>
      </c>
      <c r="AC71" s="437" cm="1">
        <f t="array" ref="AC71">(Z71*AA71)</f>
        <v>0</v>
      </c>
      <c r="AD71" s="439" cm="1">
        <f t="array" ref="AD71">AB71+AC71</f>
        <v>0</v>
      </c>
      <c r="AE71" s="56"/>
      <c r="AF71" s="58"/>
    </row>
    <row r="72" spans="1:32" ht="18.75" customHeight="1">
      <c r="A72" s="503">
        <v>44</v>
      </c>
      <c r="B72" s="435"/>
      <c r="C72" s="496"/>
      <c r="D72" s="497" cm="1">
        <f t="array" ref="D72">B72+C72</f>
        <v>0</v>
      </c>
      <c r="E72" s="462"/>
      <c r="F72" s="503">
        <v>44</v>
      </c>
      <c r="G72" s="498">
        <v>0.23554200107793899</v>
      </c>
      <c r="H72" s="499" cm="1">
        <f t="array" ref="H72">B72*G72</f>
        <v>0</v>
      </c>
      <c r="I72" s="500" cm="1">
        <f t="array" ref="I72">C72*G72</f>
        <v>0</v>
      </c>
      <c r="J72" s="497" cm="1">
        <f t="array" ref="J72">H72+I72</f>
        <v>0</v>
      </c>
      <c r="K72" s="489"/>
      <c r="L72" s="490"/>
      <c r="M72" s="503">
        <v>44</v>
      </c>
      <c r="N72" s="435"/>
      <c r="O72" s="435"/>
      <c r="P72" s="439" cm="1">
        <f t="array" ref="P72">N72+O72</f>
        <v>0</v>
      </c>
      <c r="Q72" s="478"/>
      <c r="R72" s="503">
        <v>44</v>
      </c>
      <c r="S72" s="498">
        <v>0.23554200107793899</v>
      </c>
      <c r="T72" s="491" cm="1">
        <f t="array" ref="T72">IFERROR(IF($V$6="No",0,IF(AND($V$13=0,$V$14=0),N72*S72,IF($V$13&gt;0,H72*$V$13,IF($V$14&gt;0,IF(AND($V$6="Yes",$V$7="Yes"),((B72/$D$26)*$V$14)*S72,((B72/$B$26)*$V$14)*S72))))),0)</f>
        <v>0</v>
      </c>
      <c r="U72" s="501" cm="1">
        <f t="array" ref="U72">IFERROR(IF($V$7="No",0,IF(AND($V$13=0,$V$14=0),O71*S71,IF($V$13&gt;0,I71*$V$13,IF($V$14&gt;0,IF(AND($V$6="Yes",$V$7="Yes"),((C71/$D$26)*$V$14)*S71,((C71/$C$26)*$V$14)*S71))))),0)</f>
        <v>0</v>
      </c>
      <c r="V72" s="502" cm="1">
        <f t="array" ref="V72">T72+U72</f>
        <v>0</v>
      </c>
      <c r="W72" s="494"/>
      <c r="X72" s="443">
        <v>58</v>
      </c>
      <c r="Y72" s="435"/>
      <c r="Z72" s="435"/>
      <c r="AA72" s="436" cm="1">
        <f t="array" ref="AA72">(1/($AA$12+1))^X72</f>
        <v>0.13597520179627395</v>
      </c>
      <c r="AB72" s="437" cm="1">
        <f t="array" ref="AB72">Y72*AA72</f>
        <v>0</v>
      </c>
      <c r="AC72" s="437" cm="1">
        <f t="array" ref="AC72">(Z72*AA72)</f>
        <v>0</v>
      </c>
      <c r="AD72" s="439" cm="1">
        <f t="array" ref="AD72">AB72+AC72</f>
        <v>0</v>
      </c>
      <c r="AE72" s="56"/>
      <c r="AF72" s="58"/>
    </row>
    <row r="73" spans="1:32" ht="18.75" customHeight="1">
      <c r="A73" s="503">
        <v>45</v>
      </c>
      <c r="B73" s="435"/>
      <c r="C73" s="496"/>
      <c r="D73" s="497" cm="1">
        <f t="array" ref="D73">B73+C73</f>
        <v>0</v>
      </c>
      <c r="E73" s="462"/>
      <c r="F73" s="503">
        <v>45</v>
      </c>
      <c r="G73" s="498">
        <v>0.228681554444601</v>
      </c>
      <c r="H73" s="499" cm="1">
        <f t="array" ref="H73">B73*G73</f>
        <v>0</v>
      </c>
      <c r="I73" s="500" cm="1">
        <f t="array" ref="I73">C73*G73</f>
        <v>0</v>
      </c>
      <c r="J73" s="497" cm="1">
        <f t="array" ref="J73">H73+I73</f>
        <v>0</v>
      </c>
      <c r="K73" s="489"/>
      <c r="L73" s="490"/>
      <c r="M73" s="503">
        <v>45</v>
      </c>
      <c r="N73" s="435"/>
      <c r="O73" s="435"/>
      <c r="P73" s="439" cm="1">
        <f t="array" ref="P73">N73+O73</f>
        <v>0</v>
      </c>
      <c r="Q73" s="478"/>
      <c r="R73" s="503">
        <v>45</v>
      </c>
      <c r="S73" s="498">
        <v>0.228681554444601</v>
      </c>
      <c r="T73" s="491" cm="1">
        <f t="array" ref="T73">IFERROR(IF($V$6="No",0,IF(AND($V$13=0,$V$14=0),N73*S73,IF($V$13&gt;0,H73*$V$13,IF($V$14&gt;0,IF(AND($V$6="Yes",$V$7="Yes"),((B73/$D$26)*$V$14)*S73,((B73/$B$26)*$V$14)*S73))))),0)</f>
        <v>0</v>
      </c>
      <c r="U73" s="501" cm="1">
        <f t="array" ref="U73">IFERROR(IF($V$7="No",0,IF(AND($V$13=0,$V$14=0),O72*S72,IF($V$13&gt;0,I72*$V$13,IF($V$14&gt;0,IF(AND($V$6="Yes",$V$7="Yes"),((C72/$D$26)*$V$14)*S72,((C72/$C$26)*$V$14)*S72))))),0)</f>
        <v>0</v>
      </c>
      <c r="V73" s="502" cm="1">
        <f t="array" ref="V73">T73+U73</f>
        <v>0</v>
      </c>
      <c r="W73" s="494"/>
      <c r="X73" s="443">
        <v>59</v>
      </c>
      <c r="Y73" s="435"/>
      <c r="Z73" s="435"/>
      <c r="AA73" s="436" cm="1">
        <f t="array" ref="AA73">(1/($AA$12+1))^X73</f>
        <v>0.13137700656644827</v>
      </c>
      <c r="AB73" s="437" cm="1">
        <f t="array" ref="AB73">Y73*AA73</f>
        <v>0</v>
      </c>
      <c r="AC73" s="437" cm="1">
        <f t="array" ref="AC73">(Z73*AA73)</f>
        <v>0</v>
      </c>
      <c r="AD73" s="439" cm="1">
        <f t="array" ref="AD73">AB73+AC73</f>
        <v>0</v>
      </c>
      <c r="AE73" s="56"/>
      <c r="AF73" s="58"/>
    </row>
    <row r="74" spans="1:32" ht="18.75" customHeight="1">
      <c r="A74" s="503">
        <v>46</v>
      </c>
      <c r="B74" s="435"/>
      <c r="C74" s="496"/>
      <c r="D74" s="497" cm="1">
        <f t="array" ref="D74">B74+C74</f>
        <v>0</v>
      </c>
      <c r="E74" s="462"/>
      <c r="F74" s="503">
        <v>46</v>
      </c>
      <c r="G74" s="498">
        <v>0.222020926645244</v>
      </c>
      <c r="H74" s="499" cm="1">
        <f t="array" ref="H74">B74*G74</f>
        <v>0</v>
      </c>
      <c r="I74" s="500" cm="1">
        <f t="array" ref="I74">C74*G74</f>
        <v>0</v>
      </c>
      <c r="J74" s="497" cm="1">
        <f t="array" ref="J74">H74+I74</f>
        <v>0</v>
      </c>
      <c r="K74" s="489"/>
      <c r="L74" s="490"/>
      <c r="M74" s="503">
        <v>46</v>
      </c>
      <c r="N74" s="435"/>
      <c r="O74" s="435"/>
      <c r="P74" s="439" cm="1">
        <f t="array" ref="P74">N74+O74</f>
        <v>0</v>
      </c>
      <c r="Q74" s="478"/>
      <c r="R74" s="503">
        <v>46</v>
      </c>
      <c r="S74" s="498">
        <v>0.222020926645244</v>
      </c>
      <c r="T74" s="491" cm="1">
        <f t="array" ref="T74">IFERROR(IF($V$6="No",0,IF(AND($V$13=0,$V$14=0),N74*S74,IF($V$13&gt;0,H74*$V$13,IF($V$14&gt;0,IF(AND($V$6="Yes",$V$7="Yes"),((B74/$D$26)*$V$14)*S74,((B74/$B$26)*$V$14)*S74))))),0)</f>
        <v>0</v>
      </c>
      <c r="U74" s="501" cm="1">
        <f t="array" ref="U74">IFERROR(IF($V$7="No",0,IF(AND($V$13=0,$V$14=0),O73*S73,IF($V$13&gt;0,I73*$V$13,IF($V$14&gt;0,IF(AND($V$6="Yes",$V$7="Yes"),((C73/$D$26)*$V$14)*S73,((C73/$C$26)*$V$14)*S73))))),0)</f>
        <v>0</v>
      </c>
      <c r="V74" s="502" cm="1">
        <f t="array" ref="V74">T74+U74</f>
        <v>0</v>
      </c>
      <c r="W74" s="494"/>
      <c r="X74" s="443">
        <v>60</v>
      </c>
      <c r="Y74" s="435"/>
      <c r="Z74" s="435"/>
      <c r="AA74" s="436" cm="1">
        <f t="array" ref="AA74">(1/($AA$12+1))^X74</f>
        <v>0.12693430586130269</v>
      </c>
      <c r="AB74" s="437" cm="1">
        <f t="array" ref="AB74">Y74*AA74</f>
        <v>0</v>
      </c>
      <c r="AC74" s="437" cm="1">
        <f t="array" ref="AC74">(Z74*AA74)</f>
        <v>0</v>
      </c>
      <c r="AD74" s="439" cm="1">
        <f t="array" ref="AD74">AB74+AC74</f>
        <v>0</v>
      </c>
      <c r="AE74" s="56"/>
      <c r="AF74" s="58"/>
    </row>
    <row r="75" spans="1:32" ht="18.75" customHeight="1">
      <c r="A75" s="503">
        <v>47</v>
      </c>
      <c r="B75" s="435"/>
      <c r="C75" s="496"/>
      <c r="D75" s="497" cm="1">
        <f t="array" ref="D75">B75+C75</f>
        <v>0</v>
      </c>
      <c r="E75" s="462"/>
      <c r="F75" s="503">
        <v>47</v>
      </c>
      <c r="G75" s="498">
        <v>0.215554297713829</v>
      </c>
      <c r="H75" s="499" cm="1">
        <f t="array" ref="H75">B75*G75</f>
        <v>0</v>
      </c>
      <c r="I75" s="500" cm="1">
        <f t="array" ref="I75">C75*G75</f>
        <v>0</v>
      </c>
      <c r="J75" s="497" cm="1">
        <f t="array" ref="J75">H75+I75</f>
        <v>0</v>
      </c>
      <c r="K75" s="489"/>
      <c r="L75" s="490"/>
      <c r="M75" s="503">
        <v>47</v>
      </c>
      <c r="N75" s="435"/>
      <c r="O75" s="435"/>
      <c r="P75" s="439" cm="1">
        <f t="array" ref="P75">N75+O75</f>
        <v>0</v>
      </c>
      <c r="Q75" s="478"/>
      <c r="R75" s="503">
        <v>47</v>
      </c>
      <c r="S75" s="498">
        <v>0.215554297713829</v>
      </c>
      <c r="T75" s="491" cm="1">
        <f t="array" ref="T75">IFERROR(IF($V$6="No",0,IF(AND($V$13=0,$V$14=0),N75*S75,IF($V$13&gt;0,H75*$V$13,IF($V$14&gt;0,IF(AND($V$6="Yes",$V$7="Yes"),((B75/$D$26)*$V$14)*S75,((B75/$B$26)*$V$14)*S75))))),0)</f>
        <v>0</v>
      </c>
      <c r="U75" s="501" cm="1">
        <f t="array" ref="U75">IFERROR(IF($V$7="No",0,IF(AND($V$13=0,$V$14=0),O74*S74,IF($V$13&gt;0,I74*$V$13,IF($V$14&gt;0,IF(AND($V$6="Yes",$V$7="Yes"),((C74/$D$26)*$V$14)*S74,((C74/$C$26)*$V$14)*S74))))),0)</f>
        <v>0</v>
      </c>
      <c r="V75" s="502" cm="1">
        <f t="array" ref="V75">T75+U75</f>
        <v>0</v>
      </c>
      <c r="W75" s="494"/>
      <c r="X75" s="443">
        <v>61</v>
      </c>
      <c r="Y75" s="435"/>
      <c r="Z75" s="435"/>
      <c r="AA75" s="436" cm="1">
        <f t="array" ref="AA75">(1/($AA$12+1))^X75</f>
        <v>0.12264184141188664</v>
      </c>
      <c r="AB75" s="437" cm="1">
        <f t="array" ref="AB75">Y75*AA75</f>
        <v>0</v>
      </c>
      <c r="AC75" s="437" cm="1">
        <f t="array" ref="AC75">(Z75*AA75)</f>
        <v>0</v>
      </c>
      <c r="AD75" s="439" cm="1">
        <f t="array" ref="AD75">AB75+AC75</f>
        <v>0</v>
      </c>
      <c r="AE75" s="56"/>
      <c r="AF75" s="58"/>
    </row>
    <row r="76" spans="1:32" ht="18.75" customHeight="1">
      <c r="A76" s="503">
        <v>48</v>
      </c>
      <c r="B76" s="435"/>
      <c r="C76" s="496"/>
      <c r="D76" s="497" cm="1">
        <f t="array" ref="D76">B76+C76</f>
        <v>0</v>
      </c>
      <c r="E76" s="462"/>
      <c r="F76" s="503">
        <v>48</v>
      </c>
      <c r="G76" s="498">
        <v>0.20927601719789199</v>
      </c>
      <c r="H76" s="499" cm="1">
        <f t="array" ref="H76">B76*G76</f>
        <v>0</v>
      </c>
      <c r="I76" s="500" cm="1">
        <f t="array" ref="I76">C76*G76</f>
        <v>0</v>
      </c>
      <c r="J76" s="497" cm="1">
        <f t="array" ref="J76">H76+I76</f>
        <v>0</v>
      </c>
      <c r="K76" s="489"/>
      <c r="L76" s="490"/>
      <c r="M76" s="503">
        <v>48</v>
      </c>
      <c r="N76" s="435"/>
      <c r="O76" s="435"/>
      <c r="P76" s="439" cm="1">
        <f t="array" ref="P76">N76+O76</f>
        <v>0</v>
      </c>
      <c r="Q76" s="478"/>
      <c r="R76" s="503">
        <v>48</v>
      </c>
      <c r="S76" s="498">
        <v>0.20927601719789199</v>
      </c>
      <c r="T76" s="491" cm="1">
        <f t="array" ref="T76">IFERROR(IF($V$6="No",0,IF(AND($V$13=0,$V$14=0),N76*S76,IF($V$13&gt;0,H76*$V$13,IF($V$14&gt;0,IF(AND($V$6="Yes",$V$7="Yes"),((B76/$D$26)*$V$14)*S76,((B76/$B$26)*$V$14)*S76))))),0)</f>
        <v>0</v>
      </c>
      <c r="U76" s="501" cm="1">
        <f t="array" ref="U76">IFERROR(IF($V$7="No",0,IF(AND($V$13=0,$V$14=0),O75*S75,IF($V$13&gt;0,I75*$V$13,IF($V$14&gt;0,IF(AND($V$6="Yes",$V$7="Yes"),((C75/$D$26)*$V$14)*S75,((C75/$C$26)*$V$14)*S75))))),0)</f>
        <v>0</v>
      </c>
      <c r="V76" s="502" cm="1">
        <f t="array" ref="V76">T76+U76</f>
        <v>0</v>
      </c>
      <c r="W76" s="494"/>
      <c r="X76" s="443">
        <v>62</v>
      </c>
      <c r="Y76" s="435"/>
      <c r="Z76" s="435"/>
      <c r="AA76" s="436" cm="1">
        <f t="array" ref="AA76">(1/($AA$12+1))^X76</f>
        <v>0.11849453276510789</v>
      </c>
      <c r="AB76" s="437" cm="1">
        <f t="array" ref="AB76">Y76*AA76</f>
        <v>0</v>
      </c>
      <c r="AC76" s="437" cm="1">
        <f t="array" ref="AC76">(Z76*AA76)</f>
        <v>0</v>
      </c>
      <c r="AD76" s="439" cm="1">
        <f t="array" ref="AD76">AB76+AC76</f>
        <v>0</v>
      </c>
      <c r="AE76" s="56"/>
      <c r="AF76" s="58"/>
    </row>
    <row r="77" spans="1:32" ht="18.75" customHeight="1">
      <c r="A77" s="503">
        <v>49</v>
      </c>
      <c r="B77" s="435"/>
      <c r="C77" s="496"/>
      <c r="D77" s="497" cm="1">
        <f t="array" ref="D77">B77+C77</f>
        <v>0</v>
      </c>
      <c r="E77" s="462"/>
      <c r="F77" s="503">
        <v>49</v>
      </c>
      <c r="G77" s="498">
        <v>0.203180599221255</v>
      </c>
      <c r="H77" s="499" cm="1">
        <f t="array" ref="H77">B77*G77</f>
        <v>0</v>
      </c>
      <c r="I77" s="500" cm="1">
        <f t="array" ref="I77">C77*G77</f>
        <v>0</v>
      </c>
      <c r="J77" s="497" cm="1">
        <f t="array" ref="J77">H77+I77</f>
        <v>0</v>
      </c>
      <c r="K77" s="489"/>
      <c r="L77" s="490"/>
      <c r="M77" s="503">
        <v>49</v>
      </c>
      <c r="N77" s="435"/>
      <c r="O77" s="435"/>
      <c r="P77" s="439" cm="1">
        <f t="array" ref="P77">N77+O77</f>
        <v>0</v>
      </c>
      <c r="Q77" s="478"/>
      <c r="R77" s="503">
        <v>49</v>
      </c>
      <c r="S77" s="498">
        <v>0.203180599221255</v>
      </c>
      <c r="T77" s="491" cm="1">
        <f t="array" ref="T77">IFERROR(IF($V$6="No",0,IF(AND($V$13=0,$V$14=0),N77*S77,IF($V$13&gt;0,H77*$V$13,IF($V$14&gt;0,IF(AND($V$6="Yes",$V$7="Yes"),((B77/$D$26)*$V$14)*S77,((B77/$B$26)*$V$14)*S77))))),0)</f>
        <v>0</v>
      </c>
      <c r="U77" s="501" cm="1">
        <f t="array" ref="U77">IFERROR(IF($V$7="No",0,IF(AND($V$13=0,$V$14=0),O76*S76,IF($V$13&gt;0,I76*$V$13,IF($V$14&gt;0,IF(AND($V$6="Yes",$V$7="Yes"),((C76/$D$26)*$V$14)*S76,((C76/$C$26)*$V$14)*S76))))),0)</f>
        <v>0</v>
      </c>
      <c r="V77" s="502" cm="1">
        <f t="array" ref="V77">T77+U77</f>
        <v>0</v>
      </c>
      <c r="W77" s="494"/>
      <c r="X77" s="443">
        <v>63</v>
      </c>
      <c r="Y77" s="435"/>
      <c r="Z77" s="435"/>
      <c r="AA77" s="436" cm="1">
        <f t="array" ref="AA77">(1/($AA$12+1))^X77</f>
        <v>0.11448747127063565</v>
      </c>
      <c r="AB77" s="437" cm="1">
        <f t="array" ref="AB77">Y77*AA77</f>
        <v>0</v>
      </c>
      <c r="AC77" s="437" cm="1">
        <f t="array" ref="AC77">(Z77*AA77)</f>
        <v>0</v>
      </c>
      <c r="AD77" s="439" cm="1">
        <f t="array" ref="AD77">AB77+AC77</f>
        <v>0</v>
      </c>
      <c r="AE77" s="56"/>
      <c r="AF77" s="58"/>
    </row>
    <row r="78" spans="1:32" ht="18.75" customHeight="1">
      <c r="A78" s="503">
        <v>50</v>
      </c>
      <c r="B78" s="435"/>
      <c r="C78" s="496"/>
      <c r="D78" s="497" cm="1">
        <f t="array" ref="D78">B78+C78</f>
        <v>0</v>
      </c>
      <c r="E78" s="462"/>
      <c r="F78" s="503">
        <v>50</v>
      </c>
      <c r="G78" s="498">
        <v>0.19726271769053799</v>
      </c>
      <c r="H78" s="499" cm="1">
        <f t="array" ref="H78">B78*G78</f>
        <v>0</v>
      </c>
      <c r="I78" s="500" cm="1">
        <f t="array" ref="I78">C78*G78</f>
        <v>0</v>
      </c>
      <c r="J78" s="497" cm="1">
        <f t="array" ref="J78">H78+I78</f>
        <v>0</v>
      </c>
      <c r="K78" s="489"/>
      <c r="L78" s="490"/>
      <c r="M78" s="503">
        <v>50</v>
      </c>
      <c r="N78" s="435"/>
      <c r="O78" s="435"/>
      <c r="P78" s="439" cm="1">
        <f t="array" ref="P78">N78+O78</f>
        <v>0</v>
      </c>
      <c r="Q78" s="478"/>
      <c r="R78" s="503">
        <v>50</v>
      </c>
      <c r="S78" s="498">
        <v>0.19726271769053799</v>
      </c>
      <c r="T78" s="491" cm="1">
        <f t="array" ref="T78">IFERROR(IF($V$6="No",0,IF(AND($V$13=0,$V$14=0),N78*S78,IF($V$13&gt;0,H78*$V$13,IF($V$14&gt;0,IF(AND($V$6="Yes",$V$7="Yes"),((B78/$D$26)*$V$14)*S78,((B78/$B$26)*$V$14)*S78))))),0)</f>
        <v>0</v>
      </c>
      <c r="U78" s="501" cm="1">
        <f t="array" ref="U78">IFERROR(IF($V$7="No",0,IF(AND($V$13=0,$V$14=0),O77*S77,IF($V$13&gt;0,I77*$V$13,IF($V$14&gt;0,IF(AND($V$6="Yes",$V$7="Yes"),((C77/$D$26)*$V$14)*S77,((C77/$C$26)*$V$14)*S77))))),0)</f>
        <v>0</v>
      </c>
      <c r="V78" s="502" cm="1">
        <f t="array" ref="V78">T78+U78</f>
        <v>0</v>
      </c>
      <c r="W78" s="494"/>
      <c r="X78" s="443">
        <v>64</v>
      </c>
      <c r="Y78" s="435"/>
      <c r="Z78" s="435"/>
      <c r="AA78" s="436" cm="1">
        <f t="array" ref="AA78">(1/($AA$12+1))^X78</f>
        <v>0.11061591427114556</v>
      </c>
      <c r="AB78" s="437" cm="1">
        <f t="array" ref="AB78">Y78*AA78</f>
        <v>0</v>
      </c>
      <c r="AC78" s="437" cm="1">
        <f t="array" ref="AC78">(Z78*AA78)</f>
        <v>0</v>
      </c>
      <c r="AD78" s="439" cm="1">
        <f t="array" ref="AD78">AB78+AC78</f>
        <v>0</v>
      </c>
      <c r="AE78" s="56"/>
      <c r="AF78" s="58"/>
    </row>
    <row r="79" spans="1:32" ht="18.75" customHeight="1">
      <c r="A79" s="503">
        <v>51</v>
      </c>
      <c r="B79" s="435"/>
      <c r="C79" s="496"/>
      <c r="D79" s="497" cm="1">
        <f t="array" ref="D79">B79+C79</f>
        <v>0</v>
      </c>
      <c r="E79" s="462"/>
      <c r="F79" s="503">
        <v>51</v>
      </c>
      <c r="G79" s="498">
        <v>0.19151720164129901</v>
      </c>
      <c r="H79" s="499" cm="1">
        <f t="array" ref="H79">B79*G79</f>
        <v>0</v>
      </c>
      <c r="I79" s="500" cm="1">
        <f t="array" ref="I79">C79*G79</f>
        <v>0</v>
      </c>
      <c r="J79" s="497" cm="1">
        <f t="array" ref="J79">H79+I79</f>
        <v>0</v>
      </c>
      <c r="K79" s="489"/>
      <c r="L79" s="490"/>
      <c r="M79" s="503">
        <v>51</v>
      </c>
      <c r="N79" s="435"/>
      <c r="O79" s="435"/>
      <c r="P79" s="439" cm="1">
        <f t="array" ref="P79">N79+O79</f>
        <v>0</v>
      </c>
      <c r="Q79" s="478"/>
      <c r="R79" s="503">
        <v>51</v>
      </c>
      <c r="S79" s="498">
        <v>0.19151720164129901</v>
      </c>
      <c r="T79" s="491" cm="1">
        <f t="array" ref="T79">IFERROR(IF($V$6="No",0,IF(AND($V$13=0,$V$14=0),N79*S79,IF($V$13&gt;0,H79*$V$13,IF($V$14&gt;0,IF(AND($V$6="Yes",$V$7="Yes"),((B79/$D$26)*$V$14)*S79,((B79/$B$26)*$V$14)*S79))))),0)</f>
        <v>0</v>
      </c>
      <c r="U79" s="501" cm="1">
        <f t="array" ref="U79">IFERROR(IF($V$7="No",0,IF(AND($V$13=0,$V$14=0),O78*S78,IF($V$13&gt;0,I78*$V$13,IF($V$14&gt;0,IF(AND($V$6="Yes",$V$7="Yes"),((C78/$D$26)*$V$14)*S78,((C78/$C$26)*$V$14)*S78))))),0)</f>
        <v>0</v>
      </c>
      <c r="V79" s="502" cm="1">
        <f t="array" ref="V79">T79+U79</f>
        <v>0</v>
      </c>
      <c r="W79" s="494"/>
      <c r="X79" s="443">
        <v>65</v>
      </c>
      <c r="Y79" s="435"/>
      <c r="Z79" s="435"/>
      <c r="AA79" s="436" cm="1">
        <f t="array" ref="AA79">(1/($AA$12+1))^X79</f>
        <v>0.10687527948902953</v>
      </c>
      <c r="AB79" s="437" cm="1">
        <f t="array" ref="AB79">Y79*AA79</f>
        <v>0</v>
      </c>
      <c r="AC79" s="437" cm="1">
        <f t="array" ref="AC79">(Z79*AA79)</f>
        <v>0</v>
      </c>
      <c r="AD79" s="439" cm="1">
        <f t="array" ref="AD79">AB79+AC79</f>
        <v>0</v>
      </c>
      <c r="AE79" s="56"/>
      <c r="AF79" s="58"/>
    </row>
    <row r="80" spans="1:32" ht="18.75" customHeight="1">
      <c r="A80" s="503">
        <v>52</v>
      </c>
      <c r="B80" s="435"/>
      <c r="C80" s="496"/>
      <c r="D80" s="497" cm="1">
        <f t="array" ref="D80">B80+C80</f>
        <v>0</v>
      </c>
      <c r="E80" s="462"/>
      <c r="F80" s="503">
        <v>52</v>
      </c>
      <c r="G80" s="498">
        <v>0.18593903071970799</v>
      </c>
      <c r="H80" s="499" cm="1">
        <f t="array" ref="H80">B80*G80</f>
        <v>0</v>
      </c>
      <c r="I80" s="500" cm="1">
        <f t="array" ref="I80">C80*G80</f>
        <v>0</v>
      </c>
      <c r="J80" s="497" cm="1">
        <f t="array" ref="J80">H80+I80</f>
        <v>0</v>
      </c>
      <c r="K80" s="489"/>
      <c r="L80" s="490"/>
      <c r="M80" s="503">
        <v>52</v>
      </c>
      <c r="N80" s="435"/>
      <c r="O80" s="435"/>
      <c r="P80" s="439" cm="1">
        <f t="array" ref="P80">N80+O80</f>
        <v>0</v>
      </c>
      <c r="Q80" s="478"/>
      <c r="R80" s="503">
        <v>52</v>
      </c>
      <c r="S80" s="498">
        <v>0.18593903071970799</v>
      </c>
      <c r="T80" s="491" cm="1">
        <f t="array" ref="T80">IFERROR(IF($V$6="No",0,IF(AND($V$13=0,$V$14=0),N80*S80,IF($V$13&gt;0,H80*$V$13,IF($V$14&gt;0,IF(AND($V$6="Yes",$V$7="Yes"),((B80/$D$26)*$V$14)*S80,((B80/$B$26)*$V$14)*S80))))),0)</f>
        <v>0</v>
      </c>
      <c r="U80" s="501" cm="1">
        <f t="array" ref="U80">IFERROR(IF($V$7="No",0,IF(AND($V$13=0,$V$14=0),O79*S79,IF($V$13&gt;0,I79*$V$13,IF($V$14&gt;0,IF(AND($V$6="Yes",$V$7="Yes"),((C79/$D$26)*$V$14)*S79,((C79/$C$26)*$V$14)*S79))))),0)</f>
        <v>0</v>
      </c>
      <c r="V80" s="502" cm="1">
        <f t="array" ref="V80">T80+U80</f>
        <v>0</v>
      </c>
      <c r="W80" s="494"/>
      <c r="X80" s="443">
        <v>66</v>
      </c>
      <c r="Y80" s="435"/>
      <c r="Z80" s="435"/>
      <c r="AA80" s="436" cm="1">
        <f t="array" ref="AA80">(1/($AA$12+1))^X80</f>
        <v>0.10326113960292709</v>
      </c>
      <c r="AB80" s="437" cm="1">
        <f t="array" ref="AB80">Y80*AA80</f>
        <v>0</v>
      </c>
      <c r="AC80" s="437" cm="1">
        <f t="array" ref="AC80">(Z80*AA80)</f>
        <v>0</v>
      </c>
      <c r="AD80" s="439" cm="1">
        <f t="array" ref="AD80">AB80+AC80</f>
        <v>0</v>
      </c>
      <c r="AE80" s="56"/>
      <c r="AF80" s="58"/>
    </row>
    <row r="81" spans="1:32" ht="18.75" customHeight="1">
      <c r="A81" s="503">
        <v>53</v>
      </c>
      <c r="B81" s="435"/>
      <c r="C81" s="496"/>
      <c r="D81" s="497" cm="1">
        <f t="array" ref="D81">B81+C81</f>
        <v>0</v>
      </c>
      <c r="E81" s="462"/>
      <c r="F81" s="503">
        <v>53</v>
      </c>
      <c r="G81" s="498">
        <v>0.18052333079583299</v>
      </c>
      <c r="H81" s="499" cm="1">
        <f t="array" ref="H81">B81*G81</f>
        <v>0</v>
      </c>
      <c r="I81" s="500" cm="1">
        <f t="array" ref="I81">C81*G81</f>
        <v>0</v>
      </c>
      <c r="J81" s="497" cm="1">
        <f t="array" ref="J81">H81+I81</f>
        <v>0</v>
      </c>
      <c r="K81" s="489"/>
      <c r="L81" s="490"/>
      <c r="M81" s="503">
        <v>53</v>
      </c>
      <c r="N81" s="435"/>
      <c r="O81" s="435"/>
      <c r="P81" s="439" cm="1">
        <f t="array" ref="P81">N81+O81</f>
        <v>0</v>
      </c>
      <c r="Q81" s="478"/>
      <c r="R81" s="503">
        <v>53</v>
      </c>
      <c r="S81" s="498">
        <v>0.18052333079583299</v>
      </c>
      <c r="T81" s="491" cm="1">
        <f t="array" ref="T81">IFERROR(IF($V$6="No",0,IF(AND($V$13=0,$V$14=0),N81*S81,IF($V$13&gt;0,H81*$V$13,IF($V$14&gt;0,IF(AND($V$6="Yes",$V$7="Yes"),((B81/$D$26)*$V$14)*S81,((B81/$B$26)*$V$14)*S81))))),0)</f>
        <v>0</v>
      </c>
      <c r="U81" s="501" cm="1">
        <f t="array" ref="U81">IFERROR(IF($V$7="No",0,IF(AND($V$13=0,$V$14=0),O80*S80,IF($V$13&gt;0,I80*$V$13,IF($V$14&gt;0,IF(AND($V$6="Yes",$V$7="Yes"),((C80/$D$26)*$V$14)*S80,((C80/$C$26)*$V$14)*S80))))),0)</f>
        <v>0</v>
      </c>
      <c r="V81" s="502" cm="1">
        <f t="array" ref="V81">T81+U81</f>
        <v>0</v>
      </c>
      <c r="W81" s="494"/>
      <c r="X81" s="443">
        <v>67</v>
      </c>
      <c r="Y81" s="435"/>
      <c r="Z81" s="435"/>
      <c r="AA81" s="436" cm="1">
        <f t="array" ref="AA81">(1/($AA$12+1))^X81</f>
        <v>9.9769217007659033E-2</v>
      </c>
      <c r="AB81" s="437" cm="1">
        <f t="array" ref="AB81">Y81*AA81</f>
        <v>0</v>
      </c>
      <c r="AC81" s="437" cm="1">
        <f t="array" ref="AC81">(Z81*AA81)</f>
        <v>0</v>
      </c>
      <c r="AD81" s="439" cm="1">
        <f t="array" ref="AD81">AB81+AC81</f>
        <v>0</v>
      </c>
      <c r="AE81" s="56"/>
      <c r="AF81" s="58"/>
    </row>
    <row r="82" spans="1:32" ht="18.75" customHeight="1">
      <c r="A82" s="503">
        <v>54</v>
      </c>
      <c r="B82" s="435"/>
      <c r="C82" s="496"/>
      <c r="D82" s="497" cm="1">
        <f t="array" ref="D82">B82+C82</f>
        <v>0</v>
      </c>
      <c r="E82" s="462"/>
      <c r="F82" s="503">
        <v>54</v>
      </c>
      <c r="G82" s="498">
        <v>0.175265369704692</v>
      </c>
      <c r="H82" s="499" cm="1">
        <f t="array" ref="H82">B82*G82</f>
        <v>0</v>
      </c>
      <c r="I82" s="500" cm="1">
        <f t="array" ref="I82">C82*G82</f>
        <v>0</v>
      </c>
      <c r="J82" s="497" cm="1">
        <f t="array" ref="J82">H82+I82</f>
        <v>0</v>
      </c>
      <c r="K82" s="489"/>
      <c r="L82" s="490"/>
      <c r="M82" s="503">
        <v>54</v>
      </c>
      <c r="N82" s="435"/>
      <c r="O82" s="435"/>
      <c r="P82" s="439" cm="1">
        <f t="array" ref="P82">N82+O82</f>
        <v>0</v>
      </c>
      <c r="Q82" s="478"/>
      <c r="R82" s="503">
        <v>54</v>
      </c>
      <c r="S82" s="498">
        <v>0.175265369704692</v>
      </c>
      <c r="T82" s="491" cm="1">
        <f t="array" ref="T82">IFERROR(IF($V$6="No",0,IF(AND($V$13=0,$V$14=0),N82*S82,IF($V$13&gt;0,H82*$V$13,IF($V$14&gt;0,IF(AND($V$6="Yes",$V$7="Yes"),((B82/$D$26)*$V$14)*S82,((B82/$B$26)*$V$14)*S82))))),0)</f>
        <v>0</v>
      </c>
      <c r="U82" s="501" cm="1">
        <f t="array" ref="U82">IFERROR(IF($V$7="No",0,IF(AND($V$13=0,$V$14=0),O81*S81,IF($V$13&gt;0,I81*$V$13,IF($V$14&gt;0,IF(AND($V$6="Yes",$V$7="Yes"),((C81/$D$26)*$V$14)*S81,((C81/$C$26)*$V$14)*S81))))),0)</f>
        <v>0</v>
      </c>
      <c r="V82" s="502" cm="1">
        <f t="array" ref="V82">T82+U82</f>
        <v>0</v>
      </c>
      <c r="W82" s="494"/>
      <c r="X82" s="443">
        <v>68</v>
      </c>
      <c r="Y82" s="435"/>
      <c r="Z82" s="435"/>
      <c r="AA82" s="436" cm="1">
        <f t="array" ref="AA82">(1/($AA$12+1))^X82</f>
        <v>9.6395378751361394E-2</v>
      </c>
      <c r="AB82" s="437" cm="1">
        <f t="array" ref="AB82">Y82*AA82</f>
        <v>0</v>
      </c>
      <c r="AC82" s="437" cm="1">
        <f t="array" ref="AC82">(Z82*AA82)</f>
        <v>0</v>
      </c>
      <c r="AD82" s="439" cm="1">
        <f t="array" ref="AD82">AB82+AC82</f>
        <v>0</v>
      </c>
      <c r="AE82" s="56"/>
      <c r="AF82" s="58"/>
    </row>
    <row r="83" spans="1:32" ht="18.75" customHeight="1">
      <c r="A83" s="503">
        <v>55</v>
      </c>
      <c r="B83" s="435"/>
      <c r="C83" s="496"/>
      <c r="D83" s="497" cm="1">
        <f t="array" ref="D83">B83+C83</f>
        <v>0</v>
      </c>
      <c r="E83" s="462"/>
      <c r="F83" s="503">
        <v>55</v>
      </c>
      <c r="G83" s="498">
        <v>0.170160553111352</v>
      </c>
      <c r="H83" s="499" cm="1">
        <f t="array" ref="H83">B83*G83</f>
        <v>0</v>
      </c>
      <c r="I83" s="500" cm="1">
        <f t="array" ref="I83">C83*G83</f>
        <v>0</v>
      </c>
      <c r="J83" s="497" cm="1">
        <f t="array" ref="J83">H83+I83</f>
        <v>0</v>
      </c>
      <c r="K83" s="489"/>
      <c r="L83" s="490"/>
      <c r="M83" s="503">
        <v>55</v>
      </c>
      <c r="N83" s="435"/>
      <c r="O83" s="435"/>
      <c r="P83" s="439" cm="1">
        <f t="array" ref="P83">N83+O83</f>
        <v>0</v>
      </c>
      <c r="Q83" s="478"/>
      <c r="R83" s="503">
        <v>55</v>
      </c>
      <c r="S83" s="498">
        <v>0.170160553111352</v>
      </c>
      <c r="T83" s="491" cm="1">
        <f t="array" ref="T83">IFERROR(IF($V$6="No",0,IF(AND($V$13=0,$V$14=0),N83*S83,IF($V$13&gt;0,H83*$V$13,IF($V$14&gt;0,IF(AND($V$6="Yes",$V$7="Yes"),((B83/$D$26)*$V$14)*S83,((B83/$B$26)*$V$14)*S83))))),0)</f>
        <v>0</v>
      </c>
      <c r="U83" s="501" cm="1">
        <f t="array" ref="U83">IFERROR(IF($V$7="No",0,IF(AND($V$13=0,$V$14=0),O82*S82,IF($V$13&gt;0,I82*$V$13,IF($V$14&gt;0,IF(AND($V$6="Yes",$V$7="Yes"),((C82/$D$26)*$V$14)*S82,((C82/$C$26)*$V$14)*S82))))),0)</f>
        <v>0</v>
      </c>
      <c r="V83" s="502" cm="1">
        <f t="array" ref="V83">T83+U83</f>
        <v>0</v>
      </c>
      <c r="W83" s="494"/>
      <c r="X83" s="443">
        <v>69</v>
      </c>
      <c r="Y83" s="435"/>
      <c r="Z83" s="435"/>
      <c r="AA83" s="436" cm="1">
        <f t="array" ref="AA83">(1/($AA$12+1))^X83</f>
        <v>9.3135631643827432E-2</v>
      </c>
      <c r="AB83" s="437" cm="1">
        <f t="array" ref="AB83">Y83*AA83</f>
        <v>0</v>
      </c>
      <c r="AC83" s="437" cm="1">
        <f t="array" ref="AC83">(Z83*AA83)</f>
        <v>0</v>
      </c>
      <c r="AD83" s="439" cm="1">
        <f t="array" ref="AD83">AB83+AC83</f>
        <v>0</v>
      </c>
      <c r="AE83" s="56"/>
      <c r="AF83" s="58"/>
    </row>
    <row r="84" spans="1:32" ht="18.75" customHeight="1">
      <c r="A84" s="503">
        <v>56</v>
      </c>
      <c r="B84" s="435"/>
      <c r="C84" s="496"/>
      <c r="D84" s="497" cm="1">
        <f t="array" ref="D84">B84+C84</f>
        <v>0</v>
      </c>
      <c r="E84" s="462"/>
      <c r="F84" s="503">
        <v>56</v>
      </c>
      <c r="G84" s="498">
        <v>0.165204420496458</v>
      </c>
      <c r="H84" s="499" cm="1">
        <f t="array" ref="H84">B84*G84</f>
        <v>0</v>
      </c>
      <c r="I84" s="500" cm="1">
        <f t="array" ref="I84">C84*G84</f>
        <v>0</v>
      </c>
      <c r="J84" s="497" cm="1">
        <f t="array" ref="J84">H84+I84</f>
        <v>0</v>
      </c>
      <c r="K84" s="489"/>
      <c r="L84" s="490"/>
      <c r="M84" s="503">
        <v>56</v>
      </c>
      <c r="N84" s="435"/>
      <c r="O84" s="435"/>
      <c r="P84" s="439" cm="1">
        <f t="array" ref="P84">N84+O84</f>
        <v>0</v>
      </c>
      <c r="Q84" s="478"/>
      <c r="R84" s="503">
        <v>56</v>
      </c>
      <c r="S84" s="498">
        <v>0.165204420496458</v>
      </c>
      <c r="T84" s="491" cm="1">
        <f t="array" ref="T84">IFERROR(IF($V$6="No",0,IF(AND($V$13=0,$V$14=0),N84*S84,IF($V$13&gt;0,H84*$V$13,IF($V$14&gt;0,IF(AND($V$6="Yes",$V$7="Yes"),((B84/$D$26)*$V$14)*S84,((B84/$B$26)*$V$14)*S84))))),0)</f>
        <v>0</v>
      </c>
      <c r="U84" s="501" cm="1">
        <f t="array" ref="U84">IFERROR(IF($V$7="No",0,IF(AND($V$13=0,$V$14=0),O83*S83,IF($V$13&gt;0,I83*$V$13,IF($V$14&gt;0,IF(AND($V$6="Yes",$V$7="Yes"),((C83/$D$26)*$V$14)*S83,((C83/$C$26)*$V$14)*S83))))),0)</f>
        <v>0</v>
      </c>
      <c r="V84" s="502" cm="1">
        <f t="array" ref="V84">T84+U84</f>
        <v>0</v>
      </c>
      <c r="W84" s="494"/>
      <c r="X84" s="443">
        <v>70</v>
      </c>
      <c r="Y84" s="435"/>
      <c r="Z84" s="435"/>
      <c r="AA84" s="436" cm="1">
        <f t="array" ref="AA84">(1/($AA$12+1))^X84</f>
        <v>8.998611753026807E-2</v>
      </c>
      <c r="AB84" s="437" cm="1">
        <f t="array" ref="AB84">Y84*AA84</f>
        <v>0</v>
      </c>
      <c r="AC84" s="437" cm="1">
        <f t="array" ref="AC84">(Z84*AA84)</f>
        <v>0</v>
      </c>
      <c r="AD84" s="439" cm="1">
        <f t="array" ref="AD84">AB84+AC84</f>
        <v>0</v>
      </c>
      <c r="AE84" s="56"/>
      <c r="AF84" s="58"/>
    </row>
    <row r="85" spans="1:32" ht="18.75" customHeight="1">
      <c r="A85" s="503">
        <v>57</v>
      </c>
      <c r="B85" s="435"/>
      <c r="C85" s="496"/>
      <c r="D85" s="497" cm="1">
        <f t="array" ref="D85">B85+C85</f>
        <v>0</v>
      </c>
      <c r="E85" s="462"/>
      <c r="F85" s="503">
        <v>57</v>
      </c>
      <c r="G85" s="498">
        <v>0.16039264125869701</v>
      </c>
      <c r="H85" s="499" cm="1">
        <f t="array" ref="H85">B85*G85</f>
        <v>0</v>
      </c>
      <c r="I85" s="500" cm="1">
        <f t="array" ref="I85">C85*G85</f>
        <v>0</v>
      </c>
      <c r="J85" s="497" cm="1">
        <f t="array" ref="J85">H85+I85</f>
        <v>0</v>
      </c>
      <c r="K85" s="489"/>
      <c r="L85" s="490"/>
      <c r="M85" s="503">
        <v>57</v>
      </c>
      <c r="N85" s="435"/>
      <c r="O85" s="435"/>
      <c r="P85" s="439" cm="1">
        <f t="array" ref="P85">N85+O85</f>
        <v>0</v>
      </c>
      <c r="Q85" s="478"/>
      <c r="R85" s="503">
        <v>57</v>
      </c>
      <c r="S85" s="498">
        <v>0.16039264125869701</v>
      </c>
      <c r="T85" s="491" cm="1">
        <f t="array" ref="T85">IFERROR(IF($V$6="No",0,IF(AND($V$13=0,$V$14=0),N85*S85,IF($V$13&gt;0,H85*$V$13,IF($V$14&gt;0,IF(AND($V$6="Yes",$V$7="Yes"),((B85/$D$26)*$V$14)*S85,((B85/$B$26)*$V$14)*S85))))),0)</f>
        <v>0</v>
      </c>
      <c r="U85" s="501" cm="1">
        <f t="array" ref="U85">IFERROR(IF($V$7="No",0,IF(AND($V$13=0,$V$14=0),O84*S84,IF($V$13&gt;0,I84*$V$13,IF($V$14&gt;0,IF(AND($V$6="Yes",$V$7="Yes"),((C84/$D$26)*$V$14)*S84,((C84/$C$26)*$V$14)*S84))))),0)</f>
        <v>0</v>
      </c>
      <c r="V85" s="502" cm="1">
        <f t="array" ref="V85">T85+U85</f>
        <v>0</v>
      </c>
      <c r="W85" s="494"/>
      <c r="X85" s="443">
        <v>71</v>
      </c>
      <c r="Y85" s="435"/>
      <c r="Z85" s="435"/>
      <c r="AA85" s="436" cm="1">
        <f t="array" ref="AA85">(1/($AA$12+1))^X85</f>
        <v>8.6943108724896689E-2</v>
      </c>
      <c r="AB85" s="437" cm="1">
        <f t="array" ref="AB85">Y85*AA85</f>
        <v>0</v>
      </c>
      <c r="AC85" s="437" cm="1">
        <f t="array" ref="AC85">(Z85*AA85)</f>
        <v>0</v>
      </c>
      <c r="AD85" s="439" cm="1">
        <f t="array" ref="AD85">AB85+AC85</f>
        <v>0</v>
      </c>
      <c r="AE85" s="56"/>
      <c r="AF85" s="58"/>
    </row>
    <row r="86" spans="1:32" ht="18.75" customHeight="1">
      <c r="A86" s="503">
        <v>58</v>
      </c>
      <c r="B86" s="435"/>
      <c r="C86" s="496"/>
      <c r="D86" s="497" cm="1">
        <f t="array" ref="D86">B86+C86</f>
        <v>0</v>
      </c>
      <c r="E86" s="462"/>
      <c r="F86" s="503">
        <v>58</v>
      </c>
      <c r="G86" s="498">
        <v>0.15572101093077401</v>
      </c>
      <c r="H86" s="499" cm="1">
        <f t="array" ref="H86">B86*G86</f>
        <v>0</v>
      </c>
      <c r="I86" s="500" cm="1">
        <f t="array" ref="I86">C86*G86</f>
        <v>0</v>
      </c>
      <c r="J86" s="497" cm="1">
        <f t="array" ref="J86">H86+I86</f>
        <v>0</v>
      </c>
      <c r="K86" s="489"/>
      <c r="L86" s="490"/>
      <c r="M86" s="503">
        <v>58</v>
      </c>
      <c r="N86" s="435"/>
      <c r="O86" s="435"/>
      <c r="P86" s="439" cm="1">
        <f t="array" ref="P86">N86+O86</f>
        <v>0</v>
      </c>
      <c r="Q86" s="478"/>
      <c r="R86" s="503">
        <v>58</v>
      </c>
      <c r="S86" s="498">
        <v>0.15572101093077401</v>
      </c>
      <c r="T86" s="491" cm="1">
        <f t="array" ref="T86">IFERROR(IF($V$6="No",0,IF(AND($V$13=0,$V$14=0),N86*S86,IF($V$13&gt;0,H86*$V$13,IF($V$14&gt;0,IF(AND($V$6="Yes",$V$7="Yes"),((B86/$D$26)*$V$14)*S86,((B86/$B$26)*$V$14)*S86))))),0)</f>
        <v>0</v>
      </c>
      <c r="U86" s="501" cm="1">
        <f t="array" ref="U86">IFERROR(IF($V$7="No",0,IF(AND($V$13=0,$V$14=0),O85*S85,IF($V$13&gt;0,I85*$V$13,IF($V$14&gt;0,IF(AND($V$6="Yes",$V$7="Yes"),((C85/$D$26)*$V$14)*S85,((C85/$C$26)*$V$14)*S85))))),0)</f>
        <v>0</v>
      </c>
      <c r="V86" s="502" cm="1">
        <f t="array" ref="V86">T86+U86</f>
        <v>0</v>
      </c>
      <c r="W86" s="494"/>
      <c r="X86" s="443">
        <v>72</v>
      </c>
      <c r="Y86" s="435"/>
      <c r="Z86" s="435"/>
      <c r="AA86" s="436" cm="1">
        <f t="array" ref="AA86">(1/($AA$12+1))^X86</f>
        <v>8.4003003598933992E-2</v>
      </c>
      <c r="AB86" s="437" cm="1">
        <f t="array" ref="AB86">Y86*AA86</f>
        <v>0</v>
      </c>
      <c r="AC86" s="437" cm="1">
        <f t="array" ref="AC86">(Z86*AA86)</f>
        <v>0</v>
      </c>
      <c r="AD86" s="439" cm="1">
        <f t="array" ref="AD86">AB86+AC86</f>
        <v>0</v>
      </c>
      <c r="AE86" s="56"/>
      <c r="AF86" s="58"/>
    </row>
    <row r="87" spans="1:32" ht="18.75" customHeight="1">
      <c r="A87" s="503">
        <v>59</v>
      </c>
      <c r="B87" s="435"/>
      <c r="C87" s="496"/>
      <c r="D87" s="497" cm="1">
        <f t="array" ref="D87">B87+C87</f>
        <v>0</v>
      </c>
      <c r="E87" s="462"/>
      <c r="F87" s="503">
        <v>59</v>
      </c>
      <c r="G87" s="498">
        <v>0.151185447505606</v>
      </c>
      <c r="H87" s="499" cm="1">
        <f t="array" ref="H87">B87*G87</f>
        <v>0</v>
      </c>
      <c r="I87" s="500" cm="1">
        <f t="array" ref="I87">C87*G87</f>
        <v>0</v>
      </c>
      <c r="J87" s="497" cm="1">
        <f t="array" ref="J87">H87+I87</f>
        <v>0</v>
      </c>
      <c r="K87" s="489"/>
      <c r="L87" s="490"/>
      <c r="M87" s="503">
        <v>59</v>
      </c>
      <c r="N87" s="435"/>
      <c r="O87" s="435"/>
      <c r="P87" s="439" cm="1">
        <f t="array" ref="P87">N87+O87</f>
        <v>0</v>
      </c>
      <c r="Q87" s="478"/>
      <c r="R87" s="503">
        <v>59</v>
      </c>
      <c r="S87" s="498">
        <v>0.151185447505606</v>
      </c>
      <c r="T87" s="491" cm="1">
        <f t="array" ref="T87">IFERROR(IF($V$6="No",0,IF(AND($V$13=0,$V$14=0),N87*S87,IF($V$13&gt;0,H87*$V$13,IF($V$14&gt;0,IF(AND($V$6="Yes",$V$7="Yes"),((B87/$D$26)*$V$14)*S87,((B87/$B$26)*$V$14)*S87))))),0)</f>
        <v>0</v>
      </c>
      <c r="U87" s="501" cm="1">
        <f t="array" ref="U87">IFERROR(IF($V$7="No",0,IF(AND($V$13=0,$V$14=0),O86*S86,IF($V$13&gt;0,I86*$V$13,IF($V$14&gt;0,IF(AND($V$6="Yes",$V$7="Yes"),((C86/$D$26)*$V$14)*S86,((C86/$C$26)*$V$14)*S86))))),0)</f>
        <v>0</v>
      </c>
      <c r="V87" s="502" cm="1">
        <f t="array" ref="V87">T87+U87</f>
        <v>0</v>
      </c>
      <c r="W87" s="494"/>
      <c r="X87" s="443">
        <v>73</v>
      </c>
      <c r="Y87" s="435"/>
      <c r="Z87" s="435"/>
      <c r="AA87" s="436" cm="1">
        <f t="array" ref="AA87">(1/($AA$12+1))^X87</f>
        <v>8.1162322317810634E-2</v>
      </c>
      <c r="AB87" s="437" cm="1">
        <f t="array" ref="AB87">Y87*AA87</f>
        <v>0</v>
      </c>
      <c r="AC87" s="437" cm="1">
        <f t="array" ref="AC87">(Z87*AA87)</f>
        <v>0</v>
      </c>
      <c r="AD87" s="439" cm="1">
        <f t="array" ref="AD87">AB87+AC87</f>
        <v>0</v>
      </c>
      <c r="AE87" s="56"/>
      <c r="AF87" s="58"/>
    </row>
    <row r="88" spans="1:32" ht="18.75" customHeight="1">
      <c r="A88" s="503">
        <v>60</v>
      </c>
      <c r="B88" s="435"/>
      <c r="C88" s="496"/>
      <c r="D88" s="497" cm="1">
        <f t="array" ref="D88">B88+C88</f>
        <v>0</v>
      </c>
      <c r="E88" s="462"/>
      <c r="F88" s="503">
        <v>60</v>
      </c>
      <c r="G88" s="498">
        <v>0.14678198786951999</v>
      </c>
      <c r="H88" s="499" cm="1">
        <f t="array" ref="H88">B88*G88</f>
        <v>0</v>
      </c>
      <c r="I88" s="500" cm="1">
        <f t="array" ref="I88">C88*G88</f>
        <v>0</v>
      </c>
      <c r="J88" s="497" cm="1">
        <f t="array" ref="J88">H88+I88</f>
        <v>0</v>
      </c>
      <c r="K88" s="489"/>
      <c r="L88" s="490"/>
      <c r="M88" s="503">
        <v>60</v>
      </c>
      <c r="N88" s="435"/>
      <c r="O88" s="435"/>
      <c r="P88" s="439" cm="1">
        <f t="array" ref="P88">N88+O88</f>
        <v>0</v>
      </c>
      <c r="Q88" s="478"/>
      <c r="R88" s="503">
        <v>60</v>
      </c>
      <c r="S88" s="498">
        <v>0.14678198786951999</v>
      </c>
      <c r="T88" s="491" cm="1">
        <f t="array" ref="T88">IFERROR(IF($V$6="No",0,IF(AND($V$13=0,$V$14=0),N88*S88,IF($V$13&gt;0,H88*$V$13,IF($V$14&gt;0,IF(AND($V$6="Yes",$V$7="Yes"),((B88/$D$26)*$V$14)*S88,((B88/$B$26)*$V$14)*S88))))),0)</f>
        <v>0</v>
      </c>
      <c r="U88" s="501" cm="1">
        <f t="array" ref="U88">IFERROR(IF($V$7="No",0,IF(AND($V$13=0,$V$14=0),O87*S87,IF($V$13&gt;0,I87*$V$13,IF($V$14&gt;0,IF(AND($V$6="Yes",$V$7="Yes"),((C87/$D$26)*$V$14)*S87,((C87/$C$26)*$V$14)*S87))))),0)</f>
        <v>0</v>
      </c>
      <c r="V88" s="502" cm="1">
        <f t="array" ref="V88">T88+U88</f>
        <v>0</v>
      </c>
      <c r="W88" s="494"/>
      <c r="X88" s="443">
        <v>74</v>
      </c>
      <c r="Y88" s="435"/>
      <c r="Z88" s="435"/>
      <c r="AA88" s="436" cm="1">
        <f t="array" ref="AA88">(1/($AA$12+1))^X88</f>
        <v>7.8417702722522353E-2</v>
      </c>
      <c r="AB88" s="437" cm="1">
        <f t="array" ref="AB88">Y88*AA88</f>
        <v>0</v>
      </c>
      <c r="AC88" s="437" cm="1">
        <f t="array" ref="AC88">(Z88*AA88)</f>
        <v>0</v>
      </c>
      <c r="AD88" s="439" cm="1">
        <f t="array" ref="AD88">AB88+AC88</f>
        <v>0</v>
      </c>
      <c r="AE88" s="56"/>
      <c r="AF88" s="58"/>
    </row>
    <row r="89" spans="1:32" ht="18.75" customHeight="1">
      <c r="A89" s="503">
        <v>61</v>
      </c>
      <c r="B89" s="435"/>
      <c r="C89" s="496"/>
      <c r="D89" s="497" cm="1">
        <f t="array" ref="D89">B89+C89</f>
        <v>0</v>
      </c>
      <c r="E89" s="462"/>
      <c r="F89" s="503">
        <v>61</v>
      </c>
      <c r="G89" s="498">
        <v>0.14250678433934</v>
      </c>
      <c r="H89" s="499" cm="1">
        <f t="array" ref="H89">B89*G89</f>
        <v>0</v>
      </c>
      <c r="I89" s="500" cm="1">
        <f t="array" ref="I89">C89*G89</f>
        <v>0</v>
      </c>
      <c r="J89" s="497" cm="1">
        <f t="array" ref="J89">H89+I89</f>
        <v>0</v>
      </c>
      <c r="K89" s="489"/>
      <c r="L89" s="490"/>
      <c r="M89" s="503">
        <v>61</v>
      </c>
      <c r="N89" s="435"/>
      <c r="O89" s="435"/>
      <c r="P89" s="439" cm="1">
        <f t="array" ref="P89">N89+O89</f>
        <v>0</v>
      </c>
      <c r="Q89" s="478"/>
      <c r="R89" s="503">
        <v>61</v>
      </c>
      <c r="S89" s="498">
        <v>0.14250678433934</v>
      </c>
      <c r="T89" s="491" cm="1">
        <f t="array" ref="T89">IFERROR(IF($V$6="No",0,IF(AND($V$13=0,$V$14=0),N89*S89,IF($V$13&gt;0,H89*$V$13,IF($V$14&gt;0,IF(AND($V$6="Yes",$V$7="Yes"),((B89/$D$26)*$V$14)*S89,((B89/$B$26)*$V$14)*S89))))),0)</f>
        <v>0</v>
      </c>
      <c r="U89" s="501" cm="1">
        <f t="array" ref="U89">IFERROR(IF($V$7="No",0,IF(AND($V$13=0,$V$14=0),O88*S88,IF($V$13&gt;0,I88*$V$13,IF($V$14&gt;0,IF(AND($V$6="Yes",$V$7="Yes"),((C88/$D$26)*$V$14)*S88,((C88/$C$26)*$V$14)*S88))))),0)</f>
        <v>0</v>
      </c>
      <c r="V89" s="502" cm="1">
        <f t="array" ref="V89">T89+U89</f>
        <v>0</v>
      </c>
      <c r="W89" s="494"/>
      <c r="X89" s="443">
        <v>75</v>
      </c>
      <c r="Y89" s="435"/>
      <c r="Z89" s="435"/>
      <c r="AA89" s="436" cm="1">
        <f t="array" ref="AA89">(1/($AA$12+1))^X89</f>
        <v>7.5765896350263151E-2</v>
      </c>
      <c r="AB89" s="437" cm="1">
        <f t="array" ref="AB89">Y89*AA89</f>
        <v>0</v>
      </c>
      <c r="AC89" s="437" cm="1">
        <f t="array" ref="AC89">(Z89*AA89)</f>
        <v>0</v>
      </c>
      <c r="AD89" s="439" cm="1">
        <f t="array" ref="AD89">AB89+AC89</f>
        <v>0</v>
      </c>
      <c r="AE89" s="56"/>
      <c r="AF89" s="58"/>
    </row>
    <row r="90" spans="1:32" ht="18.75" customHeight="1">
      <c r="A90" s="503">
        <v>62</v>
      </c>
      <c r="B90" s="435"/>
      <c r="C90" s="496"/>
      <c r="D90" s="497" cm="1">
        <f t="array" ref="D90">B90+C90</f>
        <v>0</v>
      </c>
      <c r="E90" s="462"/>
      <c r="F90" s="503">
        <v>62</v>
      </c>
      <c r="G90" s="498">
        <v>0.13835610130032999</v>
      </c>
      <c r="H90" s="499" cm="1">
        <f t="array" ref="H90">B90*G90</f>
        <v>0</v>
      </c>
      <c r="I90" s="500" cm="1">
        <f t="array" ref="I90">C90*G90</f>
        <v>0</v>
      </c>
      <c r="J90" s="497" cm="1">
        <f t="array" ref="J90">H90+I90</f>
        <v>0</v>
      </c>
      <c r="K90" s="489"/>
      <c r="L90" s="490"/>
      <c r="M90" s="503">
        <v>62</v>
      </c>
      <c r="N90" s="435"/>
      <c r="O90" s="435"/>
      <c r="P90" s="439" cm="1">
        <f t="array" ref="P90">N90+O90</f>
        <v>0</v>
      </c>
      <c r="Q90" s="478"/>
      <c r="R90" s="503">
        <v>62</v>
      </c>
      <c r="S90" s="498">
        <v>0.13835610130032999</v>
      </c>
      <c r="T90" s="491" cm="1">
        <f t="array" ref="T90">IFERROR(IF($V$6="No",0,IF(AND($V$13=0,$V$14=0),N90*S90,IF($V$13&gt;0,H90*$V$13,IF($V$14&gt;0,IF(AND($V$6="Yes",$V$7="Yes"),((B90/$D$26)*$V$14)*S90,((B90/$B$26)*$V$14)*S90))))),0)</f>
        <v>0</v>
      </c>
      <c r="U90" s="501" cm="1">
        <f t="array" ref="U90">IFERROR(IF($V$7="No",0,IF(AND($V$13=0,$V$14=0),O89*S89,IF($V$13&gt;0,I89*$V$13,IF($V$14&gt;0,IF(AND($V$6="Yes",$V$7="Yes"),((C89/$D$26)*$V$14)*S89,((C89/$C$26)*$V$14)*S89))))),0)</f>
        <v>0</v>
      </c>
      <c r="V90" s="502" cm="1">
        <f t="array" ref="V90">T90+U90</f>
        <v>0</v>
      </c>
      <c r="W90" s="494"/>
      <c r="X90" s="443">
        <v>76</v>
      </c>
      <c r="Y90" s="435"/>
      <c r="Z90" s="435"/>
      <c r="AA90" s="436" cm="1">
        <f t="array" ref="AA90">(1/($AA$12+1))^X90</f>
        <v>7.3203764589626241E-2</v>
      </c>
      <c r="AB90" s="437" cm="1">
        <f t="array" ref="AB90">Y90*AA90</f>
        <v>0</v>
      </c>
      <c r="AC90" s="437" cm="1">
        <f t="array" ref="AC90">(Z90*AA90)</f>
        <v>0</v>
      </c>
      <c r="AD90" s="439" cm="1">
        <f t="array" ref="AD90">AB90+AC90</f>
        <v>0</v>
      </c>
      <c r="AE90" s="56"/>
      <c r="AF90" s="58"/>
    </row>
    <row r="91" spans="1:32" ht="18.75" customHeight="1">
      <c r="A91" s="503">
        <v>63</v>
      </c>
      <c r="B91" s="435"/>
      <c r="C91" s="496"/>
      <c r="D91" s="497" cm="1">
        <f t="array" ref="D91">B91+C91</f>
        <v>0</v>
      </c>
      <c r="E91" s="462"/>
      <c r="F91" s="503">
        <v>63</v>
      </c>
      <c r="G91" s="498">
        <v>0.13432631194206801</v>
      </c>
      <c r="H91" s="499" cm="1">
        <f t="array" ref="H91">B91*G91</f>
        <v>0</v>
      </c>
      <c r="I91" s="500" cm="1">
        <f t="array" ref="I91">C91*G91</f>
        <v>0</v>
      </c>
      <c r="J91" s="497" cm="1">
        <f t="array" ref="J91">H91+I91</f>
        <v>0</v>
      </c>
      <c r="K91" s="489"/>
      <c r="L91" s="490"/>
      <c r="M91" s="503">
        <v>63</v>
      </c>
      <c r="N91" s="435"/>
      <c r="O91" s="435"/>
      <c r="P91" s="439" cm="1">
        <f t="array" ref="P91">N91+O91</f>
        <v>0</v>
      </c>
      <c r="Q91" s="478"/>
      <c r="R91" s="503">
        <v>63</v>
      </c>
      <c r="S91" s="498">
        <v>0.13432631194206801</v>
      </c>
      <c r="T91" s="491" cm="1">
        <f t="array" ref="T91">IFERROR(IF($V$6="No",0,IF(AND($V$13=0,$V$14=0),N91*S91,IF($V$13&gt;0,H91*$V$13,IF($V$14&gt;0,IF(AND($V$6="Yes",$V$7="Yes"),((B91/$D$26)*$V$14)*S91,((B91/$B$26)*$V$14)*S91))))),0)</f>
        <v>0</v>
      </c>
      <c r="U91" s="501" cm="1">
        <f t="array" ref="U91">IFERROR(IF($V$7="No",0,IF(AND($V$13=0,$V$14=0),O90*S90,IF($V$13&gt;0,I90*$V$13,IF($V$14&gt;0,IF(AND($V$6="Yes",$V$7="Yes"),((C90/$D$26)*$V$14)*S90,((C90/$C$26)*$V$14)*S90))))),0)</f>
        <v>0</v>
      </c>
      <c r="V91" s="502" cm="1">
        <f t="array" ref="V91">T91+U91</f>
        <v>0</v>
      </c>
      <c r="W91" s="494"/>
      <c r="X91" s="443">
        <v>77</v>
      </c>
      <c r="Y91" s="435"/>
      <c r="Z91" s="435"/>
      <c r="AA91" s="436" cm="1">
        <f t="array" ref="AA91">(1/($AA$12+1))^X91</f>
        <v>7.0728274965822444E-2</v>
      </c>
      <c r="AB91" s="437" cm="1">
        <f t="array" ref="AB91">Y91*AA91</f>
        <v>0</v>
      </c>
      <c r="AC91" s="437" cm="1">
        <f t="array" ref="AC91">(Z91*AA91)</f>
        <v>0</v>
      </c>
      <c r="AD91" s="439" cm="1">
        <f t="array" ref="AD91">AB91+AC91</f>
        <v>0</v>
      </c>
      <c r="AE91" s="56"/>
      <c r="AF91" s="58"/>
    </row>
    <row r="92" spans="1:32" ht="18.75" customHeight="1">
      <c r="A92" s="503">
        <v>64</v>
      </c>
      <c r="B92" s="435"/>
      <c r="C92" s="496"/>
      <c r="D92" s="497" cm="1">
        <f t="array" ref="D92">B92+C92</f>
        <v>0</v>
      </c>
      <c r="E92" s="462"/>
      <c r="F92" s="503">
        <v>64</v>
      </c>
      <c r="G92" s="498">
        <v>0.130413895089387</v>
      </c>
      <c r="H92" s="499" cm="1">
        <f t="array" ref="H92">B92*G92</f>
        <v>0</v>
      </c>
      <c r="I92" s="500" cm="1">
        <f t="array" ref="I92">C92*G92</f>
        <v>0</v>
      </c>
      <c r="J92" s="497" cm="1">
        <f t="array" ref="J92">H92+I92</f>
        <v>0</v>
      </c>
      <c r="K92" s="489"/>
      <c r="L92" s="490"/>
      <c r="M92" s="503">
        <v>64</v>
      </c>
      <c r="N92" s="435"/>
      <c r="O92" s="435"/>
      <c r="P92" s="439" cm="1">
        <f t="array" ref="P92">N92+O92</f>
        <v>0</v>
      </c>
      <c r="Q92" s="478"/>
      <c r="R92" s="503">
        <v>64</v>
      </c>
      <c r="S92" s="498">
        <v>0.130413895089387</v>
      </c>
      <c r="T92" s="491" cm="1">
        <f t="array" ref="T92">IFERROR(IF($V$6="No",0,IF(AND($V$13=0,$V$14=0),N92*S92,IF($V$13&gt;0,H92*$V$13,IF($V$14&gt;0,IF(AND($V$6="Yes",$V$7="Yes"),((B92/$D$26)*$V$14)*S92,((B92/$B$26)*$V$14)*S92))))),0)</f>
        <v>0</v>
      </c>
      <c r="U92" s="501" cm="1">
        <f t="array" ref="U92">IFERROR(IF($V$7="No",0,IF(AND($V$13=0,$V$14=0),O91*S91,IF($V$13&gt;0,I91*$V$13,IF($V$14&gt;0,IF(AND($V$6="Yes",$V$7="Yes"),((C91/$D$26)*$V$14)*S91,((C91/$C$26)*$V$14)*S91))))),0)</f>
        <v>0</v>
      </c>
      <c r="V92" s="502" cm="1">
        <f t="array" ref="V92">T92+U92</f>
        <v>0</v>
      </c>
      <c r="W92" s="494"/>
      <c r="X92" s="443">
        <v>78</v>
      </c>
      <c r="Y92" s="435"/>
      <c r="Z92" s="435"/>
      <c r="AA92" s="436" cm="1">
        <f t="array" ref="AA92">(1/($AA$12+1))^X92</f>
        <v>6.8336497551519285E-2</v>
      </c>
      <c r="AB92" s="437" cm="1">
        <f t="array" ref="AB92">Y92*AA92</f>
        <v>0</v>
      </c>
      <c r="AC92" s="437" cm="1">
        <f t="array" ref="AC92">(Z92*AA92)</f>
        <v>0</v>
      </c>
      <c r="AD92" s="439" cm="1">
        <f t="array" ref="AD92">AB92+AC92</f>
        <v>0</v>
      </c>
      <c r="AE92" s="56"/>
      <c r="AF92" s="58"/>
    </row>
    <row r="93" spans="1:32" ht="18.75" customHeight="1">
      <c r="A93" s="503">
        <v>65</v>
      </c>
      <c r="B93" s="435"/>
      <c r="C93" s="496"/>
      <c r="D93" s="497" cm="1">
        <f t="array" ref="D93">B93+C93</f>
        <v>0</v>
      </c>
      <c r="E93" s="462"/>
      <c r="F93" s="503">
        <v>65</v>
      </c>
      <c r="G93" s="498">
        <v>0.12661543212561799</v>
      </c>
      <c r="H93" s="499" cm="1">
        <f t="array" ref="H93">B93*G93</f>
        <v>0</v>
      </c>
      <c r="I93" s="500" cm="1">
        <f t="array" ref="I93">C93*G93</f>
        <v>0</v>
      </c>
      <c r="J93" s="497" cm="1">
        <f t="array" ref="J93">H93+I93</f>
        <v>0</v>
      </c>
      <c r="K93" s="489"/>
      <c r="L93" s="490"/>
      <c r="M93" s="503">
        <v>65</v>
      </c>
      <c r="N93" s="435"/>
      <c r="O93" s="435"/>
      <c r="P93" s="439" cm="1">
        <f t="array" ref="P93">N93+O93</f>
        <v>0</v>
      </c>
      <c r="Q93" s="478"/>
      <c r="R93" s="503">
        <v>65</v>
      </c>
      <c r="S93" s="498">
        <v>0.12661543212561799</v>
      </c>
      <c r="T93" s="491" cm="1">
        <f t="array" ref="T93">IFERROR(IF($V$6="No",0,IF(AND($V$13=0,$V$14=0),N93*S93,IF($V$13&gt;0,H93*$V$13,IF($V$14&gt;0,IF(AND($V$6="Yes",$V$7="Yes"),((B93/$D$26)*$V$14)*S93,((B93/$B$26)*$V$14)*S93))))),0)</f>
        <v>0</v>
      </c>
      <c r="U93" s="501" cm="1">
        <f t="array" ref="U93">IFERROR(IF($V$7="No",0,IF(AND($V$13=0,$V$14=0),O92*S92,IF($V$13&gt;0,I92*$V$13,IF($V$14&gt;0,IF(AND($V$6="Yes",$V$7="Yes"),((C92/$D$26)*$V$14)*S92,((C92/$C$26)*$V$14)*S92))))),0)</f>
        <v>0</v>
      </c>
      <c r="V93" s="502" cm="1">
        <f t="array" ref="V93">T93+U93</f>
        <v>0</v>
      </c>
      <c r="W93" s="494"/>
      <c r="X93" s="443">
        <v>79</v>
      </c>
      <c r="Y93" s="435"/>
      <c r="Z93" s="435"/>
      <c r="AA93" s="436" cm="1">
        <f t="array" ref="AA93">(1/($AA$12+1))^X93</f>
        <v>6.6025601499052455E-2</v>
      </c>
      <c r="AB93" s="437" cm="1">
        <f t="array" ref="AB93">Y93*AA93</f>
        <v>0</v>
      </c>
      <c r="AC93" s="437" cm="1">
        <f t="array" ref="AC93">(Z93*AA93)</f>
        <v>0</v>
      </c>
      <c r="AD93" s="439" cm="1">
        <f t="array" ref="AD93">AB93+AC93</f>
        <v>0</v>
      </c>
      <c r="AE93" s="56"/>
      <c r="AF93" s="58"/>
    </row>
    <row r="94" spans="1:32" ht="18.75" customHeight="1">
      <c r="A94" s="503">
        <v>66</v>
      </c>
      <c r="B94" s="435"/>
      <c r="C94" s="496"/>
      <c r="D94" s="497" cm="1">
        <f t="array" ref="D94">B94+C94</f>
        <v>0</v>
      </c>
      <c r="E94" s="462"/>
      <c r="F94" s="503">
        <v>66</v>
      </c>
      <c r="G94" s="498">
        <v>0.12292760400545399</v>
      </c>
      <c r="H94" s="499" cm="1">
        <f t="array" ref="H94">B94*G94</f>
        <v>0</v>
      </c>
      <c r="I94" s="500" cm="1">
        <f t="array" ref="I94">C94*G94</f>
        <v>0</v>
      </c>
      <c r="J94" s="497" cm="1">
        <f t="array" ref="J94">H94+I94</f>
        <v>0</v>
      </c>
      <c r="K94" s="489"/>
      <c r="L94" s="490"/>
      <c r="M94" s="503">
        <v>66</v>
      </c>
      <c r="N94" s="435"/>
      <c r="O94" s="435"/>
      <c r="P94" s="439" cm="1">
        <f t="array" ref="P94">N94+O94</f>
        <v>0</v>
      </c>
      <c r="Q94" s="478"/>
      <c r="R94" s="503">
        <v>66</v>
      </c>
      <c r="S94" s="498">
        <v>0.12292760400545399</v>
      </c>
      <c r="T94" s="491" cm="1">
        <f t="array" ref="T94">IFERROR(IF($V$6="No",0,IF(AND($V$13=0,$V$14=0),N94*S94,IF($V$13&gt;0,H94*$V$13,IF($V$14&gt;0,IF(AND($V$6="Yes",$V$7="Yes"),((B94/$D$26)*$V$14)*S94,((B94/$B$26)*$V$14)*S94))))),0)</f>
        <v>0</v>
      </c>
      <c r="U94" s="501" cm="1">
        <f t="array" ref="U94">IFERROR(IF($V$7="No",0,IF(AND($V$13=0,$V$14=0),O93*S93,IF($V$13&gt;0,I93*$V$13,IF($V$14&gt;0,IF(AND($V$6="Yes",$V$7="Yes"),((C93/$D$26)*$V$14)*S93,((C93/$C$26)*$V$14)*S93))))),0)</f>
        <v>0</v>
      </c>
      <c r="V94" s="502" cm="1">
        <f t="array" ref="V94">T94+U94</f>
        <v>0</v>
      </c>
      <c r="W94" s="494"/>
      <c r="X94" s="443">
        <v>80</v>
      </c>
      <c r="Y94" s="435"/>
      <c r="Z94" s="435"/>
      <c r="AA94" s="436" cm="1">
        <f t="array" ref="AA94">(1/($AA$12+1))^X94</f>
        <v>6.3792851689905755E-2</v>
      </c>
      <c r="AB94" s="437" cm="1">
        <f t="array" ref="AB94">Y94*AA94</f>
        <v>0</v>
      </c>
      <c r="AC94" s="437" cm="1">
        <f t="array" ref="AC94">(Z94*AA94)</f>
        <v>0</v>
      </c>
      <c r="AD94" s="439" cm="1">
        <f t="array" ref="AD94">AB94+AC94</f>
        <v>0</v>
      </c>
      <c r="AE94" s="56"/>
      <c r="AF94" s="58"/>
    </row>
    <row r="95" spans="1:32" ht="18.75" customHeight="1">
      <c r="A95" s="503">
        <v>67</v>
      </c>
      <c r="B95" s="435"/>
      <c r="C95" s="496"/>
      <c r="D95" s="497" cm="1">
        <f t="array" ref="D95">B95+C95</f>
        <v>0</v>
      </c>
      <c r="E95" s="462"/>
      <c r="F95" s="503">
        <v>67</v>
      </c>
      <c r="G95" s="498">
        <v>0.11934718835480999</v>
      </c>
      <c r="H95" s="499" cm="1">
        <f t="array" ref="H95">B95*G95</f>
        <v>0</v>
      </c>
      <c r="I95" s="500" cm="1">
        <f t="array" ref="I95">C95*G95</f>
        <v>0</v>
      </c>
      <c r="J95" s="497" cm="1">
        <f t="array" ref="J95">H95+I95</f>
        <v>0</v>
      </c>
      <c r="K95" s="489"/>
      <c r="L95" s="490"/>
      <c r="M95" s="503">
        <v>67</v>
      </c>
      <c r="N95" s="435"/>
      <c r="O95" s="435"/>
      <c r="P95" s="439" cm="1">
        <f t="array" ref="P95">N95+O95</f>
        <v>0</v>
      </c>
      <c r="Q95" s="478"/>
      <c r="R95" s="503">
        <v>67</v>
      </c>
      <c r="S95" s="498">
        <v>0.11934718835480999</v>
      </c>
      <c r="T95" s="491" cm="1">
        <f t="array" ref="T95">IFERROR(IF($V$6="No",0,IF(AND($V$13=0,$V$14=0),N95*S95,IF($V$13&gt;0,H95*$V$13,IF($V$14&gt;0,IF(AND($V$6="Yes",$V$7="Yes"),((B95/$D$26)*$V$14)*S95,((B95/$B$26)*$V$14)*S95))))),0)</f>
        <v>0</v>
      </c>
      <c r="U95" s="501" cm="1">
        <f t="array" ref="U95">IFERROR(IF($V$7="No",0,IF(AND($V$13=0,$V$14=0),O94*S94,IF($V$13&gt;0,I94*$V$13,IF($V$14&gt;0,IF(AND($V$6="Yes",$V$7="Yes"),((C94/$D$26)*$V$14)*S94,((C94/$C$26)*$V$14)*S94))))),0)</f>
        <v>0</v>
      </c>
      <c r="V95" s="502" cm="1">
        <f t="array" ref="V95">T95+U95</f>
        <v>0</v>
      </c>
      <c r="W95" s="494"/>
      <c r="X95" s="443">
        <v>81</v>
      </c>
      <c r="Y95" s="435"/>
      <c r="Z95" s="435"/>
      <c r="AA95" s="436" cm="1">
        <f t="array" ref="AA95">(1/($AA$12+1))^X95</f>
        <v>6.1635605497493494E-2</v>
      </c>
      <c r="AB95" s="437" cm="1">
        <f t="array" ref="AB95">Y95*AA95</f>
        <v>0</v>
      </c>
      <c r="AC95" s="437" cm="1">
        <f t="array" ref="AC95">(Z95*AA95)</f>
        <v>0</v>
      </c>
      <c r="AD95" s="439" cm="1">
        <f t="array" ref="AD95">AB95+AC95</f>
        <v>0</v>
      </c>
      <c r="AE95" s="56"/>
      <c r="AF95" s="58"/>
    </row>
    <row r="96" spans="1:32" ht="18.75" customHeight="1">
      <c r="A96" s="503">
        <v>68</v>
      </c>
      <c r="B96" s="435"/>
      <c r="C96" s="496"/>
      <c r="D96" s="497" cm="1">
        <f t="array" ref="D96">B96+C96</f>
        <v>0</v>
      </c>
      <c r="E96" s="462"/>
      <c r="F96" s="503">
        <v>68</v>
      </c>
      <c r="G96" s="498">
        <v>0.115871056655155</v>
      </c>
      <c r="H96" s="499" cm="1">
        <f t="array" ref="H96">B96*G96</f>
        <v>0</v>
      </c>
      <c r="I96" s="500" cm="1">
        <f t="array" ref="I96">C96*G96</f>
        <v>0</v>
      </c>
      <c r="J96" s="497" cm="1">
        <f t="array" ref="J96">H96+I96</f>
        <v>0</v>
      </c>
      <c r="K96" s="489"/>
      <c r="L96" s="490"/>
      <c r="M96" s="503">
        <v>68</v>
      </c>
      <c r="N96" s="435"/>
      <c r="O96" s="435"/>
      <c r="P96" s="439" cm="1">
        <f t="array" ref="P96">N96+O96</f>
        <v>0</v>
      </c>
      <c r="Q96" s="478"/>
      <c r="R96" s="503">
        <v>68</v>
      </c>
      <c r="S96" s="498">
        <v>0.115871056655155</v>
      </c>
      <c r="T96" s="491" cm="1">
        <f t="array" ref="T96">IFERROR(IF($V$6="No",0,IF(AND($V$13=0,$V$14=0),N96*S96,IF($V$13&gt;0,H96*$V$13,IF($V$14&gt;0,IF(AND($V$6="Yes",$V$7="Yes"),((B96/$D$26)*$V$14)*S96,((B96/$B$26)*$V$14)*S96))))),0)</f>
        <v>0</v>
      </c>
      <c r="U96" s="501" cm="1">
        <f t="array" ref="U96">IFERROR(IF($V$7="No",0,IF(AND($V$13=0,$V$14=0),O95*S95,IF($V$13&gt;0,I95*$V$13,IF($V$14&gt;0,IF(AND($V$6="Yes",$V$7="Yes"),((C95/$D$26)*$V$14)*S95,((C95/$C$26)*$V$14)*S95))))),0)</f>
        <v>0</v>
      </c>
      <c r="V96" s="502" cm="1">
        <f t="array" ref="V96">T96+U96</f>
        <v>0</v>
      </c>
      <c r="W96" s="494"/>
      <c r="X96" s="443">
        <v>82</v>
      </c>
      <c r="Y96" s="435"/>
      <c r="Z96" s="435"/>
      <c r="AA96" s="436" cm="1">
        <f t="array" ref="AA96">(1/($AA$12+1))^X96</f>
        <v>5.9551309659414006E-2</v>
      </c>
      <c r="AB96" s="437" cm="1">
        <f t="array" ref="AB96">Y96*AA96</f>
        <v>0</v>
      </c>
      <c r="AC96" s="437" cm="1">
        <f t="array" ref="AC96">(Z96*AA96)</f>
        <v>0</v>
      </c>
      <c r="AD96" s="439" cm="1">
        <f t="array" ref="AD96">AB96+AC96</f>
        <v>0</v>
      </c>
      <c r="AE96" s="56"/>
      <c r="AF96" s="58"/>
    </row>
    <row r="97" spans="1:32" ht="18.75" customHeight="1">
      <c r="A97" s="503">
        <v>69</v>
      </c>
      <c r="B97" s="435"/>
      <c r="C97" s="496"/>
      <c r="D97" s="497" cm="1">
        <f t="array" ref="D97">B97+C97</f>
        <v>0</v>
      </c>
      <c r="E97" s="462"/>
      <c r="F97" s="503">
        <v>69</v>
      </c>
      <c r="G97" s="498">
        <v>0.11249617150985999</v>
      </c>
      <c r="H97" s="499" cm="1">
        <f t="array" ref="H97">B97*G97</f>
        <v>0</v>
      </c>
      <c r="I97" s="500" cm="1">
        <f t="array" ref="I97">C97*G97</f>
        <v>0</v>
      </c>
      <c r="J97" s="497" cm="1">
        <f t="array" ref="J97">H97+I97</f>
        <v>0</v>
      </c>
      <c r="K97" s="489"/>
      <c r="L97" s="490"/>
      <c r="M97" s="503">
        <v>69</v>
      </c>
      <c r="N97" s="435"/>
      <c r="O97" s="435"/>
      <c r="P97" s="439" cm="1">
        <f t="array" ref="P97">N97+O97</f>
        <v>0</v>
      </c>
      <c r="Q97" s="478"/>
      <c r="R97" s="503">
        <v>69</v>
      </c>
      <c r="S97" s="498">
        <v>0.11249617150985999</v>
      </c>
      <c r="T97" s="491" cm="1">
        <f t="array" ref="T97">IFERROR(IF($V$6="No",0,IF(AND($V$13=0,$V$14=0),N97*S97,IF($V$13&gt;0,H97*$V$13,IF($V$14&gt;0,IF(AND($V$6="Yes",$V$7="Yes"),((B97/$D$26)*$V$14)*S97,((B97/$B$26)*$V$14)*S97))))),0)</f>
        <v>0</v>
      </c>
      <c r="U97" s="501" cm="1">
        <f t="array" ref="U97">IFERROR(IF($V$7="No",0,IF(AND($V$13=0,$V$14=0),O96*S96,IF($V$13&gt;0,I96*$V$13,IF($V$14&gt;0,IF(AND($V$6="Yes",$V$7="Yes"),((C96/$D$26)*$V$14)*S96,((C96/$C$26)*$V$14)*S96))))),0)</f>
        <v>0</v>
      </c>
      <c r="V97" s="502" cm="1">
        <f t="array" ref="V97">T97+U97</f>
        <v>0</v>
      </c>
      <c r="W97" s="494"/>
      <c r="X97" s="443">
        <v>83</v>
      </c>
      <c r="Y97" s="435"/>
      <c r="Z97" s="435"/>
      <c r="AA97" s="436" cm="1">
        <f t="array" ref="AA97">(1/($AA$12+1))^X97</f>
        <v>5.7537497255472476E-2</v>
      </c>
      <c r="AB97" s="437" cm="1">
        <f t="array" ref="AB97">Y97*AA97</f>
        <v>0</v>
      </c>
      <c r="AC97" s="437" cm="1">
        <f t="array" ref="AC97">(Z97*AA97)</f>
        <v>0</v>
      </c>
      <c r="AD97" s="439" cm="1">
        <f t="array" ref="AD97">AB97+AC97</f>
        <v>0</v>
      </c>
      <c r="AE97" s="56"/>
      <c r="AF97" s="58"/>
    </row>
    <row r="98" spans="1:32" ht="18.75" customHeight="1">
      <c r="A98" s="503">
        <v>70</v>
      </c>
      <c r="B98" s="435"/>
      <c r="C98" s="496"/>
      <c r="D98" s="497" cm="1">
        <f t="array" ref="D98">B98+C98</f>
        <v>0</v>
      </c>
      <c r="E98" s="462"/>
      <c r="F98" s="503">
        <v>70</v>
      </c>
      <c r="G98" s="498">
        <v>0.10921958399015499</v>
      </c>
      <c r="H98" s="499" cm="1">
        <f t="array" ref="H98">B98*G98</f>
        <v>0</v>
      </c>
      <c r="I98" s="500" cm="1">
        <f t="array" ref="I98">C98*G98</f>
        <v>0</v>
      </c>
      <c r="J98" s="497" cm="1">
        <f t="array" ref="J98">H98+I98</f>
        <v>0</v>
      </c>
      <c r="K98" s="489"/>
      <c r="L98" s="490"/>
      <c r="M98" s="503">
        <v>70</v>
      </c>
      <c r="N98" s="435"/>
      <c r="O98" s="435"/>
      <c r="P98" s="439" cm="1">
        <f t="array" ref="P98">N98+O98</f>
        <v>0</v>
      </c>
      <c r="Q98" s="478"/>
      <c r="R98" s="503">
        <v>70</v>
      </c>
      <c r="S98" s="498">
        <v>0.10921958399015499</v>
      </c>
      <c r="T98" s="491" cm="1">
        <f t="array" ref="T98">IFERROR(IF($V$6="No",0,IF(AND($V$13=0,$V$14=0),N98*S98,IF($V$13&gt;0,H98*$V$13,IF($V$14&gt;0,IF(AND($V$6="Yes",$V$7="Yes"),((B98/$D$26)*$V$14)*S98,((B98/$B$26)*$V$14)*S98))))),0)</f>
        <v>0</v>
      </c>
      <c r="U98" s="501" cm="1">
        <f t="array" ref="U98">IFERROR(IF($V$7="No",0,IF(AND($V$13=0,$V$14=0),O97*S97,IF($V$13&gt;0,I97*$V$13,IF($V$14&gt;0,IF(AND($V$6="Yes",$V$7="Yes"),((C97/$D$26)*$V$14)*S97,((C97/$C$26)*$V$14)*S97))))),0)</f>
        <v>0</v>
      </c>
      <c r="V98" s="502" cm="1">
        <f t="array" ref="V98">T98+U98</f>
        <v>0</v>
      </c>
      <c r="W98" s="494"/>
      <c r="X98" s="443">
        <v>84</v>
      </c>
      <c r="Y98" s="435"/>
      <c r="Z98" s="435"/>
      <c r="AA98" s="436" cm="1">
        <f t="array" ref="AA98">(1/($AA$12+1))^X98</f>
        <v>5.5591784787896108E-2</v>
      </c>
      <c r="AB98" s="437" cm="1">
        <f t="array" ref="AB98">Y98*AA98</f>
        <v>0</v>
      </c>
      <c r="AC98" s="437" cm="1">
        <f t="array" ref="AC98">(Z98*AA98)</f>
        <v>0</v>
      </c>
      <c r="AD98" s="439" cm="1">
        <f t="array" ref="AD98">AB98+AC98</f>
        <v>0</v>
      </c>
      <c r="AE98" s="56"/>
      <c r="AF98" s="58"/>
    </row>
    <row r="99" spans="1:32" ht="18.75" customHeight="1">
      <c r="A99" s="503">
        <v>71</v>
      </c>
      <c r="B99" s="435"/>
      <c r="C99" s="496"/>
      <c r="D99" s="497" cm="1">
        <f t="array" ref="D99">B99+C99</f>
        <v>0</v>
      </c>
      <c r="E99" s="462"/>
      <c r="F99" s="503">
        <v>71</v>
      </c>
      <c r="G99" s="498">
        <v>0.10603843105840299</v>
      </c>
      <c r="H99" s="499" cm="1">
        <f t="array" ref="H99">B99*G99</f>
        <v>0</v>
      </c>
      <c r="I99" s="500" cm="1">
        <f t="array" ref="I99">C99*G99</f>
        <v>0</v>
      </c>
      <c r="J99" s="497" cm="1">
        <f t="array" ref="J99">H99+I99</f>
        <v>0</v>
      </c>
      <c r="K99" s="489"/>
      <c r="L99" s="490"/>
      <c r="M99" s="503">
        <v>71</v>
      </c>
      <c r="N99" s="435"/>
      <c r="O99" s="435"/>
      <c r="P99" s="439" cm="1">
        <f t="array" ref="P99">N99+O99</f>
        <v>0</v>
      </c>
      <c r="Q99" s="478"/>
      <c r="R99" s="503">
        <v>71</v>
      </c>
      <c r="S99" s="498">
        <v>0.10603843105840299</v>
      </c>
      <c r="T99" s="491" cm="1">
        <f t="array" ref="T99">IFERROR(IF($V$6="No",0,IF(AND($V$13=0,$V$14=0),N99*S99,IF($V$13&gt;0,H99*$V$13,IF($V$14&gt;0,IF(AND($V$6="Yes",$V$7="Yes"),((B99/$D$26)*$V$14)*S99,((B99/$B$26)*$V$14)*S99))))),0)</f>
        <v>0</v>
      </c>
      <c r="U99" s="501" cm="1">
        <f t="array" ref="U99">IFERROR(IF($V$7="No",0,IF(AND($V$13=0,$V$14=0),O98*S98,IF($V$13&gt;0,I98*$V$13,IF($V$14&gt;0,IF(AND($V$6="Yes",$V$7="Yes"),((C98/$D$26)*$V$14)*S98,((C98/$C$26)*$V$14)*S98))))),0)</f>
        <v>0</v>
      </c>
      <c r="V99" s="502" cm="1">
        <f t="array" ref="V99">T99+U99</f>
        <v>0</v>
      </c>
      <c r="W99" s="494"/>
      <c r="X99" s="443">
        <v>85</v>
      </c>
      <c r="Y99" s="435"/>
      <c r="Z99" s="435"/>
      <c r="AA99" s="436" cm="1">
        <f t="array" ref="AA99">(1/($AA$12+1))^X99</f>
        <v>5.3711869360286102E-2</v>
      </c>
      <c r="AB99" s="437" cm="1">
        <f t="array" ref="AB99">Y99*AA99</f>
        <v>0</v>
      </c>
      <c r="AC99" s="437" cm="1">
        <f t="array" ref="AC99">(Z99*AA99)</f>
        <v>0</v>
      </c>
      <c r="AD99" s="439" cm="1">
        <f t="array" ref="AD99">AB99+AC99</f>
        <v>0</v>
      </c>
      <c r="AE99" s="56"/>
      <c r="AF99" s="58"/>
    </row>
    <row r="100" spans="1:32" ht="18.75" customHeight="1">
      <c r="A100" s="503">
        <v>72</v>
      </c>
      <c r="B100" s="435"/>
      <c r="C100" s="496"/>
      <c r="D100" s="497" cm="1">
        <f t="array" ref="D100">B100+C100</f>
        <v>0</v>
      </c>
      <c r="E100" s="462"/>
      <c r="F100" s="503">
        <v>72</v>
      </c>
      <c r="G100" s="498">
        <v>0.102949933066411</v>
      </c>
      <c r="H100" s="499" cm="1">
        <f t="array" ref="H100">B100*G100</f>
        <v>0</v>
      </c>
      <c r="I100" s="500" cm="1">
        <f t="array" ref="I100">C100*G100</f>
        <v>0</v>
      </c>
      <c r="J100" s="497" cm="1">
        <f t="array" ref="J100">H100+I100</f>
        <v>0</v>
      </c>
      <c r="K100" s="489"/>
      <c r="L100" s="490"/>
      <c r="M100" s="503">
        <v>72</v>
      </c>
      <c r="N100" s="435"/>
      <c r="O100" s="435"/>
      <c r="P100" s="439" cm="1">
        <f t="array" ref="P100">N100+O100</f>
        <v>0</v>
      </c>
      <c r="Q100" s="478"/>
      <c r="R100" s="503">
        <v>72</v>
      </c>
      <c r="S100" s="498">
        <v>0.102949933066411</v>
      </c>
      <c r="T100" s="491" cm="1">
        <f t="array" ref="T100">IFERROR(IF($V$6="No",0,IF(AND($V$13=0,$V$14=0),N100*S100,IF($V$13&gt;0,H100*$V$13,IF($V$14&gt;0,IF(AND($V$6="Yes",$V$7="Yes"),((B100/$D$26)*$V$14)*S100,((B100/$B$26)*$V$14)*S100))))),0)</f>
        <v>0</v>
      </c>
      <c r="U100" s="501" cm="1">
        <f t="array" ref="U100">IFERROR(IF($V$7="No",0,IF(AND($V$13=0,$V$14=0),O99*S99,IF($V$13&gt;0,I99*$V$13,IF($V$14&gt;0,IF(AND($V$6="Yes",$V$7="Yes"),((C99/$D$26)*$V$14)*S99,((C99/$C$26)*$V$14)*S99))))),0)</f>
        <v>0</v>
      </c>
      <c r="V100" s="502" cm="1">
        <f t="array" ref="V100">T100+U100</f>
        <v>0</v>
      </c>
      <c r="W100" s="494"/>
      <c r="X100" s="443">
        <v>86</v>
      </c>
      <c r="Y100" s="435"/>
      <c r="Z100" s="435"/>
      <c r="AA100" s="436" cm="1">
        <f t="array" ref="AA100">(1/($AA$12+1))^X100</f>
        <v>5.1895525951967253E-2</v>
      </c>
      <c r="AB100" s="437" cm="1">
        <f t="array" ref="AB100">Y100*AA100</f>
        <v>0</v>
      </c>
      <c r="AC100" s="437" cm="1">
        <f t="array" ref="AC100">(Z100*AA100)</f>
        <v>0</v>
      </c>
      <c r="AD100" s="439" cm="1">
        <f t="array" ref="AD100">AB100+AC100</f>
        <v>0</v>
      </c>
      <c r="AE100" s="56"/>
      <c r="AF100" s="58"/>
    </row>
    <row r="101" spans="1:32" ht="18.75" customHeight="1">
      <c r="A101" s="503">
        <v>73</v>
      </c>
      <c r="B101" s="435"/>
      <c r="C101" s="496"/>
      <c r="D101" s="497" cm="1">
        <f t="array" ref="D101">B101+C101</f>
        <v>0</v>
      </c>
      <c r="E101" s="462"/>
      <c r="F101" s="503">
        <v>73</v>
      </c>
      <c r="G101" s="498">
        <v>9.9951391326612196E-2</v>
      </c>
      <c r="H101" s="499" cm="1">
        <f t="array" ref="H101">B101*G101</f>
        <v>0</v>
      </c>
      <c r="I101" s="500" cm="1">
        <f t="array" ref="I101">C101*G101</f>
        <v>0</v>
      </c>
      <c r="J101" s="497" cm="1">
        <f t="array" ref="J101">H101+I101</f>
        <v>0</v>
      </c>
      <c r="K101" s="489"/>
      <c r="L101" s="490"/>
      <c r="M101" s="503">
        <v>73</v>
      </c>
      <c r="N101" s="435"/>
      <c r="O101" s="435"/>
      <c r="P101" s="439" cm="1">
        <f t="array" ref="P101">N101+O101</f>
        <v>0</v>
      </c>
      <c r="Q101" s="478"/>
      <c r="R101" s="503">
        <v>73</v>
      </c>
      <c r="S101" s="498">
        <v>9.9951391326612196E-2</v>
      </c>
      <c r="T101" s="491" cm="1">
        <f t="array" ref="T101">IFERROR(IF($V$6="No",0,IF(AND($V$13=0,$V$14=0),N101*S101,IF($V$13&gt;0,H101*$V$13,IF($V$14&gt;0,IF(AND($V$6="Yes",$V$7="Yes"),((B101/$D$26)*$V$14)*S101,((B101/$B$26)*$V$14)*S101))))),0)</f>
        <v>0</v>
      </c>
      <c r="U101" s="501" cm="1">
        <f t="array" ref="U101">IFERROR(IF($V$7="No",0,IF(AND($V$13=0,$V$14=0),O100*S100,IF($V$13&gt;0,I100*$V$13,IF($V$14&gt;0,IF(AND($V$6="Yes",$V$7="Yes"),((C100/$D$26)*$V$14)*S100,((C100/$C$26)*$V$14)*S100))))),0)</f>
        <v>0</v>
      </c>
      <c r="V101" s="502" cm="1">
        <f t="array" ref="V101">T101+U101</f>
        <v>0</v>
      </c>
      <c r="W101" s="494"/>
      <c r="X101" s="443">
        <v>87</v>
      </c>
      <c r="Y101" s="435"/>
      <c r="Z101" s="435"/>
      <c r="AA101" s="436" cm="1">
        <f t="array" ref="AA101">(1/($AA$12+1))^X101</f>
        <v>5.0140604784509435E-2</v>
      </c>
      <c r="AB101" s="437" cm="1">
        <f t="array" ref="AB101">Y101*AA101</f>
        <v>0</v>
      </c>
      <c r="AC101" s="437" cm="1">
        <f t="array" ref="AC101">(Z101*AA101)</f>
        <v>0</v>
      </c>
      <c r="AD101" s="439" cm="1">
        <f t="array" ref="AD101">AB101+AC101</f>
        <v>0</v>
      </c>
      <c r="AE101" s="56"/>
      <c r="AF101" s="58"/>
    </row>
    <row r="102" spans="1:32" ht="18.75" customHeight="1">
      <c r="A102" s="503">
        <v>74</v>
      </c>
      <c r="B102" s="435"/>
      <c r="C102" s="496"/>
      <c r="D102" s="497" cm="1">
        <f t="array" ref="D102">B102+C102</f>
        <v>0</v>
      </c>
      <c r="E102" s="462"/>
      <c r="F102" s="503">
        <v>74</v>
      </c>
      <c r="G102" s="498">
        <v>9.7040185753992397E-2</v>
      </c>
      <c r="H102" s="499" cm="1">
        <f t="array" ref="H102">B102*G102</f>
        <v>0</v>
      </c>
      <c r="I102" s="500" cm="1">
        <f t="array" ref="I102">C102*G102</f>
        <v>0</v>
      </c>
      <c r="J102" s="497" cm="1">
        <f t="array" ref="J102">H102+I102</f>
        <v>0</v>
      </c>
      <c r="K102" s="489"/>
      <c r="L102" s="490"/>
      <c r="M102" s="503">
        <v>74</v>
      </c>
      <c r="N102" s="435"/>
      <c r="O102" s="435"/>
      <c r="P102" s="439" cm="1">
        <f t="array" ref="P102">N102+O102</f>
        <v>0</v>
      </c>
      <c r="Q102" s="478"/>
      <c r="R102" s="503">
        <v>74</v>
      </c>
      <c r="S102" s="498">
        <v>9.7040185753992397E-2</v>
      </c>
      <c r="T102" s="491" cm="1">
        <f t="array" ref="T102">IFERROR(IF($V$6="No",0,IF(AND($V$13=0,$V$14=0),N102*S102,IF($V$13&gt;0,H102*$V$13,IF($V$14&gt;0,IF(AND($V$6="Yes",$V$7="Yes"),((B102/$D$26)*$V$14)*S102,((B102/$B$26)*$V$14)*S102))))),0)</f>
        <v>0</v>
      </c>
      <c r="U102" s="501" cm="1">
        <f t="array" ref="U102">IFERROR(IF($V$7="No",0,IF(AND($V$13=0,$V$14=0),O101*S101,IF($V$13&gt;0,I101*$V$13,IF($V$14&gt;0,IF(AND($V$6="Yes",$V$7="Yes"),((C101/$D$26)*$V$14)*S101,((C101/$C$26)*$V$14)*S101))))),0)</f>
        <v>0</v>
      </c>
      <c r="V102" s="502" cm="1">
        <f t="array" ref="V102">T102+U102</f>
        <v>0</v>
      </c>
      <c r="W102" s="494"/>
      <c r="X102" s="443">
        <v>88</v>
      </c>
      <c r="Y102" s="435"/>
      <c r="Z102" s="435"/>
      <c r="AA102" s="436" cm="1">
        <f t="array" ref="AA102">(1/($AA$12+1))^X102</f>
        <v>4.8445028777303792E-2</v>
      </c>
      <c r="AB102" s="437" cm="1">
        <f t="array" ref="AB102">Y102*AA102</f>
        <v>0</v>
      </c>
      <c r="AC102" s="437" cm="1">
        <f t="array" ref="AC102">(Z102*AA102)</f>
        <v>0</v>
      </c>
      <c r="AD102" s="439" cm="1">
        <f t="array" ref="AD102">AB102+AC102</f>
        <v>0</v>
      </c>
      <c r="AE102" s="56"/>
      <c r="AF102" s="58"/>
    </row>
    <row r="103" spans="1:32" ht="18.75" customHeight="1">
      <c r="A103" s="503">
        <v>75</v>
      </c>
      <c r="B103" s="435"/>
      <c r="C103" s="496"/>
      <c r="D103" s="497" cm="1">
        <f t="array" ref="D103">B103+C103</f>
        <v>0</v>
      </c>
      <c r="E103" s="462"/>
      <c r="F103" s="503">
        <v>75</v>
      </c>
      <c r="G103" s="498">
        <v>9.4213772576691598E-2</v>
      </c>
      <c r="H103" s="499" cm="1">
        <f t="array" ref="H103">B103*G103</f>
        <v>0</v>
      </c>
      <c r="I103" s="500" cm="1">
        <f t="array" ref="I103">C103*G103</f>
        <v>0</v>
      </c>
      <c r="J103" s="497" cm="1">
        <f t="array" ref="J103">H103+I103</f>
        <v>0</v>
      </c>
      <c r="K103" s="489"/>
      <c r="L103" s="490"/>
      <c r="M103" s="503">
        <v>75</v>
      </c>
      <c r="N103" s="435"/>
      <c r="O103" s="435"/>
      <c r="P103" s="439" cm="1">
        <f t="array" ref="P103">N103+O103</f>
        <v>0</v>
      </c>
      <c r="Q103" s="478"/>
      <c r="R103" s="503">
        <v>75</v>
      </c>
      <c r="S103" s="498">
        <v>9.4213772576691598E-2</v>
      </c>
      <c r="T103" s="491" cm="1">
        <f t="array" ref="T103">IFERROR(IF($V$6="No",0,IF(AND($V$13=0,$V$14=0),N103*S103,IF($V$13&gt;0,H103*$V$13,IF($V$14&gt;0,IF(AND($V$6="Yes",$V$7="Yes"),((B103/$D$26)*$V$14)*S103,((B103/$B$26)*$V$14)*S103))))),0)</f>
        <v>0</v>
      </c>
      <c r="U103" s="501" cm="1">
        <f t="array" ref="U103">IFERROR(IF($V$7="No",0,IF(AND($V$13=0,$V$14=0),O102*S102,IF($V$13&gt;0,I102*$V$13,IF($V$14&gt;0,IF(AND($V$6="Yes",$V$7="Yes"),((C102/$D$26)*$V$14)*S102,((C102/$C$26)*$V$14)*S102))))),0)</f>
        <v>0</v>
      </c>
      <c r="V103" s="502" cm="1">
        <f t="array" ref="V103">T103+U103</f>
        <v>0</v>
      </c>
      <c r="W103" s="494"/>
      <c r="X103" s="443">
        <v>89</v>
      </c>
      <c r="Y103" s="435"/>
      <c r="Z103" s="435"/>
      <c r="AA103" s="436" cm="1">
        <f t="array" ref="AA103">(1/($AA$12+1))^X103</f>
        <v>4.6806791089182419E-2</v>
      </c>
      <c r="AB103" s="437" cm="1">
        <f t="array" ref="AB103">Y103*AA103</f>
        <v>0</v>
      </c>
      <c r="AC103" s="437" cm="1">
        <f t="array" ref="AC103">(Z103*AA103)</f>
        <v>0</v>
      </c>
      <c r="AD103" s="439" cm="1">
        <f t="array" ref="AD103">AB103+AC103</f>
        <v>0</v>
      </c>
      <c r="AE103" s="56"/>
      <c r="AF103" s="58"/>
    </row>
    <row r="104" spans="1:32" ht="18.75" customHeight="1">
      <c r="A104" s="503">
        <v>76</v>
      </c>
      <c r="B104" s="435"/>
      <c r="C104" s="496"/>
      <c r="D104" s="497" cm="1">
        <f t="array" ref="D104">B104+C104</f>
        <v>0</v>
      </c>
      <c r="E104" s="462"/>
      <c r="F104" s="503">
        <v>76</v>
      </c>
      <c r="G104" s="498">
        <v>9.1915875684577195E-2</v>
      </c>
      <c r="H104" s="499" cm="1">
        <f t="array" ref="H104">B104*G104</f>
        <v>0</v>
      </c>
      <c r="I104" s="500" cm="1">
        <f t="array" ref="I104">C104*G104</f>
        <v>0</v>
      </c>
      <c r="J104" s="497" cm="1">
        <f t="array" ref="J104">H104+I104</f>
        <v>0</v>
      </c>
      <c r="K104" s="489"/>
      <c r="L104" s="490"/>
      <c r="M104" s="503">
        <v>76</v>
      </c>
      <c r="N104" s="435"/>
      <c r="O104" s="435"/>
      <c r="P104" s="439" cm="1">
        <f t="array" ref="P104">N104+O104</f>
        <v>0</v>
      </c>
      <c r="Q104" s="478"/>
      <c r="R104" s="503">
        <v>76</v>
      </c>
      <c r="S104" s="498">
        <v>9.1915875684577195E-2</v>
      </c>
      <c r="T104" s="491" cm="1">
        <f t="array" ref="T104">IFERROR(IF($V$6="No",0,IF(AND($V$13=0,$V$14=0),N104*S104,IF($V$13&gt;0,H104*$V$13,IF($V$14&gt;0,IF(AND($V$6="Yes",$V$7="Yes"),((B104/$D$26)*$V$14)*S104,((B104/$B$26)*$V$14)*S104))))),0)</f>
        <v>0</v>
      </c>
      <c r="U104" s="501" cm="1">
        <f t="array" ref="U104">IFERROR(IF($V$7="No",0,IF(AND($V$13=0,$V$14=0),O103*S103,IF($V$13&gt;0,I103*$V$13,IF($V$14&gt;0,IF(AND($V$6="Yes",$V$7="Yes"),((C103/$D$26)*$V$14)*S103,((C103/$C$26)*$V$14)*S103))))),0)</f>
        <v>0</v>
      </c>
      <c r="V104" s="502" cm="1">
        <f t="array" ref="V104">T104+U104</f>
        <v>0</v>
      </c>
      <c r="W104" s="494"/>
      <c r="X104" s="443">
        <v>90</v>
      </c>
      <c r="Y104" s="435"/>
      <c r="Z104" s="435"/>
      <c r="AA104" s="436" cm="1">
        <f t="array" ref="AA104">(1/($AA$12+1))^X104</f>
        <v>4.5223952743171418E-2</v>
      </c>
      <c r="AB104" s="437" cm="1">
        <f t="array" ref="AB104">Y104*AA104</f>
        <v>0</v>
      </c>
      <c r="AC104" s="437" cm="1">
        <f t="array" ref="AC104">(Z104*AA104)</f>
        <v>0</v>
      </c>
      <c r="AD104" s="439" cm="1">
        <f t="array" ref="AD104">AB104+AC104</f>
        <v>0</v>
      </c>
      <c r="AE104" s="56"/>
      <c r="AF104" s="58"/>
    </row>
    <row r="105" spans="1:32" ht="18.75" customHeight="1">
      <c r="A105" s="503">
        <v>77</v>
      </c>
      <c r="B105" s="435"/>
      <c r="C105" s="496"/>
      <c r="D105" s="497" cm="1">
        <f t="array" ref="D105">B105+C105</f>
        <v>0</v>
      </c>
      <c r="E105" s="462"/>
      <c r="F105" s="503">
        <v>77</v>
      </c>
      <c r="G105" s="498">
        <v>8.9674025058124093E-2</v>
      </c>
      <c r="H105" s="499" cm="1">
        <f t="array" ref="H105">B105*G105</f>
        <v>0</v>
      </c>
      <c r="I105" s="500" cm="1">
        <f t="array" ref="I105">C105*G105</f>
        <v>0</v>
      </c>
      <c r="J105" s="497" cm="1">
        <f t="array" ref="J105">H105+I105</f>
        <v>0</v>
      </c>
      <c r="K105" s="489"/>
      <c r="L105" s="490"/>
      <c r="M105" s="503">
        <v>77</v>
      </c>
      <c r="N105" s="435"/>
      <c r="O105" s="435"/>
      <c r="P105" s="439" cm="1">
        <f t="array" ref="P105">N105+O105</f>
        <v>0</v>
      </c>
      <c r="Q105" s="478"/>
      <c r="R105" s="503">
        <v>77</v>
      </c>
      <c r="S105" s="498">
        <v>8.9674025058124093E-2</v>
      </c>
      <c r="T105" s="491" cm="1">
        <f t="array" ref="T105">IFERROR(IF($V$6="No",0,IF(AND($V$13=0,$V$14=0),N105*S105,IF($V$13&gt;0,H105*$V$13,IF($V$14&gt;0,IF(AND($V$6="Yes",$V$7="Yes"),((B105/$D$26)*$V$14)*S105,((B105/$B$26)*$V$14)*S105))))),0)</f>
        <v>0</v>
      </c>
      <c r="U105" s="501" cm="1">
        <f t="array" ref="U105">IFERROR(IF($V$7="No",0,IF(AND($V$13=0,$V$14=0),O104*S104,IF($V$13&gt;0,I104*$V$13,IF($V$14&gt;0,IF(AND($V$6="Yes",$V$7="Yes"),((C104/$D$26)*$V$14)*S104,((C104/$C$26)*$V$14)*S104))))),0)</f>
        <v>0</v>
      </c>
      <c r="V105" s="502" cm="1">
        <f t="array" ref="V105">T105+U105</f>
        <v>0</v>
      </c>
      <c r="W105" s="494"/>
      <c r="X105" s="443">
        <v>91</v>
      </c>
      <c r="Y105" s="435"/>
      <c r="Z105" s="435"/>
      <c r="AA105" s="436" cm="1">
        <f t="array" ref="AA105">(1/($AA$12+1))^X105</f>
        <v>4.3694640331566593E-2</v>
      </c>
      <c r="AB105" s="437" cm="1">
        <f t="array" ref="AB105">Y105*AA105</f>
        <v>0</v>
      </c>
      <c r="AC105" s="437" cm="1">
        <f t="array" ref="AC105">(Z105*AA105)</f>
        <v>0</v>
      </c>
      <c r="AD105" s="439" cm="1">
        <f t="array" ref="AD105">AB105+AC105</f>
        <v>0</v>
      </c>
      <c r="AE105" s="56"/>
      <c r="AF105" s="58"/>
    </row>
    <row r="106" spans="1:32" ht="18.75" customHeight="1">
      <c r="A106" s="503">
        <v>78</v>
      </c>
      <c r="B106" s="435"/>
      <c r="C106" s="496"/>
      <c r="D106" s="497" cm="1">
        <f t="array" ref="D106">B106+C106</f>
        <v>0</v>
      </c>
      <c r="E106" s="462"/>
      <c r="F106" s="503">
        <v>78</v>
      </c>
      <c r="G106" s="498">
        <v>8.7486853715242993E-2</v>
      </c>
      <c r="H106" s="499" cm="1">
        <f t="array" ref="H106">B106*G106</f>
        <v>0</v>
      </c>
      <c r="I106" s="500" cm="1">
        <f t="array" ref="I106">C106*G106</f>
        <v>0</v>
      </c>
      <c r="J106" s="497" cm="1">
        <f t="array" ref="J106">H106+I106</f>
        <v>0</v>
      </c>
      <c r="K106" s="489"/>
      <c r="L106" s="490"/>
      <c r="M106" s="503">
        <v>78</v>
      </c>
      <c r="N106" s="435"/>
      <c r="O106" s="435"/>
      <c r="P106" s="439" cm="1">
        <f t="array" ref="P106">N106+O106</f>
        <v>0</v>
      </c>
      <c r="Q106" s="478"/>
      <c r="R106" s="503">
        <v>78</v>
      </c>
      <c r="S106" s="498">
        <v>8.7486853715242993E-2</v>
      </c>
      <c r="T106" s="491" cm="1">
        <f t="array" ref="T106">IFERROR(IF($V$6="No",0,IF(AND($V$13=0,$V$14=0),N106*S106,IF($V$13&gt;0,H106*$V$13,IF($V$14&gt;0,IF(AND($V$6="Yes",$V$7="Yes"),((B106/$D$26)*$V$14)*S106,((B106/$B$26)*$V$14)*S106))))),0)</f>
        <v>0</v>
      </c>
      <c r="U106" s="501" cm="1">
        <f t="array" ref="U106">IFERROR(IF($V$7="No",0,IF(AND($V$13=0,$V$14=0),O105*S105,IF($V$13&gt;0,I105*$V$13,IF($V$14&gt;0,IF(AND($V$6="Yes",$V$7="Yes"),((C105/$D$26)*$V$14)*S105,((C105/$C$26)*$V$14)*S105))))),0)</f>
        <v>0</v>
      </c>
      <c r="V106" s="502" cm="1">
        <f t="array" ref="V106">T106+U106</f>
        <v>0</v>
      </c>
      <c r="W106" s="494"/>
      <c r="X106" s="443">
        <v>92</v>
      </c>
      <c r="Y106" s="435"/>
      <c r="Z106" s="435"/>
      <c r="AA106" s="436" cm="1">
        <f t="array" ref="AA106">(1/($AA$12+1))^X106</f>
        <v>4.2217043798615073E-2</v>
      </c>
      <c r="AB106" s="437" cm="1">
        <f t="array" ref="AB106">Y106*AA106</f>
        <v>0</v>
      </c>
      <c r="AC106" s="437" cm="1">
        <f t="array" ref="AC106">(Z106*AA106)</f>
        <v>0</v>
      </c>
      <c r="AD106" s="439" cm="1">
        <f t="array" ref="AD106">AB106+AC106</f>
        <v>0</v>
      </c>
      <c r="AE106" s="56"/>
      <c r="AF106" s="58"/>
    </row>
    <row r="107" spans="1:32" ht="18.75" customHeight="1">
      <c r="A107" s="503">
        <v>79</v>
      </c>
      <c r="B107" s="435"/>
      <c r="C107" s="496"/>
      <c r="D107" s="497" cm="1">
        <f t="array" ref="D107">B107+C107</f>
        <v>0</v>
      </c>
      <c r="E107" s="462"/>
      <c r="F107" s="503">
        <v>79</v>
      </c>
      <c r="G107" s="498">
        <v>8.5353028014871296E-2</v>
      </c>
      <c r="H107" s="499" cm="1">
        <f t="array" ref="H107">B107*G107</f>
        <v>0</v>
      </c>
      <c r="I107" s="500" cm="1">
        <f t="array" ref="I107">C107*G107</f>
        <v>0</v>
      </c>
      <c r="J107" s="497" cm="1">
        <f t="array" ref="J107">H107+I107</f>
        <v>0</v>
      </c>
      <c r="K107" s="489"/>
      <c r="L107" s="490"/>
      <c r="M107" s="503">
        <v>79</v>
      </c>
      <c r="N107" s="435"/>
      <c r="O107" s="435"/>
      <c r="P107" s="439" cm="1">
        <f t="array" ref="P107">N107+O107</f>
        <v>0</v>
      </c>
      <c r="Q107" s="478"/>
      <c r="R107" s="503">
        <v>79</v>
      </c>
      <c r="S107" s="498">
        <v>8.5353028014871296E-2</v>
      </c>
      <c r="T107" s="491" cm="1">
        <f t="array" ref="T107">IFERROR(IF($V$6="No",0,IF(AND($V$13=0,$V$14=0),N107*S107,IF($V$13&gt;0,H107*$V$13,IF($V$14&gt;0,IF(AND($V$6="Yes",$V$7="Yes"),((B107/$D$26)*$V$14)*S107,((B107/$B$26)*$V$14)*S107))))),0)</f>
        <v>0</v>
      </c>
      <c r="U107" s="501" cm="1">
        <f t="array" ref="U107">IFERROR(IF($V$7="No",0,IF(AND($V$13=0,$V$14=0),O106*S106,IF($V$13&gt;0,I106*$V$13,IF($V$14&gt;0,IF(AND($V$6="Yes",$V$7="Yes"),((C106/$D$26)*$V$14)*S106,((C106/$C$26)*$V$14)*S106))))),0)</f>
        <v>0</v>
      </c>
      <c r="V107" s="502" cm="1">
        <f t="array" ref="V107">T107+U107</f>
        <v>0</v>
      </c>
      <c r="W107" s="494"/>
      <c r="X107" s="443">
        <v>93</v>
      </c>
      <c r="Y107" s="435"/>
      <c r="Z107" s="435"/>
      <c r="AA107" s="436" cm="1">
        <f t="array" ref="AA107">(1/($AA$12+1))^X107</f>
        <v>4.0789414298178804E-2</v>
      </c>
      <c r="AB107" s="437" cm="1">
        <f t="array" ref="AB107">Y107*AA107</f>
        <v>0</v>
      </c>
      <c r="AC107" s="437" cm="1">
        <f t="array" ref="AC107">(Z107*AA107)</f>
        <v>0</v>
      </c>
      <c r="AD107" s="439" cm="1">
        <f t="array" ref="AD107">AB107+AC107</f>
        <v>0</v>
      </c>
      <c r="AE107" s="56"/>
      <c r="AF107" s="58"/>
    </row>
    <row r="108" spans="1:32" ht="18.75" customHeight="1">
      <c r="A108" s="503">
        <v>80</v>
      </c>
      <c r="B108" s="435"/>
      <c r="C108" s="496"/>
      <c r="D108" s="497" cm="1">
        <f t="array" ref="D108">B108+C108</f>
        <v>0</v>
      </c>
      <c r="E108" s="462"/>
      <c r="F108" s="503">
        <v>80</v>
      </c>
      <c r="G108" s="498">
        <v>8.3271246843776806E-2</v>
      </c>
      <c r="H108" s="499" cm="1">
        <f t="array" ref="H108">B108*G108</f>
        <v>0</v>
      </c>
      <c r="I108" s="500" cm="1">
        <f t="array" ref="I108">C108*G108</f>
        <v>0</v>
      </c>
      <c r="J108" s="497" cm="1">
        <f t="array" ref="J108">H108+I108</f>
        <v>0</v>
      </c>
      <c r="K108" s="489"/>
      <c r="L108" s="490"/>
      <c r="M108" s="503">
        <v>80</v>
      </c>
      <c r="N108" s="435"/>
      <c r="O108" s="435"/>
      <c r="P108" s="439" cm="1">
        <f t="array" ref="P108">N108+O108</f>
        <v>0</v>
      </c>
      <c r="Q108" s="478"/>
      <c r="R108" s="503">
        <v>80</v>
      </c>
      <c r="S108" s="498">
        <v>8.3271246843776806E-2</v>
      </c>
      <c r="T108" s="491" cm="1">
        <f t="array" ref="T108">IFERROR(IF($V$6="No",0,IF(AND($V$13=0,$V$14=0),N108*S108,IF($V$13&gt;0,H108*$V$13,IF($V$14&gt;0,IF(AND($V$6="Yes",$V$7="Yes"),((B108/$D$26)*$V$14)*S108,((B108/$B$26)*$V$14)*S108))))),0)</f>
        <v>0</v>
      </c>
      <c r="U108" s="501" cm="1">
        <f t="array" ref="U108">IFERROR(IF($V$7="No",0,IF(AND($V$13=0,$V$14=0),O107*S107,IF($V$13&gt;0,I107*$V$13,IF($V$14&gt;0,IF(AND($V$6="Yes",$V$7="Yes"),((C107/$D$26)*$V$14)*S107,((C107/$C$26)*$V$14)*S107))))),0)</f>
        <v>0</v>
      </c>
      <c r="V108" s="502" cm="1">
        <f t="array" ref="V108">T108+U108</f>
        <v>0</v>
      </c>
      <c r="W108" s="494"/>
      <c r="X108" s="443">
        <v>94</v>
      </c>
      <c r="Y108" s="435"/>
      <c r="Z108" s="435"/>
      <c r="AA108" s="436" cm="1">
        <f t="array" ref="AA108">(1/($AA$12+1))^X108</f>
        <v>3.9410062123844264E-2</v>
      </c>
      <c r="AB108" s="437" cm="1">
        <f t="array" ref="AB108">Y108*AA108</f>
        <v>0</v>
      </c>
      <c r="AC108" s="437" cm="1">
        <f t="array" ref="AC108">(Z108*AA108)</f>
        <v>0</v>
      </c>
      <c r="AD108" s="439" cm="1">
        <f t="array" ref="AD108">AB108+AC108</f>
        <v>0</v>
      </c>
      <c r="AE108" s="56"/>
      <c r="AF108" s="58"/>
    </row>
    <row r="109" spans="1:32" ht="18.75" customHeight="1">
      <c r="A109" s="503">
        <v>81</v>
      </c>
      <c r="B109" s="435"/>
      <c r="C109" s="496"/>
      <c r="D109" s="497" cm="1">
        <f t="array" ref="D109">B109+C109</f>
        <v>0</v>
      </c>
      <c r="E109" s="462"/>
      <c r="F109" s="503">
        <v>81</v>
      </c>
      <c r="G109" s="498">
        <v>8.1240240823196905E-2</v>
      </c>
      <c r="H109" s="499" cm="1">
        <f t="array" ref="H109">B109*G109</f>
        <v>0</v>
      </c>
      <c r="I109" s="500" cm="1">
        <f t="array" ref="I109">C109*G109</f>
        <v>0</v>
      </c>
      <c r="J109" s="497" cm="1">
        <f t="array" ref="J109">H109+I109</f>
        <v>0</v>
      </c>
      <c r="K109" s="489"/>
      <c r="L109" s="490"/>
      <c r="M109" s="503">
        <v>81</v>
      </c>
      <c r="N109" s="435"/>
      <c r="O109" s="435"/>
      <c r="P109" s="439" cm="1">
        <f t="array" ref="P109">N109+O109</f>
        <v>0</v>
      </c>
      <c r="Q109" s="478"/>
      <c r="R109" s="503">
        <v>81</v>
      </c>
      <c r="S109" s="498">
        <v>8.1240240823196905E-2</v>
      </c>
      <c r="T109" s="491" cm="1">
        <f t="array" ref="T109">IFERROR(IF($V$6="No",0,IF(AND($V$13=0,$V$14=0),N109*S109,IF($V$13&gt;0,H109*$V$13,IF($V$14&gt;0,IF(AND($V$6="Yes",$V$7="Yes"),((B109/$D$26)*$V$14)*S109,((B109/$B$26)*$V$14)*S109))))),0)</f>
        <v>0</v>
      </c>
      <c r="U109" s="501" cm="1">
        <f t="array" ref="U109">IFERROR(IF($V$7="No",0,IF(AND($V$13=0,$V$14=0),O108*S108,IF($V$13&gt;0,I108*$V$13,IF($V$14&gt;0,IF(AND($V$6="Yes",$V$7="Yes"),((C108/$D$26)*$V$14)*S108,((C108/$C$26)*$V$14)*S108))))),0)</f>
        <v>0</v>
      </c>
      <c r="V109" s="502" cm="1">
        <f t="array" ref="V109">T109+U109</f>
        <v>0</v>
      </c>
      <c r="W109" s="494"/>
      <c r="X109" s="443">
        <v>95</v>
      </c>
      <c r="Y109" s="435"/>
      <c r="Z109" s="435"/>
      <c r="AA109" s="436" cm="1">
        <f t="array" ref="AA109">(1/($AA$12+1))^X109</f>
        <v>3.8077354709028274E-2</v>
      </c>
      <c r="AB109" s="437" cm="1">
        <f t="array" ref="AB109">Y109*AA109</f>
        <v>0</v>
      </c>
      <c r="AC109" s="437" cm="1">
        <f t="array" ref="AC109">(Z109*AA109)</f>
        <v>0</v>
      </c>
      <c r="AD109" s="439" cm="1">
        <f t="array" ref="AD109">AB109+AC109</f>
        <v>0</v>
      </c>
      <c r="AE109" s="56"/>
      <c r="AF109" s="58"/>
    </row>
    <row r="110" spans="1:32" ht="18.75" customHeight="1">
      <c r="A110" s="503">
        <v>82</v>
      </c>
      <c r="B110" s="435"/>
      <c r="C110" s="496"/>
      <c r="D110" s="497" cm="1">
        <f t="array" ref="D110">B110+C110</f>
        <v>0</v>
      </c>
      <c r="E110" s="462"/>
      <c r="F110" s="503">
        <v>82</v>
      </c>
      <c r="G110" s="498">
        <v>7.92587715348263E-2</v>
      </c>
      <c r="H110" s="499" cm="1">
        <f t="array" ref="H110">B110*G110</f>
        <v>0</v>
      </c>
      <c r="I110" s="500" cm="1">
        <f t="array" ref="I110">C110*G110</f>
        <v>0</v>
      </c>
      <c r="J110" s="497" cm="1">
        <f t="array" ref="J110">H110+I110</f>
        <v>0</v>
      </c>
      <c r="K110" s="489"/>
      <c r="L110" s="490"/>
      <c r="M110" s="503">
        <v>82</v>
      </c>
      <c r="N110" s="435"/>
      <c r="O110" s="435"/>
      <c r="P110" s="439" cm="1">
        <f t="array" ref="P110">N110+O110</f>
        <v>0</v>
      </c>
      <c r="Q110" s="478"/>
      <c r="R110" s="503">
        <v>82</v>
      </c>
      <c r="S110" s="498">
        <v>7.92587715348263E-2</v>
      </c>
      <c r="T110" s="491" cm="1">
        <f t="array" ref="T110">IFERROR(IF($V$6="No",0,IF(AND($V$13=0,$V$14=0),N110*S110,IF($V$13&gt;0,H110*$V$13,IF($V$14&gt;0,IF(AND($V$6="Yes",$V$7="Yes"),((B110/$D$26)*$V$14)*S110,((B110/$B$26)*$V$14)*S110))))),0)</f>
        <v>0</v>
      </c>
      <c r="U110" s="501" cm="1">
        <f t="array" ref="U110">IFERROR(IF($V$7="No",0,IF(AND($V$13=0,$V$14=0),O109*S109,IF($V$13&gt;0,I109*$V$13,IF($V$14&gt;0,IF(AND($V$6="Yes",$V$7="Yes"),((C109/$D$26)*$V$14)*S109,((C109/$C$26)*$V$14)*S109))))),0)</f>
        <v>0</v>
      </c>
      <c r="V110" s="502" cm="1">
        <f t="array" ref="V110">T110+U110</f>
        <v>0</v>
      </c>
      <c r="W110" s="494"/>
      <c r="X110" s="443">
        <v>96</v>
      </c>
      <c r="Y110" s="435"/>
      <c r="Z110" s="435"/>
      <c r="AA110" s="436" cm="1">
        <f t="array" ref="AA110">(1/($AA$12+1))^X110</f>
        <v>3.6789714694713316E-2</v>
      </c>
      <c r="AB110" s="437" cm="1">
        <f t="array" ref="AB110">Y110*AA110</f>
        <v>0</v>
      </c>
      <c r="AC110" s="437" cm="1">
        <f t="array" ref="AC110">(Z110*AA110)</f>
        <v>0</v>
      </c>
      <c r="AD110" s="439" cm="1">
        <f t="array" ref="AD110">AB110+AC110</f>
        <v>0</v>
      </c>
      <c r="AE110" s="56"/>
      <c r="AF110" s="58"/>
    </row>
    <row r="111" spans="1:32" ht="18.75" customHeight="1">
      <c r="A111" s="503">
        <v>83</v>
      </c>
      <c r="B111" s="435"/>
      <c r="C111" s="496"/>
      <c r="D111" s="497" cm="1">
        <f t="array" ref="D111">B111+C111</f>
        <v>0</v>
      </c>
      <c r="E111" s="462"/>
      <c r="F111" s="503">
        <v>83</v>
      </c>
      <c r="G111" s="498">
        <v>7.7325630765684203E-2</v>
      </c>
      <c r="H111" s="499" cm="1">
        <f t="array" ref="H111">B111*G111</f>
        <v>0</v>
      </c>
      <c r="I111" s="500" cm="1">
        <f t="array" ref="I111">C111*G111</f>
        <v>0</v>
      </c>
      <c r="J111" s="497" cm="1">
        <f t="array" ref="J111">H111+I111</f>
        <v>0</v>
      </c>
      <c r="K111" s="489"/>
      <c r="L111" s="490"/>
      <c r="M111" s="503">
        <v>83</v>
      </c>
      <c r="N111" s="435"/>
      <c r="O111" s="435"/>
      <c r="P111" s="439" cm="1">
        <f t="array" ref="P111">N111+O111</f>
        <v>0</v>
      </c>
      <c r="Q111" s="478"/>
      <c r="R111" s="503">
        <v>83</v>
      </c>
      <c r="S111" s="498">
        <v>7.7325630765684203E-2</v>
      </c>
      <c r="T111" s="491" cm="1">
        <f t="array" ref="T111">IFERROR(IF($V$6="No",0,IF(AND($V$13=0,$V$14=0),N111*S111,IF($V$13&gt;0,H111*$V$13,IF($V$14&gt;0,IF(AND($V$6="Yes",$V$7="Yes"),((B111/$D$26)*$V$14)*S111,((B111/$B$26)*$V$14)*S111))))),0)</f>
        <v>0</v>
      </c>
      <c r="U111" s="501" cm="1">
        <f t="array" ref="U111">IFERROR(IF($V$7="No",0,IF(AND($V$13=0,$V$14=0),O110*S110,IF($V$13&gt;0,I110*$V$13,IF($V$14&gt;0,IF(AND($V$6="Yes",$V$7="Yes"),((C110/$D$26)*$V$14)*S110,((C110/$C$26)*$V$14)*S110))))),0)</f>
        <v>0</v>
      </c>
      <c r="V111" s="502" cm="1">
        <f t="array" ref="V111">T111+U111</f>
        <v>0</v>
      </c>
      <c r="W111" s="494"/>
      <c r="X111" s="443">
        <v>97</v>
      </c>
      <c r="Y111" s="435"/>
      <c r="Z111" s="435"/>
      <c r="AA111" s="436" cm="1">
        <f t="array" ref="AA111">(1/($AA$12+1))^X111</f>
        <v>3.5545618062524945E-2</v>
      </c>
      <c r="AB111" s="437" cm="1">
        <f t="array" ref="AB111">Y111*AA111</f>
        <v>0</v>
      </c>
      <c r="AC111" s="437" cm="1">
        <f t="array" ref="AC111">(Z111*AA111)</f>
        <v>0</v>
      </c>
      <c r="AD111" s="439" cm="1">
        <f t="array" ref="AD111">AB111+AC111</f>
        <v>0</v>
      </c>
      <c r="AE111" s="56"/>
      <c r="AF111" s="58"/>
    </row>
    <row r="112" spans="1:32" ht="18.75" customHeight="1">
      <c r="A112" s="503">
        <v>84</v>
      </c>
      <c r="B112" s="435"/>
      <c r="C112" s="496"/>
      <c r="D112" s="497" cm="1">
        <f t="array" ref="D112">B112+C112</f>
        <v>0</v>
      </c>
      <c r="E112" s="462"/>
      <c r="F112" s="503">
        <v>84</v>
      </c>
      <c r="G112" s="498">
        <v>7.5439639771399197E-2</v>
      </c>
      <c r="H112" s="499" cm="1">
        <f t="array" ref="H112">B112*G112</f>
        <v>0</v>
      </c>
      <c r="I112" s="500" cm="1">
        <f t="array" ref="I112">C112*G112</f>
        <v>0</v>
      </c>
      <c r="J112" s="497" cm="1">
        <f t="array" ref="J112">H112+I112</f>
        <v>0</v>
      </c>
      <c r="K112" s="489"/>
      <c r="L112" s="490"/>
      <c r="M112" s="503">
        <v>84</v>
      </c>
      <c r="N112" s="435"/>
      <c r="O112" s="435"/>
      <c r="P112" s="439" cm="1">
        <f t="array" ref="P112">N112+O112</f>
        <v>0</v>
      </c>
      <c r="Q112" s="478"/>
      <c r="R112" s="503">
        <v>84</v>
      </c>
      <c r="S112" s="498">
        <v>7.5439639771399197E-2</v>
      </c>
      <c r="T112" s="491" cm="1">
        <f t="array" ref="T112">IFERROR(IF($V$6="No",0,IF(AND($V$13=0,$V$14=0),N112*S112,IF($V$13&gt;0,H112*$V$13,IF($V$14&gt;0,IF(AND($V$6="Yes",$V$7="Yes"),((B112/$D$26)*$V$14)*S112,((B112/$B$26)*$V$14)*S112))))),0)</f>
        <v>0</v>
      </c>
      <c r="U112" s="501" cm="1">
        <f t="array" ref="U112">IFERROR(IF($V$7="No",0,IF(AND($V$13=0,$V$14=0),O111*S111,IF($V$13&gt;0,I111*$V$13,IF($V$14&gt;0,IF(AND($V$6="Yes",$V$7="Yes"),((C111/$D$26)*$V$14)*S111,((C111/$C$26)*$V$14)*S111))))),0)</f>
        <v>0</v>
      </c>
      <c r="V112" s="502" cm="1">
        <f t="array" ref="V112">T112+U112</f>
        <v>0</v>
      </c>
      <c r="W112" s="494"/>
      <c r="X112" s="443">
        <v>98</v>
      </c>
      <c r="Y112" s="435"/>
      <c r="Z112" s="435"/>
      <c r="AA112" s="436" cm="1">
        <f t="array" ref="AA112">(1/($AA$12+1))^X112</f>
        <v>3.4343592330941974E-2</v>
      </c>
      <c r="AB112" s="437" cm="1">
        <f t="array" ref="AB112">Y112*AA112</f>
        <v>0</v>
      </c>
      <c r="AC112" s="437" cm="1">
        <f t="array" ref="AC112">(Z112*AA112)</f>
        <v>0</v>
      </c>
      <c r="AD112" s="439" cm="1">
        <f t="array" ref="AD112">AB112+AC112</f>
        <v>0</v>
      </c>
      <c r="AE112" s="56"/>
      <c r="AF112" s="58"/>
    </row>
    <row r="113" spans="1:32" ht="18.75" customHeight="1">
      <c r="A113" s="503">
        <v>85</v>
      </c>
      <c r="B113" s="435"/>
      <c r="C113" s="496"/>
      <c r="D113" s="497" cm="1">
        <f t="array" ref="D113">B113+C113</f>
        <v>0</v>
      </c>
      <c r="E113" s="462"/>
      <c r="F113" s="503">
        <v>85</v>
      </c>
      <c r="G113" s="498">
        <v>7.3599648557462594E-2</v>
      </c>
      <c r="H113" s="499" cm="1">
        <f t="array" ref="H113">B113*G113</f>
        <v>0</v>
      </c>
      <c r="I113" s="500" cm="1">
        <f t="array" ref="I113">C113*G113</f>
        <v>0</v>
      </c>
      <c r="J113" s="497" cm="1">
        <f t="array" ref="J113">H113+I113</f>
        <v>0</v>
      </c>
      <c r="K113" s="489"/>
      <c r="L113" s="490"/>
      <c r="M113" s="503">
        <v>85</v>
      </c>
      <c r="N113" s="435"/>
      <c r="O113" s="435"/>
      <c r="P113" s="439" cm="1">
        <f t="array" ref="P113">N113+O113</f>
        <v>0</v>
      </c>
      <c r="Q113" s="478"/>
      <c r="R113" s="503">
        <v>85</v>
      </c>
      <c r="S113" s="498">
        <v>7.3599648557462594E-2</v>
      </c>
      <c r="T113" s="491" cm="1">
        <f t="array" ref="T113">IFERROR(IF($V$6="No",0,IF(AND($V$13=0,$V$14=0),N113*S113,IF($V$13&gt;0,H113*$V$13,IF($V$14&gt;0,IF(AND($V$6="Yes",$V$7="Yes"),((B113/$D$26)*$V$14)*S113,((B113/$B$26)*$V$14)*S113))))),0)</f>
        <v>0</v>
      </c>
      <c r="U113" s="501" cm="1">
        <f t="array" ref="U113">IFERROR(IF($V$7="No",0,IF(AND($V$13=0,$V$14=0),O112*S112,IF($V$13&gt;0,I112*$V$13,IF($V$14&gt;0,IF(AND($V$6="Yes",$V$7="Yes"),((C112/$D$26)*$V$14)*S112,((C112/$C$26)*$V$14)*S112))))),0)</f>
        <v>0</v>
      </c>
      <c r="V113" s="502" cm="1">
        <f t="array" ref="V113">T113+U113</f>
        <v>0</v>
      </c>
      <c r="W113" s="494"/>
      <c r="X113" s="443">
        <v>99</v>
      </c>
      <c r="Y113" s="435"/>
      <c r="Z113" s="435"/>
      <c r="AA113" s="436" cm="1">
        <f t="array" ref="AA113">(1/($AA$12+1))^X113</f>
        <v>3.3182214812504329E-2</v>
      </c>
      <c r="AB113" s="437" cm="1">
        <f t="array" ref="AB113">Y113*AA113</f>
        <v>0</v>
      </c>
      <c r="AC113" s="437" cm="1">
        <f t="array" ref="AC113">(Z113*AA113)</f>
        <v>0</v>
      </c>
      <c r="AD113" s="439" cm="1">
        <f t="array" ref="AD113">AB113+AC113</f>
        <v>0</v>
      </c>
      <c r="AE113" s="56"/>
      <c r="AF113" s="58"/>
    </row>
    <row r="114" spans="1:32" ht="18.75" customHeight="1">
      <c r="A114" s="503">
        <v>86</v>
      </c>
      <c r="B114" s="435"/>
      <c r="C114" s="496"/>
      <c r="D114" s="497" cm="1">
        <f t="array" ref="D114">B114+C114</f>
        <v>0</v>
      </c>
      <c r="E114" s="462"/>
      <c r="F114" s="503">
        <v>86</v>
      </c>
      <c r="G114" s="498">
        <v>7.1804535178012302E-2</v>
      </c>
      <c r="H114" s="499" cm="1">
        <f t="array" ref="H114">B114*G114</f>
        <v>0</v>
      </c>
      <c r="I114" s="500" cm="1">
        <f t="array" ref="I114">C114*G114</f>
        <v>0</v>
      </c>
      <c r="J114" s="497" cm="1">
        <f t="array" ref="J114">H114+I114</f>
        <v>0</v>
      </c>
      <c r="K114" s="489"/>
      <c r="L114" s="490"/>
      <c r="M114" s="503">
        <v>86</v>
      </c>
      <c r="N114" s="435"/>
      <c r="O114" s="435"/>
      <c r="P114" s="439" cm="1">
        <f t="array" ref="P114">N114+O114</f>
        <v>0</v>
      </c>
      <c r="Q114" s="478"/>
      <c r="R114" s="503">
        <v>86</v>
      </c>
      <c r="S114" s="498">
        <v>7.1804535178012302E-2</v>
      </c>
      <c r="T114" s="491" cm="1">
        <f t="array" ref="T114">IFERROR(IF($V$6="No",0,IF(AND($V$13=0,$V$14=0),N114*S114,IF($V$13&gt;0,H114*$V$13,IF($V$14&gt;0,IF(AND($V$6="Yes",$V$7="Yes"),((B114/$D$26)*$V$14)*S114,((B114/$B$26)*$V$14)*S114))))),0)</f>
        <v>0</v>
      </c>
      <c r="U114" s="501" cm="1">
        <f t="array" ref="U114">IFERROR(IF($V$7="No",0,IF(AND($V$13=0,$V$14=0),O113*S113,IF($V$13&gt;0,I113*$V$13,IF($V$14&gt;0,IF(AND($V$6="Yes",$V$7="Yes"),((C113/$D$26)*$V$14)*S113,((C113/$C$26)*$V$14)*S113))))),0)</f>
        <v>0</v>
      </c>
      <c r="V114" s="502" cm="1">
        <f t="array" ref="V114">T114+U114</f>
        <v>0</v>
      </c>
      <c r="W114" s="494"/>
      <c r="X114" s="443">
        <v>100</v>
      </c>
      <c r="Y114" s="435"/>
      <c r="Z114" s="435"/>
      <c r="AA114" s="436" cm="1">
        <f t="array" ref="AA114">(1/($AA$12+1))^X114</f>
        <v>3.2060110929955872E-2</v>
      </c>
      <c r="AB114" s="437" cm="1">
        <f t="array" ref="AB114">Y114*AA114</f>
        <v>0</v>
      </c>
      <c r="AC114" s="437" cm="1">
        <f t="array" ref="AC114">(Z114*AA114)</f>
        <v>0</v>
      </c>
      <c r="AD114" s="439" cm="1">
        <f t="array" ref="AD114">AB114+AC114</f>
        <v>0</v>
      </c>
      <c r="AE114" s="56"/>
      <c r="AF114" s="58"/>
    </row>
    <row r="115" spans="1:32" ht="18.75" customHeight="1">
      <c r="A115" s="503">
        <v>87</v>
      </c>
      <c r="B115" s="435"/>
      <c r="C115" s="496"/>
      <c r="D115" s="497" cm="1">
        <f t="array" ref="D115">B115+C115</f>
        <v>0</v>
      </c>
      <c r="E115" s="462"/>
      <c r="F115" s="503">
        <v>87</v>
      </c>
      <c r="G115" s="498">
        <v>7.00532050517194E-2</v>
      </c>
      <c r="H115" s="499" cm="1">
        <f t="array" ref="H115">B115*G115</f>
        <v>0</v>
      </c>
      <c r="I115" s="500" cm="1">
        <f t="array" ref="I115">C115*G115</f>
        <v>0</v>
      </c>
      <c r="J115" s="497" cm="1">
        <f t="array" ref="J115">H115+I115</f>
        <v>0</v>
      </c>
      <c r="K115" s="489"/>
      <c r="L115" s="490"/>
      <c r="M115" s="503">
        <v>87</v>
      </c>
      <c r="N115" s="435"/>
      <c r="O115" s="435"/>
      <c r="P115" s="439" cm="1">
        <f t="array" ref="P115">N115+O115</f>
        <v>0</v>
      </c>
      <c r="Q115" s="478"/>
      <c r="R115" s="503">
        <v>87</v>
      </c>
      <c r="S115" s="498">
        <v>7.00532050517194E-2</v>
      </c>
      <c r="T115" s="491" cm="1">
        <f t="array" ref="T115">IFERROR(IF($V$6="No",0,IF(AND($V$13=0,$V$14=0),N115*S115,IF($V$13&gt;0,H115*$V$13,IF($V$14&gt;0,IF(AND($V$6="Yes",$V$7="Yes"),((B115/$D$26)*$V$14)*S115,((B115/$B$26)*$V$14)*S115))))),0)</f>
        <v>0</v>
      </c>
      <c r="U115" s="501" cm="1">
        <f t="array" ref="U115">IFERROR(IF($V$7="No",0,IF(AND($V$13=0,$V$14=0),O114*S114,IF($V$13&gt;0,I114*$V$13,IF($V$14&gt;0,IF(AND($V$6="Yes",$V$7="Yes"),((C114/$D$26)*$V$14)*S114,((C114/$C$26)*$V$14)*S114))))),0)</f>
        <v>0</v>
      </c>
      <c r="V115" s="502" cm="1">
        <f t="array" ref="V115">T115+U115</f>
        <v>0</v>
      </c>
      <c r="W115" s="489"/>
      <c r="X115" s="504"/>
      <c r="Y115" s="504"/>
      <c r="Z115" s="504"/>
      <c r="AA115" s="504"/>
      <c r="AB115" s="504"/>
      <c r="AC115" s="504"/>
      <c r="AD115" s="504"/>
      <c r="AE115" s="57"/>
      <c r="AF115" s="58"/>
    </row>
    <row r="116" spans="1:32" ht="18.75" customHeight="1">
      <c r="A116" s="503">
        <v>88</v>
      </c>
      <c r="B116" s="435"/>
      <c r="C116" s="496"/>
      <c r="D116" s="497" cm="1">
        <f t="array" ref="D116">B116+C116</f>
        <v>0</v>
      </c>
      <c r="E116" s="462"/>
      <c r="F116" s="503">
        <v>88</v>
      </c>
      <c r="G116" s="498">
        <v>6.8344590294360394E-2</v>
      </c>
      <c r="H116" s="499" cm="1">
        <f t="array" ref="H116">B116*G116</f>
        <v>0</v>
      </c>
      <c r="I116" s="500" cm="1">
        <f t="array" ref="I116">C116*G116</f>
        <v>0</v>
      </c>
      <c r="J116" s="497" cm="1">
        <f t="array" ref="J116">H116+I116</f>
        <v>0</v>
      </c>
      <c r="K116" s="489"/>
      <c r="L116" s="490"/>
      <c r="M116" s="503">
        <v>88</v>
      </c>
      <c r="N116" s="435"/>
      <c r="O116" s="435"/>
      <c r="P116" s="439" cm="1">
        <f t="array" ref="P116">N116+O116</f>
        <v>0</v>
      </c>
      <c r="Q116" s="478"/>
      <c r="R116" s="503">
        <v>88</v>
      </c>
      <c r="S116" s="498">
        <v>6.8344590294360394E-2</v>
      </c>
      <c r="T116" s="491" cm="1">
        <f t="array" ref="T116">IFERROR(IF($V$6="No",0,IF(AND($V$13=0,$V$14=0),N116*S116,IF($V$13&gt;0,H116*$V$13,IF($V$14&gt;0,IF(AND($V$6="Yes",$V$7="Yes"),((B116/$D$26)*$V$14)*S116,((B116/$B$26)*$V$14)*S116))))),0)</f>
        <v>0</v>
      </c>
      <c r="U116" s="501" cm="1">
        <f t="array" ref="U116">IFERROR(IF($V$7="No",0,IF(AND($V$13=0,$V$14=0),O115*S115,IF($V$13&gt;0,I115*$V$13,IF($V$14&gt;0,IF(AND($V$6="Yes",$V$7="Yes"),((C115/$D$26)*$V$14)*S115,((C115/$C$26)*$V$14)*S115))))),0)</f>
        <v>0</v>
      </c>
      <c r="V116" s="502" cm="1">
        <f t="array" ref="V116">T116+U116</f>
        <v>0</v>
      </c>
      <c r="W116" s="489"/>
      <c r="X116" s="505"/>
      <c r="Y116" s="505"/>
      <c r="Z116" s="505"/>
      <c r="AA116" s="505"/>
      <c r="AB116" s="505"/>
      <c r="AC116" s="505"/>
      <c r="AD116" s="505"/>
      <c r="AE116" s="57"/>
      <c r="AF116" s="58"/>
    </row>
    <row r="117" spans="1:32" ht="18.75" customHeight="1">
      <c r="A117" s="503">
        <v>89</v>
      </c>
      <c r="B117" s="435"/>
      <c r="C117" s="496"/>
      <c r="D117" s="497" cm="1">
        <f t="array" ref="D117">B117+C117</f>
        <v>0</v>
      </c>
      <c r="E117" s="462"/>
      <c r="F117" s="503">
        <v>89</v>
      </c>
      <c r="G117" s="498">
        <v>6.6677649067668696E-2</v>
      </c>
      <c r="H117" s="499" cm="1">
        <f t="array" ref="H117">B117*G117</f>
        <v>0</v>
      </c>
      <c r="I117" s="500" cm="1">
        <f t="array" ref="I117">C117*G117</f>
        <v>0</v>
      </c>
      <c r="J117" s="497" cm="1">
        <f t="array" ref="J117">H117+I117</f>
        <v>0</v>
      </c>
      <c r="K117" s="489"/>
      <c r="L117" s="490"/>
      <c r="M117" s="503">
        <v>89</v>
      </c>
      <c r="N117" s="435"/>
      <c r="O117" s="435"/>
      <c r="P117" s="439" cm="1">
        <f t="array" ref="P117">N117+O117</f>
        <v>0</v>
      </c>
      <c r="Q117" s="478"/>
      <c r="R117" s="503">
        <v>89</v>
      </c>
      <c r="S117" s="498">
        <v>6.6677649067668696E-2</v>
      </c>
      <c r="T117" s="491" cm="1">
        <f t="array" ref="T117">IFERROR(IF($V$6="No",0,IF(AND($V$13=0,$V$14=0),N117*S117,IF($V$13&gt;0,H117*$V$13,IF($V$14&gt;0,IF(AND($V$6="Yes",$V$7="Yes"),((B117/$D$26)*$V$14)*S117,((B117/$B$26)*$V$14)*S117))))),0)</f>
        <v>0</v>
      </c>
      <c r="U117" s="501" cm="1">
        <f t="array" ref="U117">IFERROR(IF($V$7="No",0,IF(AND($V$13=0,$V$14=0),O116*S116,IF($V$13&gt;0,I116*$V$13,IF($V$14&gt;0,IF(AND($V$6="Yes",$V$7="Yes"),((C116/$D$26)*$V$14)*S116,((C116/$C$26)*$V$14)*S116))))),0)</f>
        <v>0</v>
      </c>
      <c r="V117" s="502" cm="1">
        <f t="array" ref="V117">T117+U117</f>
        <v>0</v>
      </c>
      <c r="W117" s="489"/>
      <c r="X117" s="505"/>
      <c r="Y117" s="505"/>
      <c r="Z117" s="505"/>
      <c r="AA117" s="505"/>
      <c r="AB117" s="505"/>
      <c r="AC117" s="505"/>
      <c r="AD117" s="505"/>
      <c r="AE117" s="57"/>
      <c r="AF117" s="58"/>
    </row>
    <row r="118" spans="1:32" ht="18.75" customHeight="1">
      <c r="A118" s="503">
        <v>90</v>
      </c>
      <c r="B118" s="435"/>
      <c r="C118" s="496"/>
      <c r="D118" s="497" cm="1">
        <f t="array" ref="D118">B118+C118</f>
        <v>0</v>
      </c>
      <c r="E118" s="462"/>
      <c r="F118" s="503">
        <v>90</v>
      </c>
      <c r="G118" s="498">
        <v>6.5051364944067006E-2</v>
      </c>
      <c r="H118" s="499" cm="1">
        <f t="array" ref="H118">B118*G118</f>
        <v>0</v>
      </c>
      <c r="I118" s="500" cm="1">
        <f t="array" ref="I118">C118*G118</f>
        <v>0</v>
      </c>
      <c r="J118" s="497" cm="1">
        <f t="array" ref="J118">H118+I118</f>
        <v>0</v>
      </c>
      <c r="K118" s="489"/>
      <c r="L118" s="490"/>
      <c r="M118" s="503">
        <v>90</v>
      </c>
      <c r="N118" s="435"/>
      <c r="O118" s="435"/>
      <c r="P118" s="439" cm="1">
        <f t="array" ref="P118">N118+O118</f>
        <v>0</v>
      </c>
      <c r="Q118" s="478"/>
      <c r="R118" s="503">
        <v>90</v>
      </c>
      <c r="S118" s="498">
        <v>6.5051364944067006E-2</v>
      </c>
      <c r="T118" s="491" cm="1">
        <f t="array" ref="T118">IFERROR(IF($V$6="No",0,IF(AND($V$13=0,$V$14=0),N118*S118,IF($V$13&gt;0,H118*$V$13,IF($V$14&gt;0,IF(AND($V$6="Yes",$V$7="Yes"),((B118/$D$26)*$V$14)*S118,((B118/$B$26)*$V$14)*S118))))),0)</f>
        <v>0</v>
      </c>
      <c r="U118" s="501" cm="1">
        <f t="array" ref="U118">IFERROR(IF($V$7="No",0,IF(AND($V$13=0,$V$14=0),O117*S117,IF($V$13&gt;0,I117*$V$13,IF($V$14&gt;0,IF(AND($V$6="Yes",$V$7="Yes"),((C117/$D$26)*$V$14)*S117,((C117/$C$26)*$V$14)*S117))))),0)</f>
        <v>0</v>
      </c>
      <c r="V118" s="502" cm="1">
        <f t="array" ref="V118">T118+U118</f>
        <v>0</v>
      </c>
      <c r="W118" s="489"/>
      <c r="X118" s="505"/>
      <c r="Y118" s="505"/>
      <c r="Z118" s="505"/>
      <c r="AA118" s="505"/>
      <c r="AB118" s="505"/>
      <c r="AC118" s="505"/>
      <c r="AD118" s="505"/>
      <c r="AE118" s="57"/>
      <c r="AF118" s="58"/>
    </row>
    <row r="119" spans="1:32" ht="18.75" customHeight="1">
      <c r="A119" s="503">
        <v>91</v>
      </c>
      <c r="B119" s="435"/>
      <c r="C119" s="496"/>
      <c r="D119" s="497" cm="1">
        <f t="array" ref="D119">B119+C119</f>
        <v>0</v>
      </c>
      <c r="E119" s="462"/>
      <c r="F119" s="503">
        <v>91</v>
      </c>
      <c r="G119" s="498">
        <v>6.3464746286894594E-2</v>
      </c>
      <c r="H119" s="499" cm="1">
        <f t="array" ref="H119">B119*G119</f>
        <v>0</v>
      </c>
      <c r="I119" s="500" cm="1">
        <f t="array" ref="I119">C119*G119</f>
        <v>0</v>
      </c>
      <c r="J119" s="497" cm="1">
        <f t="array" ref="J119">H119+I119</f>
        <v>0</v>
      </c>
      <c r="K119" s="489"/>
      <c r="L119" s="490"/>
      <c r="M119" s="503">
        <v>91</v>
      </c>
      <c r="N119" s="435"/>
      <c r="O119" s="435"/>
      <c r="P119" s="439" cm="1">
        <f t="array" ref="P119">N119+O119</f>
        <v>0</v>
      </c>
      <c r="Q119" s="478"/>
      <c r="R119" s="503">
        <v>91</v>
      </c>
      <c r="S119" s="498">
        <v>6.3464746286894594E-2</v>
      </c>
      <c r="T119" s="491" cm="1">
        <f t="array" ref="T119">IFERROR(IF($V$6="No",0,IF(AND($V$13=0,$V$14=0),N119*S119,IF($V$13&gt;0,H119*$V$13,IF($V$14&gt;0,IF(AND($V$6="Yes",$V$7="Yes"),((B119/$D$26)*$V$14)*S119,((B119/$B$26)*$V$14)*S119))))),0)</f>
        <v>0</v>
      </c>
      <c r="U119" s="501" cm="1">
        <f t="array" ref="U119">IFERROR(IF($V$7="No",0,IF(AND($V$13=0,$V$14=0),O118*S118,IF($V$13&gt;0,I118*$V$13,IF($V$14&gt;0,IF(AND($V$6="Yes",$V$7="Yes"),((C118/$D$26)*$V$14)*S118,((C118/$C$26)*$V$14)*S118))))),0)</f>
        <v>0</v>
      </c>
      <c r="V119" s="502" cm="1">
        <f t="array" ref="V119">T119+U119</f>
        <v>0</v>
      </c>
      <c r="W119" s="489"/>
      <c r="X119" s="505"/>
      <c r="Y119" s="505"/>
      <c r="Z119" s="505"/>
      <c r="AA119" s="505"/>
      <c r="AB119" s="505"/>
      <c r="AC119" s="505"/>
      <c r="AD119" s="505"/>
      <c r="AE119" s="57"/>
      <c r="AF119" s="58"/>
    </row>
    <row r="120" spans="1:32" ht="18.75" customHeight="1">
      <c r="A120" s="503">
        <v>92</v>
      </c>
      <c r="B120" s="435"/>
      <c r="C120" s="496"/>
      <c r="D120" s="497" cm="1">
        <f t="array" ref="D120">B120+C120</f>
        <v>0</v>
      </c>
      <c r="E120" s="462"/>
      <c r="F120" s="503">
        <v>92</v>
      </c>
      <c r="G120" s="498">
        <v>6.1916825645750899E-2</v>
      </c>
      <c r="H120" s="499" cm="1">
        <f t="array" ref="H120">B120*G120</f>
        <v>0</v>
      </c>
      <c r="I120" s="500" cm="1">
        <f t="array" ref="I120">C120*G120</f>
        <v>0</v>
      </c>
      <c r="J120" s="497" cm="1">
        <f t="array" ref="J120">H120+I120</f>
        <v>0</v>
      </c>
      <c r="K120" s="489"/>
      <c r="L120" s="490"/>
      <c r="M120" s="503">
        <v>92</v>
      </c>
      <c r="N120" s="435"/>
      <c r="O120" s="435"/>
      <c r="P120" s="439" cm="1">
        <f t="array" ref="P120">N120+O120</f>
        <v>0</v>
      </c>
      <c r="Q120" s="478"/>
      <c r="R120" s="503">
        <v>92</v>
      </c>
      <c r="S120" s="498">
        <v>6.1916825645750899E-2</v>
      </c>
      <c r="T120" s="491" cm="1">
        <f t="array" ref="T120">IFERROR(IF($V$6="No",0,IF(AND($V$13=0,$V$14=0),N120*S120,IF($V$13&gt;0,H120*$V$13,IF($V$14&gt;0,IF(AND($V$6="Yes",$V$7="Yes"),((B120/$D$26)*$V$14)*S120,((B120/$B$26)*$V$14)*S120))))),0)</f>
        <v>0</v>
      </c>
      <c r="U120" s="501" cm="1">
        <f t="array" ref="U120">IFERROR(IF($V$7="No",0,IF(AND($V$13=0,$V$14=0),O119*S119,IF($V$13&gt;0,I119*$V$13,IF($V$14&gt;0,IF(AND($V$6="Yes",$V$7="Yes"),((C119/$D$26)*$V$14)*S119,((C119/$C$26)*$V$14)*S119))))),0)</f>
        <v>0</v>
      </c>
      <c r="V120" s="502" cm="1">
        <f t="array" ref="V120">T120+U120</f>
        <v>0</v>
      </c>
      <c r="W120" s="489"/>
      <c r="X120" s="505"/>
      <c r="Y120" s="505"/>
      <c r="Z120" s="505"/>
      <c r="AA120" s="505"/>
      <c r="AB120" s="505"/>
      <c r="AC120" s="505"/>
      <c r="AD120" s="505"/>
      <c r="AE120" s="57"/>
      <c r="AF120" s="58"/>
    </row>
    <row r="121" spans="1:32" ht="18.75" customHeight="1">
      <c r="A121" s="503">
        <v>93</v>
      </c>
      <c r="B121" s="435"/>
      <c r="C121" s="496"/>
      <c r="D121" s="497" cm="1">
        <f t="array" ref="D121">B121+C121</f>
        <v>0</v>
      </c>
      <c r="E121" s="462"/>
      <c r="F121" s="503">
        <v>93</v>
      </c>
      <c r="G121" s="498">
        <v>6.0406659166586198E-2</v>
      </c>
      <c r="H121" s="499" cm="1">
        <f t="array" ref="H121">B121*G121</f>
        <v>0</v>
      </c>
      <c r="I121" s="500" cm="1">
        <f t="array" ref="I121">C121*G121</f>
        <v>0</v>
      </c>
      <c r="J121" s="497" cm="1">
        <f t="array" ref="J121">H121+I121</f>
        <v>0</v>
      </c>
      <c r="K121" s="489"/>
      <c r="L121" s="490"/>
      <c r="M121" s="503">
        <v>93</v>
      </c>
      <c r="N121" s="435"/>
      <c r="O121" s="435"/>
      <c r="P121" s="439" cm="1">
        <f t="array" ref="P121">N121+O121</f>
        <v>0</v>
      </c>
      <c r="Q121" s="478"/>
      <c r="R121" s="503">
        <v>93</v>
      </c>
      <c r="S121" s="498">
        <v>6.0406659166586198E-2</v>
      </c>
      <c r="T121" s="491" cm="1">
        <f t="array" ref="T121">IFERROR(IF($V$6="No",0,IF(AND($V$13=0,$V$14=0),N121*S121,IF($V$13&gt;0,H121*$V$13,IF($V$14&gt;0,IF(AND($V$6="Yes",$V$7="Yes"),((B121/$D$26)*$V$14)*S121,((B121/$B$26)*$V$14)*S121))))),0)</f>
        <v>0</v>
      </c>
      <c r="U121" s="501" cm="1">
        <f t="array" ref="U121">IFERROR(IF($V$7="No",0,IF(AND($V$13=0,$V$14=0),O120*S120,IF($V$13&gt;0,I120*$V$13,IF($V$14&gt;0,IF(AND($V$6="Yes",$V$7="Yes"),((C120/$D$26)*$V$14)*S120,((C120/$C$26)*$V$14)*S120))))),0)</f>
        <v>0</v>
      </c>
      <c r="V121" s="502" cm="1">
        <f t="array" ref="V121">T121+U121</f>
        <v>0</v>
      </c>
      <c r="W121" s="489"/>
      <c r="X121" s="505"/>
      <c r="Y121" s="505"/>
      <c r="Z121" s="505"/>
      <c r="AA121" s="505"/>
      <c r="AB121" s="505"/>
      <c r="AC121" s="505"/>
      <c r="AD121" s="505"/>
      <c r="AE121" s="57"/>
      <c r="AF121" s="58"/>
    </row>
    <row r="122" spans="1:32" ht="18.75" customHeight="1">
      <c r="A122" s="503">
        <v>94</v>
      </c>
      <c r="B122" s="435"/>
      <c r="C122" s="496"/>
      <c r="D122" s="497" cm="1">
        <f t="array" ref="D122">B122+C122</f>
        <v>0</v>
      </c>
      <c r="E122" s="462"/>
      <c r="F122" s="503">
        <v>94</v>
      </c>
      <c r="G122" s="498">
        <v>5.8933326016181703E-2</v>
      </c>
      <c r="H122" s="499" cm="1">
        <f t="array" ref="H122">B122*G122</f>
        <v>0</v>
      </c>
      <c r="I122" s="500" cm="1">
        <f t="array" ref="I122">C122*G122</f>
        <v>0</v>
      </c>
      <c r="J122" s="497" cm="1">
        <f t="array" ref="J122">H122+I122</f>
        <v>0</v>
      </c>
      <c r="K122" s="489"/>
      <c r="L122" s="490"/>
      <c r="M122" s="503">
        <v>94</v>
      </c>
      <c r="N122" s="435"/>
      <c r="O122" s="435"/>
      <c r="P122" s="439" cm="1">
        <f t="array" ref="P122">N122+O122</f>
        <v>0</v>
      </c>
      <c r="Q122" s="478"/>
      <c r="R122" s="503">
        <v>94</v>
      </c>
      <c r="S122" s="498">
        <v>5.8933326016181703E-2</v>
      </c>
      <c r="T122" s="491" cm="1">
        <f t="array" ref="T122">IFERROR(IF($V$6="No",0,IF(AND($V$13=0,$V$14=0),N122*S122,IF($V$13&gt;0,H122*$V$13,IF($V$14&gt;0,IF(AND($V$6="Yes",$V$7="Yes"),((B122/$D$26)*$V$14)*S122,((B122/$B$26)*$V$14)*S122))))),0)</f>
        <v>0</v>
      </c>
      <c r="U122" s="501" cm="1">
        <f t="array" ref="U122">IFERROR(IF($V$7="No",0,IF(AND($V$13=0,$V$14=0),O121*S121,IF($V$13&gt;0,I121*$V$13,IF($V$14&gt;0,IF(AND($V$6="Yes",$V$7="Yes"),((C121/$D$26)*$V$14)*S121,((C121/$C$26)*$V$14)*S121))))),0)</f>
        <v>0</v>
      </c>
      <c r="V122" s="502" cm="1">
        <f t="array" ref="V122">T122+U122</f>
        <v>0</v>
      </c>
      <c r="W122" s="489"/>
      <c r="X122" s="505"/>
      <c r="Y122" s="505"/>
      <c r="Z122" s="505"/>
      <c r="AA122" s="505"/>
      <c r="AB122" s="505"/>
      <c r="AC122" s="505"/>
      <c r="AD122" s="505"/>
      <c r="AE122" s="57"/>
      <c r="AF122" s="58"/>
    </row>
    <row r="123" spans="1:32" ht="18.75" customHeight="1">
      <c r="A123" s="503">
        <v>95</v>
      </c>
      <c r="B123" s="435"/>
      <c r="C123" s="496"/>
      <c r="D123" s="497" cm="1">
        <f t="array" ref="D123">B123+C123</f>
        <v>0</v>
      </c>
      <c r="E123" s="462"/>
      <c r="F123" s="503">
        <v>95</v>
      </c>
      <c r="G123" s="498">
        <v>5.7495927820665101E-2</v>
      </c>
      <c r="H123" s="499" cm="1">
        <f t="array" ref="H123">B123*G123</f>
        <v>0</v>
      </c>
      <c r="I123" s="500" cm="1">
        <f t="array" ref="I123">C123*G123</f>
        <v>0</v>
      </c>
      <c r="J123" s="497" cm="1">
        <f t="array" ref="J123">H123+I123</f>
        <v>0</v>
      </c>
      <c r="K123" s="489"/>
      <c r="L123" s="490"/>
      <c r="M123" s="503">
        <v>95</v>
      </c>
      <c r="N123" s="435"/>
      <c r="O123" s="435"/>
      <c r="P123" s="439" cm="1">
        <f t="array" ref="P123">N123+O123</f>
        <v>0</v>
      </c>
      <c r="Q123" s="478"/>
      <c r="R123" s="503">
        <v>95</v>
      </c>
      <c r="S123" s="498">
        <v>5.7495927820665101E-2</v>
      </c>
      <c r="T123" s="491" cm="1">
        <f t="array" ref="T123">IFERROR(IF($V$6="No",0,IF(AND($V$13=0,$V$14=0),N123*S123,IF($V$13&gt;0,H123*$V$13,IF($V$14&gt;0,IF(AND($V$6="Yes",$V$7="Yes"),((B123/$D$26)*$V$14)*S123,((B123/$B$26)*$V$14)*S123))))),0)</f>
        <v>0</v>
      </c>
      <c r="U123" s="501" cm="1">
        <f t="array" ref="U123">IFERROR(IF($V$7="No",0,IF(AND($V$13=0,$V$14=0),O122*S122,IF($V$13&gt;0,I122*$V$13,IF($V$14&gt;0,IF(AND($V$6="Yes",$V$7="Yes"),((C122/$D$26)*$V$14)*S122,((C122/$C$26)*$V$14)*S122))))),0)</f>
        <v>0</v>
      </c>
      <c r="V123" s="502" cm="1">
        <f t="array" ref="V123">T123+U123</f>
        <v>0</v>
      </c>
      <c r="W123" s="489"/>
      <c r="X123" s="505"/>
      <c r="Y123" s="505"/>
      <c r="Z123" s="505"/>
      <c r="AA123" s="505"/>
      <c r="AB123" s="505"/>
      <c r="AC123" s="505"/>
      <c r="AD123" s="505"/>
      <c r="AE123" s="57"/>
      <c r="AF123" s="58"/>
    </row>
    <row r="124" spans="1:32" ht="18.75" customHeight="1">
      <c r="A124" s="503">
        <v>96</v>
      </c>
      <c r="B124" s="435"/>
      <c r="C124" s="496"/>
      <c r="D124" s="497" cm="1">
        <f t="array" ref="D124">B124+C124</f>
        <v>0</v>
      </c>
      <c r="E124" s="462"/>
      <c r="F124" s="503">
        <v>96</v>
      </c>
      <c r="G124" s="498">
        <v>5.6093588117721999E-2</v>
      </c>
      <c r="H124" s="499" cm="1">
        <f t="array" ref="H124">B124*G124</f>
        <v>0</v>
      </c>
      <c r="I124" s="500" cm="1">
        <f t="array" ref="I124">C124*G124</f>
        <v>0</v>
      </c>
      <c r="J124" s="497" cm="1">
        <f t="array" ref="J124">H124+I124</f>
        <v>0</v>
      </c>
      <c r="K124" s="489"/>
      <c r="L124" s="490"/>
      <c r="M124" s="503">
        <v>96</v>
      </c>
      <c r="N124" s="435"/>
      <c r="O124" s="435"/>
      <c r="P124" s="439" cm="1">
        <f t="array" ref="P124">N124+O124</f>
        <v>0</v>
      </c>
      <c r="Q124" s="478"/>
      <c r="R124" s="503">
        <v>96</v>
      </c>
      <c r="S124" s="498">
        <v>5.6093588117721999E-2</v>
      </c>
      <c r="T124" s="491" cm="1">
        <f t="array" ref="T124">IFERROR(IF($V$6="No",0,IF(AND($V$13=0,$V$14=0),N124*S124,IF($V$13&gt;0,H124*$V$13,IF($V$14&gt;0,IF(AND($V$6="Yes",$V$7="Yes"),((B124/$D$26)*$V$14)*S124,((B124/$B$26)*$V$14)*S124))))),0)</f>
        <v>0</v>
      </c>
      <c r="U124" s="501" cm="1">
        <f t="array" ref="U124">IFERROR(IF($V$7="No",0,IF(AND($V$13=0,$V$14=0),O123*S123,IF($V$13&gt;0,I123*$V$13,IF($V$14&gt;0,IF(AND($V$6="Yes",$V$7="Yes"),((C123/$D$26)*$V$14)*S123,((C123/$C$26)*$V$14)*S123))))),0)</f>
        <v>0</v>
      </c>
      <c r="V124" s="502" cm="1">
        <f t="array" ref="V124">T124+U124</f>
        <v>0</v>
      </c>
      <c r="W124" s="489"/>
      <c r="X124" s="505"/>
      <c r="Y124" s="505"/>
      <c r="Z124" s="505"/>
      <c r="AA124" s="505"/>
      <c r="AB124" s="505"/>
      <c r="AC124" s="505"/>
      <c r="AD124" s="505"/>
      <c r="AE124" s="57"/>
      <c r="AF124" s="58"/>
    </row>
    <row r="125" spans="1:32" ht="18.75" customHeight="1">
      <c r="A125" s="503">
        <v>97</v>
      </c>
      <c r="B125" s="435"/>
      <c r="C125" s="496"/>
      <c r="D125" s="497" cm="1">
        <f t="array" ref="D125">B125+C125</f>
        <v>0</v>
      </c>
      <c r="E125" s="462"/>
      <c r="F125" s="503">
        <v>97</v>
      </c>
      <c r="G125" s="498">
        <v>5.47254518221678E-2</v>
      </c>
      <c r="H125" s="499" cm="1">
        <f t="array" ref="H125">B125*G125</f>
        <v>0</v>
      </c>
      <c r="I125" s="500" cm="1">
        <f t="array" ref="I125">C125*G125</f>
        <v>0</v>
      </c>
      <c r="J125" s="497" cm="1">
        <f t="array" ref="J125">H125+I125</f>
        <v>0</v>
      </c>
      <c r="K125" s="489"/>
      <c r="L125" s="490"/>
      <c r="M125" s="503">
        <v>97</v>
      </c>
      <c r="N125" s="435"/>
      <c r="O125" s="435"/>
      <c r="P125" s="439" cm="1">
        <f t="array" ref="P125">N125+O125</f>
        <v>0</v>
      </c>
      <c r="Q125" s="478"/>
      <c r="R125" s="503">
        <v>97</v>
      </c>
      <c r="S125" s="498">
        <v>5.47254518221678E-2</v>
      </c>
      <c r="T125" s="491" cm="1">
        <f t="array" ref="T125">IFERROR(IF($V$6="No",0,IF(AND($V$13=0,$V$14=0),N125*S125,IF($V$13&gt;0,H125*$V$13,IF($V$14&gt;0,IF(AND($V$6="Yes",$V$7="Yes"),((B125/$D$26)*$V$14)*S125,((B125/$B$26)*$V$14)*S125))))),0)</f>
        <v>0</v>
      </c>
      <c r="U125" s="501" cm="1">
        <f t="array" ref="U125">IFERROR(IF($V$7="No",0,IF(AND($V$13=0,$V$14=0),O124*S124,IF($V$13&gt;0,I124*$V$13,IF($V$14&gt;0,IF(AND($V$6="Yes",$V$7="Yes"),((C124/$D$26)*$V$14)*S124,((C124/$C$26)*$V$14)*S124))))),0)</f>
        <v>0</v>
      </c>
      <c r="V125" s="502" cm="1">
        <f t="array" ref="V125">T125+U125</f>
        <v>0</v>
      </c>
      <c r="W125" s="489"/>
      <c r="X125" s="505"/>
      <c r="Y125" s="505"/>
      <c r="Z125" s="505"/>
      <c r="AA125" s="505"/>
      <c r="AB125" s="505"/>
      <c r="AC125" s="505"/>
      <c r="AD125" s="505"/>
      <c r="AE125" s="57"/>
      <c r="AF125" s="58"/>
    </row>
    <row r="126" spans="1:32" ht="18.75" customHeight="1">
      <c r="A126" s="503">
        <v>98</v>
      </c>
      <c r="B126" s="435"/>
      <c r="C126" s="496"/>
      <c r="D126" s="497" cm="1">
        <f t="array" ref="D126">B126+C126</f>
        <v>0</v>
      </c>
      <c r="E126" s="462"/>
      <c r="F126" s="503">
        <v>98</v>
      </c>
      <c r="G126" s="498">
        <v>5.3390684704553999E-2</v>
      </c>
      <c r="H126" s="499" cm="1">
        <f t="array" ref="H126">B126*G126</f>
        <v>0</v>
      </c>
      <c r="I126" s="500" cm="1">
        <f t="array" ref="I126">C126*G126</f>
        <v>0</v>
      </c>
      <c r="J126" s="497" cm="1">
        <f t="array" ref="J126">H126+I126</f>
        <v>0</v>
      </c>
      <c r="K126" s="489"/>
      <c r="L126" s="490"/>
      <c r="M126" s="503">
        <v>98</v>
      </c>
      <c r="N126" s="435"/>
      <c r="O126" s="435"/>
      <c r="P126" s="439" cm="1">
        <f t="array" ref="P126">N126+O126</f>
        <v>0</v>
      </c>
      <c r="Q126" s="478"/>
      <c r="R126" s="503">
        <v>98</v>
      </c>
      <c r="S126" s="498">
        <v>5.3390684704553999E-2</v>
      </c>
      <c r="T126" s="491" cm="1">
        <f t="array" ref="T126">IFERROR(IF($V$6="No",0,IF(AND($V$13=0,$V$14=0),N126*S126,IF($V$13&gt;0,H126*$V$13,IF($V$14&gt;0,IF(AND($V$6="Yes",$V$7="Yes"),((B126/$D$26)*$V$14)*S126,((B126/$B$26)*$V$14)*S126))))),0)</f>
        <v>0</v>
      </c>
      <c r="U126" s="501" cm="1">
        <f t="array" ref="U126">IFERROR(IF($V$7="No",0,IF(AND($V$13=0,$V$14=0),O125*S125,IF($V$13&gt;0,I125*$V$13,IF($V$14&gt;0,IF(AND($V$6="Yes",$V$7="Yes"),((C125/$D$26)*$V$14)*S125,((C125/$C$26)*$V$14)*S125))))),0)</f>
        <v>0</v>
      </c>
      <c r="V126" s="502" cm="1">
        <f t="array" ref="V126">T126+U126</f>
        <v>0</v>
      </c>
      <c r="W126" s="489"/>
      <c r="X126" s="505"/>
      <c r="Y126" s="505"/>
      <c r="Z126" s="505"/>
      <c r="AA126" s="505"/>
      <c r="AB126" s="505"/>
      <c r="AC126" s="505"/>
      <c r="AD126" s="505"/>
      <c r="AE126" s="57"/>
      <c r="AF126" s="58"/>
    </row>
    <row r="127" spans="1:32" ht="18.75" customHeight="1">
      <c r="A127" s="503">
        <v>99</v>
      </c>
      <c r="B127" s="435"/>
      <c r="C127" s="496"/>
      <c r="D127" s="497" cm="1">
        <f t="array" ref="D127">B127+C127</f>
        <v>0</v>
      </c>
      <c r="E127" s="462"/>
      <c r="F127" s="503">
        <v>99</v>
      </c>
      <c r="G127" s="498">
        <v>5.2088472882491701E-2</v>
      </c>
      <c r="H127" s="499" cm="1">
        <f t="array" ref="H127">B127*G127</f>
        <v>0</v>
      </c>
      <c r="I127" s="500" cm="1">
        <f t="array" ref="I127">C127*G127</f>
        <v>0</v>
      </c>
      <c r="J127" s="497" cm="1">
        <f t="array" ref="J127">H127+I127</f>
        <v>0</v>
      </c>
      <c r="K127" s="489"/>
      <c r="L127" s="490"/>
      <c r="M127" s="503">
        <v>99</v>
      </c>
      <c r="N127" s="435"/>
      <c r="O127" s="435"/>
      <c r="P127" s="439" cm="1">
        <f t="array" ref="P127">N127+O127</f>
        <v>0</v>
      </c>
      <c r="Q127" s="478"/>
      <c r="R127" s="503">
        <v>99</v>
      </c>
      <c r="S127" s="498">
        <v>5.2088472882491701E-2</v>
      </c>
      <c r="T127" s="491" cm="1">
        <f t="array" ref="T127">IFERROR(IF($V$6="No",0,IF(AND($V$13=0,$V$14=0),N127*S127,IF($V$13&gt;0,H127*$V$13,IF($V$14&gt;0,IF(AND($V$6="Yes",$V$7="Yes"),((B127/$D$26)*$V$14)*S127,((B127/$B$26)*$V$14)*S127))))),0)</f>
        <v>0</v>
      </c>
      <c r="U127" s="501" cm="1">
        <f t="array" ref="U127">IFERROR(IF($V$7="No",0,IF(AND($V$13=0,$V$14=0),O126*S126,IF($V$13&gt;0,I126*$V$13,IF($V$14&gt;0,IF(AND($V$6="Yes",$V$7="Yes"),((C126/$D$26)*$V$14)*S126,((C126/$C$26)*$V$14)*S126))))),0)</f>
        <v>0</v>
      </c>
      <c r="V127" s="502" cm="1">
        <f t="array" ref="V127">T127+U127</f>
        <v>0</v>
      </c>
      <c r="W127" s="489"/>
      <c r="X127" s="505"/>
      <c r="Y127" s="505"/>
      <c r="Z127" s="505"/>
      <c r="AA127" s="505"/>
      <c r="AB127" s="505"/>
      <c r="AC127" s="505"/>
      <c r="AD127" s="505"/>
      <c r="AE127" s="57"/>
      <c r="AF127" s="58"/>
    </row>
    <row r="128" spans="1:32" ht="18.75" customHeight="1">
      <c r="A128" s="506">
        <v>100</v>
      </c>
      <c r="B128" s="507"/>
      <c r="C128" s="508"/>
      <c r="D128" s="509" cm="1">
        <f t="array" ref="D128">B128+C128</f>
        <v>0</v>
      </c>
      <c r="E128" s="510"/>
      <c r="F128" s="506">
        <v>100</v>
      </c>
      <c r="G128" s="511">
        <v>5.0818022324382102E-2</v>
      </c>
      <c r="H128" s="512" cm="1">
        <f t="array" ref="H128">B128*G128</f>
        <v>0</v>
      </c>
      <c r="I128" s="513" cm="1">
        <f t="array" ref="I128">C128*G128</f>
        <v>0</v>
      </c>
      <c r="J128" s="509" cm="1">
        <f t="array" ref="J128">H128+I128</f>
        <v>0</v>
      </c>
      <c r="K128" s="514"/>
      <c r="L128" s="515"/>
      <c r="M128" s="506">
        <v>100</v>
      </c>
      <c r="N128" s="507"/>
      <c r="O128" s="507"/>
      <c r="P128" s="439" cm="1">
        <f t="array" ref="P128">N128+O128</f>
        <v>0</v>
      </c>
      <c r="Q128" s="516"/>
      <c r="R128" s="506">
        <v>100</v>
      </c>
      <c r="S128" s="511">
        <v>5.0818022324382102E-2</v>
      </c>
      <c r="T128" s="491" cm="1">
        <f t="array" ref="T128">IFERROR(IF($V$6="No",0,IF(AND($V$13=0,$V$14=0),N128*S128,IF($V$13&gt;0,H128*$V$13,IF($V$14&gt;0,IF(AND($V$6="Yes",$V$7="Yes"),((B128/$D$26)*$V$14)*S128,((B128/$B$26)*$V$14)*S128))))),0)</f>
        <v>0</v>
      </c>
      <c r="U128" s="501" cm="1">
        <f t="array" ref="U128">IFERROR(IF($V$7="No",0,IF(AND($V$13=0,$V$14=0),O127*S127,IF($V$13&gt;0,I127*$V$13,IF($V$14&gt;0,IF(AND($V$6="Yes",$V$7="Yes"),((C127/$D$26)*$V$14)*S127,((C127/$C$26)*$V$14)*S127))))),0)</f>
        <v>0</v>
      </c>
      <c r="V128" s="517" cm="1">
        <f t="array" ref="V128">T128+U128</f>
        <v>0</v>
      </c>
      <c r="W128" s="514"/>
      <c r="X128" s="518"/>
      <c r="Y128" s="518"/>
      <c r="Z128" s="518"/>
      <c r="AA128" s="518"/>
      <c r="AB128" s="518"/>
      <c r="AC128" s="518"/>
      <c r="AD128" s="518"/>
      <c r="AE128" s="179"/>
      <c r="AF128" s="180"/>
    </row>
  </sheetData>
  <mergeCells count="58">
    <mergeCell ref="X1:AD2"/>
    <mergeCell ref="X5:X12"/>
    <mergeCell ref="AB5:AD6"/>
    <mergeCell ref="AB7:AB11"/>
    <mergeCell ref="AC7:AC11"/>
    <mergeCell ref="AD7:AD11"/>
    <mergeCell ref="X4:AD4"/>
    <mergeCell ref="AA5:AA11"/>
    <mergeCell ref="A22:D22"/>
    <mergeCell ref="F22:J22"/>
    <mergeCell ref="M22:P22"/>
    <mergeCell ref="A23:A26"/>
    <mergeCell ref="B23:D23"/>
    <mergeCell ref="B24:B25"/>
    <mergeCell ref="C24:C25"/>
    <mergeCell ref="D24:D25"/>
    <mergeCell ref="F23:F26"/>
    <mergeCell ref="G23:G26"/>
    <mergeCell ref="H24:H25"/>
    <mergeCell ref="I24:I25"/>
    <mergeCell ref="J24:J25"/>
    <mergeCell ref="M23:M26"/>
    <mergeCell ref="N23:P23"/>
    <mergeCell ref="H23:J23"/>
    <mergeCell ref="A18:C18"/>
    <mergeCell ref="A17:C17"/>
    <mergeCell ref="A4:I4"/>
    <mergeCell ref="A10:J10"/>
    <mergeCell ref="A11:J11"/>
    <mergeCell ref="A6:I7"/>
    <mergeCell ref="A5:I5"/>
    <mergeCell ref="A13:J14"/>
    <mergeCell ref="A12:J12"/>
    <mergeCell ref="A16:C16"/>
    <mergeCell ref="T13:U13"/>
    <mergeCell ref="T14:U14"/>
    <mergeCell ref="M8:R10"/>
    <mergeCell ref="M12:R14"/>
    <mergeCell ref="T6:U6"/>
    <mergeCell ref="T7:U7"/>
    <mergeCell ref="T10:V11"/>
    <mergeCell ref="M4:R7"/>
    <mergeCell ref="N24:N25"/>
    <mergeCell ref="O24:O25"/>
    <mergeCell ref="P24:P25"/>
    <mergeCell ref="Y5:Y11"/>
    <mergeCell ref="Z5:Z11"/>
    <mergeCell ref="T24:T25"/>
    <mergeCell ref="U24:U25"/>
    <mergeCell ref="R22:V22"/>
    <mergeCell ref="R23:R26"/>
    <mergeCell ref="S23:S26"/>
    <mergeCell ref="T23:V23"/>
    <mergeCell ref="V24:V25"/>
    <mergeCell ref="M18:O18"/>
    <mergeCell ref="M17:O17"/>
    <mergeCell ref="T17:V19"/>
    <mergeCell ref="M16:O16"/>
  </mergeCells>
  <dataValidations count="1">
    <dataValidation type="list" allowBlank="1" showInputMessage="1" showErrorMessage="1" sqref="V6:V7" xr:uid="{00000000-0002-0000-0500-000000000000}">
      <formula1>"Yes,No"</formula1>
    </dataValidation>
  </dataValidations>
  <pageMargins left="0.7" right="0.7" top="0.75" bottom="0.75" header="0.3" footer="0.3"/>
  <pageSetup scale="25"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07"/>
  <sheetViews>
    <sheetView showGridLines="0" workbookViewId="0"/>
  </sheetViews>
  <sheetFormatPr defaultColWidth="8.84375" defaultRowHeight="15" customHeight="1"/>
  <cols>
    <col min="1" max="1" width="1.15234375" style="5" customWidth="1"/>
    <col min="2" max="19" width="10.84375" style="5" customWidth="1"/>
    <col min="20" max="20" width="1.15234375" style="5" customWidth="1"/>
    <col min="21" max="25" width="8.84375" style="5" customWidth="1"/>
    <col min="26" max="16384" width="8.84375" style="5"/>
  </cols>
  <sheetData>
    <row r="1" spans="1:24" ht="17.149999999999999" customHeight="1">
      <c r="A1" s="519"/>
      <c r="B1" s="1287"/>
      <c r="C1" s="1287"/>
      <c r="D1" s="1287"/>
      <c r="E1" s="1287"/>
      <c r="F1" s="1287"/>
      <c r="G1" s="1287"/>
      <c r="H1" s="1287"/>
      <c r="I1" s="1287"/>
      <c r="J1" s="1287"/>
      <c r="K1" s="1287"/>
      <c r="L1" s="1287"/>
      <c r="M1" s="1287"/>
      <c r="N1" s="1287"/>
      <c r="O1" s="1287"/>
      <c r="P1" s="1287"/>
      <c r="Q1" s="1287"/>
      <c r="R1" s="1287"/>
      <c r="S1" s="1287"/>
      <c r="T1" s="520"/>
      <c r="U1" s="521"/>
      <c r="V1" s="52"/>
      <c r="W1" s="52"/>
      <c r="X1" s="53"/>
    </row>
    <row r="2" spans="1:24" ht="33.75" customHeight="1">
      <c r="A2" s="522"/>
      <c r="B2" s="1288" t="s">
        <v>45</v>
      </c>
      <c r="C2" s="1289"/>
      <c r="D2" s="1289"/>
      <c r="E2" s="1289"/>
      <c r="F2" s="1289"/>
      <c r="G2" s="1289"/>
      <c r="H2" s="1289"/>
      <c r="I2" s="1289"/>
      <c r="J2" s="1289"/>
      <c r="K2" s="1289"/>
      <c r="L2" s="1289"/>
      <c r="M2" s="1289"/>
      <c r="N2" s="1289"/>
      <c r="O2" s="1289"/>
      <c r="P2" s="1289"/>
      <c r="Q2" s="1289"/>
      <c r="R2" s="1289"/>
      <c r="S2" s="1289"/>
      <c r="T2" s="523"/>
      <c r="U2" s="522"/>
      <c r="V2" s="57"/>
      <c r="W2" s="57"/>
      <c r="X2" s="58"/>
    </row>
    <row r="3" spans="1:24" ht="23.25" customHeight="1">
      <c r="A3" s="522"/>
      <c r="B3" s="1290" t="s">
        <v>460</v>
      </c>
      <c r="C3" s="1291"/>
      <c r="D3" s="1291"/>
      <c r="E3" s="1291"/>
      <c r="F3" s="1291"/>
      <c r="G3" s="1291"/>
      <c r="H3" s="1291"/>
      <c r="I3" s="1291"/>
      <c r="J3" s="1291"/>
      <c r="K3" s="1291"/>
      <c r="L3" s="1291"/>
      <c r="M3" s="1291"/>
      <c r="N3" s="1291"/>
      <c r="O3" s="1291"/>
      <c r="P3" s="1291"/>
      <c r="Q3" s="1291"/>
      <c r="R3" s="1292"/>
      <c r="S3" s="1292"/>
      <c r="T3" s="523"/>
      <c r="U3" s="522"/>
      <c r="V3" s="57"/>
      <c r="W3" s="57"/>
      <c r="X3" s="58"/>
    </row>
    <row r="4" spans="1:24" ht="19.5" customHeight="1">
      <c r="A4" s="522"/>
      <c r="B4" s="1293" t="e" cm="1" vm="2">
        <f t="array" aca="1" ref="B4" ca="1">'PF calculator'!B4:P4</f>
        <v>#VALUE!</v>
      </c>
      <c r="C4" s="1293"/>
      <c r="D4" s="1293"/>
      <c r="E4" s="1293"/>
      <c r="F4" s="1293"/>
      <c r="G4" s="1293"/>
      <c r="H4" s="1293"/>
      <c r="I4" s="1293"/>
      <c r="J4" s="1293"/>
      <c r="K4" s="1293"/>
      <c r="L4" s="1293"/>
      <c r="M4" s="1293"/>
      <c r="N4" s="1293"/>
      <c r="O4" s="1293"/>
      <c r="P4" s="1293"/>
      <c r="Q4" s="524" t="s">
        <v>48</v>
      </c>
      <c r="R4" s="1294" t="s">
        <v>395</v>
      </c>
      <c r="S4" s="1295"/>
      <c r="T4" s="525"/>
      <c r="U4" s="522"/>
      <c r="V4" s="67"/>
      <c r="W4" s="57"/>
      <c r="X4" s="58"/>
    </row>
    <row r="5" spans="1:24" ht="19.5" customHeight="1">
      <c r="A5" s="522"/>
      <c r="B5" s="526" t="str" cm="1">
        <f t="array" ref="B5">'PF calculator'!B5</f>
        <v>SECTION 1: Project details</v>
      </c>
      <c r="C5" s="527"/>
      <c r="D5" s="527"/>
      <c r="E5" s="527"/>
      <c r="F5" s="527"/>
      <c r="G5" s="527"/>
      <c r="H5" s="527"/>
      <c r="I5" s="527"/>
      <c r="J5" s="527"/>
      <c r="K5" s="527"/>
      <c r="L5" s="527"/>
      <c r="M5" s="527"/>
      <c r="N5" s="527"/>
      <c r="O5" s="527"/>
      <c r="P5" s="527"/>
      <c r="Q5" s="528"/>
      <c r="R5" s="1296" t="s">
        <v>52</v>
      </c>
      <c r="S5" s="1297"/>
      <c r="T5" s="525"/>
      <c r="U5" s="522"/>
      <c r="V5" s="57"/>
      <c r="W5" s="57"/>
      <c r="X5" s="58"/>
    </row>
    <row r="6" spans="1:24" ht="8" customHeight="1">
      <c r="A6" s="522"/>
      <c r="B6" s="529"/>
      <c r="C6" s="529"/>
      <c r="D6" s="530"/>
      <c r="E6" s="530"/>
      <c r="F6" s="530"/>
      <c r="G6" s="530"/>
      <c r="H6" s="530"/>
      <c r="I6" s="530"/>
      <c r="J6" s="529"/>
      <c r="K6" s="529"/>
      <c r="L6" s="529"/>
      <c r="M6" s="530"/>
      <c r="N6" s="530"/>
      <c r="O6" s="529"/>
      <c r="P6" s="529"/>
      <c r="Q6" s="531"/>
      <c r="R6" s="1301" t="s">
        <v>53</v>
      </c>
      <c r="S6" s="1302"/>
      <c r="T6" s="523"/>
      <c r="U6" s="522"/>
      <c r="V6" s="57"/>
      <c r="W6" s="57"/>
      <c r="X6" s="58"/>
    </row>
    <row r="7" spans="1:24" ht="18.75" customHeight="1">
      <c r="A7" s="522"/>
      <c r="B7" s="1209" t="s">
        <v>54</v>
      </c>
      <c r="C7" s="1229"/>
      <c r="D7" s="1298" t="str" cm="1">
        <f t="array" ref="D7">"Sensitivity Analysis: "&amp;'PF calculator'!L96</f>
        <v>Sensitivity Analysis: SA1: pv WLC - Affordability</v>
      </c>
      <c r="E7" s="1299"/>
      <c r="F7" s="1299"/>
      <c r="G7" s="1299"/>
      <c r="H7" s="1299"/>
      <c r="I7" s="1300"/>
      <c r="J7" s="532"/>
      <c r="K7" s="1209" t="s">
        <v>56</v>
      </c>
      <c r="L7" s="1229"/>
      <c r="M7" s="1268" t="str" cm="1">
        <f t="array" ref="M7">'PF calculator'!M7</f>
        <v>Pre-SOC</v>
      </c>
      <c r="N7" s="1270"/>
      <c r="O7" s="533"/>
      <c r="P7" s="534"/>
      <c r="Q7" s="534"/>
      <c r="R7" s="1303"/>
      <c r="S7" s="1303"/>
      <c r="T7" s="523"/>
      <c r="U7" s="522"/>
      <c r="V7" s="57"/>
      <c r="W7" s="57"/>
      <c r="X7" s="58"/>
    </row>
    <row r="8" spans="1:24" ht="18.75" customHeight="1">
      <c r="A8" s="522"/>
      <c r="B8" s="1209" t="s">
        <v>461</v>
      </c>
      <c r="C8" s="1229"/>
      <c r="D8" s="1268" t="str" cm="1">
        <f t="array" ref="D8">'PF calculator'!D8</f>
        <v>YOC501E/000A/533A</v>
      </c>
      <c r="E8" s="1269"/>
      <c r="F8" s="1270"/>
      <c r="G8" s="535"/>
      <c r="H8" s="536"/>
      <c r="I8" s="536"/>
      <c r="J8" s="534"/>
      <c r="K8" s="1209" t="s">
        <v>60</v>
      </c>
      <c r="L8" s="1229"/>
      <c r="M8" s="1271" cm="1">
        <f t="array" ref="M8">'PF calculator'!M8</f>
        <v>0</v>
      </c>
      <c r="N8" s="1270"/>
      <c r="O8" s="1272" t="e" cm="1" vm="3">
        <f t="array" aca="1" ref="O8" ca="1">'PF calculator'!O8:Q8</f>
        <v>#VALUE!</v>
      </c>
      <c r="P8" s="1273"/>
      <c r="Q8" s="1274"/>
      <c r="R8" s="538" t="e" cm="1" vm="1">
        <f t="array" aca="1" ref="R8" ca="1">$E$39/$E$33</f>
        <v>#VALUE!</v>
      </c>
      <c r="S8" s="539" t="s">
        <v>62</v>
      </c>
      <c r="T8" s="525"/>
      <c r="U8" s="522"/>
      <c r="V8" s="57"/>
      <c r="W8" s="57"/>
      <c r="X8" s="58"/>
    </row>
    <row r="9" spans="1:24" ht="18.75" customHeight="1">
      <c r="A9" s="522"/>
      <c r="B9" s="1209" t="s">
        <v>462</v>
      </c>
      <c r="C9" s="1229"/>
      <c r="D9" s="1277" cm="1">
        <f t="array" ref="D9">'PF calculator'!D9</f>
        <v>45265</v>
      </c>
      <c r="E9" s="1278"/>
      <c r="F9" s="1279"/>
      <c r="G9" s="540"/>
      <c r="H9" s="541"/>
      <c r="I9" s="541"/>
      <c r="J9" s="534"/>
      <c r="K9" s="534"/>
      <c r="L9" s="534"/>
      <c r="M9" s="536"/>
      <c r="N9" s="536"/>
      <c r="O9" s="1280" t="s">
        <v>64</v>
      </c>
      <c r="P9" s="1281"/>
      <c r="Q9" s="1282"/>
      <c r="R9" s="542" t="str" cm="1">
        <f t="array" aca="1" ref="R9" ca="1">IFERROR(($E$39/MIN(($K$21+$K$23),$E$33)),"n/a")</f>
        <v>n/a</v>
      </c>
      <c r="S9" s="539" t="s">
        <v>62</v>
      </c>
      <c r="T9" s="525"/>
      <c r="U9" s="522"/>
      <c r="V9" s="57"/>
      <c r="W9" s="57"/>
      <c r="X9" s="58"/>
    </row>
    <row r="10" spans="1:24" ht="18.75" customHeight="1">
      <c r="A10" s="522"/>
      <c r="B10" s="1209" t="s">
        <v>65</v>
      </c>
      <c r="C10" s="1229"/>
      <c r="D10" s="1283" t="str" cm="1">
        <f t="array" ref="D10">'PF calculator'!D10</f>
        <v>City of Doncaster Council</v>
      </c>
      <c r="E10" s="1284"/>
      <c r="F10" s="1284"/>
      <c r="G10" s="1284"/>
      <c r="H10" s="1284"/>
      <c r="I10" s="1285"/>
      <c r="J10" s="533"/>
      <c r="K10" s="534"/>
      <c r="L10" s="534"/>
      <c r="M10" s="534"/>
      <c r="N10" s="534"/>
      <c r="O10" s="1280" t="s">
        <v>67</v>
      </c>
      <c r="P10" s="1281"/>
      <c r="Q10" s="1282"/>
      <c r="R10" s="538" t="e" cm="1" vm="1">
        <f t="array" aca="1" ref="R10" ca="1">IF($K$33&gt;0,$E$39/$K$33,"n/a")</f>
        <v>#VALUE!</v>
      </c>
      <c r="S10" s="539" t="s">
        <v>62</v>
      </c>
      <c r="T10" s="525"/>
      <c r="U10" s="522"/>
      <c r="V10" s="57"/>
      <c r="W10" s="57"/>
      <c r="X10" s="58"/>
    </row>
    <row r="11" spans="1:24" ht="18.75" customHeight="1">
      <c r="A11" s="522"/>
      <c r="B11" s="1209" t="s">
        <v>68</v>
      </c>
      <c r="C11" s="1229"/>
      <c r="D11" s="1283" t="str" cm="1">
        <f t="array" ref="D11">'PF calculator'!D11</f>
        <v>Local Authority</v>
      </c>
      <c r="E11" s="1284"/>
      <c r="F11" s="1285"/>
      <c r="G11" s="543"/>
      <c r="H11" s="544"/>
      <c r="I11" s="544"/>
      <c r="J11" s="534"/>
      <c r="K11" s="534"/>
      <c r="L11" s="534"/>
      <c r="M11" s="534"/>
      <c r="N11" s="534"/>
      <c r="O11" s="534"/>
      <c r="P11" s="534"/>
      <c r="Q11" s="537"/>
      <c r="R11" s="545"/>
      <c r="S11" s="546"/>
      <c r="T11" s="523"/>
      <c r="U11" s="522"/>
      <c r="V11" s="57"/>
      <c r="W11" s="57"/>
      <c r="X11" s="58"/>
    </row>
    <row r="12" spans="1:24" ht="18.75" customHeight="1">
      <c r="A12" s="522"/>
      <c r="B12" s="547" t="s">
        <v>70</v>
      </c>
      <c r="C12" s="534"/>
      <c r="D12" s="536"/>
      <c r="E12" s="536"/>
      <c r="F12" s="536"/>
      <c r="G12" s="534"/>
      <c r="H12" s="534"/>
      <c r="I12" s="534"/>
      <c r="J12" s="534"/>
      <c r="K12" s="534"/>
      <c r="L12" s="534"/>
      <c r="M12" s="534"/>
      <c r="N12" s="534"/>
      <c r="O12" s="534"/>
      <c r="P12" s="1286"/>
      <c r="Q12" s="1286"/>
      <c r="R12" s="1286"/>
      <c r="S12" s="1286"/>
      <c r="T12" s="523"/>
      <c r="U12" s="522"/>
      <c r="V12" s="57"/>
      <c r="W12" s="57"/>
      <c r="X12" s="58"/>
    </row>
    <row r="13" spans="1:24" ht="18.75" customHeight="1">
      <c r="A13" s="522"/>
      <c r="B13" s="548" t="s">
        <v>463</v>
      </c>
      <c r="C13" s="534"/>
      <c r="D13" s="534"/>
      <c r="E13" s="534"/>
      <c r="F13" s="534"/>
      <c r="G13" s="534"/>
      <c r="H13" s="534"/>
      <c r="I13" s="534"/>
      <c r="J13" s="534"/>
      <c r="K13" s="534"/>
      <c r="L13" s="534"/>
      <c r="M13" s="534"/>
      <c r="N13" s="534"/>
      <c r="O13" s="534"/>
      <c r="P13" s="1286"/>
      <c r="Q13" s="1286"/>
      <c r="R13" s="1286"/>
      <c r="S13" s="1286"/>
      <c r="T13" s="523"/>
      <c r="U13" s="522"/>
      <c r="V13" s="57"/>
      <c r="W13" s="57"/>
      <c r="X13" s="58"/>
    </row>
    <row r="14" spans="1:24" ht="8" customHeight="1">
      <c r="A14" s="522"/>
      <c r="B14" s="549"/>
      <c r="C14" s="549"/>
      <c r="D14" s="549"/>
      <c r="E14" s="549"/>
      <c r="F14" s="549"/>
      <c r="G14" s="549"/>
      <c r="H14" s="549"/>
      <c r="I14" s="549"/>
      <c r="J14" s="549"/>
      <c r="K14" s="549"/>
      <c r="L14" s="549"/>
      <c r="M14" s="549"/>
      <c r="N14" s="549"/>
      <c r="O14" s="549"/>
      <c r="P14" s="549"/>
      <c r="Q14" s="549"/>
      <c r="R14" s="549"/>
      <c r="S14" s="549"/>
      <c r="T14" s="523"/>
      <c r="U14" s="522"/>
      <c r="V14" s="57"/>
      <c r="W14" s="57"/>
      <c r="X14" s="58"/>
    </row>
    <row r="15" spans="1:24" ht="18.75" customHeight="1">
      <c r="A15" s="522"/>
      <c r="B15" s="1190" t="e" cm="1" vm="4">
        <f t="array" aca="1" ref="B15" ca="1">'PF calculator'!B15:S15</f>
        <v>#VALUE!</v>
      </c>
      <c r="C15" s="1190"/>
      <c r="D15" s="1190"/>
      <c r="E15" s="1190"/>
      <c r="F15" s="1190"/>
      <c r="G15" s="1190"/>
      <c r="H15" s="1190"/>
      <c r="I15" s="1190"/>
      <c r="J15" s="1190"/>
      <c r="K15" s="1190"/>
      <c r="L15" s="1190"/>
      <c r="M15" s="1190"/>
      <c r="N15" s="1190"/>
      <c r="O15" s="1190"/>
      <c r="P15" s="1190"/>
      <c r="Q15" s="1190"/>
      <c r="R15" s="1190"/>
      <c r="S15" s="1190"/>
      <c r="T15" s="523"/>
      <c r="U15" s="522"/>
      <c r="V15" s="57"/>
      <c r="W15" s="57"/>
      <c r="X15" s="58"/>
    </row>
    <row r="16" spans="1:24" ht="8" customHeight="1">
      <c r="A16" s="522"/>
      <c r="B16" s="550"/>
      <c r="C16" s="529"/>
      <c r="D16" s="529"/>
      <c r="E16" s="530"/>
      <c r="F16" s="530"/>
      <c r="G16" s="529"/>
      <c r="H16" s="529"/>
      <c r="I16" s="529"/>
      <c r="J16" s="529"/>
      <c r="K16" s="529"/>
      <c r="L16" s="529"/>
      <c r="M16" s="529"/>
      <c r="N16" s="529"/>
      <c r="O16" s="529"/>
      <c r="P16" s="529"/>
      <c r="Q16" s="529"/>
      <c r="R16" s="529"/>
      <c r="S16" s="529"/>
      <c r="T16" s="523"/>
      <c r="U16" s="522"/>
      <c r="V16" s="57"/>
      <c r="W16" s="57"/>
      <c r="X16" s="58"/>
    </row>
    <row r="17" spans="1:24" ht="18.75" customHeight="1">
      <c r="A17" s="522"/>
      <c r="B17" s="1217" t="s">
        <v>73</v>
      </c>
      <c r="C17" s="1218"/>
      <c r="D17" s="1227"/>
      <c r="E17" s="1275" t="str" cm="1">
        <f t="array" ref="E17">'PF calculator'!E17</f>
        <v>Yes</v>
      </c>
      <c r="F17" s="1276"/>
      <c r="G17" s="551"/>
      <c r="H17" s="534"/>
      <c r="I17" s="534"/>
      <c r="J17" s="534"/>
      <c r="K17" s="534"/>
      <c r="L17" s="534"/>
      <c r="M17" s="534"/>
      <c r="N17" s="534"/>
      <c r="O17" s="534"/>
      <c r="P17" s="534"/>
      <c r="Q17" s="534"/>
      <c r="R17" s="534"/>
      <c r="S17" s="534"/>
      <c r="T17" s="523"/>
      <c r="U17" s="522"/>
      <c r="V17" s="57"/>
      <c r="W17" s="57"/>
      <c r="X17" s="58"/>
    </row>
    <row r="18" spans="1:24" ht="18.75" customHeight="1">
      <c r="A18" s="522"/>
      <c r="B18" s="534"/>
      <c r="C18" s="534"/>
      <c r="D18" s="534"/>
      <c r="E18" s="552"/>
      <c r="F18" s="552"/>
      <c r="G18" s="534"/>
      <c r="H18" s="534"/>
      <c r="I18" s="534"/>
      <c r="J18" s="534"/>
      <c r="K18" s="541"/>
      <c r="L18" s="541"/>
      <c r="M18" s="534"/>
      <c r="N18" s="534"/>
      <c r="O18" s="534"/>
      <c r="P18" s="534"/>
      <c r="Q18" s="534"/>
      <c r="R18" s="534"/>
      <c r="S18" s="534"/>
      <c r="T18" s="523"/>
      <c r="U18" s="522"/>
      <c r="V18" s="57"/>
      <c r="W18" s="57"/>
      <c r="X18" s="58"/>
    </row>
    <row r="19" spans="1:24" ht="18.75" customHeight="1">
      <c r="A19" s="522"/>
      <c r="B19" s="1217" t="s">
        <v>75</v>
      </c>
      <c r="C19" s="1218"/>
      <c r="D19" s="1227"/>
      <c r="E19" s="1266" t="e" cm="1" vm="1">
        <f t="array" aca="1" ref="E19" ca="1">IF(E23="low BCR","n/a",IF(E17="Yes",$E$23/MAX($E$33,$E$31),0.45*$E$23/MAX($E$33,$E$31)))</f>
        <v>#VALUE!</v>
      </c>
      <c r="F19" s="1267"/>
      <c r="G19" s="533"/>
      <c r="H19" s="1217" t="s">
        <v>76</v>
      </c>
      <c r="I19" s="1218"/>
      <c r="J19" s="1227"/>
      <c r="K19" s="1266" t="e" cm="1" vm="1">
        <f t="array" aca="1" ref="K19" ca="1">IF(E23="low BCR","n/a",IF(E17="Yes",IF(D11="Environment Agency",E23/MAX(MAX(E33,E31)-K33,1),E19+K33/E31),IF(D11="Environment Agency",E23*0.45/MAX(MAX(E33,E31)-K33,1),E19+K33/E31)))</f>
        <v>#VALUE!</v>
      </c>
      <c r="L19" s="1267"/>
      <c r="M19" s="533"/>
      <c r="N19" s="534"/>
      <c r="O19" s="534"/>
      <c r="P19" s="534"/>
      <c r="Q19" s="534"/>
      <c r="R19" s="534"/>
      <c r="S19" s="534"/>
      <c r="T19" s="523"/>
      <c r="U19" s="522"/>
      <c r="V19" s="57"/>
      <c r="W19" s="57"/>
      <c r="X19" s="58"/>
    </row>
    <row r="20" spans="1:24" ht="18.75" customHeight="1">
      <c r="A20" s="522"/>
      <c r="B20" s="534"/>
      <c r="C20" s="534"/>
      <c r="D20" s="534"/>
      <c r="E20" s="553"/>
      <c r="F20" s="553"/>
      <c r="G20" s="534"/>
      <c r="H20" s="534"/>
      <c r="I20" s="534"/>
      <c r="J20" s="534"/>
      <c r="K20" s="552"/>
      <c r="L20" s="552"/>
      <c r="M20" s="534"/>
      <c r="N20" s="534"/>
      <c r="O20" s="534"/>
      <c r="P20" s="534"/>
      <c r="Q20" s="534"/>
      <c r="R20" s="534"/>
      <c r="S20" s="534"/>
      <c r="T20" s="523"/>
      <c r="U20" s="522"/>
      <c r="V20" s="57"/>
      <c r="W20" s="57"/>
      <c r="X20" s="58"/>
    </row>
    <row r="21" spans="1:24" ht="18.75" customHeight="1">
      <c r="A21" s="522"/>
      <c r="B21" s="1209" t="s">
        <v>77</v>
      </c>
      <c r="C21" s="1210"/>
      <c r="D21" s="1229"/>
      <c r="E21" s="1230" t="e" cm="1" vm="1">
        <f t="array" aca="1" ref="E21" ca="1">IF(E23="low BCR","n/a",IF(E23=0,0,(IF(E17="Yes",MAX(IF(D11="Environment Agency",MAX(E33,E31)-MIN(E23,E33),E31*(1-(E19))),0),IF(D11="Environment Agency",MAX(E33,E31)-MIN(E23*0.45,E33),E31*(1-(E19)))))))</f>
        <v>#VALUE!</v>
      </c>
      <c r="F21" s="1231"/>
      <c r="G21" s="533"/>
      <c r="H21" s="1209" t="s">
        <v>78</v>
      </c>
      <c r="I21" s="1210"/>
      <c r="J21" s="1229"/>
      <c r="K21" s="1263" t="e" cm="1" vm="1">
        <f t="array" aca="1" ref="K21" ca="1">IF(E23="low BCR","n/a",IF(ROUNDUP(K19,4)&lt;100%,"-",IF(K32+M32&gt;E31,"N/A",E31-(K32+M32))))</f>
        <v>#VALUE!</v>
      </c>
      <c r="L21" s="1264"/>
      <c r="M21" s="533"/>
      <c r="N21" s="534"/>
      <c r="O21" s="534"/>
      <c r="P21" s="534"/>
      <c r="Q21" s="534"/>
      <c r="R21" s="534"/>
      <c r="S21" s="534"/>
      <c r="T21" s="523"/>
      <c r="U21" s="522"/>
      <c r="V21" s="555"/>
      <c r="W21" s="57"/>
      <c r="X21" s="556"/>
    </row>
    <row r="22" spans="1:24" ht="18.75" customHeight="1">
      <c r="A22" s="522"/>
      <c r="B22" s="534"/>
      <c r="C22" s="534"/>
      <c r="D22" s="534"/>
      <c r="E22" s="552"/>
      <c r="F22" s="552"/>
      <c r="G22" s="534"/>
      <c r="H22" s="534"/>
      <c r="I22" s="534"/>
      <c r="J22" s="534"/>
      <c r="K22" s="552"/>
      <c r="L22" s="552"/>
      <c r="M22" s="534"/>
      <c r="N22" s="534"/>
      <c r="O22" s="534"/>
      <c r="P22" s="534"/>
      <c r="Q22" s="534"/>
      <c r="R22" s="534"/>
      <c r="S22" s="557"/>
      <c r="T22" s="523"/>
      <c r="U22" s="522"/>
      <c r="V22" s="57"/>
      <c r="W22" s="57"/>
      <c r="X22" s="58"/>
    </row>
    <row r="23" spans="1:24" ht="18.75" customHeight="1">
      <c r="A23" s="522"/>
      <c r="B23" s="1217" t="s">
        <v>79</v>
      </c>
      <c r="C23" s="1218"/>
      <c r="D23" s="1227"/>
      <c r="E23" s="1238" t="e" cm="1" vm="1">
        <f t="array" aca="1" ref="E23" ca="1">IF(R8&lt;1,"low BCR",IF(OR(M7="Pre-SOC",M7="SOC",M7="Change (before OBC)"),H105,IF('Economic summary'!H12&lt;4,0,H105)))</f>
        <v>#VALUE!</v>
      </c>
      <c r="F23" s="1239"/>
      <c r="G23" s="533"/>
      <c r="H23" s="1209" t="s">
        <v>80</v>
      </c>
      <c r="I23" s="1210"/>
      <c r="J23" s="1229"/>
      <c r="K23" s="1263" t="e" cm="1" vm="1">
        <f t="array" aca="1" ref="K23" ca="1">IF(E23="low BCR","n/a",IF(D11="Environment Agency",(IF(ROUNDUP(K19,4)&lt;100%,"-",IF(O32&gt;E32,"N/A",E32-O32))),0))</f>
        <v>#VALUE!</v>
      </c>
      <c r="L23" s="1264"/>
      <c r="M23" s="1265"/>
      <c r="N23" s="1235"/>
      <c r="O23" s="1235"/>
      <c r="P23" s="1235"/>
      <c r="Q23" s="557"/>
      <c r="R23" s="557"/>
      <c r="S23" s="557"/>
      <c r="T23" s="523"/>
      <c r="U23" s="522"/>
      <c r="V23" s="555"/>
      <c r="W23" s="57"/>
      <c r="X23" s="58"/>
    </row>
    <row r="24" spans="1:24" ht="8" customHeight="1">
      <c r="A24" s="522"/>
      <c r="B24" s="549"/>
      <c r="C24" s="549"/>
      <c r="D24" s="549"/>
      <c r="E24" s="558"/>
      <c r="F24" s="558"/>
      <c r="G24" s="549"/>
      <c r="H24" s="549"/>
      <c r="I24" s="549"/>
      <c r="J24" s="549"/>
      <c r="K24" s="558"/>
      <c r="L24" s="558"/>
      <c r="M24" s="549"/>
      <c r="N24" s="549"/>
      <c r="O24" s="549"/>
      <c r="P24" s="549"/>
      <c r="Q24" s="549"/>
      <c r="R24" s="549"/>
      <c r="S24" s="549"/>
      <c r="T24" s="523"/>
      <c r="U24" s="522"/>
      <c r="V24" s="57"/>
      <c r="W24" s="57"/>
      <c r="X24" s="58"/>
    </row>
    <row r="25" spans="1:24" ht="18.75" customHeight="1">
      <c r="A25" s="522"/>
      <c r="B25" s="1190" t="e" cm="1" vm="4">
        <f t="array" aca="1" ref="B25" ca="1">'PF calculator'!B25:S25</f>
        <v>#VALUE!</v>
      </c>
      <c r="C25" s="1190"/>
      <c r="D25" s="1190"/>
      <c r="E25" s="1190"/>
      <c r="F25" s="1190"/>
      <c r="G25" s="1190"/>
      <c r="H25" s="1190"/>
      <c r="I25" s="1190"/>
      <c r="J25" s="1190"/>
      <c r="K25" s="1190"/>
      <c r="L25" s="1190"/>
      <c r="M25" s="1190"/>
      <c r="N25" s="1190"/>
      <c r="O25" s="1190"/>
      <c r="P25" s="1190"/>
      <c r="Q25" s="1190"/>
      <c r="R25" s="1190"/>
      <c r="S25" s="1190"/>
      <c r="T25" s="523"/>
      <c r="U25" s="522"/>
      <c r="V25" s="57"/>
      <c r="W25" s="57"/>
      <c r="X25" s="58"/>
    </row>
    <row r="26" spans="1:24" ht="8" customHeight="1">
      <c r="A26" s="522"/>
      <c r="B26" s="529"/>
      <c r="C26" s="529"/>
      <c r="D26" s="529"/>
      <c r="E26" s="529"/>
      <c r="F26" s="529"/>
      <c r="G26" s="529"/>
      <c r="H26" s="559"/>
      <c r="I26" s="529"/>
      <c r="J26" s="529"/>
      <c r="K26" s="1256" t="s">
        <v>81</v>
      </c>
      <c r="L26" s="1257"/>
      <c r="M26" s="1256" t="s">
        <v>82</v>
      </c>
      <c r="N26" s="1257"/>
      <c r="O26" s="1256" t="s">
        <v>83</v>
      </c>
      <c r="P26" s="1257"/>
      <c r="Q26" s="529"/>
      <c r="R26" s="529"/>
      <c r="S26" s="529"/>
      <c r="T26" s="523"/>
      <c r="U26" s="522"/>
      <c r="V26" s="57"/>
      <c r="W26" s="57"/>
      <c r="X26" s="58"/>
    </row>
    <row r="27" spans="1:24" ht="18.75" customHeight="1">
      <c r="A27" s="522"/>
      <c r="B27" s="1259" t="str" cm="1">
        <f t="array" ref="B27">IF(M7="Pre-SOC","Estimated project costs",IF(M7="SOC","Estimated project costs","Project costs"))</f>
        <v>Estimated project costs</v>
      </c>
      <c r="C27" s="1259"/>
      <c r="D27" s="1259"/>
      <c r="E27" s="1260" t="s">
        <v>84</v>
      </c>
      <c r="F27" s="1261"/>
      <c r="G27" s="529"/>
      <c r="H27" s="1262" t="str" cm="1">
        <f t="array" ref="H27">IF(M7="Pre-SOC","Estimated contributions",IF(M7="SOC","Estimated contributions","Contributions secured to date"))</f>
        <v>Estimated contributions</v>
      </c>
      <c r="I27" s="1262"/>
      <c r="J27" s="1262"/>
      <c r="K27" s="1258"/>
      <c r="L27" s="1258"/>
      <c r="M27" s="1258"/>
      <c r="N27" s="1258"/>
      <c r="O27" s="1258"/>
      <c r="P27" s="1258"/>
      <c r="Q27" s="529"/>
      <c r="R27" s="529"/>
      <c r="S27" s="529"/>
      <c r="T27" s="523"/>
      <c r="U27" s="522"/>
      <c r="V27" s="57"/>
      <c r="W27" s="57"/>
      <c r="X27" s="58"/>
    </row>
    <row r="28" spans="1:24" ht="18.75" customHeight="1">
      <c r="A28" s="522"/>
      <c r="B28" s="1209" t="s">
        <v>85</v>
      </c>
      <c r="C28" s="1210"/>
      <c r="D28" s="1229"/>
      <c r="E28" s="1243" cm="1">
        <f t="array" ref="E28">'PF calculator'!E28*1.25</f>
        <v>500000</v>
      </c>
      <c r="F28" s="1244"/>
      <c r="G28" s="533"/>
      <c r="H28" s="1209" t="s">
        <v>86</v>
      </c>
      <c r="I28" s="1210"/>
      <c r="J28" s="1211"/>
      <c r="K28" s="1252" cm="1">
        <f t="array" ref="K28">'PF calculator'!K28</f>
        <v>50000</v>
      </c>
      <c r="L28" s="1253"/>
      <c r="M28" s="1252" cm="1">
        <f t="array" ref="M28">'PF calculator'!M28</f>
        <v>200000</v>
      </c>
      <c r="N28" s="1253"/>
      <c r="O28" s="1252" cm="1">
        <f t="array" ref="O28">'PF calculator'!O28</f>
        <v>0</v>
      </c>
      <c r="P28" s="1253"/>
      <c r="Q28" s="1254" t="e" cm="1" vm="3">
        <f t="array" aca="1" ref="Q28" ca="1">'PF calculator'!Q28:S28</f>
        <v>#VALUE!</v>
      </c>
      <c r="R28" s="1255"/>
      <c r="S28" s="1255"/>
      <c r="T28" s="523"/>
      <c r="U28" s="522"/>
      <c r="V28" s="57"/>
      <c r="W28" s="57"/>
      <c r="X28" s="58"/>
    </row>
    <row r="29" spans="1:24" ht="18.75" customHeight="1">
      <c r="A29" s="522"/>
      <c r="B29" s="1209" t="s">
        <v>88</v>
      </c>
      <c r="C29" s="1210"/>
      <c r="D29" s="1229"/>
      <c r="E29" s="1243" cm="1">
        <f t="array" ref="E29">'PF calculator'!E29*1.25</f>
        <v>7500000</v>
      </c>
      <c r="F29" s="1244"/>
      <c r="G29" s="533"/>
      <c r="H29" s="1209" t="s">
        <v>89</v>
      </c>
      <c r="I29" s="1210"/>
      <c r="J29" s="1211"/>
      <c r="K29" s="1252" cm="1">
        <f t="array" ref="K29">'PF calculator'!K29</f>
        <v>0</v>
      </c>
      <c r="L29" s="1253"/>
      <c r="M29" s="1252" cm="1">
        <f t="array" ref="M29">'PF calculator'!M29</f>
        <v>0</v>
      </c>
      <c r="N29" s="1253"/>
      <c r="O29" s="1252" cm="1">
        <f t="array" ref="O29">'PF calculator'!O29</f>
        <v>0</v>
      </c>
      <c r="P29" s="1253"/>
      <c r="Q29" s="1247" cm="1">
        <f t="array" ref="Q29">'PF calculator'!Q29</f>
        <v>0</v>
      </c>
      <c r="R29" s="1248"/>
      <c r="S29" s="1249"/>
      <c r="T29" s="525"/>
      <c r="U29" s="522"/>
      <c r="V29" s="57"/>
      <c r="W29" s="57"/>
      <c r="X29" s="58"/>
    </row>
    <row r="30" spans="1:24" ht="18.75" customHeight="1">
      <c r="A30" s="522"/>
      <c r="B30" s="1209" t="s">
        <v>90</v>
      </c>
      <c r="C30" s="1210"/>
      <c r="D30" s="1229"/>
      <c r="E30" s="1243" cm="1">
        <f t="array" ref="E30">'PF calculator'!E30*1.25</f>
        <v>125000</v>
      </c>
      <c r="F30" s="1244"/>
      <c r="G30" s="533"/>
      <c r="H30" s="1209" t="s">
        <v>91</v>
      </c>
      <c r="I30" s="1210"/>
      <c r="J30" s="1211"/>
      <c r="K30" s="1252" cm="1">
        <f t="array" ref="K30">'PF calculator'!K30</f>
        <v>50000</v>
      </c>
      <c r="L30" s="1253"/>
      <c r="M30" s="1252" cm="1">
        <f t="array" ref="M30">'PF calculator'!M30</f>
        <v>300000</v>
      </c>
      <c r="N30" s="1253"/>
      <c r="O30" s="1252" cm="1">
        <f t="array" ref="O30">'PF calculator'!O30</f>
        <v>0</v>
      </c>
      <c r="P30" s="1253"/>
      <c r="Q30" s="1247" cm="1">
        <f t="array" ref="Q30">'PF calculator'!Q30</f>
        <v>0</v>
      </c>
      <c r="R30" s="1248"/>
      <c r="S30" s="1249"/>
      <c r="T30" s="525"/>
      <c r="U30" s="522"/>
      <c r="V30" s="57"/>
      <c r="W30" s="57"/>
      <c r="X30" s="58"/>
    </row>
    <row r="31" spans="1:24" ht="18.75" customHeight="1">
      <c r="A31" s="522"/>
      <c r="B31" s="1209" t="s">
        <v>92</v>
      </c>
      <c r="C31" s="1210"/>
      <c r="D31" s="1229"/>
      <c r="E31" s="1230" cm="1">
        <f t="array" ref="E31">SUM(E28:E30)</f>
        <v>8125000</v>
      </c>
      <c r="F31" s="1231"/>
      <c r="G31" s="533"/>
      <c r="H31" s="1209" t="s">
        <v>93</v>
      </c>
      <c r="I31" s="1210"/>
      <c r="J31" s="1211"/>
      <c r="K31" s="1250" cm="1">
        <f t="array" ref="K31">'PF calculator'!K31</f>
        <v>0</v>
      </c>
      <c r="L31" s="1251"/>
      <c r="M31" s="1250" cm="1">
        <f t="array" ref="M31">'PF calculator'!M31</f>
        <v>0</v>
      </c>
      <c r="N31" s="1251"/>
      <c r="O31" s="1250" cm="1">
        <f t="array" ref="O31">'PF calculator'!O31</f>
        <v>0</v>
      </c>
      <c r="P31" s="1251"/>
      <c r="Q31" s="1247" cm="1">
        <f t="array" ref="Q31">'PF calculator'!Q31</f>
        <v>0</v>
      </c>
      <c r="R31" s="1248"/>
      <c r="S31" s="1249"/>
      <c r="T31" s="525"/>
      <c r="U31" s="522"/>
      <c r="V31" s="57"/>
      <c r="W31" s="57"/>
      <c r="X31" s="58"/>
    </row>
    <row r="32" spans="1:24" ht="18.75" customHeight="1">
      <c r="A32" s="522"/>
      <c r="B32" s="1209" t="s">
        <v>94</v>
      </c>
      <c r="C32" s="1210"/>
      <c r="D32" s="1229"/>
      <c r="E32" s="1243" cm="1">
        <f t="array" ref="E32">'PF calculator'!E32*1.25</f>
        <v>2500000</v>
      </c>
      <c r="F32" s="1244"/>
      <c r="G32" s="533"/>
      <c r="H32" s="1217" t="s">
        <v>95</v>
      </c>
      <c r="I32" s="1218"/>
      <c r="J32" s="1227"/>
      <c r="K32" s="1245" cm="1">
        <f t="array" ref="K32">SUM(K28:L31)</f>
        <v>100000</v>
      </c>
      <c r="L32" s="1246"/>
      <c r="M32" s="1245" cm="1">
        <f t="array" ref="M32">SUM(M28:N31)</f>
        <v>500000</v>
      </c>
      <c r="N32" s="1246"/>
      <c r="O32" s="1245" cm="1">
        <f t="array" ref="O32">SUM(O28:P31)</f>
        <v>0</v>
      </c>
      <c r="P32" s="1246"/>
      <c r="Q32" s="560"/>
      <c r="R32" s="546"/>
      <c r="S32" s="546"/>
      <c r="T32" s="523"/>
      <c r="U32" s="522"/>
      <c r="V32" s="57"/>
      <c r="W32" s="57"/>
      <c r="X32" s="58"/>
    </row>
    <row r="33" spans="1:24" ht="18.75" customHeight="1">
      <c r="A33" s="522"/>
      <c r="B33" s="1209" t="s">
        <v>96</v>
      </c>
      <c r="C33" s="1210"/>
      <c r="D33" s="1229"/>
      <c r="E33" s="1230" cm="1">
        <f t="array" ref="E33">SUM(E31:F32)</f>
        <v>10625000</v>
      </c>
      <c r="F33" s="1231"/>
      <c r="G33" s="533"/>
      <c r="H33" s="1209" t="s">
        <v>97</v>
      </c>
      <c r="I33" s="1210"/>
      <c r="J33" s="1229"/>
      <c r="K33" s="1238" cm="1">
        <f t="array" ref="K33">IF(D11="Environment Agency",K32+M32+O32,K32+M32)</f>
        <v>600000</v>
      </c>
      <c r="L33" s="1239"/>
      <c r="M33" s="1240"/>
      <c r="N33" s="1241"/>
      <c r="O33" s="1241"/>
      <c r="P33" s="1241"/>
      <c r="Q33" s="1242"/>
      <c r="R33" s="1242"/>
      <c r="S33" s="1242"/>
      <c r="T33" s="523"/>
      <c r="U33" s="522"/>
      <c r="V33" s="57"/>
      <c r="W33" s="57"/>
      <c r="X33" s="58"/>
    </row>
    <row r="34" spans="1:24" ht="8" customHeight="1">
      <c r="A34" s="522"/>
      <c r="B34" s="549"/>
      <c r="C34" s="549"/>
      <c r="D34" s="549"/>
      <c r="E34" s="558"/>
      <c r="F34" s="558"/>
      <c r="G34" s="561"/>
      <c r="H34" s="561"/>
      <c r="I34" s="561"/>
      <c r="J34" s="549"/>
      <c r="K34" s="558"/>
      <c r="L34" s="558"/>
      <c r="M34" s="549"/>
      <c r="N34" s="561"/>
      <c r="O34" s="561"/>
      <c r="P34" s="561"/>
      <c r="Q34" s="549"/>
      <c r="R34" s="549"/>
      <c r="S34" s="549"/>
      <c r="T34" s="523"/>
      <c r="U34" s="522"/>
      <c r="V34" s="57"/>
      <c r="W34" s="57"/>
      <c r="X34" s="58"/>
    </row>
    <row r="35" spans="1:24" ht="18.75" customHeight="1">
      <c r="A35" s="522"/>
      <c r="B35" s="1190" t="e" cm="1" vm="4">
        <f t="array" aca="1" ref="B35" ca="1">'PF calculator'!B35:S35</f>
        <v>#VALUE!</v>
      </c>
      <c r="C35" s="1190"/>
      <c r="D35" s="1190"/>
      <c r="E35" s="1190"/>
      <c r="F35" s="1190"/>
      <c r="G35" s="1190"/>
      <c r="H35" s="1190"/>
      <c r="I35" s="1190"/>
      <c r="J35" s="1190"/>
      <c r="K35" s="1190"/>
      <c r="L35" s="1190"/>
      <c r="M35" s="1190"/>
      <c r="N35" s="1190"/>
      <c r="O35" s="1190"/>
      <c r="P35" s="1190"/>
      <c r="Q35" s="1190"/>
      <c r="R35" s="1190"/>
      <c r="S35" s="1190"/>
      <c r="T35" s="523"/>
      <c r="U35" s="522"/>
      <c r="V35" s="57"/>
      <c r="W35" s="57"/>
      <c r="X35" s="58"/>
    </row>
    <row r="36" spans="1:24" ht="8" customHeight="1">
      <c r="A36" s="522"/>
      <c r="B36" s="529"/>
      <c r="C36" s="529"/>
      <c r="D36" s="529"/>
      <c r="E36" s="530"/>
      <c r="F36" s="530"/>
      <c r="G36" s="529"/>
      <c r="H36" s="529"/>
      <c r="I36" s="529"/>
      <c r="J36" s="529"/>
      <c r="K36" s="529"/>
      <c r="L36" s="529"/>
      <c r="M36" s="529"/>
      <c r="N36" s="529"/>
      <c r="O36" s="529"/>
      <c r="P36" s="529"/>
      <c r="Q36" s="529"/>
      <c r="R36" s="529"/>
      <c r="S36" s="529"/>
      <c r="T36" s="523"/>
      <c r="U36" s="522"/>
      <c r="V36" s="57"/>
      <c r="W36" s="57"/>
      <c r="X36" s="58"/>
    </row>
    <row r="37" spans="1:24" ht="18.75" customHeight="1">
      <c r="A37" s="522"/>
      <c r="B37" s="1209" t="s">
        <v>100</v>
      </c>
      <c r="C37" s="1210"/>
      <c r="D37" s="1229"/>
      <c r="E37" s="1212" cm="1">
        <f t="array" ref="E37">'PF calculator'!E37</f>
        <v>4000000</v>
      </c>
      <c r="F37" s="1213"/>
      <c r="G37" s="533"/>
      <c r="H37" s="534"/>
      <c r="I37" s="534"/>
      <c r="J37" s="534"/>
      <c r="K37" s="534"/>
      <c r="L37" s="1235"/>
      <c r="M37" s="1235"/>
      <c r="N37" s="1235"/>
      <c r="O37" s="1235"/>
      <c r="P37" s="1235"/>
      <c r="Q37" s="1235"/>
      <c r="R37" s="1235"/>
      <c r="S37" s="1235"/>
      <c r="T37" s="523"/>
      <c r="U37" s="522"/>
      <c r="V37" s="57"/>
      <c r="W37" s="57"/>
      <c r="X37" s="58"/>
    </row>
    <row r="38" spans="1:24" ht="18.75" customHeight="1">
      <c r="A38" s="522"/>
      <c r="B38" s="1210" t="e" cm="1" vm="3">
        <f t="array" aca="1" ref="B38" ca="1">'PF calculator'!B38:D38</f>
        <v>#VALUE!</v>
      </c>
      <c r="C38" s="1210"/>
      <c r="D38" s="1229"/>
      <c r="E38" s="1236" cm="1">
        <f t="array" ref="E38">'PF calculator'!E38</f>
        <v>100</v>
      </c>
      <c r="F38" s="1237"/>
      <c r="G38" s="533"/>
      <c r="H38" s="534"/>
      <c r="I38" s="534"/>
      <c r="J38" s="534"/>
      <c r="K38" s="534"/>
      <c r="L38" s="534"/>
      <c r="M38" s="534"/>
      <c r="N38" s="534"/>
      <c r="O38" s="534"/>
      <c r="P38" s="534"/>
      <c r="Q38" s="534"/>
      <c r="R38" s="534"/>
      <c r="S38" s="534"/>
      <c r="T38" s="523"/>
      <c r="U38" s="522"/>
      <c r="V38" s="57"/>
      <c r="W38" s="57"/>
      <c r="X38" s="58"/>
    </row>
    <row r="39" spans="1:24" ht="18.75" customHeight="1">
      <c r="A39" s="522"/>
      <c r="B39" s="1210" t="e" cm="1" vm="3">
        <f t="array" aca="1" ref="B39" ca="1">'PF calculator'!B39:D39</f>
        <v>#VALUE!</v>
      </c>
      <c r="C39" s="1210"/>
      <c r="D39" s="1229"/>
      <c r="E39" s="1230" t="e" cm="1" vm="5">
        <f t="array" aca="1" ref="E39" ca="1">'PF calculator'!E39:F39</f>
        <v>#VALUE!</v>
      </c>
      <c r="F39" s="1231"/>
      <c r="G39" s="533"/>
      <c r="H39" s="534"/>
      <c r="I39" s="534"/>
      <c r="J39" s="534"/>
      <c r="K39" s="534"/>
      <c r="L39" s="534"/>
      <c r="M39" s="534"/>
      <c r="N39" s="534"/>
      <c r="O39" s="534"/>
      <c r="P39" s="534"/>
      <c r="Q39" s="534"/>
      <c r="R39" s="534"/>
      <c r="S39" s="534"/>
      <c r="T39" s="523"/>
      <c r="U39" s="522"/>
      <c r="V39" s="57"/>
      <c r="W39" s="57"/>
      <c r="X39" s="58"/>
    </row>
    <row r="40" spans="1:24" ht="8" customHeight="1">
      <c r="A40" s="522"/>
      <c r="B40" s="554"/>
      <c r="C40" s="554"/>
      <c r="D40" s="554"/>
      <c r="E40" s="562"/>
      <c r="F40" s="562"/>
      <c r="G40" s="554"/>
      <c r="H40" s="534"/>
      <c r="I40" s="534"/>
      <c r="J40" s="534"/>
      <c r="K40" s="534"/>
      <c r="L40" s="534"/>
      <c r="M40" s="534"/>
      <c r="N40" s="534"/>
      <c r="O40" s="534"/>
      <c r="P40" s="534"/>
      <c r="Q40" s="534"/>
      <c r="R40" s="534"/>
      <c r="S40" s="534"/>
      <c r="T40" s="523"/>
      <c r="U40" s="522"/>
      <c r="V40" s="57"/>
      <c r="W40" s="57"/>
      <c r="X40" s="58"/>
    </row>
    <row r="41" spans="1:24" ht="18.75" customHeight="1">
      <c r="A41" s="522"/>
      <c r="B41" s="1232" t="e" cm="1" vm="6">
        <f t="array" aca="1" ref="B41" ca="1">'PF calculator'!B41:D42</f>
        <v>#VALUE!</v>
      </c>
      <c r="C41" s="1232"/>
      <c r="D41" s="1233"/>
      <c r="E41" s="1230" cm="1">
        <f t="array" ref="E41">'PF calculator'!E41</f>
        <v>1000000</v>
      </c>
      <c r="F41" s="1231"/>
      <c r="G41" s="533"/>
      <c r="H41" s="534"/>
      <c r="I41" s="534"/>
      <c r="J41" s="534"/>
      <c r="K41" s="534"/>
      <c r="L41" s="534"/>
      <c r="M41" s="534"/>
      <c r="N41" s="534"/>
      <c r="O41" s="534"/>
      <c r="P41" s="534"/>
      <c r="Q41" s="534"/>
      <c r="R41" s="534"/>
      <c r="S41" s="534"/>
      <c r="T41" s="523"/>
      <c r="U41" s="522"/>
      <c r="V41" s="57"/>
      <c r="W41" s="57"/>
      <c r="X41" s="58"/>
    </row>
    <row r="42" spans="1:24" ht="13.5" customHeight="1">
      <c r="A42" s="522"/>
      <c r="B42" s="1234"/>
      <c r="C42" s="1234"/>
      <c r="D42" s="1234"/>
      <c r="E42" s="563"/>
      <c r="F42" s="563"/>
      <c r="G42" s="564"/>
      <c r="H42" s="564"/>
      <c r="I42" s="564"/>
      <c r="J42" s="564"/>
      <c r="K42" s="564"/>
      <c r="L42" s="564"/>
      <c r="M42" s="564"/>
      <c r="N42" s="564"/>
      <c r="O42" s="564"/>
      <c r="P42" s="564"/>
      <c r="Q42" s="564"/>
      <c r="R42" s="564"/>
      <c r="S42" s="564"/>
      <c r="T42" s="523"/>
      <c r="U42" s="522"/>
      <c r="V42" s="57"/>
      <c r="W42" s="57"/>
      <c r="X42" s="58"/>
    </row>
    <row r="43" spans="1:24" ht="18.75" customHeight="1">
      <c r="A43" s="522"/>
      <c r="B43" s="1190" t="e" cm="1" vm="4">
        <f t="array" aca="1" ref="B43" ca="1">'PF calculator'!B43:S43</f>
        <v>#VALUE!</v>
      </c>
      <c r="C43" s="1190"/>
      <c r="D43" s="1190"/>
      <c r="E43" s="1190"/>
      <c r="F43" s="1190"/>
      <c r="G43" s="1190"/>
      <c r="H43" s="1190"/>
      <c r="I43" s="1190"/>
      <c r="J43" s="1190"/>
      <c r="K43" s="1190"/>
      <c r="L43" s="1190"/>
      <c r="M43" s="1190"/>
      <c r="N43" s="1190"/>
      <c r="O43" s="1190"/>
      <c r="P43" s="1190"/>
      <c r="Q43" s="1190"/>
      <c r="R43" s="1190"/>
      <c r="S43" s="1190"/>
      <c r="T43" s="523"/>
      <c r="U43" s="522"/>
      <c r="V43" s="57"/>
      <c r="W43" s="57"/>
      <c r="X43" s="58"/>
    </row>
    <row r="44" spans="1:24" ht="8" customHeight="1">
      <c r="A44" s="522"/>
      <c r="B44" s="565"/>
      <c r="C44" s="529"/>
      <c r="D44" s="529"/>
      <c r="E44" s="529"/>
      <c r="F44" s="529"/>
      <c r="G44" s="529"/>
      <c r="H44" s="529"/>
      <c r="I44" s="529"/>
      <c r="J44" s="529"/>
      <c r="K44" s="529"/>
      <c r="L44" s="529"/>
      <c r="M44" s="529"/>
      <c r="N44" s="529"/>
      <c r="O44" s="529"/>
      <c r="P44" s="529"/>
      <c r="Q44" s="529"/>
      <c r="R44" s="529"/>
      <c r="S44" s="529"/>
      <c r="T44" s="523"/>
      <c r="U44" s="522"/>
      <c r="V44" s="57"/>
      <c r="W44" s="57"/>
      <c r="X44" s="58"/>
    </row>
    <row r="45" spans="1:24" ht="18.75" customHeight="1">
      <c r="A45" s="566"/>
      <c r="B45" s="1217" t="s">
        <v>107</v>
      </c>
      <c r="C45" s="1218"/>
      <c r="D45" s="1218"/>
      <c r="E45" s="1218"/>
      <c r="F45" s="1219" t="s">
        <v>108</v>
      </c>
      <c r="G45" s="1220"/>
      <c r="H45" s="1220"/>
      <c r="I45" s="1220"/>
      <c r="J45" s="1220"/>
      <c r="K45" s="534"/>
      <c r="L45" s="1219" t="s">
        <v>109</v>
      </c>
      <c r="M45" s="1220"/>
      <c r="N45" s="1220"/>
      <c r="O45" s="1220"/>
      <c r="P45" s="1220"/>
      <c r="Q45" s="534"/>
      <c r="R45" s="1221" t="s">
        <v>110</v>
      </c>
      <c r="S45" s="1222"/>
      <c r="T45" s="523"/>
      <c r="U45" s="522"/>
      <c r="V45" s="57"/>
      <c r="W45" s="57"/>
      <c r="X45" s="58"/>
    </row>
    <row r="46" spans="1:24" ht="18.75" customHeight="1">
      <c r="A46" s="566"/>
      <c r="B46" s="1209" t="s">
        <v>111</v>
      </c>
      <c r="C46" s="1210"/>
      <c r="D46" s="1210"/>
      <c r="E46" s="1211"/>
      <c r="F46" s="122"/>
      <c r="G46" s="567" cm="1">
        <f t="array" ref="G46">'PF calculator'!G46</f>
        <v>0</v>
      </c>
      <c r="H46" s="567" cm="1">
        <f t="array" ref="H46">'PF calculator'!H46</f>
        <v>0</v>
      </c>
      <c r="I46" s="567" cm="1">
        <f t="array" ref="I46">'PF calculator'!I46</f>
        <v>123</v>
      </c>
      <c r="J46" s="567" cm="1">
        <f t="array" ref="J46">'PF calculator'!J46</f>
        <v>0</v>
      </c>
      <c r="K46" s="568"/>
      <c r="L46" s="569" cm="1">
        <f t="array" ref="L46">IF(SUM(G46:J46)&lt;SUM(F51:J51),"n/a",F51)</f>
        <v>123</v>
      </c>
      <c r="M46" s="569" cm="1">
        <f t="array" ref="M46">IF(SUM(G46:J46)&lt;SUM(F51:J51),"n/a",G51-G46)</f>
        <v>0</v>
      </c>
      <c r="N46" s="569" cm="1">
        <f t="array" ref="N46">IF(SUM(G46:J46)&lt;SUM(F51:J51),"n/a",H51-H46)</f>
        <v>0</v>
      </c>
      <c r="O46" s="569" cm="1">
        <f t="array" ref="O46">IF(SUM(G46:J46)&lt;SUM(F51:J51),"n/a",I51-I46)</f>
        <v>-123</v>
      </c>
      <c r="P46" s="569" cm="1">
        <f t="array" ref="P46">IF(SUM(G46:J46)&lt;SUM(F51:J51),"n/a",J51-J46)</f>
        <v>0</v>
      </c>
      <c r="Q46" s="570"/>
      <c r="R46" s="1212" cm="1">
        <f t="array" ref="R46">-(SUMPRODUCT($M$46:$P$46,$M$52:$P$52))*(VLOOKUP($E$38,'Policy assumptions and formulae'!A10:D109,4,FALSE))</f>
        <v>3673805.8916927809</v>
      </c>
      <c r="S46" s="1226"/>
      <c r="T46" s="571"/>
      <c r="U46" s="522"/>
      <c r="V46" s="57"/>
      <c r="W46" s="57"/>
      <c r="X46" s="58"/>
    </row>
    <row r="47" spans="1:24" ht="18.75" customHeight="1">
      <c r="A47" s="566"/>
      <c r="B47" s="1209" t="s">
        <v>112</v>
      </c>
      <c r="C47" s="1210"/>
      <c r="D47" s="1210"/>
      <c r="E47" s="1211"/>
      <c r="F47" s="122"/>
      <c r="G47" s="567" cm="1">
        <f t="array" ref="G47">'PF calculator'!G47</f>
        <v>0</v>
      </c>
      <c r="H47" s="567" cm="1">
        <f t="array" ref="H47">'PF calculator'!H47</f>
        <v>0</v>
      </c>
      <c r="I47" s="567" cm="1">
        <f t="array" ref="I47">'PF calculator'!I47</f>
        <v>500</v>
      </c>
      <c r="J47" s="567" cm="1">
        <f t="array" ref="J47">'PF calculator'!J47</f>
        <v>0</v>
      </c>
      <c r="K47" s="568"/>
      <c r="L47" s="569" cm="1">
        <f t="array" ref="L47">IF(SUM(G47:J47)&lt;SUM(F52:J52),"n/a",F52)</f>
        <v>500</v>
      </c>
      <c r="M47" s="569" cm="1">
        <f t="array" ref="M47">IF(SUM(G47:J47)&lt;SUM(F52:J52),"n/a",G52-G47)</f>
        <v>0</v>
      </c>
      <c r="N47" s="569" cm="1">
        <f t="array" ref="N47">IF(SUM(G47:J47)&lt;SUM(F52:J52),"n/a",H52-H47)</f>
        <v>0</v>
      </c>
      <c r="O47" s="569" cm="1">
        <f t="array" ref="O47">IF(SUM(G47:J47)&lt;SUM(F52:J52),"n/a",I52-I47)</f>
        <v>-500</v>
      </c>
      <c r="P47" s="569" cm="1">
        <f t="array" ref="P47">IF(SUM(G47:J47)&lt;SUM(F52:J52),"n/a",J52-J47)</f>
        <v>0</v>
      </c>
      <c r="Q47" s="570"/>
      <c r="R47" s="1212" cm="1">
        <f t="array" ref="R47">-(SUMPRODUCT($M$47:$P$47,$M$52:$P$52))*(VLOOKUP($E$38,'Policy assumptions and formulae'!A10:D109,4,FALSE))</f>
        <v>14934170.291434068</v>
      </c>
      <c r="S47" s="1226"/>
      <c r="T47" s="571"/>
      <c r="U47" s="522"/>
      <c r="V47" s="57"/>
      <c r="W47" s="57"/>
      <c r="X47" s="58"/>
    </row>
    <row r="48" spans="1:24" ht="18.75" customHeight="1">
      <c r="A48" s="566"/>
      <c r="B48" s="1209" t="s">
        <v>113</v>
      </c>
      <c r="C48" s="1210"/>
      <c r="D48" s="1210"/>
      <c r="E48" s="1211"/>
      <c r="F48" s="122"/>
      <c r="G48" s="567" cm="1">
        <f t="array" ref="G48">'PF calculator'!G48</f>
        <v>0</v>
      </c>
      <c r="H48" s="567" cm="1">
        <f t="array" ref="H48">'PF calculator'!H48</f>
        <v>0</v>
      </c>
      <c r="I48" s="567" cm="1">
        <f t="array" ref="I48">'PF calculator'!I48</f>
        <v>0</v>
      </c>
      <c r="J48" s="567" cm="1">
        <f t="array" ref="J48">'PF calculator'!J48</f>
        <v>0</v>
      </c>
      <c r="K48" s="568"/>
      <c r="L48" s="569" cm="1">
        <f t="array" ref="L48">IF(SUM(G48:J48)&lt;SUM(F53:J53),"n/a",F53)</f>
        <v>0</v>
      </c>
      <c r="M48" s="569" cm="1">
        <f t="array" ref="M48">IF(SUM(G48:J48)&lt;SUM(F53:J53),"n/a",G53-G48)</f>
        <v>0</v>
      </c>
      <c r="N48" s="569" cm="1">
        <f t="array" ref="N48">IF(SUM(G48:J48)&lt;SUM(F53:J53),"n/a",H53-H48)</f>
        <v>0</v>
      </c>
      <c r="O48" s="569" cm="1">
        <f t="array" ref="O48">IF(SUM(G48:J48)&lt;SUM(F53:J53),"n/a",I53-I48)</f>
        <v>0</v>
      </c>
      <c r="P48" s="569" cm="1">
        <f t="array" ref="P48">IF(SUM(G48:J48)&lt;SUM(F53:J53),"n/a",J53-J48)</f>
        <v>0</v>
      </c>
      <c r="Q48" s="570"/>
      <c r="R48" s="1212" cm="1">
        <f t="array" ref="R48">-(SUMPRODUCT($M$48:$P$48,$M$52:$P$52))*(VLOOKUP($E$38,'Policy assumptions and formulae'!A10:D109,4,FALSE))</f>
        <v>0</v>
      </c>
      <c r="S48" s="1226"/>
      <c r="T48" s="571"/>
      <c r="U48" s="522"/>
      <c r="V48" s="57"/>
      <c r="W48" s="57"/>
      <c r="X48" s="58"/>
    </row>
    <row r="49" spans="1:24" ht="29.25" customHeight="1">
      <c r="A49" s="522"/>
      <c r="B49" s="529"/>
      <c r="C49" s="529"/>
      <c r="D49" s="529"/>
      <c r="E49" s="529"/>
      <c r="F49" s="572" t="s">
        <v>464</v>
      </c>
      <c r="G49" s="572" t="s">
        <v>114</v>
      </c>
      <c r="H49" s="572" t="s">
        <v>115</v>
      </c>
      <c r="I49" s="572" t="s">
        <v>117</v>
      </c>
      <c r="J49" s="572" t="s">
        <v>118</v>
      </c>
      <c r="K49" s="529"/>
      <c r="L49" s="572" t="s">
        <v>464</v>
      </c>
      <c r="M49" s="572" t="s">
        <v>114</v>
      </c>
      <c r="N49" s="572" t="s">
        <v>115</v>
      </c>
      <c r="O49" s="572" t="s">
        <v>117</v>
      </c>
      <c r="P49" s="572" t="s">
        <v>118</v>
      </c>
      <c r="Q49" s="529"/>
      <c r="R49" s="573"/>
      <c r="S49" s="573"/>
      <c r="T49" s="523"/>
      <c r="U49" s="522"/>
      <c r="V49" s="57"/>
      <c r="W49" s="57"/>
      <c r="X49" s="58"/>
    </row>
    <row r="50" spans="1:24" ht="18.75" customHeight="1">
      <c r="A50" s="522"/>
      <c r="B50" s="1217" t="s">
        <v>107</v>
      </c>
      <c r="C50" s="1218"/>
      <c r="D50" s="1218"/>
      <c r="E50" s="1218"/>
      <c r="F50" s="1219" t="s">
        <v>465</v>
      </c>
      <c r="G50" s="1220"/>
      <c r="H50" s="1220"/>
      <c r="I50" s="1220"/>
      <c r="J50" s="1220"/>
      <c r="K50" s="534"/>
      <c r="L50" s="1223" t="s">
        <v>120</v>
      </c>
      <c r="M50" s="1224"/>
      <c r="N50" s="1224"/>
      <c r="O50" s="1224"/>
      <c r="P50" s="1224"/>
      <c r="Q50" s="529"/>
      <c r="R50" s="529"/>
      <c r="S50" s="529"/>
      <c r="T50" s="523"/>
      <c r="U50" s="522"/>
      <c r="V50" s="57"/>
      <c r="W50" s="57"/>
      <c r="X50" s="58"/>
    </row>
    <row r="51" spans="1:24" ht="18.75" customHeight="1">
      <c r="A51" s="522"/>
      <c r="B51" s="1209" t="s">
        <v>111</v>
      </c>
      <c r="C51" s="1210"/>
      <c r="D51" s="1210"/>
      <c r="E51" s="1211"/>
      <c r="F51" s="567" cm="1">
        <f t="array" ref="F51">'PF calculator'!F51</f>
        <v>123</v>
      </c>
      <c r="G51" s="567" cm="1">
        <f t="array" ref="G51">'PF calculator'!G51</f>
        <v>0</v>
      </c>
      <c r="H51" s="567" cm="1">
        <f t="array" ref="H51">'PF calculator'!H51</f>
        <v>0</v>
      </c>
      <c r="I51" s="567" cm="1">
        <f t="array" ref="I51">'PF calculator'!I51</f>
        <v>0</v>
      </c>
      <c r="J51" s="567" cm="1">
        <f t="array" ref="J51">'PF calculator'!J51</f>
        <v>0</v>
      </c>
      <c r="K51" s="574"/>
      <c r="L51" s="1225"/>
      <c r="M51" s="1225"/>
      <c r="N51" s="1225"/>
      <c r="O51" s="1225"/>
      <c r="P51" s="1225"/>
      <c r="Q51" s="529"/>
      <c r="R51" s="529"/>
      <c r="S51" s="529"/>
      <c r="T51" s="523"/>
      <c r="U51" s="522"/>
      <c r="V51" s="57"/>
      <c r="W51" s="57"/>
      <c r="X51" s="58"/>
    </row>
    <row r="52" spans="1:24" ht="18.75" customHeight="1">
      <c r="A52" s="522"/>
      <c r="B52" s="1209" t="s">
        <v>112</v>
      </c>
      <c r="C52" s="1210"/>
      <c r="D52" s="1210"/>
      <c r="E52" s="1211"/>
      <c r="F52" s="567" cm="1">
        <f t="array" ref="F52">'PF calculator'!F52</f>
        <v>500</v>
      </c>
      <c r="G52" s="567" cm="1">
        <f t="array" ref="G52">'PF calculator'!G52</f>
        <v>0</v>
      </c>
      <c r="H52" s="567" cm="1">
        <f t="array" ref="H52">'PF calculator'!H52</f>
        <v>0</v>
      </c>
      <c r="I52" s="567" cm="1">
        <f t="array" ref="I52">'PF calculator'!I52</f>
        <v>0</v>
      </c>
      <c r="J52" s="567" cm="1">
        <f t="array" ref="J52">'PF calculator'!J52</f>
        <v>0</v>
      </c>
      <c r="K52" s="568"/>
      <c r="L52" s="575" cm="1">
        <f t="array" ref="L52">'Policy assumptions and formulae'!$AD$56</f>
        <v>0</v>
      </c>
      <c r="M52" s="575" cm="1">
        <f t="array" ref="M52">'Policy assumptions and formulae'!$AD$55</f>
        <v>58.833333333333343</v>
      </c>
      <c r="N52" s="575" cm="1">
        <f t="array" ref="N52">'Policy assumptions and formulae'!$AD$54</f>
        <v>294.16666666666674</v>
      </c>
      <c r="O52" s="575" cm="1">
        <f t="array" ref="O52">'Policy assumptions and formulae'!$AD$53</f>
        <v>1000.1666666666665</v>
      </c>
      <c r="P52" s="575" cm="1">
        <f t="array" ref="P52">'Policy assumptions and formulae'!$AD$52</f>
        <v>1588.5000000000002</v>
      </c>
      <c r="Q52" s="576"/>
      <c r="R52" s="529"/>
      <c r="S52" s="529"/>
      <c r="T52" s="523"/>
      <c r="U52" s="522"/>
      <c r="V52" s="57"/>
      <c r="W52" s="57"/>
      <c r="X52" s="58"/>
    </row>
    <row r="53" spans="1:24" ht="18.75" customHeight="1">
      <c r="A53" s="522"/>
      <c r="B53" s="1209" t="s">
        <v>121</v>
      </c>
      <c r="C53" s="1210"/>
      <c r="D53" s="1210"/>
      <c r="E53" s="1211"/>
      <c r="F53" s="567" cm="1">
        <f t="array" ref="F53">'PF calculator'!F53</f>
        <v>0</v>
      </c>
      <c r="G53" s="567" cm="1">
        <f t="array" ref="G53">'PF calculator'!G53</f>
        <v>0</v>
      </c>
      <c r="H53" s="567" cm="1">
        <f t="array" ref="H53">'PF calculator'!H53</f>
        <v>0</v>
      </c>
      <c r="I53" s="567" cm="1">
        <f t="array" ref="I53">'PF calculator'!I53</f>
        <v>0</v>
      </c>
      <c r="J53" s="567" cm="1">
        <f t="array" ref="J53">'PF calculator'!J53</f>
        <v>0</v>
      </c>
      <c r="K53" s="574"/>
      <c r="L53" s="577"/>
      <c r="M53" s="546"/>
      <c r="N53" s="546"/>
      <c r="O53" s="546"/>
      <c r="P53" s="546"/>
      <c r="Q53" s="529"/>
      <c r="R53" s="529"/>
      <c r="S53" s="529"/>
      <c r="T53" s="523"/>
      <c r="U53" s="522"/>
      <c r="V53" s="57"/>
      <c r="W53" s="57"/>
      <c r="X53" s="58"/>
    </row>
    <row r="54" spans="1:24" ht="28.5" customHeight="1">
      <c r="A54" s="522"/>
      <c r="B54" s="529"/>
      <c r="C54" s="529"/>
      <c r="D54" s="529"/>
      <c r="E54" s="529"/>
      <c r="F54" s="572" t="s">
        <v>464</v>
      </c>
      <c r="G54" s="572" t="s">
        <v>114</v>
      </c>
      <c r="H54" s="572" t="s">
        <v>115</v>
      </c>
      <c r="I54" s="572" t="s">
        <v>117</v>
      </c>
      <c r="J54" s="572" t="s">
        <v>118</v>
      </c>
      <c r="K54" s="529"/>
      <c r="L54" s="529"/>
      <c r="M54" s="529"/>
      <c r="N54" s="529"/>
      <c r="O54" s="529"/>
      <c r="P54" s="529"/>
      <c r="Q54" s="529"/>
      <c r="R54" s="529"/>
      <c r="S54" s="529"/>
      <c r="T54" s="523"/>
      <c r="U54" s="522"/>
      <c r="V54" s="57"/>
      <c r="W54" s="57"/>
      <c r="X54" s="58"/>
    </row>
    <row r="55" spans="1:24" ht="8" customHeight="1">
      <c r="A55" s="522"/>
      <c r="B55" s="549"/>
      <c r="C55" s="549"/>
      <c r="D55" s="549"/>
      <c r="E55" s="549"/>
      <c r="F55" s="549"/>
      <c r="G55" s="549"/>
      <c r="H55" s="549"/>
      <c r="I55" s="549"/>
      <c r="J55" s="549"/>
      <c r="K55" s="549"/>
      <c r="L55" s="549"/>
      <c r="M55" s="549"/>
      <c r="N55" s="549"/>
      <c r="O55" s="549"/>
      <c r="P55" s="549"/>
      <c r="Q55" s="549"/>
      <c r="R55" s="549"/>
      <c r="S55" s="549"/>
      <c r="T55" s="523"/>
      <c r="U55" s="522"/>
      <c r="V55" s="57"/>
      <c r="W55" s="57"/>
      <c r="X55" s="58"/>
    </row>
    <row r="56" spans="1:24" ht="18.75" customHeight="1">
      <c r="A56" s="522"/>
      <c r="B56" s="1190" t="e" cm="1" vm="4">
        <f t="array" aca="1" ref="B56" ca="1">'PF calculator'!B56:S56</f>
        <v>#VALUE!</v>
      </c>
      <c r="C56" s="1190"/>
      <c r="D56" s="1190"/>
      <c r="E56" s="1190"/>
      <c r="F56" s="1190"/>
      <c r="G56" s="1190"/>
      <c r="H56" s="1190"/>
      <c r="I56" s="1190"/>
      <c r="J56" s="1190"/>
      <c r="K56" s="1190"/>
      <c r="L56" s="1190"/>
      <c r="M56" s="1190"/>
      <c r="N56" s="1190"/>
      <c r="O56" s="1190"/>
      <c r="P56" s="1190"/>
      <c r="Q56" s="1190"/>
      <c r="R56" s="1190"/>
      <c r="S56" s="1190"/>
      <c r="T56" s="523"/>
      <c r="U56" s="522"/>
      <c r="V56" s="57"/>
      <c r="W56" s="57"/>
      <c r="X56" s="58"/>
    </row>
    <row r="57" spans="1:24" ht="8" customHeight="1">
      <c r="A57" s="522"/>
      <c r="B57" s="529"/>
      <c r="C57" s="529"/>
      <c r="D57" s="529"/>
      <c r="E57" s="530"/>
      <c r="F57" s="530"/>
      <c r="G57" s="529"/>
      <c r="H57" s="529"/>
      <c r="I57" s="529"/>
      <c r="J57" s="529"/>
      <c r="K57" s="529"/>
      <c r="L57" s="529"/>
      <c r="M57" s="529"/>
      <c r="N57" s="529"/>
      <c r="O57" s="529"/>
      <c r="P57" s="529"/>
      <c r="Q57" s="529"/>
      <c r="R57" s="529"/>
      <c r="S57" s="529"/>
      <c r="T57" s="523"/>
      <c r="U57" s="522"/>
      <c r="V57" s="57"/>
      <c r="W57" s="57"/>
      <c r="X57" s="58"/>
    </row>
    <row r="58" spans="1:24" ht="18.75" customHeight="1">
      <c r="A58" s="522"/>
      <c r="B58" s="1218" t="e" cm="1" vm="3">
        <f t="array" aca="1" ref="B58" ca="1">'PF calculator'!B58:D58</f>
        <v>#VALUE!</v>
      </c>
      <c r="C58" s="1218"/>
      <c r="D58" s="1227"/>
      <c r="E58" s="1228" cm="1">
        <f t="array" ref="E58">'PF calculator'!E58</f>
        <v>2024</v>
      </c>
      <c r="F58" s="1226"/>
      <c r="G58" s="533"/>
      <c r="H58" s="534"/>
      <c r="I58" s="534"/>
      <c r="J58" s="534"/>
      <c r="K58" s="534"/>
      <c r="L58" s="534"/>
      <c r="M58" s="534"/>
      <c r="N58" s="534"/>
      <c r="O58" s="534"/>
      <c r="P58" s="534"/>
      <c r="Q58" s="534"/>
      <c r="R58" s="534"/>
      <c r="S58" s="534"/>
      <c r="T58" s="523"/>
      <c r="U58" s="578" t="s">
        <v>466</v>
      </c>
      <c r="V58" s="57"/>
      <c r="W58" s="57"/>
      <c r="X58" s="58"/>
    </row>
    <row r="59" spans="1:24" ht="8" customHeight="1">
      <c r="A59" s="522"/>
      <c r="B59" s="534"/>
      <c r="C59" s="534"/>
      <c r="D59" s="534"/>
      <c r="E59" s="536"/>
      <c r="F59" s="536"/>
      <c r="G59" s="534"/>
      <c r="H59" s="534"/>
      <c r="I59" s="534"/>
      <c r="J59" s="534"/>
      <c r="K59" s="534"/>
      <c r="L59" s="534"/>
      <c r="M59" s="534"/>
      <c r="N59" s="534"/>
      <c r="O59" s="534"/>
      <c r="P59" s="534"/>
      <c r="Q59" s="534"/>
      <c r="R59" s="534"/>
      <c r="S59" s="534"/>
      <c r="T59" s="523"/>
      <c r="U59" s="522"/>
      <c r="V59" s="57"/>
      <c r="W59" s="57"/>
      <c r="X59" s="58"/>
    </row>
    <row r="60" spans="1:24" ht="18.75" customHeight="1">
      <c r="A60" s="522"/>
      <c r="B60" s="1217" t="s">
        <v>107</v>
      </c>
      <c r="C60" s="1218"/>
      <c r="D60" s="1218"/>
      <c r="E60" s="1218"/>
      <c r="F60" s="1219" t="s">
        <v>125</v>
      </c>
      <c r="G60" s="1220"/>
      <c r="H60" s="1220"/>
      <c r="I60" s="1220"/>
      <c r="J60" s="1220"/>
      <c r="K60" s="534"/>
      <c r="L60" s="1219" t="s">
        <v>109</v>
      </c>
      <c r="M60" s="1220"/>
      <c r="N60" s="1220"/>
      <c r="O60" s="1220"/>
      <c r="P60" s="1220"/>
      <c r="Q60" s="534"/>
      <c r="R60" s="1221" t="s">
        <v>110</v>
      </c>
      <c r="S60" s="1222"/>
      <c r="T60" s="523"/>
      <c r="U60" s="522"/>
      <c r="V60" s="57"/>
      <c r="W60" s="57"/>
      <c r="X60" s="58"/>
    </row>
    <row r="61" spans="1:24" ht="18.75" customHeight="1">
      <c r="A61" s="522"/>
      <c r="B61" s="1209" t="s">
        <v>111</v>
      </c>
      <c r="C61" s="1210"/>
      <c r="D61" s="1210"/>
      <c r="E61" s="1211"/>
      <c r="F61" s="122"/>
      <c r="G61" s="567" cm="1">
        <f t="array" ref="G61">'PF calculator'!G61</f>
        <v>0</v>
      </c>
      <c r="H61" s="567" cm="1">
        <f t="array" ref="H61">'PF calculator'!H61</f>
        <v>0</v>
      </c>
      <c r="I61" s="567" cm="1">
        <f t="array" ref="I61">'PF calculator'!I61</f>
        <v>14</v>
      </c>
      <c r="J61" s="567" cm="1">
        <f t="array" ref="J61">'PF calculator'!J61</f>
        <v>0</v>
      </c>
      <c r="K61" s="568"/>
      <c r="L61" s="569" cm="1">
        <f t="array" ref="L61">IF(SUM(G61:J61)&lt;SUM(F66:J66),"n/a",F66)</f>
        <v>14</v>
      </c>
      <c r="M61" s="569" cm="1">
        <f t="array" ref="M61">IF(SUM(G61:J61)&lt;SUM(F66:J66),"n/a",G66-G61)</f>
        <v>0</v>
      </c>
      <c r="N61" s="569" cm="1">
        <f t="array" ref="N61">IF(SUM(G61:J61)&lt;SUM(F66:J66),"n/a",H66-H61)</f>
        <v>0</v>
      </c>
      <c r="O61" s="569" cm="1">
        <f t="array" ref="O61">IF(SUM(G61:J61)&lt;SUM(F66:J66),"n/a",I66-I61)</f>
        <v>-14</v>
      </c>
      <c r="P61" s="569" cm="1">
        <f t="array" ref="P61">IF(SUM(G61:J61)&lt;SUM(F66:J66),"n/a",J66-J61)</f>
        <v>0</v>
      </c>
      <c r="Q61" s="570"/>
      <c r="R61" s="1212" cm="1">
        <f t="array" ref="R61">IF($E$58+$E$38&lt;2041,"Ltd by DoB",(-SUMPRODUCT($M$61:$P$61,$M$67:$P$67)*VLOOKUP($E$38,'Policy assumptions and formulae'!$A$10:$D$109,4,FALSE))-(-SUMPRODUCT($M$61:$P$61,$M$67:$P$67)*VLOOKUP((2040-$E$58),'Policy assumptions and formulae'!$A$10:$D$109,4,FALSE)))</f>
        <v>234808.57990684893</v>
      </c>
      <c r="S61" s="1226"/>
      <c r="T61" s="571"/>
      <c r="U61" s="522"/>
      <c r="V61" s="57"/>
      <c r="W61" s="57"/>
      <c r="X61" s="58"/>
    </row>
    <row r="62" spans="1:24" ht="18.75" customHeight="1">
      <c r="A62" s="522"/>
      <c r="B62" s="1209" t="s">
        <v>112</v>
      </c>
      <c r="C62" s="1210"/>
      <c r="D62" s="1210"/>
      <c r="E62" s="1211"/>
      <c r="F62" s="122"/>
      <c r="G62" s="567" cm="1">
        <f t="array" ref="G62">'PF calculator'!G62</f>
        <v>0</v>
      </c>
      <c r="H62" s="567" cm="1">
        <f t="array" ref="H62">'PF calculator'!H62</f>
        <v>0</v>
      </c>
      <c r="I62" s="567" cm="1">
        <f t="array" ref="I62">'PF calculator'!I62</f>
        <v>0</v>
      </c>
      <c r="J62" s="567" cm="1">
        <f t="array" ref="J62">'PF calculator'!J62</f>
        <v>0</v>
      </c>
      <c r="K62" s="568"/>
      <c r="L62" s="569" cm="1">
        <f t="array" ref="L62">IF(SUM(G62:J62)&lt;SUM(F67:J67),"n/a",F67)</f>
        <v>0</v>
      </c>
      <c r="M62" s="569" cm="1">
        <f t="array" ref="M62">IF(SUM(G62:J62)&lt;SUM(F67:J67),"n/a",G67-G62)</f>
        <v>0</v>
      </c>
      <c r="N62" s="569" cm="1">
        <f t="array" ref="N62">IF(SUM(G62:J62)&lt;SUM(F67:J67),"n/a",H67-H62)</f>
        <v>0</v>
      </c>
      <c r="O62" s="569" cm="1">
        <f t="array" ref="O62">IF(SUM(G62:J62)&lt;SUM(F67:J67),"n/a",I67-I62)</f>
        <v>0</v>
      </c>
      <c r="P62" s="569" cm="1">
        <f t="array" ref="P62">IF(SUM(G62:J62)&lt;SUM(F67:J67),"n/a",J67-J62)</f>
        <v>0</v>
      </c>
      <c r="Q62" s="570"/>
      <c r="R62" s="1212" cm="1">
        <f t="array" ref="R62">IF($E$58+$E$38&lt;2041,"Ltd by DoB",(-SUMPRODUCT($M$62:$P$62,$M$67:$P$67)*VLOOKUP($E$38,'Policy assumptions and formulae'!$A$10:$D$109,4,FALSE))-(-SUMPRODUCT($M$62:$P$62,$M$67:$P$67)*VLOOKUP((2040-$E$58),'Policy assumptions and formulae'!$A$10:$D$109,4,FALSE)))</f>
        <v>0</v>
      </c>
      <c r="S62" s="1226"/>
      <c r="T62" s="571"/>
      <c r="U62" s="522"/>
      <c r="V62" s="57"/>
      <c r="W62" s="57"/>
      <c r="X62" s="58"/>
    </row>
    <row r="63" spans="1:24" ht="18.75" customHeight="1">
      <c r="A63" s="522"/>
      <c r="B63" s="1209" t="s">
        <v>113</v>
      </c>
      <c r="C63" s="1210"/>
      <c r="D63" s="1210"/>
      <c r="E63" s="1211"/>
      <c r="F63" s="122"/>
      <c r="G63" s="567" cm="1">
        <f t="array" ref="G63">'PF calculator'!G63</f>
        <v>0</v>
      </c>
      <c r="H63" s="567" cm="1">
        <f t="array" ref="H63">'PF calculator'!H63</f>
        <v>0</v>
      </c>
      <c r="I63" s="567" cm="1">
        <f t="array" ref="I63">'PF calculator'!I63</f>
        <v>0</v>
      </c>
      <c r="J63" s="567" cm="1">
        <f t="array" ref="J63">'PF calculator'!J63</f>
        <v>0</v>
      </c>
      <c r="K63" s="568"/>
      <c r="L63" s="569" cm="1">
        <f t="array" ref="L63">IF(SUM(G63:J63)&lt;SUM(F68:J68),"n/a",F68)</f>
        <v>0</v>
      </c>
      <c r="M63" s="569" cm="1">
        <f t="array" ref="M63">IF(SUM(G63:J63)&lt;SUM(F68:J68),"n/a",G68-G63)</f>
        <v>0</v>
      </c>
      <c r="N63" s="569" cm="1">
        <f t="array" ref="N63">IF(SUM(G63:J63)&lt;SUM(F68:J68),"n/a",H68-H63)</f>
        <v>0</v>
      </c>
      <c r="O63" s="569" cm="1">
        <f t="array" ref="O63">IF(SUM(G63:J63)&lt;SUM(F68:J68),"n/a",I68-I63)</f>
        <v>0</v>
      </c>
      <c r="P63" s="569" cm="1">
        <f t="array" ref="P63">IF(SUM(G63:J63)&lt;SUM(F68:J68),"n/a",J68-J63)</f>
        <v>0</v>
      </c>
      <c r="Q63" s="570"/>
      <c r="R63" s="1212" cm="1">
        <f t="array" ref="R63">IF($E$58+$E$38&lt;2041,"Ltd by DoB",(-SUMPRODUCT($M$63:$P$63,$M$67:$P$67)*VLOOKUP($E$38,'Policy assumptions and formulae'!$A$10:$D$109,4,FALSE))-(-SUMPRODUCT($M$63:$P$63,$M$67:$P$67)*VLOOKUP((2040-$E$58),'Policy assumptions and formulae'!$A$10:$D$109,4,FALSE)))</f>
        <v>0</v>
      </c>
      <c r="S63" s="1226"/>
      <c r="T63" s="571"/>
      <c r="U63" s="522"/>
      <c r="V63" s="57"/>
      <c r="W63" s="57"/>
      <c r="X63" s="58"/>
    </row>
    <row r="64" spans="1:24" ht="28.5" customHeight="1">
      <c r="A64" s="522"/>
      <c r="B64" s="529"/>
      <c r="C64" s="529"/>
      <c r="D64" s="529"/>
      <c r="E64" s="529"/>
      <c r="F64" s="572" t="s">
        <v>464</v>
      </c>
      <c r="G64" s="572" t="s">
        <v>114</v>
      </c>
      <c r="H64" s="572" t="s">
        <v>115</v>
      </c>
      <c r="I64" s="572" t="s">
        <v>117</v>
      </c>
      <c r="J64" s="572" t="s">
        <v>118</v>
      </c>
      <c r="K64" s="579"/>
      <c r="L64" s="572" t="s">
        <v>467</v>
      </c>
      <c r="M64" s="572" t="s">
        <v>114</v>
      </c>
      <c r="N64" s="572" t="s">
        <v>115</v>
      </c>
      <c r="O64" s="572" t="s">
        <v>117</v>
      </c>
      <c r="P64" s="572" t="s">
        <v>118</v>
      </c>
      <c r="Q64" s="529"/>
      <c r="R64" s="573"/>
      <c r="S64" s="573"/>
      <c r="T64" s="523"/>
      <c r="U64" s="522"/>
      <c r="V64" s="57"/>
      <c r="W64" s="57"/>
      <c r="X64" s="58"/>
    </row>
    <row r="65" spans="1:24" ht="18.75" customHeight="1">
      <c r="A65" s="522"/>
      <c r="B65" s="1217" t="s">
        <v>107</v>
      </c>
      <c r="C65" s="1218"/>
      <c r="D65" s="1218"/>
      <c r="E65" s="1218"/>
      <c r="F65" s="1219" t="s">
        <v>465</v>
      </c>
      <c r="G65" s="1220"/>
      <c r="H65" s="1220"/>
      <c r="I65" s="1220"/>
      <c r="J65" s="1220"/>
      <c r="K65" s="534"/>
      <c r="L65" s="1223" t="s">
        <v>120</v>
      </c>
      <c r="M65" s="1224"/>
      <c r="N65" s="1224"/>
      <c r="O65" s="1224"/>
      <c r="P65" s="1224"/>
      <c r="Q65" s="534"/>
      <c r="R65" s="534"/>
      <c r="S65" s="534"/>
      <c r="T65" s="523"/>
      <c r="U65" s="522"/>
      <c r="V65" s="57"/>
      <c r="W65" s="57"/>
      <c r="X65" s="58"/>
    </row>
    <row r="66" spans="1:24" ht="18.75" customHeight="1">
      <c r="A66" s="522"/>
      <c r="B66" s="1209" t="s">
        <v>111</v>
      </c>
      <c r="C66" s="1210"/>
      <c r="D66" s="1210"/>
      <c r="E66" s="1211"/>
      <c r="F66" s="567" cm="1">
        <f t="array" ref="F66">'PF calculator'!F66</f>
        <v>14</v>
      </c>
      <c r="G66" s="567" cm="1">
        <f t="array" ref="G66">'PF calculator'!G66</f>
        <v>0</v>
      </c>
      <c r="H66" s="567" cm="1">
        <f t="array" ref="H66">'PF calculator'!H66</f>
        <v>0</v>
      </c>
      <c r="I66" s="567" cm="1">
        <f t="array" ref="I66">'PF calculator'!I66</f>
        <v>0</v>
      </c>
      <c r="J66" s="567" cm="1">
        <f t="array" ref="J66">'PF calculator'!J66</f>
        <v>0</v>
      </c>
      <c r="K66" s="574"/>
      <c r="L66" s="1225"/>
      <c r="M66" s="1225"/>
      <c r="N66" s="1225"/>
      <c r="O66" s="1225"/>
      <c r="P66" s="1225"/>
      <c r="Q66" s="534"/>
      <c r="R66" s="534"/>
      <c r="S66" s="534"/>
      <c r="T66" s="523"/>
      <c r="U66" s="522"/>
      <c r="V66" s="57"/>
      <c r="W66" s="57"/>
      <c r="X66" s="58"/>
    </row>
    <row r="67" spans="1:24" ht="18.75" customHeight="1">
      <c r="A67" s="522"/>
      <c r="B67" s="1209" t="s">
        <v>112</v>
      </c>
      <c r="C67" s="1210"/>
      <c r="D67" s="1210"/>
      <c r="E67" s="1211"/>
      <c r="F67" s="567" cm="1">
        <f t="array" ref="F67">'PF calculator'!F67</f>
        <v>0</v>
      </c>
      <c r="G67" s="567" cm="1">
        <f t="array" ref="G67">'PF calculator'!G67</f>
        <v>0</v>
      </c>
      <c r="H67" s="567" cm="1">
        <f t="array" ref="H67">'PF calculator'!H67</f>
        <v>0</v>
      </c>
      <c r="I67" s="567" cm="1">
        <f t="array" ref="I67">'PF calculator'!I67</f>
        <v>0</v>
      </c>
      <c r="J67" s="567" cm="1">
        <f t="array" ref="J67">'PF calculator'!J67</f>
        <v>0</v>
      </c>
      <c r="K67" s="568"/>
      <c r="L67" s="575" cm="1">
        <f t="array" ref="L67">'Policy assumptions and formulae'!$AD$56</f>
        <v>0</v>
      </c>
      <c r="M67" s="575" cm="1">
        <f t="array" ref="M67">'Policy assumptions and formulae'!$AD$55</f>
        <v>58.833333333333343</v>
      </c>
      <c r="N67" s="575" cm="1">
        <f t="array" ref="N67">'Policy assumptions and formulae'!$AD$54</f>
        <v>294.16666666666674</v>
      </c>
      <c r="O67" s="575" cm="1">
        <f t="array" ref="O67">'Policy assumptions and formulae'!$AD$53</f>
        <v>1000.1666666666665</v>
      </c>
      <c r="P67" s="575" cm="1">
        <f t="array" ref="P67">'Policy assumptions and formulae'!$AD$52</f>
        <v>1588.5000000000002</v>
      </c>
      <c r="Q67" s="574"/>
      <c r="R67" s="534"/>
      <c r="S67" s="534"/>
      <c r="T67" s="523"/>
      <c r="U67" s="522"/>
      <c r="V67" s="57"/>
      <c r="W67" s="57"/>
      <c r="X67" s="58"/>
    </row>
    <row r="68" spans="1:24" ht="18.75" customHeight="1">
      <c r="A68" s="522"/>
      <c r="B68" s="1209" t="s">
        <v>113</v>
      </c>
      <c r="C68" s="1210"/>
      <c r="D68" s="1210"/>
      <c r="E68" s="1211"/>
      <c r="F68" s="567" cm="1">
        <f t="array" ref="F68">'PF calculator'!F68</f>
        <v>0</v>
      </c>
      <c r="G68" s="567" cm="1">
        <f t="array" ref="G68">'PF calculator'!G68</f>
        <v>0</v>
      </c>
      <c r="H68" s="567" cm="1">
        <f t="array" ref="H68">'PF calculator'!H68</f>
        <v>0</v>
      </c>
      <c r="I68" s="567" cm="1">
        <f t="array" ref="I68">'PF calculator'!I68</f>
        <v>0</v>
      </c>
      <c r="J68" s="567" cm="1">
        <f t="array" ref="J68">'PF calculator'!J68</f>
        <v>0</v>
      </c>
      <c r="K68" s="574"/>
      <c r="L68" s="577"/>
      <c r="M68" s="546"/>
      <c r="N68" s="546"/>
      <c r="O68" s="546"/>
      <c r="P68" s="546"/>
      <c r="Q68" s="534"/>
      <c r="R68" s="534"/>
      <c r="S68" s="534"/>
      <c r="T68" s="523"/>
      <c r="U68" s="522"/>
      <c r="V68" s="57"/>
      <c r="W68" s="57"/>
      <c r="X68" s="58"/>
    </row>
    <row r="69" spans="1:24" ht="28.5" customHeight="1">
      <c r="A69" s="522"/>
      <c r="B69" s="529"/>
      <c r="C69" s="529"/>
      <c r="D69" s="529"/>
      <c r="E69" s="529"/>
      <c r="F69" s="572" t="s">
        <v>464</v>
      </c>
      <c r="G69" s="572" t="s">
        <v>114</v>
      </c>
      <c r="H69" s="572" t="s">
        <v>115</v>
      </c>
      <c r="I69" s="572" t="s">
        <v>117</v>
      </c>
      <c r="J69" s="572" t="s">
        <v>118</v>
      </c>
      <c r="K69" s="529"/>
      <c r="L69" s="529"/>
      <c r="M69" s="529"/>
      <c r="N69" s="529"/>
      <c r="O69" s="529"/>
      <c r="P69" s="529"/>
      <c r="Q69" s="529"/>
      <c r="R69" s="529"/>
      <c r="S69" s="529"/>
      <c r="T69" s="523"/>
      <c r="U69" s="522"/>
      <c r="V69" s="57"/>
      <c r="W69" s="57"/>
      <c r="X69" s="58"/>
    </row>
    <row r="70" spans="1:24" ht="8" customHeight="1">
      <c r="A70" s="522"/>
      <c r="B70" s="549"/>
      <c r="C70" s="549"/>
      <c r="D70" s="549"/>
      <c r="E70" s="549"/>
      <c r="F70" s="549"/>
      <c r="G70" s="549"/>
      <c r="H70" s="549"/>
      <c r="I70" s="549"/>
      <c r="J70" s="549"/>
      <c r="K70" s="549"/>
      <c r="L70" s="549"/>
      <c r="M70" s="549"/>
      <c r="N70" s="549"/>
      <c r="O70" s="549"/>
      <c r="P70" s="549"/>
      <c r="Q70" s="549"/>
      <c r="R70" s="549"/>
      <c r="S70" s="549"/>
      <c r="T70" s="523"/>
      <c r="U70" s="522"/>
      <c r="V70" s="57"/>
      <c r="W70" s="57"/>
      <c r="X70" s="58"/>
    </row>
    <row r="71" spans="1:24" ht="18.75" customHeight="1">
      <c r="A71" s="522"/>
      <c r="B71" s="1190" t="e" cm="1" vm="4">
        <f t="array" aca="1" ref="B71" ca="1">'PF calculator'!B71:S71</f>
        <v>#VALUE!</v>
      </c>
      <c r="C71" s="1190"/>
      <c r="D71" s="1190"/>
      <c r="E71" s="1190"/>
      <c r="F71" s="1190"/>
      <c r="G71" s="1190"/>
      <c r="H71" s="1190"/>
      <c r="I71" s="1190"/>
      <c r="J71" s="1190"/>
      <c r="K71" s="1190"/>
      <c r="L71" s="1190"/>
      <c r="M71" s="1190"/>
      <c r="N71" s="1190"/>
      <c r="O71" s="1190"/>
      <c r="P71" s="1190"/>
      <c r="Q71" s="1190"/>
      <c r="R71" s="1190"/>
      <c r="S71" s="1190"/>
      <c r="T71" s="523"/>
      <c r="U71" s="522"/>
      <c r="V71" s="57"/>
      <c r="W71" s="57"/>
      <c r="X71" s="58"/>
    </row>
    <row r="72" spans="1:24" ht="8" customHeight="1">
      <c r="A72" s="522"/>
      <c r="B72" s="529"/>
      <c r="C72" s="529"/>
      <c r="D72" s="529"/>
      <c r="E72" s="529"/>
      <c r="F72" s="529"/>
      <c r="G72" s="529"/>
      <c r="H72" s="529"/>
      <c r="I72" s="529"/>
      <c r="J72" s="529"/>
      <c r="K72" s="529"/>
      <c r="L72" s="529"/>
      <c r="M72" s="529"/>
      <c r="N72" s="529"/>
      <c r="O72" s="529"/>
      <c r="P72" s="529"/>
      <c r="Q72" s="529"/>
      <c r="R72" s="529"/>
      <c r="S72" s="529"/>
      <c r="T72" s="523"/>
      <c r="U72" s="522"/>
      <c r="V72" s="57"/>
      <c r="W72" s="57"/>
      <c r="X72" s="58"/>
    </row>
    <row r="73" spans="1:24" ht="18.75" customHeight="1">
      <c r="A73" s="522"/>
      <c r="B73" s="1217" t="s">
        <v>107</v>
      </c>
      <c r="C73" s="1218"/>
      <c r="D73" s="1218"/>
      <c r="E73" s="1218"/>
      <c r="F73" s="1219" t="s">
        <v>108</v>
      </c>
      <c r="G73" s="1220"/>
      <c r="H73" s="534"/>
      <c r="I73" s="534"/>
      <c r="J73" s="1217" t="s">
        <v>127</v>
      </c>
      <c r="K73" s="1218"/>
      <c r="L73" s="1218"/>
      <c r="M73" s="1218"/>
      <c r="N73" s="564"/>
      <c r="O73" s="564"/>
      <c r="P73" s="534"/>
      <c r="Q73" s="534"/>
      <c r="R73" s="1221" t="s">
        <v>110</v>
      </c>
      <c r="S73" s="1222"/>
      <c r="T73" s="523"/>
      <c r="U73" s="522"/>
      <c r="V73" s="57"/>
      <c r="W73" s="57"/>
      <c r="X73" s="58"/>
    </row>
    <row r="74" spans="1:24" ht="18.75" customHeight="1">
      <c r="A74" s="522"/>
      <c r="B74" s="1209" t="s">
        <v>111</v>
      </c>
      <c r="C74" s="1210"/>
      <c r="D74" s="1210"/>
      <c r="E74" s="1211"/>
      <c r="F74" s="567" cm="1">
        <f t="array" ref="F74">'PF calculator'!F74</f>
        <v>0</v>
      </c>
      <c r="G74" s="567" cm="1">
        <f t="array" ref="G74">'PF calculator'!G74</f>
        <v>0</v>
      </c>
      <c r="H74" s="574"/>
      <c r="I74" s="534"/>
      <c r="J74" s="1209" t="s">
        <v>128</v>
      </c>
      <c r="K74" s="1210"/>
      <c r="L74" s="1210"/>
      <c r="M74" s="1211"/>
      <c r="N74" s="580" cm="1">
        <f t="array" ref="N74">'Policy assumptions and formulae'!$AJ$7</f>
        <v>6800</v>
      </c>
      <c r="O74" s="580" cm="1">
        <f t="array" ref="O74">'Policy assumptions and formulae'!$AJ$7</f>
        <v>6800</v>
      </c>
      <c r="P74" s="581"/>
      <c r="Q74" s="582"/>
      <c r="R74" s="1212" cm="1">
        <f t="array" ref="R74">SUMPRODUCT($N$76:$O$76,$F$74:$G$74)*VLOOKUP($E$38,'Policy assumptions and formulae'!$A$10:$D$109,4,FALSE)</f>
        <v>0</v>
      </c>
      <c r="S74" s="1213"/>
      <c r="T74" s="571"/>
      <c r="U74" s="522"/>
      <c r="V74" s="57"/>
      <c r="W74" s="57"/>
      <c r="X74" s="58"/>
    </row>
    <row r="75" spans="1:24" ht="18.75" customHeight="1">
      <c r="A75" s="522"/>
      <c r="B75" s="1209" t="s">
        <v>112</v>
      </c>
      <c r="C75" s="1210"/>
      <c r="D75" s="1210"/>
      <c r="E75" s="1211"/>
      <c r="F75" s="567" cm="1">
        <f t="array" ref="F75">'PF calculator'!F75</f>
        <v>0</v>
      </c>
      <c r="G75" s="567" cm="1">
        <f t="array" ref="G75">'PF calculator'!G75</f>
        <v>0</v>
      </c>
      <c r="H75" s="574"/>
      <c r="I75" s="534"/>
      <c r="J75" s="1209" t="s">
        <v>129</v>
      </c>
      <c r="K75" s="1210"/>
      <c r="L75" s="1210"/>
      <c r="M75" s="1211"/>
      <c r="N75" s="583" cm="1">
        <f t="array" ref="N75">'Policy assumptions and formulae'!AJ28</f>
        <v>50</v>
      </c>
      <c r="O75" s="583" cm="1">
        <f t="array" ref="O75">'Policy assumptions and formulae'!AJ26</f>
        <v>20</v>
      </c>
      <c r="P75" s="584" t="s">
        <v>130</v>
      </c>
      <c r="Q75" s="582"/>
      <c r="R75" s="1212" cm="1">
        <f t="array" ref="R75">SUMPRODUCT($N$76:$O$76,$F$75:$G$75)*VLOOKUP($E$38,'Policy assumptions and formulae'!$A$10:$D$109,4,FALSE)</f>
        <v>0</v>
      </c>
      <c r="S75" s="1213"/>
      <c r="T75" s="571"/>
      <c r="U75" s="522"/>
      <c r="V75" s="57"/>
      <c r="W75" s="57"/>
      <c r="X75" s="58"/>
    </row>
    <row r="76" spans="1:24" ht="18.75" customHeight="1">
      <c r="A76" s="522"/>
      <c r="B76" s="1209" t="s">
        <v>113</v>
      </c>
      <c r="C76" s="1210"/>
      <c r="D76" s="1210"/>
      <c r="E76" s="1211"/>
      <c r="F76" s="567" cm="1">
        <f t="array" ref="F76">'PF calculator'!F76</f>
        <v>0</v>
      </c>
      <c r="G76" s="567" cm="1">
        <f t="array" ref="G76">'PF calculator'!G76</f>
        <v>0</v>
      </c>
      <c r="H76" s="574"/>
      <c r="I76" s="534"/>
      <c r="J76" s="1214" t="s">
        <v>131</v>
      </c>
      <c r="K76" s="1215"/>
      <c r="L76" s="1215"/>
      <c r="M76" s="1216"/>
      <c r="N76" s="580" cm="1">
        <f t="array" ref="N76">'Policy assumptions and formulae'!$AM$28</f>
        <v>1341.3864802956584</v>
      </c>
      <c r="O76" s="580" cm="1">
        <f t="array" ref="O76">'Policy assumptions and formulae'!$AM$26</f>
        <v>3417.4480141353633</v>
      </c>
      <c r="P76" s="585"/>
      <c r="Q76" s="582"/>
      <c r="R76" s="1212" cm="1">
        <f t="array" ref="R76">SUMPRODUCT($N$76:$O$76,$F$76:$G$76)*VLOOKUP($E$38,'Policy assumptions and formulae'!$A$10:$D$109,4,FALSE)</f>
        <v>0</v>
      </c>
      <c r="S76" s="1213"/>
      <c r="T76" s="571"/>
      <c r="U76" s="522"/>
      <c r="V76" s="57"/>
      <c r="W76" s="57"/>
      <c r="X76" s="58"/>
    </row>
    <row r="77" spans="1:24" ht="18.75" customHeight="1">
      <c r="A77" s="522"/>
      <c r="B77" s="534"/>
      <c r="C77" s="534"/>
      <c r="D77" s="534"/>
      <c r="E77" s="534"/>
      <c r="F77" s="572" t="s">
        <v>468</v>
      </c>
      <c r="G77" s="572" t="s">
        <v>133</v>
      </c>
      <c r="H77" s="534"/>
      <c r="I77" s="534"/>
      <c r="J77" s="1215"/>
      <c r="K77" s="1215"/>
      <c r="L77" s="1215"/>
      <c r="M77" s="1215"/>
      <c r="N77" s="572" t="s">
        <v>134</v>
      </c>
      <c r="O77" s="572" t="s">
        <v>135</v>
      </c>
      <c r="P77" s="586"/>
      <c r="Q77" s="534"/>
      <c r="R77" s="536"/>
      <c r="S77" s="536"/>
      <c r="T77" s="523"/>
      <c r="U77" s="522"/>
      <c r="V77" s="57"/>
      <c r="W77" s="57"/>
      <c r="X77" s="58"/>
    </row>
    <row r="78" spans="1:24" ht="8" customHeight="1">
      <c r="A78" s="522"/>
      <c r="B78" s="549"/>
      <c r="C78" s="549"/>
      <c r="D78" s="549"/>
      <c r="E78" s="549"/>
      <c r="F78" s="549"/>
      <c r="G78" s="549"/>
      <c r="H78" s="549"/>
      <c r="I78" s="549"/>
      <c r="J78" s="549"/>
      <c r="K78" s="549"/>
      <c r="L78" s="549"/>
      <c r="M78" s="549"/>
      <c r="N78" s="549"/>
      <c r="O78" s="549"/>
      <c r="P78" s="549"/>
      <c r="Q78" s="549"/>
      <c r="R78" s="549"/>
      <c r="S78" s="549"/>
      <c r="T78" s="523"/>
      <c r="U78" s="522"/>
      <c r="V78" s="57"/>
      <c r="W78" s="57"/>
      <c r="X78" s="58"/>
    </row>
    <row r="79" spans="1:24" ht="18.75" customHeight="1">
      <c r="A79" s="522"/>
      <c r="B79" s="1190" t="e" cm="1" vm="4">
        <f t="array" aca="1" ref="B79" ca="1">'PF calculator'!B79:S79</f>
        <v>#VALUE!</v>
      </c>
      <c r="C79" s="1190"/>
      <c r="D79" s="1190"/>
      <c r="E79" s="1190"/>
      <c r="F79" s="1190"/>
      <c r="G79" s="1190"/>
      <c r="H79" s="1190"/>
      <c r="I79" s="1190"/>
      <c r="J79" s="1190"/>
      <c r="K79" s="1190"/>
      <c r="L79" s="1190"/>
      <c r="M79" s="1190"/>
      <c r="N79" s="1190"/>
      <c r="O79" s="1190"/>
      <c r="P79" s="1190"/>
      <c r="Q79" s="1190"/>
      <c r="R79" s="1190"/>
      <c r="S79" s="1190"/>
      <c r="T79" s="523"/>
      <c r="U79" s="522"/>
      <c r="V79" s="57"/>
      <c r="W79" s="57"/>
      <c r="X79" s="58"/>
    </row>
    <row r="80" spans="1:24" ht="8" customHeight="1">
      <c r="A80" s="522"/>
      <c r="B80" s="550"/>
      <c r="C80" s="529"/>
      <c r="D80" s="529"/>
      <c r="E80" s="529"/>
      <c r="F80" s="529"/>
      <c r="G80" s="529"/>
      <c r="H80" s="529"/>
      <c r="I80" s="529"/>
      <c r="J80" s="529"/>
      <c r="K80" s="529"/>
      <c r="L80" s="529"/>
      <c r="M80" s="529"/>
      <c r="N80" s="529"/>
      <c r="O80" s="529"/>
      <c r="P80" s="529"/>
      <c r="Q80" s="529"/>
      <c r="R80" s="529"/>
      <c r="S80" s="529"/>
      <c r="T80" s="523"/>
      <c r="U80" s="522"/>
      <c r="V80" s="57"/>
      <c r="W80" s="57"/>
      <c r="X80" s="58"/>
    </row>
    <row r="81" spans="1:24" ht="18.75" customHeight="1">
      <c r="A81" s="522"/>
      <c r="B81" s="587"/>
      <c r="C81" s="559"/>
      <c r="D81" s="1199" t="s">
        <v>469</v>
      </c>
      <c r="E81" s="1200"/>
      <c r="F81" s="1200"/>
      <c r="G81" s="1199" t="s">
        <v>470</v>
      </c>
      <c r="H81" s="1200"/>
      <c r="I81" s="1200"/>
      <c r="J81" s="1200"/>
      <c r="K81" s="1200"/>
      <c r="L81" s="529"/>
      <c r="M81" s="529"/>
      <c r="N81" s="529"/>
      <c r="O81" s="529"/>
      <c r="P81" s="529"/>
      <c r="Q81" s="529"/>
      <c r="R81" s="529"/>
      <c r="S81" s="529"/>
      <c r="T81" s="523"/>
      <c r="U81" s="522"/>
      <c r="V81" s="57"/>
      <c r="W81" s="57"/>
      <c r="X81" s="58"/>
    </row>
    <row r="82" spans="1:24" ht="18.75" customHeight="1">
      <c r="A82" s="522"/>
      <c r="B82" s="1201" t="s">
        <v>471</v>
      </c>
      <c r="C82" s="1202"/>
      <c r="D82" s="588" t="s">
        <v>140</v>
      </c>
      <c r="E82" s="588" t="s">
        <v>141</v>
      </c>
      <c r="F82" s="588" t="s">
        <v>142</v>
      </c>
      <c r="G82" s="559"/>
      <c r="H82" s="588" t="s">
        <v>140</v>
      </c>
      <c r="I82" s="588" t="s">
        <v>141</v>
      </c>
      <c r="J82" s="588" t="s">
        <v>142</v>
      </c>
      <c r="K82" s="529"/>
      <c r="L82" s="1205" t="s">
        <v>110</v>
      </c>
      <c r="M82" s="1206"/>
      <c r="N82" s="529"/>
      <c r="O82" s="589" t="s">
        <v>472</v>
      </c>
      <c r="P82" s="529"/>
      <c r="Q82" s="529"/>
      <c r="R82" s="529"/>
      <c r="S82" s="529"/>
      <c r="T82" s="523"/>
      <c r="U82" s="522"/>
      <c r="V82" s="57"/>
      <c r="W82" s="57"/>
      <c r="X82" s="58"/>
    </row>
    <row r="83" spans="1:24" ht="18.75" customHeight="1">
      <c r="A83" s="522"/>
      <c r="B83" s="1188" t="s">
        <v>144</v>
      </c>
      <c r="C83" s="1189"/>
      <c r="D83" s="590" cm="1">
        <f t="array" ref="D83">'PF calculator'!D83</f>
        <v>1</v>
      </c>
      <c r="E83" s="590" cm="1">
        <f t="array" ref="E83">'PF calculator'!E83</f>
        <v>0</v>
      </c>
      <c r="F83" s="590" cm="1">
        <f t="array" ref="F83">'PF calculator'!F83</f>
        <v>0</v>
      </c>
      <c r="G83" s="1193"/>
      <c r="H83" s="590" cm="1">
        <f t="array" ref="H83">'PF calculator'!H83</f>
        <v>0</v>
      </c>
      <c r="I83" s="590" cm="1">
        <f t="array" ref="I83">'PF calculator'!I83</f>
        <v>0</v>
      </c>
      <c r="J83" s="590" cm="1">
        <f t="array" ref="J83">'PF calculator'!J83</f>
        <v>1</v>
      </c>
      <c r="K83" s="1194" t="str" cm="1">
        <f t="array" ref="K83">IF(SUM(D83:F90)&lt;&gt;SUM(H83:J90),"Error in net change habitat","")</f>
        <v/>
      </c>
      <c r="L83" s="1162" cm="1">
        <f t="array" ref="L83">(((H83-D83)*'Policy assumptions and formulae'!AR12)+((I83-E83)*'Policy assumptions and formulae'!AS12)+((J83-F83)*'Policy assumptions and formulae'!AT12))*VLOOKUP($E$38,'Policy assumptions and formulae'!$A$10:$D$109,4,FALSE)</f>
        <v>272055.24016990041</v>
      </c>
      <c r="M83" s="1163"/>
      <c r="N83" s="591"/>
      <c r="O83" s="587"/>
      <c r="P83" s="592" t="s">
        <v>145</v>
      </c>
      <c r="Q83" s="559"/>
      <c r="R83" s="1203" t="s">
        <v>110</v>
      </c>
      <c r="S83" s="1204"/>
      <c r="T83" s="523"/>
      <c r="U83" s="522"/>
      <c r="V83" s="57"/>
      <c r="W83" s="57"/>
      <c r="X83" s="58"/>
    </row>
    <row r="84" spans="1:24" ht="18.75" customHeight="1">
      <c r="A84" s="522"/>
      <c r="B84" s="1188" t="s">
        <v>146</v>
      </c>
      <c r="C84" s="1189"/>
      <c r="D84" s="590" cm="1">
        <f t="array" ref="D84">'PF calculator'!D84</f>
        <v>1</v>
      </c>
      <c r="E84" s="590" cm="1">
        <f t="array" ref="E84">'PF calculator'!E84</f>
        <v>0</v>
      </c>
      <c r="F84" s="590" cm="1">
        <f t="array" ref="F84">'PF calculator'!F84</f>
        <v>0</v>
      </c>
      <c r="G84" s="1193"/>
      <c r="H84" s="590" cm="1">
        <f t="array" ref="H84">'PF calculator'!H84</f>
        <v>0</v>
      </c>
      <c r="I84" s="590" cm="1">
        <f t="array" ref="I84">'PF calculator'!I84</f>
        <v>0</v>
      </c>
      <c r="J84" s="590" cm="1">
        <f t="array" ref="J84">'PF calculator'!J84</f>
        <v>1</v>
      </c>
      <c r="K84" s="1194"/>
      <c r="L84" s="1162" cm="1">
        <f t="array" ref="L84">(((H84-D84)*'Policy assumptions and formulae'!AR13)+((I84-E84)*'Policy assumptions and formulae'!AS13)+((J84-F84)*'Policy assumptions and formulae'!AT13))*VLOOKUP($E$38,'Policy assumptions and formulae'!$A$10:$D$109,4,FALSE)</f>
        <v>159768.99395268576</v>
      </c>
      <c r="M84" s="1163"/>
      <c r="N84" s="1207" t="s">
        <v>147</v>
      </c>
      <c r="O84" s="1208"/>
      <c r="P84" s="593" cm="1">
        <f t="array" ref="P84">'PF calculator'!P84</f>
        <v>1</v>
      </c>
      <c r="Q84" s="594"/>
      <c r="R84" s="1184" cm="1">
        <f t="array" ref="R84">(P84*'Policy assumptions and formulae'!AT23)*VLOOKUP($E$38,'Policy assumptions and formulae'!$A$10:$D$109,4,FALSE)</f>
        <v>394196.39629447705</v>
      </c>
      <c r="S84" s="1185"/>
      <c r="T84" s="571"/>
      <c r="U84" s="522"/>
      <c r="V84" s="57"/>
      <c r="W84" s="57"/>
      <c r="X84" s="58"/>
    </row>
    <row r="85" spans="1:24" ht="18.75" customHeight="1">
      <c r="A85" s="522"/>
      <c r="B85" s="1188" t="s">
        <v>148</v>
      </c>
      <c r="C85" s="1189"/>
      <c r="D85" s="590" cm="1">
        <f t="array" ref="D85">'PF calculator'!D85</f>
        <v>1</v>
      </c>
      <c r="E85" s="590" cm="1">
        <f t="array" ref="E85">'PF calculator'!E85</f>
        <v>0</v>
      </c>
      <c r="F85" s="590" cm="1">
        <f t="array" ref="F85">'PF calculator'!F85</f>
        <v>0</v>
      </c>
      <c r="G85" s="1193"/>
      <c r="H85" s="590" cm="1">
        <f t="array" ref="H85">'PF calculator'!H85</f>
        <v>0</v>
      </c>
      <c r="I85" s="590" cm="1">
        <f t="array" ref="I85">'PF calculator'!I85</f>
        <v>0</v>
      </c>
      <c r="J85" s="590" cm="1">
        <f t="array" ref="J85">'PF calculator'!J85</f>
        <v>1</v>
      </c>
      <c r="K85" s="1194"/>
      <c r="L85" s="1162" cm="1">
        <f t="array" ref="L85">(((H85-D85)*'Policy assumptions and formulae'!AR14)+((I85-E85)*'Policy assumptions and formulae'!AS14)+((J85-F85)*'Policy assumptions and formulae'!AT14))*VLOOKUP($E$38,'Policy assumptions and formulae'!$A$10:$D$109,4,FALSE)</f>
        <v>159768.99395268576</v>
      </c>
      <c r="M85" s="1163"/>
      <c r="N85" s="1207" t="s">
        <v>149</v>
      </c>
      <c r="O85" s="1208"/>
      <c r="P85" s="593" cm="1">
        <f t="array" ref="P85">'PF calculator'!P85</f>
        <v>1</v>
      </c>
      <c r="Q85" s="594"/>
      <c r="R85" s="1184" cm="1">
        <f t="array" ref="R85">(P85*'Policy assumptions and formulae'!AT24)*VLOOKUP($E$38,'Policy assumptions and formulae'!$A$10:$D$109,4,FALSE)</f>
        <v>197098.19814723852</v>
      </c>
      <c r="S85" s="1185"/>
      <c r="T85" s="571"/>
      <c r="U85" s="522"/>
      <c r="V85" s="57"/>
      <c r="W85" s="57"/>
      <c r="X85" s="58"/>
    </row>
    <row r="86" spans="1:24" ht="18.75" customHeight="1">
      <c r="A86" s="522"/>
      <c r="B86" s="1188" t="s">
        <v>150</v>
      </c>
      <c r="C86" s="1189"/>
      <c r="D86" s="590" cm="1">
        <f t="array" ref="D86">'PF calculator'!D86</f>
        <v>1</v>
      </c>
      <c r="E86" s="590" cm="1">
        <f t="array" ref="E86">'PF calculator'!E86</f>
        <v>0</v>
      </c>
      <c r="F86" s="590" cm="1">
        <f t="array" ref="F86">'PF calculator'!F86</f>
        <v>0</v>
      </c>
      <c r="G86" s="1193"/>
      <c r="H86" s="590" cm="1">
        <f t="array" ref="H86">'PF calculator'!H86</f>
        <v>0</v>
      </c>
      <c r="I86" s="590" cm="1">
        <f t="array" ref="I86">'PF calculator'!I86</f>
        <v>0</v>
      </c>
      <c r="J86" s="590" cm="1">
        <f t="array" ref="J86">'PF calculator'!J86</f>
        <v>1</v>
      </c>
      <c r="K86" s="1194"/>
      <c r="L86" s="1162" cm="1">
        <f t="array" ref="L86">(((H86-D86)*'Policy assumptions and formulae'!AR15)+((I86-E86)*'Policy assumptions and formulae'!AS15)+((J86-F86)*'Policy assumptions and formulae'!AT15))*VLOOKUP($E$38,'Policy assumptions and formulae'!$A$10:$D$109,4,FALSE)</f>
        <v>81825.615594459625</v>
      </c>
      <c r="M86" s="1163"/>
      <c r="N86" s="1195" t="s">
        <v>151</v>
      </c>
      <c r="O86" s="1196"/>
      <c r="P86" s="593" cm="1">
        <f t="array" ref="P86">'PF calculator'!P86</f>
        <v>1</v>
      </c>
      <c r="Q86" s="594"/>
      <c r="R86" s="1184" cm="1">
        <f t="array" ref="R86">(P86*'Policy assumptions and formulae'!AT25)*VLOOKUP($E$38,'Policy assumptions and formulae'!$A$10:$D$109,4,FALSE)</f>
        <v>98549.099073619262</v>
      </c>
      <c r="S86" s="1185"/>
      <c r="T86" s="571"/>
      <c r="U86" s="522"/>
      <c r="V86" s="57"/>
      <c r="W86" s="57"/>
      <c r="X86" s="58"/>
    </row>
    <row r="87" spans="1:24" ht="18.75" customHeight="1">
      <c r="A87" s="522"/>
      <c r="B87" s="1188" t="s">
        <v>152</v>
      </c>
      <c r="C87" s="1189"/>
      <c r="D87" s="590" cm="1">
        <f t="array" ref="D87">'PF calculator'!D87</f>
        <v>1</v>
      </c>
      <c r="E87" s="590" cm="1">
        <f t="array" ref="E87">'PF calculator'!E87</f>
        <v>0</v>
      </c>
      <c r="F87" s="590" cm="1">
        <f t="array" ref="F87">'PF calculator'!F87</f>
        <v>0</v>
      </c>
      <c r="G87" s="1193"/>
      <c r="H87" s="590" cm="1">
        <f t="array" ref="H87">'PF calculator'!H87</f>
        <v>0</v>
      </c>
      <c r="I87" s="590" cm="1">
        <f t="array" ref="I87">'PF calculator'!I87</f>
        <v>0</v>
      </c>
      <c r="J87" s="590" cm="1">
        <f t="array" ref="J87">'PF calculator'!J87</f>
        <v>1</v>
      </c>
      <c r="K87" s="1194"/>
      <c r="L87" s="1162" cm="1">
        <f t="array" ref="L87">(((H87-D87)*'Policy assumptions and formulae'!AR16)+((I87-E87)*'Policy assumptions and formulae'!AS16)+((J87-F87)*'Policy assumptions and formulae'!AT16))*VLOOKUP($E$38,'Policy assumptions and formulae'!$A$10:$D$109,4,FALSE)</f>
        <v>12841.246242926147</v>
      </c>
      <c r="M87" s="1163"/>
      <c r="N87" s="1197"/>
      <c r="O87" s="1198"/>
      <c r="P87" s="595"/>
      <c r="Q87" s="559"/>
      <c r="R87" s="596"/>
      <c r="S87" s="596"/>
      <c r="T87" s="523"/>
      <c r="U87" s="522"/>
      <c r="V87" s="57"/>
      <c r="W87" s="57"/>
      <c r="X87" s="58"/>
    </row>
    <row r="88" spans="1:24" ht="18.75" customHeight="1">
      <c r="A88" s="522"/>
      <c r="B88" s="1188" t="s">
        <v>153</v>
      </c>
      <c r="C88" s="1189"/>
      <c r="D88" s="590" cm="1">
        <f t="array" ref="D88">'PF calculator'!D88</f>
        <v>1</v>
      </c>
      <c r="E88" s="590" cm="1">
        <f t="array" ref="E88">'PF calculator'!E88</f>
        <v>0</v>
      </c>
      <c r="F88" s="590" cm="1">
        <f t="array" ref="F88">'PF calculator'!F88</f>
        <v>0</v>
      </c>
      <c r="G88" s="1193"/>
      <c r="H88" s="590" cm="1">
        <f t="array" ref="H88">'PF calculator'!H88</f>
        <v>0</v>
      </c>
      <c r="I88" s="590" cm="1">
        <f t="array" ref="I88">'PF calculator'!I88</f>
        <v>0</v>
      </c>
      <c r="J88" s="590" cm="1">
        <f t="array" ref="J88">'PF calculator'!J88</f>
        <v>1</v>
      </c>
      <c r="K88" s="1194"/>
      <c r="L88" s="1162" cm="1">
        <f t="array" ref="L88">(((H88-D88)*'Policy assumptions and formulae'!AR17)+((I88-E88)*'Policy assumptions and formulae'!AS17)+((J88-F88)*'Policy assumptions and formulae'!AT17))*VLOOKUP($E$38,'Policy assumptions and formulae'!$A$10:$D$109,4,FALSE)</f>
        <v>78540.645625338992</v>
      </c>
      <c r="M88" s="1163"/>
      <c r="N88" s="591"/>
      <c r="O88" s="529"/>
      <c r="P88" s="529"/>
      <c r="Q88" s="529"/>
      <c r="R88" s="529"/>
      <c r="S88" s="529"/>
      <c r="T88" s="523"/>
      <c r="U88" s="522"/>
      <c r="V88" s="57"/>
      <c r="W88" s="57"/>
      <c r="X88" s="58"/>
    </row>
    <row r="89" spans="1:24" ht="18.75" customHeight="1">
      <c r="A89" s="522"/>
      <c r="B89" s="1188" t="s">
        <v>154</v>
      </c>
      <c r="C89" s="1189"/>
      <c r="D89" s="590" cm="1">
        <f t="array" ref="D89">'PF calculator'!D89</f>
        <v>1</v>
      </c>
      <c r="E89" s="590" cm="1">
        <f t="array" ref="E89">'PF calculator'!E89</f>
        <v>0</v>
      </c>
      <c r="F89" s="590" cm="1">
        <f t="array" ref="F89">'PF calculator'!F89</f>
        <v>0</v>
      </c>
      <c r="G89" s="1193"/>
      <c r="H89" s="590" cm="1">
        <f t="array" ref="H89">'PF calculator'!H89</f>
        <v>0</v>
      </c>
      <c r="I89" s="590" cm="1">
        <f t="array" ref="I89">'PF calculator'!I89</f>
        <v>0</v>
      </c>
      <c r="J89" s="590" cm="1">
        <f t="array" ref="J89">'PF calculator'!J89</f>
        <v>1</v>
      </c>
      <c r="K89" s="1194"/>
      <c r="L89" s="1162" cm="1">
        <f t="array" ref="L89">(((H89-D89)*'Policy assumptions and formulae'!AR18)+((I89-E89)*'Policy assumptions and formulae'!AS18)+((J89-F89)*'Policy assumptions and formulae'!AT18))*VLOOKUP($E$38,'Policy assumptions and formulae'!$A$10:$D$109,4,FALSE)</f>
        <v>81825.615594459625</v>
      </c>
      <c r="M89" s="1163"/>
      <c r="N89" s="597"/>
      <c r="O89" s="598"/>
      <c r="P89" s="599"/>
      <c r="Q89" s="559"/>
      <c r="R89" s="600"/>
      <c r="S89" s="600"/>
      <c r="T89" s="523"/>
      <c r="U89" s="522"/>
      <c r="V89" s="57"/>
      <c r="W89" s="57"/>
      <c r="X89" s="58"/>
    </row>
    <row r="90" spans="1:24" ht="18.75" customHeight="1">
      <c r="A90" s="522"/>
      <c r="B90" s="1188" t="s">
        <v>155</v>
      </c>
      <c r="C90" s="1189"/>
      <c r="D90" s="590" cm="1">
        <f t="array" ref="D90">'PF calculator'!D90</f>
        <v>1</v>
      </c>
      <c r="E90" s="590" cm="1">
        <f t="array" ref="E90">'PF calculator'!E90</f>
        <v>0</v>
      </c>
      <c r="F90" s="590" cm="1">
        <f t="array" ref="F90">'PF calculator'!F90</f>
        <v>0</v>
      </c>
      <c r="G90" s="1193"/>
      <c r="H90" s="590" cm="1">
        <f t="array" ref="H90">'PF calculator'!H90</f>
        <v>0</v>
      </c>
      <c r="I90" s="590" cm="1">
        <f t="array" ref="I90">'PF calculator'!I90</f>
        <v>0</v>
      </c>
      <c r="J90" s="590" cm="1">
        <f t="array" ref="J90">'PF calculator'!J90</f>
        <v>1</v>
      </c>
      <c r="K90" s="1194"/>
      <c r="L90" s="1162" cm="1">
        <f t="array" ref="L90">(((H90-D90)*'Policy assumptions and formulae'!AR19)+((I90-E90)*'Policy assumptions and formulae'!AS19)+((J90-F90)*'Policy assumptions and formulae'!AT19))*VLOOKUP($E$38,'Policy assumptions and formulae'!$A$10:$D$109,4,FALSE)</f>
        <v>895.90090066926598</v>
      </c>
      <c r="M90" s="1163"/>
      <c r="N90" s="591"/>
      <c r="O90" s="529"/>
      <c r="P90" s="529"/>
      <c r="Q90" s="529"/>
      <c r="R90" s="529"/>
      <c r="S90" s="529"/>
      <c r="T90" s="523"/>
      <c r="U90" s="522"/>
      <c r="V90" s="57"/>
      <c r="W90" s="57"/>
      <c r="X90" s="58"/>
    </row>
    <row r="91" spans="1:24" ht="8" customHeight="1">
      <c r="A91" s="522"/>
      <c r="B91" s="549"/>
      <c r="C91" s="549"/>
      <c r="D91" s="601"/>
      <c r="E91" s="601"/>
      <c r="F91" s="601"/>
      <c r="G91" s="549"/>
      <c r="H91" s="601"/>
      <c r="I91" s="601"/>
      <c r="J91" s="601"/>
      <c r="K91" s="549"/>
      <c r="L91" s="558"/>
      <c r="M91" s="558"/>
      <c r="N91" s="549"/>
      <c r="O91" s="549"/>
      <c r="P91" s="549"/>
      <c r="Q91" s="549"/>
      <c r="R91" s="549"/>
      <c r="S91" s="549"/>
      <c r="T91" s="523"/>
      <c r="U91" s="522"/>
      <c r="V91" s="57"/>
      <c r="W91" s="57"/>
      <c r="X91" s="58"/>
    </row>
    <row r="92" spans="1:24" ht="18.75" customHeight="1">
      <c r="A92" s="522"/>
      <c r="B92" s="1190" t="e" cm="1" vm="7">
        <f t="array" aca="1" ref="B92" ca="1">'PF calculator'!B92:J92</f>
        <v>#VALUE!</v>
      </c>
      <c r="C92" s="1190"/>
      <c r="D92" s="1190"/>
      <c r="E92" s="1190"/>
      <c r="F92" s="1190"/>
      <c r="G92" s="1190"/>
      <c r="H92" s="1190"/>
      <c r="I92" s="1190"/>
      <c r="J92" s="1190"/>
      <c r="K92" s="1190"/>
      <c r="L92" s="1190"/>
      <c r="M92" s="1190"/>
      <c r="N92" s="1190"/>
      <c r="O92" s="1190"/>
      <c r="P92" s="1190"/>
      <c r="Q92" s="1190"/>
      <c r="R92" s="1190"/>
      <c r="S92" s="1190"/>
      <c r="T92" s="523"/>
      <c r="U92" s="522"/>
      <c r="V92" s="57"/>
      <c r="W92" s="57"/>
      <c r="X92" s="58"/>
    </row>
    <row r="93" spans="1:24" ht="8" customHeight="1">
      <c r="A93" s="522"/>
      <c r="B93" s="529"/>
      <c r="C93" s="529"/>
      <c r="D93" s="529"/>
      <c r="E93" s="529"/>
      <c r="F93" s="529"/>
      <c r="G93" s="529"/>
      <c r="H93" s="529"/>
      <c r="I93" s="529"/>
      <c r="J93" s="529"/>
      <c r="K93" s="529"/>
      <c r="L93" s="529"/>
      <c r="M93" s="529"/>
      <c r="N93" s="529"/>
      <c r="O93" s="529"/>
      <c r="P93" s="529"/>
      <c r="Q93" s="529"/>
      <c r="R93" s="529"/>
      <c r="S93" s="529"/>
      <c r="T93" s="523"/>
      <c r="U93" s="522"/>
      <c r="V93" s="57"/>
      <c r="W93" s="57"/>
      <c r="X93" s="58"/>
    </row>
    <row r="94" spans="1:24" ht="18.75" customHeight="1">
      <c r="A94" s="522"/>
      <c r="B94" s="602" t="s">
        <v>161</v>
      </c>
      <c r="C94" s="602" t="s">
        <v>162</v>
      </c>
      <c r="D94" s="1191" t="s">
        <v>163</v>
      </c>
      <c r="E94" s="1192"/>
      <c r="F94" s="1191" t="s">
        <v>160</v>
      </c>
      <c r="G94" s="1192"/>
      <c r="H94" s="1191" t="s">
        <v>164</v>
      </c>
      <c r="I94" s="1192"/>
      <c r="J94" s="529"/>
      <c r="K94" s="529"/>
      <c r="L94" s="529"/>
      <c r="M94" s="529"/>
      <c r="N94" s="529"/>
      <c r="O94" s="529"/>
      <c r="P94" s="529"/>
      <c r="Q94" s="529"/>
      <c r="R94" s="529"/>
      <c r="S94" s="529"/>
      <c r="T94" s="523"/>
      <c r="U94" s="522"/>
      <c r="V94" s="57"/>
      <c r="W94" s="57"/>
      <c r="X94" s="58"/>
    </row>
    <row r="95" spans="1:24" ht="18.75" customHeight="1">
      <c r="A95" s="522"/>
      <c r="B95" s="603" t="s">
        <v>473</v>
      </c>
      <c r="C95" s="604" t="s">
        <v>169</v>
      </c>
      <c r="D95" s="1166"/>
      <c r="E95" s="1167"/>
      <c r="F95" s="1177" cm="1">
        <f t="array" ref="F95">'PF calculator'!G95</f>
        <v>6</v>
      </c>
      <c r="G95" s="1178"/>
      <c r="H95" s="1166" cm="1">
        <f t="array" ref="H95">IF(D95="Ltd by high OM1b,2,3,4 values",0,D95*(F95/100))</f>
        <v>0</v>
      </c>
      <c r="I95" s="1167"/>
      <c r="J95" s="576"/>
      <c r="K95" s="529"/>
      <c r="L95" s="529"/>
      <c r="M95" s="529"/>
      <c r="N95" s="529"/>
      <c r="O95" s="529"/>
      <c r="P95" s="529"/>
      <c r="Q95" s="529"/>
      <c r="R95" s="529"/>
      <c r="S95" s="529"/>
      <c r="T95" s="523"/>
      <c r="U95" s="522"/>
      <c r="V95" s="57"/>
      <c r="W95" s="57"/>
      <c r="X95" s="58"/>
    </row>
    <row r="96" spans="1:24" ht="18.75" customHeight="1">
      <c r="A96" s="522"/>
      <c r="B96" s="605"/>
      <c r="C96" s="606" t="s">
        <v>172</v>
      </c>
      <c r="D96" s="1186" cm="1">
        <f t="array" ref="D96">E41</f>
        <v>1000000</v>
      </c>
      <c r="E96" s="1187"/>
      <c r="F96" s="1177" cm="1">
        <f t="array" ref="F96">'PF calculator'!G96</f>
        <v>20</v>
      </c>
      <c r="G96" s="1178"/>
      <c r="H96" s="1166" cm="1">
        <f t="array" ref="H96">D96*(F96/100)</f>
        <v>200000</v>
      </c>
      <c r="I96" s="1167"/>
      <c r="J96" s="576"/>
      <c r="K96" s="529"/>
      <c r="L96" s="529"/>
      <c r="M96" s="529"/>
      <c r="N96" s="529"/>
      <c r="O96" s="529"/>
      <c r="P96" s="529"/>
      <c r="Q96" s="529"/>
      <c r="R96" s="529"/>
      <c r="S96" s="529"/>
      <c r="T96" s="523"/>
      <c r="U96" s="522"/>
      <c r="V96" s="57"/>
      <c r="W96" s="57"/>
      <c r="X96" s="58"/>
    </row>
    <row r="97" spans="1:24" ht="18.75" customHeight="1">
      <c r="A97" s="522"/>
      <c r="B97" s="1172" t="s">
        <v>174</v>
      </c>
      <c r="C97" s="607" t="s">
        <v>175</v>
      </c>
      <c r="D97" s="1175" cm="1">
        <f t="array" ref="D97">IF(R61="Ltd by DoB",R46,R46+R61)</f>
        <v>3908614.4715996296</v>
      </c>
      <c r="E97" s="1176"/>
      <c r="F97" s="1177" cm="1">
        <f t="array" ref="F97">'PF calculator'!G97</f>
        <v>45</v>
      </c>
      <c r="G97" s="1178"/>
      <c r="H97" s="1166" cm="1">
        <f t="array" ref="H97">D97*(F97/100)</f>
        <v>1758876.5122198334</v>
      </c>
      <c r="I97" s="1167"/>
      <c r="J97" s="576"/>
      <c r="K97" s="529"/>
      <c r="L97" s="529"/>
      <c r="M97" s="529"/>
      <c r="N97" s="529"/>
      <c r="O97" s="529"/>
      <c r="P97" s="529"/>
      <c r="Q97" s="529"/>
      <c r="R97" s="529"/>
      <c r="S97" s="529"/>
      <c r="T97" s="523"/>
      <c r="U97" s="522"/>
      <c r="V97" s="57"/>
      <c r="W97" s="57"/>
      <c r="X97" s="58"/>
    </row>
    <row r="98" spans="1:24" ht="18.75" customHeight="1">
      <c r="A98" s="522"/>
      <c r="B98" s="1173"/>
      <c r="C98" s="607" t="s">
        <v>177</v>
      </c>
      <c r="D98" s="1175" cm="1">
        <f t="array" ref="D98">IF(R62="Ltd by DoB",R47,R47+R62)</f>
        <v>14934170.291434068</v>
      </c>
      <c r="E98" s="1176"/>
      <c r="F98" s="1177" cm="1">
        <f t="array" ref="F98">'PF calculator'!G98</f>
        <v>30</v>
      </c>
      <c r="G98" s="1178"/>
      <c r="H98" s="1166" cm="1">
        <f t="array" ref="H98">D98*(F98/100)</f>
        <v>4480251.0874302201</v>
      </c>
      <c r="I98" s="1167"/>
      <c r="J98" s="576"/>
      <c r="K98" s="529"/>
      <c r="L98" s="529"/>
      <c r="M98" s="529"/>
      <c r="N98" s="529"/>
      <c r="O98" s="529"/>
      <c r="P98" s="529"/>
      <c r="Q98" s="529"/>
      <c r="R98" s="529"/>
      <c r="S98" s="529"/>
      <c r="T98" s="523"/>
      <c r="U98" s="522"/>
      <c r="V98" s="57"/>
      <c r="W98" s="57"/>
      <c r="X98" s="58"/>
    </row>
    <row r="99" spans="1:24" ht="18.75" customHeight="1">
      <c r="A99" s="522"/>
      <c r="B99" s="1174"/>
      <c r="C99" s="607" t="s">
        <v>179</v>
      </c>
      <c r="D99" s="1175" cm="1">
        <f t="array" ref="D99">IF(R63="Ltd by DoB",R48,R48+R63)</f>
        <v>0</v>
      </c>
      <c r="E99" s="1176"/>
      <c r="F99" s="1177" cm="1">
        <f t="array" ref="F99">'PF calculator'!G99</f>
        <v>20</v>
      </c>
      <c r="G99" s="1178"/>
      <c r="H99" s="1166" cm="1">
        <f t="array" ref="H99">D99*(F99/100)</f>
        <v>0</v>
      </c>
      <c r="I99" s="1167"/>
      <c r="J99" s="576"/>
      <c r="K99" s="529"/>
      <c r="L99" s="529"/>
      <c r="M99" s="529"/>
      <c r="N99" s="529"/>
      <c r="O99" s="529"/>
      <c r="P99" s="529"/>
      <c r="Q99" s="529"/>
      <c r="R99" s="529"/>
      <c r="S99" s="529"/>
      <c r="T99" s="523"/>
      <c r="U99" s="522"/>
      <c r="V99" s="57"/>
      <c r="W99" s="57"/>
      <c r="X99" s="58"/>
    </row>
    <row r="100" spans="1:24" ht="18.75" customHeight="1">
      <c r="A100" s="522"/>
      <c r="B100" s="1172" t="s">
        <v>181</v>
      </c>
      <c r="C100" s="607" t="s">
        <v>175</v>
      </c>
      <c r="D100" s="1166" cm="1">
        <f t="array" ref="D100">R74</f>
        <v>0</v>
      </c>
      <c r="E100" s="1167"/>
      <c r="F100" s="1177" cm="1">
        <f t="array" ref="F100">'PF calculator'!G100</f>
        <v>45</v>
      </c>
      <c r="G100" s="1178"/>
      <c r="H100" s="1166" cm="1">
        <f t="array" ref="H100">D100*(F100/100)</f>
        <v>0</v>
      </c>
      <c r="I100" s="1167"/>
      <c r="J100" s="576"/>
      <c r="K100" s="529"/>
      <c r="L100" s="529"/>
      <c r="M100" s="529"/>
      <c r="N100" s="529"/>
      <c r="O100" s="529"/>
      <c r="P100" s="529"/>
      <c r="Q100" s="529"/>
      <c r="R100" s="529"/>
      <c r="S100" s="529"/>
      <c r="T100" s="523"/>
      <c r="U100" s="522"/>
      <c r="V100" s="57"/>
      <c r="W100" s="57"/>
      <c r="X100" s="58"/>
    </row>
    <row r="101" spans="1:24" ht="18.75" customHeight="1">
      <c r="A101" s="522"/>
      <c r="B101" s="1173"/>
      <c r="C101" s="607" t="s">
        <v>177</v>
      </c>
      <c r="D101" s="1166" cm="1">
        <f t="array" ref="D101">R75</f>
        <v>0</v>
      </c>
      <c r="E101" s="1167"/>
      <c r="F101" s="1177" cm="1">
        <f t="array" ref="F101">'PF calculator'!G101</f>
        <v>30</v>
      </c>
      <c r="G101" s="1178"/>
      <c r="H101" s="1166" cm="1">
        <f t="array" ref="H101">D101*(F101/100)</f>
        <v>0</v>
      </c>
      <c r="I101" s="1167"/>
      <c r="J101" s="576"/>
      <c r="K101" s="529"/>
      <c r="L101" s="529"/>
      <c r="M101" s="529"/>
      <c r="N101" s="529"/>
      <c r="O101" s="529"/>
      <c r="P101" s="529"/>
      <c r="Q101" s="529"/>
      <c r="R101" s="529"/>
      <c r="S101" s="529"/>
      <c r="T101" s="523"/>
      <c r="U101" s="522"/>
      <c r="V101" s="57"/>
      <c r="W101" s="57"/>
      <c r="X101" s="58"/>
    </row>
    <row r="102" spans="1:24" ht="18.75" customHeight="1">
      <c r="A102" s="522"/>
      <c r="B102" s="1174"/>
      <c r="C102" s="607" t="s">
        <v>179</v>
      </c>
      <c r="D102" s="1166" cm="1">
        <f t="array" ref="D102">R76</f>
        <v>0</v>
      </c>
      <c r="E102" s="1167"/>
      <c r="F102" s="1177" cm="1">
        <f t="array" ref="F102">'PF calculator'!G102</f>
        <v>20</v>
      </c>
      <c r="G102" s="1178"/>
      <c r="H102" s="1166" cm="1">
        <f t="array" ref="H102">D102*(F102/100)</f>
        <v>0</v>
      </c>
      <c r="I102" s="1167"/>
      <c r="J102" s="576"/>
      <c r="K102" s="529"/>
      <c r="L102" s="529"/>
      <c r="M102" s="529"/>
      <c r="N102" s="529"/>
      <c r="O102" s="529"/>
      <c r="P102" s="529"/>
      <c r="Q102" s="529"/>
      <c r="R102" s="529"/>
      <c r="S102" s="529"/>
      <c r="T102" s="523"/>
      <c r="U102" s="522"/>
      <c r="V102" s="57"/>
      <c r="W102" s="57"/>
      <c r="X102" s="58"/>
    </row>
    <row r="103" spans="1:24" ht="18.75" customHeight="1">
      <c r="A103" s="522"/>
      <c r="B103" s="1164" t="s">
        <v>185</v>
      </c>
      <c r="C103" s="608" t="s">
        <v>186</v>
      </c>
      <c r="D103" s="1166" cm="1">
        <f t="array" ref="D103">IF(SUM(L83:M90)&lt;0,"Ltd by negative OM4 values",SUM(L83:M90))</f>
        <v>847522.25203312549</v>
      </c>
      <c r="E103" s="1167"/>
      <c r="F103" s="1177" cm="1">
        <f t="array" ref="F103">'PF calculator'!G103</f>
        <v>20</v>
      </c>
      <c r="G103" s="1178"/>
      <c r="H103" s="1166" cm="1">
        <f t="array" ref="H103">IF(D103="Ltd by negative OM4 values",0,D103*(F103/100))</f>
        <v>169504.45040662511</v>
      </c>
      <c r="I103" s="1167"/>
      <c r="J103" s="576"/>
      <c r="K103" s="529"/>
      <c r="L103" s="529"/>
      <c r="M103" s="529"/>
      <c r="N103" s="529"/>
      <c r="O103" s="529"/>
      <c r="P103" s="529"/>
      <c r="Q103" s="529"/>
      <c r="R103" s="529"/>
      <c r="S103" s="529"/>
      <c r="T103" s="523"/>
      <c r="U103" s="522"/>
      <c r="V103" s="57"/>
      <c r="W103" s="57"/>
      <c r="X103" s="58"/>
    </row>
    <row r="104" spans="1:24" ht="18.75" customHeight="1">
      <c r="A104" s="522"/>
      <c r="B104" s="1181"/>
      <c r="C104" s="606" t="s">
        <v>187</v>
      </c>
      <c r="D104" s="1166" cm="1">
        <f t="array" ref="D104">SUM(R84:S86)</f>
        <v>689843.69351533486</v>
      </c>
      <c r="E104" s="1167"/>
      <c r="F104" s="1177" cm="1">
        <f t="array" ref="F104">'PF calculator'!G104</f>
        <v>20</v>
      </c>
      <c r="G104" s="1178"/>
      <c r="H104" s="1182" cm="1">
        <f t="array" ref="H104">D104*(F104/100)</f>
        <v>137968.73870306698</v>
      </c>
      <c r="I104" s="1183"/>
      <c r="J104" s="576"/>
      <c r="K104" s="529"/>
      <c r="L104" s="529"/>
      <c r="M104" s="529"/>
      <c r="N104" s="529"/>
      <c r="O104" s="529"/>
      <c r="P104" s="529"/>
      <c r="Q104" s="529"/>
      <c r="R104" s="529"/>
      <c r="S104" s="529"/>
      <c r="T104" s="523"/>
      <c r="U104" s="522"/>
      <c r="V104" s="57"/>
      <c r="W104" s="57"/>
      <c r="X104" s="58"/>
    </row>
    <row r="105" spans="1:24" ht="18.75" customHeight="1">
      <c r="A105" s="522"/>
      <c r="B105" s="1164" t="s">
        <v>188</v>
      </c>
      <c r="C105" s="1165"/>
      <c r="D105" s="1166" cm="1">
        <f t="array" ref="D105">SUM(D95:E104)</f>
        <v>21380150.708582155</v>
      </c>
      <c r="E105" s="1167"/>
      <c r="F105" s="1168" t="e" cm="1" vm="5">
        <f t="array" aca="1" ref="F105" ca="1">'PF calculator'!F105:G105</f>
        <v>#VALUE!</v>
      </c>
      <c r="G105" s="1169"/>
      <c r="H105" s="1170" cm="1">
        <f t="array" ref="H105">SUM(H95:I104)</f>
        <v>6746600.7887597457</v>
      </c>
      <c r="I105" s="1171"/>
      <c r="J105" s="591"/>
      <c r="K105" s="529"/>
      <c r="L105" s="529"/>
      <c r="M105" s="529"/>
      <c r="N105" s="529"/>
      <c r="O105" s="529"/>
      <c r="P105" s="529"/>
      <c r="Q105" s="529"/>
      <c r="R105" s="529"/>
      <c r="S105" s="529"/>
      <c r="T105" s="523"/>
      <c r="U105" s="522"/>
      <c r="V105" s="57"/>
      <c r="W105" s="57"/>
      <c r="X105" s="58"/>
    </row>
    <row r="106" spans="1:24" ht="8" customHeight="1">
      <c r="A106" s="522"/>
      <c r="B106" s="549"/>
      <c r="C106" s="549"/>
      <c r="D106" s="601"/>
      <c r="E106" s="601"/>
      <c r="F106" s="549"/>
      <c r="G106" s="549"/>
      <c r="H106" s="558"/>
      <c r="I106" s="558"/>
      <c r="J106" s="549"/>
      <c r="K106" s="549"/>
      <c r="L106" s="549"/>
      <c r="M106" s="549"/>
      <c r="N106" s="549"/>
      <c r="O106" s="549"/>
      <c r="P106" s="549"/>
      <c r="Q106" s="549"/>
      <c r="R106" s="549"/>
      <c r="S106" s="549"/>
      <c r="T106" s="523"/>
      <c r="U106" s="522"/>
      <c r="V106" s="57"/>
      <c r="W106" s="57"/>
      <c r="X106" s="58"/>
    </row>
    <row r="107" spans="1:24" ht="15.75" customHeight="1">
      <c r="A107" s="609"/>
      <c r="B107" s="1179" t="s">
        <v>190</v>
      </c>
      <c r="C107" s="1180"/>
      <c r="D107" s="1180"/>
      <c r="E107" s="1180"/>
      <c r="F107" s="1180"/>
      <c r="G107" s="1180"/>
      <c r="H107" s="1180"/>
      <c r="I107" s="1180"/>
      <c r="J107" s="1180"/>
      <c r="K107" s="1180"/>
      <c r="L107" s="1180"/>
      <c r="M107" s="1180"/>
      <c r="N107" s="1180"/>
      <c r="O107" s="1180"/>
      <c r="P107" s="1180"/>
      <c r="Q107" s="1180"/>
      <c r="R107" s="1180"/>
      <c r="S107" s="1180"/>
      <c r="T107" s="610"/>
      <c r="U107" s="611"/>
      <c r="V107" s="179"/>
      <c r="W107" s="179"/>
      <c r="X107" s="180"/>
    </row>
  </sheetData>
  <mergeCells count="219">
    <mergeCell ref="B1:S1"/>
    <mergeCell ref="B2:S2"/>
    <mergeCell ref="B3:S3"/>
    <mergeCell ref="B4:P4"/>
    <mergeCell ref="R4:S4"/>
    <mergeCell ref="R5:S5"/>
    <mergeCell ref="B7:C7"/>
    <mergeCell ref="D7:I7"/>
    <mergeCell ref="K7:L7"/>
    <mergeCell ref="M7:N7"/>
    <mergeCell ref="R6:S7"/>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9:D19"/>
    <mergeCell ref="E19:F19"/>
    <mergeCell ref="H19:J19"/>
    <mergeCell ref="K19:L19"/>
    <mergeCell ref="B21:D21"/>
    <mergeCell ref="E21:F21"/>
    <mergeCell ref="H21:J21"/>
    <mergeCell ref="K21:L21"/>
    <mergeCell ref="B25:S25"/>
    <mergeCell ref="K26:L27"/>
    <mergeCell ref="M26:N27"/>
    <mergeCell ref="O26:P27"/>
    <mergeCell ref="B27:D27"/>
    <mergeCell ref="E27:F27"/>
    <mergeCell ref="H27:J27"/>
    <mergeCell ref="B23:D23"/>
    <mergeCell ref="E23:F23"/>
    <mergeCell ref="H23:J23"/>
    <mergeCell ref="K23:L23"/>
    <mergeCell ref="M23:P23"/>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B37:D37"/>
    <mergeCell ref="E37:F37"/>
    <mergeCell ref="L37:S37"/>
    <mergeCell ref="B38:D38"/>
    <mergeCell ref="E38:F38"/>
    <mergeCell ref="B33:D33"/>
    <mergeCell ref="E33:F33"/>
    <mergeCell ref="H33:J33"/>
    <mergeCell ref="K33:L33"/>
    <mergeCell ref="M33:S33"/>
    <mergeCell ref="B35:S35"/>
    <mergeCell ref="B46:E46"/>
    <mergeCell ref="R46:S46"/>
    <mergeCell ref="B47:E47"/>
    <mergeCell ref="R47:S47"/>
    <mergeCell ref="B48:E48"/>
    <mergeCell ref="R48:S48"/>
    <mergeCell ref="B39:D39"/>
    <mergeCell ref="E39:F39"/>
    <mergeCell ref="B41:D42"/>
    <mergeCell ref="E41:F41"/>
    <mergeCell ref="B43:S43"/>
    <mergeCell ref="B45:E45"/>
    <mergeCell ref="F45:J45"/>
    <mergeCell ref="L45:P45"/>
    <mergeCell ref="R45:S45"/>
    <mergeCell ref="B56:S56"/>
    <mergeCell ref="B58:D58"/>
    <mergeCell ref="E58:F58"/>
    <mergeCell ref="B60:E60"/>
    <mergeCell ref="F60:J60"/>
    <mergeCell ref="L60:P60"/>
    <mergeCell ref="R60:S60"/>
    <mergeCell ref="B50:E50"/>
    <mergeCell ref="F50:J50"/>
    <mergeCell ref="L50:P51"/>
    <mergeCell ref="B51:E51"/>
    <mergeCell ref="B52:E52"/>
    <mergeCell ref="B53:E53"/>
    <mergeCell ref="B65:E65"/>
    <mergeCell ref="F65:J65"/>
    <mergeCell ref="L65:P66"/>
    <mergeCell ref="B66:E66"/>
    <mergeCell ref="B67:E67"/>
    <mergeCell ref="B68:E68"/>
    <mergeCell ref="B61:E61"/>
    <mergeCell ref="R61:S61"/>
    <mergeCell ref="B62:E62"/>
    <mergeCell ref="R62:S62"/>
    <mergeCell ref="B63:E63"/>
    <mergeCell ref="R63:S63"/>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s>
  <conditionalFormatting sqref="L46:P48 L61:P63">
    <cfRule type="cellIs" dxfId="6" priority="1" stopIfTrue="1" operator="lessThan">
      <formula>0</formula>
    </cfRule>
  </conditionalFormatting>
  <pageMargins left="0.7" right="0.7" top="0.75" bottom="0.75" header="0.3" footer="0.3"/>
  <pageSetup scale="37"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07"/>
  <sheetViews>
    <sheetView showGridLines="0" workbookViewId="0"/>
  </sheetViews>
  <sheetFormatPr defaultColWidth="8.84375" defaultRowHeight="15" customHeight="1"/>
  <cols>
    <col min="1" max="1" width="1.15234375" style="5" customWidth="1"/>
    <col min="2" max="19" width="10.84375" style="5" customWidth="1"/>
    <col min="20" max="20" width="1.15234375" style="5" customWidth="1"/>
    <col min="21" max="25" width="8.84375" style="5" customWidth="1"/>
    <col min="26" max="16384" width="8.84375" style="5"/>
  </cols>
  <sheetData>
    <row r="1" spans="1:24" ht="17.149999999999999" customHeight="1">
      <c r="A1" s="519"/>
      <c r="B1" s="1287"/>
      <c r="C1" s="1287"/>
      <c r="D1" s="1287"/>
      <c r="E1" s="1287"/>
      <c r="F1" s="1287"/>
      <c r="G1" s="1287"/>
      <c r="H1" s="1287"/>
      <c r="I1" s="1287"/>
      <c r="J1" s="1287"/>
      <c r="K1" s="1287"/>
      <c r="L1" s="1287"/>
      <c r="M1" s="1287"/>
      <c r="N1" s="1287"/>
      <c r="O1" s="1287"/>
      <c r="P1" s="1287"/>
      <c r="Q1" s="1287"/>
      <c r="R1" s="1287"/>
      <c r="S1" s="1287"/>
      <c r="T1" s="520"/>
      <c r="U1" s="521"/>
      <c r="V1" s="52"/>
      <c r="W1" s="52"/>
      <c r="X1" s="53"/>
    </row>
    <row r="2" spans="1:24" ht="33.75" customHeight="1">
      <c r="A2" s="522"/>
      <c r="B2" s="1288" t="s">
        <v>45</v>
      </c>
      <c r="C2" s="1289"/>
      <c r="D2" s="1289"/>
      <c r="E2" s="1289"/>
      <c r="F2" s="1289"/>
      <c r="G2" s="1289"/>
      <c r="H2" s="1289"/>
      <c r="I2" s="1289"/>
      <c r="J2" s="1289"/>
      <c r="K2" s="1289"/>
      <c r="L2" s="1289"/>
      <c r="M2" s="1289"/>
      <c r="N2" s="1289"/>
      <c r="O2" s="1289"/>
      <c r="P2" s="1289"/>
      <c r="Q2" s="1289"/>
      <c r="R2" s="1289"/>
      <c r="S2" s="1289"/>
      <c r="T2" s="523"/>
      <c r="U2" s="522"/>
      <c r="V2" s="57"/>
      <c r="W2" s="57"/>
      <c r="X2" s="58"/>
    </row>
    <row r="3" spans="1:24" ht="23.25" customHeight="1">
      <c r="A3" s="522"/>
      <c r="B3" s="1290" t="s">
        <v>460</v>
      </c>
      <c r="C3" s="1291"/>
      <c r="D3" s="1291"/>
      <c r="E3" s="1291"/>
      <c r="F3" s="1291"/>
      <c r="G3" s="1291"/>
      <c r="H3" s="1291"/>
      <c r="I3" s="1291"/>
      <c r="J3" s="1291"/>
      <c r="K3" s="1291"/>
      <c r="L3" s="1291"/>
      <c r="M3" s="1291"/>
      <c r="N3" s="1291"/>
      <c r="O3" s="1291"/>
      <c r="P3" s="1291"/>
      <c r="Q3" s="1291"/>
      <c r="R3" s="1292"/>
      <c r="S3" s="1292"/>
      <c r="T3" s="523"/>
      <c r="U3" s="522"/>
      <c r="V3" s="57"/>
      <c r="W3" s="57"/>
      <c r="X3" s="58"/>
    </row>
    <row r="4" spans="1:24" ht="19.5" customHeight="1">
      <c r="A4" s="522"/>
      <c r="B4" s="1293" t="e" cm="1" vm="2">
        <f t="array" aca="1" ref="B4" ca="1">'PF calculator'!B4:P4</f>
        <v>#VALUE!</v>
      </c>
      <c r="C4" s="1293"/>
      <c r="D4" s="1293"/>
      <c r="E4" s="1293"/>
      <c r="F4" s="1293"/>
      <c r="G4" s="1293"/>
      <c r="H4" s="1293"/>
      <c r="I4" s="1293"/>
      <c r="J4" s="1293"/>
      <c r="K4" s="1293"/>
      <c r="L4" s="1293"/>
      <c r="M4" s="1293"/>
      <c r="N4" s="1293"/>
      <c r="O4" s="1293"/>
      <c r="P4" s="1293"/>
      <c r="Q4" s="524" t="s">
        <v>48</v>
      </c>
      <c r="R4" s="1304" t="s">
        <v>395</v>
      </c>
      <c r="S4" s="1305"/>
      <c r="T4" s="525"/>
      <c r="U4" s="522"/>
      <c r="V4" s="67"/>
      <c r="W4" s="57"/>
      <c r="X4" s="58"/>
    </row>
    <row r="5" spans="1:24" ht="19.5" customHeight="1">
      <c r="A5" s="522"/>
      <c r="B5" s="526" t="str" cm="1">
        <f t="array" ref="B5">'PF calculator'!B5</f>
        <v>SECTION 1: Project details</v>
      </c>
      <c r="C5" s="527"/>
      <c r="D5" s="527"/>
      <c r="E5" s="527"/>
      <c r="F5" s="527"/>
      <c r="G5" s="527"/>
      <c r="H5" s="527"/>
      <c r="I5" s="527"/>
      <c r="J5" s="527"/>
      <c r="K5" s="527"/>
      <c r="L5" s="527"/>
      <c r="M5" s="527"/>
      <c r="N5" s="527"/>
      <c r="O5" s="527"/>
      <c r="P5" s="527"/>
      <c r="Q5" s="528"/>
      <c r="R5" s="1296" t="s">
        <v>52</v>
      </c>
      <c r="S5" s="1297"/>
      <c r="T5" s="525"/>
      <c r="U5" s="522"/>
      <c r="V5" s="57"/>
      <c r="W5" s="57"/>
      <c r="X5" s="58"/>
    </row>
    <row r="6" spans="1:24" ht="8" customHeight="1">
      <c r="A6" s="522"/>
      <c r="B6" s="529"/>
      <c r="C6" s="529"/>
      <c r="D6" s="530"/>
      <c r="E6" s="530"/>
      <c r="F6" s="530"/>
      <c r="G6" s="530"/>
      <c r="H6" s="530"/>
      <c r="I6" s="530"/>
      <c r="J6" s="529"/>
      <c r="K6" s="529"/>
      <c r="L6" s="529"/>
      <c r="M6" s="530"/>
      <c r="N6" s="530"/>
      <c r="O6" s="529"/>
      <c r="P6" s="529"/>
      <c r="Q6" s="531"/>
      <c r="R6" s="1301" t="s">
        <v>53</v>
      </c>
      <c r="S6" s="1302"/>
      <c r="T6" s="523"/>
      <c r="U6" s="522"/>
      <c r="V6" s="57"/>
      <c r="W6" s="57"/>
      <c r="X6" s="58"/>
    </row>
    <row r="7" spans="1:24" ht="18.75" customHeight="1">
      <c r="A7" s="522"/>
      <c r="B7" s="1209" t="s">
        <v>54</v>
      </c>
      <c r="C7" s="1229"/>
      <c r="D7" s="1298" t="str" cm="1">
        <f t="array" ref="D7">"Sensitivity Analysis: "&amp;'PF calculator'!L97</f>
        <v>Sensitivity Analysis: SA2: OM2 - Flood risks lower than assumptions made</v>
      </c>
      <c r="E7" s="1299"/>
      <c r="F7" s="1299"/>
      <c r="G7" s="1299"/>
      <c r="H7" s="1299"/>
      <c r="I7" s="1300"/>
      <c r="J7" s="532"/>
      <c r="K7" s="1209" t="s">
        <v>56</v>
      </c>
      <c r="L7" s="1229"/>
      <c r="M7" s="1268" t="str" cm="1">
        <f t="array" ref="M7">'PF calculator'!M7</f>
        <v>Pre-SOC</v>
      </c>
      <c r="N7" s="1270"/>
      <c r="O7" s="533"/>
      <c r="P7" s="534"/>
      <c r="Q7" s="534"/>
      <c r="R7" s="1303"/>
      <c r="S7" s="1303"/>
      <c r="T7" s="523"/>
      <c r="U7" s="522"/>
      <c r="V7" s="57"/>
      <c r="W7" s="57"/>
      <c r="X7" s="58"/>
    </row>
    <row r="8" spans="1:24" ht="18.75" customHeight="1">
      <c r="A8" s="522"/>
      <c r="B8" s="1209" t="s">
        <v>461</v>
      </c>
      <c r="C8" s="1229"/>
      <c r="D8" s="1268" t="str" cm="1">
        <f t="array" ref="D8">'PF calculator'!D8</f>
        <v>YOC501E/000A/533A</v>
      </c>
      <c r="E8" s="1269"/>
      <c r="F8" s="1270"/>
      <c r="G8" s="535"/>
      <c r="H8" s="536"/>
      <c r="I8" s="536"/>
      <c r="J8" s="534"/>
      <c r="K8" s="1209" t="s">
        <v>60</v>
      </c>
      <c r="L8" s="1229"/>
      <c r="M8" s="1271" cm="1">
        <f t="array" ref="M8">'PF calculator'!M8</f>
        <v>0</v>
      </c>
      <c r="N8" s="1270"/>
      <c r="O8" s="1272" t="e" cm="1" vm="3">
        <f t="array" aca="1" ref="O8" ca="1">'PF calculator'!O8:Q8</f>
        <v>#VALUE!</v>
      </c>
      <c r="P8" s="1273"/>
      <c r="Q8" s="1274"/>
      <c r="R8" s="538" t="e" cm="1" vm="1">
        <f t="array" aca="1" ref="R8" ca="1">$E$39/$E$33</f>
        <v>#VALUE!</v>
      </c>
      <c r="S8" s="539" t="s">
        <v>62</v>
      </c>
      <c r="T8" s="525"/>
      <c r="U8" s="522"/>
      <c r="V8" s="57"/>
      <c r="W8" s="57"/>
      <c r="X8" s="58"/>
    </row>
    <row r="9" spans="1:24" ht="18.75" customHeight="1">
      <c r="A9" s="522"/>
      <c r="B9" s="1209" t="s">
        <v>462</v>
      </c>
      <c r="C9" s="1229"/>
      <c r="D9" s="1277" cm="1">
        <f t="array" ref="D9">'PF calculator'!D9</f>
        <v>45265</v>
      </c>
      <c r="E9" s="1278"/>
      <c r="F9" s="1279"/>
      <c r="G9" s="540"/>
      <c r="H9" s="541"/>
      <c r="I9" s="541"/>
      <c r="J9" s="534"/>
      <c r="K9" s="534"/>
      <c r="L9" s="534"/>
      <c r="M9" s="536"/>
      <c r="N9" s="536"/>
      <c r="O9" s="1280" t="s">
        <v>64</v>
      </c>
      <c r="P9" s="1281"/>
      <c r="Q9" s="1282"/>
      <c r="R9" s="542" t="str" cm="1">
        <f t="array" aca="1" ref="R9" ca="1">IFERROR(($E$39/MIN(($K$21+$K$23),$E$33)),"n/a")</f>
        <v>n/a</v>
      </c>
      <c r="S9" s="539" t="s">
        <v>62</v>
      </c>
      <c r="T9" s="525"/>
      <c r="U9" s="522"/>
      <c r="V9" s="57"/>
      <c r="W9" s="57"/>
      <c r="X9" s="58"/>
    </row>
    <row r="10" spans="1:24" ht="18.75" customHeight="1">
      <c r="A10" s="522"/>
      <c r="B10" s="1209" t="s">
        <v>65</v>
      </c>
      <c r="C10" s="1229"/>
      <c r="D10" s="1283" t="str" cm="1">
        <f t="array" ref="D10">'PF calculator'!D10</f>
        <v>City of Doncaster Council</v>
      </c>
      <c r="E10" s="1284"/>
      <c r="F10" s="1284"/>
      <c r="G10" s="1284"/>
      <c r="H10" s="1284"/>
      <c r="I10" s="1285"/>
      <c r="J10" s="533"/>
      <c r="K10" s="534"/>
      <c r="L10" s="534"/>
      <c r="M10" s="534"/>
      <c r="N10" s="534"/>
      <c r="O10" s="1280" t="s">
        <v>67</v>
      </c>
      <c r="P10" s="1281"/>
      <c r="Q10" s="1282"/>
      <c r="R10" s="538" t="e" cm="1" vm="1">
        <f t="array" aca="1" ref="R10" ca="1">IF($K$33&gt;0,$E$39/$K$33,"n/a")</f>
        <v>#VALUE!</v>
      </c>
      <c r="S10" s="539" t="s">
        <v>62</v>
      </c>
      <c r="T10" s="525"/>
      <c r="U10" s="522"/>
      <c r="V10" s="57"/>
      <c r="W10" s="57"/>
      <c r="X10" s="58"/>
    </row>
    <row r="11" spans="1:24" ht="18.75" customHeight="1">
      <c r="A11" s="522"/>
      <c r="B11" s="1209" t="s">
        <v>68</v>
      </c>
      <c r="C11" s="1229"/>
      <c r="D11" s="1283" t="str" cm="1">
        <f t="array" ref="D11">'PF calculator'!D11</f>
        <v>Local Authority</v>
      </c>
      <c r="E11" s="1284"/>
      <c r="F11" s="1285"/>
      <c r="G11" s="543"/>
      <c r="H11" s="544"/>
      <c r="I11" s="544"/>
      <c r="J11" s="534"/>
      <c r="K11" s="534"/>
      <c r="L11" s="534"/>
      <c r="M11" s="534"/>
      <c r="N11" s="534"/>
      <c r="O11" s="534"/>
      <c r="P11" s="534"/>
      <c r="Q11" s="537"/>
      <c r="R11" s="545"/>
      <c r="S11" s="546"/>
      <c r="T11" s="523"/>
      <c r="U11" s="522"/>
      <c r="V11" s="57"/>
      <c r="W11" s="57"/>
      <c r="X11" s="58"/>
    </row>
    <row r="12" spans="1:24" ht="18.75" customHeight="1">
      <c r="A12" s="522"/>
      <c r="B12" s="547" t="s">
        <v>70</v>
      </c>
      <c r="C12" s="534"/>
      <c r="D12" s="536"/>
      <c r="E12" s="536"/>
      <c r="F12" s="536"/>
      <c r="G12" s="534"/>
      <c r="H12" s="534"/>
      <c r="I12" s="534"/>
      <c r="J12" s="534"/>
      <c r="K12" s="534"/>
      <c r="L12" s="534"/>
      <c r="M12" s="534"/>
      <c r="N12" s="534"/>
      <c r="O12" s="534"/>
      <c r="P12" s="1286"/>
      <c r="Q12" s="1286"/>
      <c r="R12" s="1286"/>
      <c r="S12" s="1286"/>
      <c r="T12" s="523"/>
      <c r="U12" s="522"/>
      <c r="V12" s="57"/>
      <c r="W12" s="57"/>
      <c r="X12" s="58"/>
    </row>
    <row r="13" spans="1:24" ht="18.75" customHeight="1">
      <c r="A13" s="522"/>
      <c r="B13" s="548" t="s">
        <v>463</v>
      </c>
      <c r="C13" s="534"/>
      <c r="D13" s="534"/>
      <c r="E13" s="534"/>
      <c r="F13" s="534"/>
      <c r="G13" s="534"/>
      <c r="H13" s="534"/>
      <c r="I13" s="534"/>
      <c r="J13" s="534"/>
      <c r="K13" s="534"/>
      <c r="L13" s="534"/>
      <c r="M13" s="534"/>
      <c r="N13" s="534"/>
      <c r="O13" s="534"/>
      <c r="P13" s="1286"/>
      <c r="Q13" s="1286"/>
      <c r="R13" s="1286"/>
      <c r="S13" s="1286"/>
      <c r="T13" s="523"/>
      <c r="U13" s="522"/>
      <c r="V13" s="57"/>
      <c r="W13" s="57"/>
      <c r="X13" s="58"/>
    </row>
    <row r="14" spans="1:24" ht="8" customHeight="1">
      <c r="A14" s="522"/>
      <c r="B14" s="549"/>
      <c r="C14" s="549"/>
      <c r="D14" s="549"/>
      <c r="E14" s="549"/>
      <c r="F14" s="549"/>
      <c r="G14" s="549"/>
      <c r="H14" s="549"/>
      <c r="I14" s="549"/>
      <c r="J14" s="549"/>
      <c r="K14" s="549"/>
      <c r="L14" s="549"/>
      <c r="M14" s="549"/>
      <c r="N14" s="549"/>
      <c r="O14" s="549"/>
      <c r="P14" s="549"/>
      <c r="Q14" s="549"/>
      <c r="R14" s="549"/>
      <c r="S14" s="549"/>
      <c r="T14" s="523"/>
      <c r="U14" s="522"/>
      <c r="V14" s="57"/>
      <c r="W14" s="57"/>
      <c r="X14" s="58"/>
    </row>
    <row r="15" spans="1:24" ht="18.75" customHeight="1">
      <c r="A15" s="522"/>
      <c r="B15" s="1190" t="e" cm="1" vm="4">
        <f t="array" aca="1" ref="B15" ca="1">'PF calculator'!B15:S15</f>
        <v>#VALUE!</v>
      </c>
      <c r="C15" s="1190"/>
      <c r="D15" s="1190"/>
      <c r="E15" s="1190"/>
      <c r="F15" s="1190"/>
      <c r="G15" s="1190"/>
      <c r="H15" s="1190"/>
      <c r="I15" s="1190"/>
      <c r="J15" s="1190"/>
      <c r="K15" s="1190"/>
      <c r="L15" s="1190"/>
      <c r="M15" s="1190"/>
      <c r="N15" s="1190"/>
      <c r="O15" s="1190"/>
      <c r="P15" s="1190"/>
      <c r="Q15" s="1190"/>
      <c r="R15" s="1190"/>
      <c r="S15" s="1190"/>
      <c r="T15" s="523"/>
      <c r="U15" s="522"/>
      <c r="V15" s="57"/>
      <c r="W15" s="57"/>
      <c r="X15" s="58"/>
    </row>
    <row r="16" spans="1:24" ht="8" customHeight="1">
      <c r="A16" s="522"/>
      <c r="B16" s="550"/>
      <c r="C16" s="529"/>
      <c r="D16" s="529"/>
      <c r="E16" s="530"/>
      <c r="F16" s="530"/>
      <c r="G16" s="529"/>
      <c r="H16" s="529"/>
      <c r="I16" s="529"/>
      <c r="J16" s="529"/>
      <c r="K16" s="529"/>
      <c r="L16" s="529"/>
      <c r="M16" s="529"/>
      <c r="N16" s="529"/>
      <c r="O16" s="529"/>
      <c r="P16" s="529"/>
      <c r="Q16" s="529"/>
      <c r="R16" s="529"/>
      <c r="S16" s="529"/>
      <c r="T16" s="523"/>
      <c r="U16" s="522"/>
      <c r="V16" s="57"/>
      <c r="W16" s="57"/>
      <c r="X16" s="58"/>
    </row>
    <row r="17" spans="1:24" ht="18.75" customHeight="1">
      <c r="A17" s="522"/>
      <c r="B17" s="1217" t="s">
        <v>73</v>
      </c>
      <c r="C17" s="1218"/>
      <c r="D17" s="1227"/>
      <c r="E17" s="1275" t="str" cm="1">
        <f t="array" ref="E17">'PF calculator'!E17</f>
        <v>Yes</v>
      </c>
      <c r="F17" s="1276"/>
      <c r="G17" s="551"/>
      <c r="H17" s="534"/>
      <c r="I17" s="534"/>
      <c r="J17" s="534"/>
      <c r="K17" s="534"/>
      <c r="L17" s="534"/>
      <c r="M17" s="534"/>
      <c r="N17" s="534"/>
      <c r="O17" s="534"/>
      <c r="P17" s="534"/>
      <c r="Q17" s="534"/>
      <c r="R17" s="534"/>
      <c r="S17" s="534"/>
      <c r="T17" s="523"/>
      <c r="U17" s="522"/>
      <c r="V17" s="57"/>
      <c r="W17" s="57"/>
      <c r="X17" s="58"/>
    </row>
    <row r="18" spans="1:24" ht="18.75" customHeight="1">
      <c r="A18" s="522"/>
      <c r="B18" s="534"/>
      <c r="C18" s="534"/>
      <c r="D18" s="534"/>
      <c r="E18" s="552"/>
      <c r="F18" s="552"/>
      <c r="G18" s="534"/>
      <c r="H18" s="534"/>
      <c r="I18" s="534"/>
      <c r="J18" s="534"/>
      <c r="K18" s="541"/>
      <c r="L18" s="541"/>
      <c r="M18" s="534"/>
      <c r="N18" s="534"/>
      <c r="O18" s="534"/>
      <c r="P18" s="534"/>
      <c r="Q18" s="534"/>
      <c r="R18" s="534"/>
      <c r="S18" s="534"/>
      <c r="T18" s="523"/>
      <c r="U18" s="522"/>
      <c r="V18" s="57"/>
      <c r="W18" s="57"/>
      <c r="X18" s="58"/>
    </row>
    <row r="19" spans="1:24" ht="18.75" customHeight="1">
      <c r="A19" s="522"/>
      <c r="B19" s="1217" t="s">
        <v>75</v>
      </c>
      <c r="C19" s="1218"/>
      <c r="D19" s="1227"/>
      <c r="E19" s="1266" t="e" cm="1" vm="1">
        <f t="array" aca="1" ref="E19" ca="1">IF(E23="low BCR","n/a",IF(E17="Yes",$E$23/MAX($E$33,$E$31),0.45*$E$23/MAX($E$33,$E$31)))</f>
        <v>#VALUE!</v>
      </c>
      <c r="F19" s="1267"/>
      <c r="G19" s="533"/>
      <c r="H19" s="1217" t="s">
        <v>76</v>
      </c>
      <c r="I19" s="1218"/>
      <c r="J19" s="1227"/>
      <c r="K19" s="1266" t="e" cm="1" vm="1">
        <f t="array" aca="1" ref="K19" ca="1">IF(E23="low BCR","n/a",IF(E17="Yes",IF(D11="Environment Agency",E23/MAX(MAX(E33,E31)-K33,1),E19+K33/E31),IF(D11="Environment Agency",E23*0.45/MAX(MAX(E33,E31)-K33,1),E19+K33/E31)))</f>
        <v>#VALUE!</v>
      </c>
      <c r="L19" s="1267"/>
      <c r="M19" s="533"/>
      <c r="N19" s="534"/>
      <c r="O19" s="534"/>
      <c r="P19" s="534"/>
      <c r="Q19" s="534"/>
      <c r="R19" s="534"/>
      <c r="S19" s="534"/>
      <c r="T19" s="523"/>
      <c r="U19" s="522"/>
      <c r="V19" s="57"/>
      <c r="W19" s="57"/>
      <c r="X19" s="58"/>
    </row>
    <row r="20" spans="1:24" ht="18.75" customHeight="1">
      <c r="A20" s="522"/>
      <c r="B20" s="534"/>
      <c r="C20" s="534"/>
      <c r="D20" s="534"/>
      <c r="E20" s="553"/>
      <c r="F20" s="553"/>
      <c r="G20" s="534"/>
      <c r="H20" s="534"/>
      <c r="I20" s="534"/>
      <c r="J20" s="534"/>
      <c r="K20" s="552"/>
      <c r="L20" s="552"/>
      <c r="M20" s="534"/>
      <c r="N20" s="534"/>
      <c r="O20" s="534"/>
      <c r="P20" s="534"/>
      <c r="Q20" s="534"/>
      <c r="R20" s="534"/>
      <c r="S20" s="534"/>
      <c r="T20" s="523"/>
      <c r="U20" s="522"/>
      <c r="V20" s="57"/>
      <c r="W20" s="57"/>
      <c r="X20" s="58"/>
    </row>
    <row r="21" spans="1:24" ht="18.75" customHeight="1">
      <c r="A21" s="522"/>
      <c r="B21" s="1209" t="s">
        <v>77</v>
      </c>
      <c r="C21" s="1210"/>
      <c r="D21" s="1229"/>
      <c r="E21" s="1230" t="e" cm="1" vm="1">
        <f t="array" aca="1" ref="E21" ca="1">IF(E23="low BCR","n/a",IF(E23=0,0,(IF(E17="Yes",MAX(IF(D11="Environment Agency",MAX(E33,E31)-MIN(E23,E33),E31*(1-(E19))),0),IF(D11="Environment Agency",MAX(E33,E31)-MIN(E23*0.45,E33),E31*(1-(E19)))))))</f>
        <v>#VALUE!</v>
      </c>
      <c r="F21" s="1231"/>
      <c r="G21" s="533"/>
      <c r="H21" s="1209" t="s">
        <v>78</v>
      </c>
      <c r="I21" s="1210"/>
      <c r="J21" s="1229"/>
      <c r="K21" s="1263" t="e" cm="1" vm="1">
        <f t="array" aca="1" ref="K21" ca="1">IF(E23="low BCR","n/a",IF(ROUNDUP(K19,4)&lt;100%,"-",IF(K32+M32&gt;E31,"N/A",E31-(K32+M32))))</f>
        <v>#VALUE!</v>
      </c>
      <c r="L21" s="1264"/>
      <c r="M21" s="533"/>
      <c r="N21" s="534"/>
      <c r="O21" s="534"/>
      <c r="P21" s="534"/>
      <c r="Q21" s="534"/>
      <c r="R21" s="534"/>
      <c r="S21" s="534"/>
      <c r="T21" s="523"/>
      <c r="U21" s="522"/>
      <c r="V21" s="555"/>
      <c r="W21" s="57"/>
      <c r="X21" s="556"/>
    </row>
    <row r="22" spans="1:24" ht="18.75" customHeight="1">
      <c r="A22" s="522"/>
      <c r="B22" s="534"/>
      <c r="C22" s="534"/>
      <c r="D22" s="534"/>
      <c r="E22" s="552"/>
      <c r="F22" s="552"/>
      <c r="G22" s="534"/>
      <c r="H22" s="534"/>
      <c r="I22" s="534"/>
      <c r="J22" s="534"/>
      <c r="K22" s="552"/>
      <c r="L22" s="552"/>
      <c r="M22" s="534"/>
      <c r="N22" s="534"/>
      <c r="O22" s="534"/>
      <c r="P22" s="534"/>
      <c r="Q22" s="534"/>
      <c r="R22" s="534"/>
      <c r="S22" s="557"/>
      <c r="T22" s="523"/>
      <c r="U22" s="522"/>
      <c r="V22" s="57"/>
      <c r="W22" s="57"/>
      <c r="X22" s="58"/>
    </row>
    <row r="23" spans="1:24" ht="18.75" customHeight="1">
      <c r="A23" s="522"/>
      <c r="B23" s="1217" t="s">
        <v>79</v>
      </c>
      <c r="C23" s="1218"/>
      <c r="D23" s="1227"/>
      <c r="E23" s="1238" t="e" cm="1" vm="1">
        <f t="array" aca="1" ref="E23" ca="1">IF(R8&lt;1,"low BCR",IF(OR(M7="Pre-SOC",M7="SOC",M7="Change (before OBC)"),H105,IF('Economic summary'!H12&lt;4,0,H105)))</f>
        <v>#VALUE!</v>
      </c>
      <c r="F23" s="1239"/>
      <c r="G23" s="533"/>
      <c r="H23" s="1209" t="s">
        <v>80</v>
      </c>
      <c r="I23" s="1210"/>
      <c r="J23" s="1229"/>
      <c r="K23" s="1263" t="e" cm="1" vm="1">
        <f t="array" aca="1" ref="K23" ca="1">IF(E23="low BCR","n/a",IF(D11="Environment Agency",(IF(ROUNDUP(K19,4)&lt;100%,"-",IF(O32&gt;E32,"N/A",E32-O32))),0))</f>
        <v>#VALUE!</v>
      </c>
      <c r="L23" s="1264"/>
      <c r="M23" s="1265"/>
      <c r="N23" s="1235"/>
      <c r="O23" s="1235"/>
      <c r="P23" s="1235"/>
      <c r="Q23" s="557"/>
      <c r="R23" s="557"/>
      <c r="S23" s="557"/>
      <c r="T23" s="523"/>
      <c r="U23" s="522"/>
      <c r="V23" s="555"/>
      <c r="W23" s="57"/>
      <c r="X23" s="58"/>
    </row>
    <row r="24" spans="1:24" ht="8" customHeight="1">
      <c r="A24" s="522"/>
      <c r="B24" s="549"/>
      <c r="C24" s="549"/>
      <c r="D24" s="549"/>
      <c r="E24" s="558"/>
      <c r="F24" s="558"/>
      <c r="G24" s="549"/>
      <c r="H24" s="549"/>
      <c r="I24" s="549"/>
      <c r="J24" s="549"/>
      <c r="K24" s="558"/>
      <c r="L24" s="558"/>
      <c r="M24" s="549"/>
      <c r="N24" s="549"/>
      <c r="O24" s="549"/>
      <c r="P24" s="549"/>
      <c r="Q24" s="549"/>
      <c r="R24" s="549"/>
      <c r="S24" s="549"/>
      <c r="T24" s="523"/>
      <c r="U24" s="522"/>
      <c r="V24" s="57"/>
      <c r="W24" s="57"/>
      <c r="X24" s="58"/>
    </row>
    <row r="25" spans="1:24" ht="18.75" customHeight="1">
      <c r="A25" s="522"/>
      <c r="B25" s="1190" t="e" cm="1" vm="4">
        <f t="array" aca="1" ref="B25" ca="1">'PF calculator'!B25:S25</f>
        <v>#VALUE!</v>
      </c>
      <c r="C25" s="1190"/>
      <c r="D25" s="1190"/>
      <c r="E25" s="1190"/>
      <c r="F25" s="1190"/>
      <c r="G25" s="1190"/>
      <c r="H25" s="1190"/>
      <c r="I25" s="1190"/>
      <c r="J25" s="1190"/>
      <c r="K25" s="1190"/>
      <c r="L25" s="1190"/>
      <c r="M25" s="1190"/>
      <c r="N25" s="1190"/>
      <c r="O25" s="1190"/>
      <c r="P25" s="1190"/>
      <c r="Q25" s="1190"/>
      <c r="R25" s="1190"/>
      <c r="S25" s="1190"/>
      <c r="T25" s="523"/>
      <c r="U25" s="522"/>
      <c r="V25" s="57"/>
      <c r="W25" s="57"/>
      <c r="X25" s="58"/>
    </row>
    <row r="26" spans="1:24" ht="8" customHeight="1">
      <c r="A26" s="522"/>
      <c r="B26" s="529"/>
      <c r="C26" s="529"/>
      <c r="D26" s="529"/>
      <c r="E26" s="529"/>
      <c r="F26" s="529"/>
      <c r="G26" s="529"/>
      <c r="H26" s="559"/>
      <c r="I26" s="529"/>
      <c r="J26" s="529"/>
      <c r="K26" s="1256" t="s">
        <v>81</v>
      </c>
      <c r="L26" s="1257"/>
      <c r="M26" s="1256" t="s">
        <v>82</v>
      </c>
      <c r="N26" s="1257"/>
      <c r="O26" s="1256" t="s">
        <v>83</v>
      </c>
      <c r="P26" s="1257"/>
      <c r="Q26" s="529"/>
      <c r="R26" s="529"/>
      <c r="S26" s="529"/>
      <c r="T26" s="523"/>
      <c r="U26" s="522"/>
      <c r="V26" s="57"/>
      <c r="W26" s="57"/>
      <c r="X26" s="58"/>
    </row>
    <row r="27" spans="1:24" ht="18.75" customHeight="1">
      <c r="A27" s="522"/>
      <c r="B27" s="1259" t="str" cm="1">
        <f t="array" ref="B27">IF(M7="Pre-SOC","Estimated project costs",IF(M7="SOC","Estimated project costs","Project costs"))</f>
        <v>Estimated project costs</v>
      </c>
      <c r="C27" s="1259"/>
      <c r="D27" s="1259"/>
      <c r="E27" s="1260" t="s">
        <v>84</v>
      </c>
      <c r="F27" s="1261"/>
      <c r="G27" s="529"/>
      <c r="H27" s="1262" t="str" cm="1">
        <f t="array" ref="H27">IF(M7="Pre-SOC","Estimated contributions",IF(M7="SOC","Estimated contributions","Contributions secured to date"))</f>
        <v>Estimated contributions</v>
      </c>
      <c r="I27" s="1262"/>
      <c r="J27" s="1262"/>
      <c r="K27" s="1258"/>
      <c r="L27" s="1258"/>
      <c r="M27" s="1258"/>
      <c r="N27" s="1258"/>
      <c r="O27" s="1258"/>
      <c r="P27" s="1258"/>
      <c r="Q27" s="529"/>
      <c r="R27" s="529"/>
      <c r="S27" s="529"/>
      <c r="T27" s="523"/>
      <c r="U27" s="522"/>
      <c r="V27" s="57"/>
      <c r="W27" s="57"/>
      <c r="X27" s="58"/>
    </row>
    <row r="28" spans="1:24" ht="18.75" customHeight="1">
      <c r="A28" s="522"/>
      <c r="B28" s="1209" t="s">
        <v>85</v>
      </c>
      <c r="C28" s="1210"/>
      <c r="D28" s="1229"/>
      <c r="E28" s="1212" cm="1">
        <f t="array" ref="E28">'PF calculator'!E28</f>
        <v>400000</v>
      </c>
      <c r="F28" s="1213"/>
      <c r="G28" s="533"/>
      <c r="H28" s="1209" t="s">
        <v>86</v>
      </c>
      <c r="I28" s="1210"/>
      <c r="J28" s="1211"/>
      <c r="K28" s="1252" cm="1">
        <f t="array" ref="K28">'PF calculator'!K28</f>
        <v>50000</v>
      </c>
      <c r="L28" s="1253"/>
      <c r="M28" s="1252" cm="1">
        <f t="array" ref="M28">'PF calculator'!M28</f>
        <v>200000</v>
      </c>
      <c r="N28" s="1253"/>
      <c r="O28" s="1252" cm="1">
        <f t="array" ref="O28">'PF calculator'!O28</f>
        <v>0</v>
      </c>
      <c r="P28" s="1253"/>
      <c r="Q28" s="1254" t="e" cm="1" vm="3">
        <f t="array" aca="1" ref="Q28" ca="1">'PF calculator'!Q28:S28</f>
        <v>#VALUE!</v>
      </c>
      <c r="R28" s="1255"/>
      <c r="S28" s="1255"/>
      <c r="T28" s="523"/>
      <c r="U28" s="522"/>
      <c r="V28" s="57"/>
      <c r="W28" s="57"/>
      <c r="X28" s="58"/>
    </row>
    <row r="29" spans="1:24" ht="18.75" customHeight="1">
      <c r="A29" s="522"/>
      <c r="B29" s="1209" t="s">
        <v>88</v>
      </c>
      <c r="C29" s="1210"/>
      <c r="D29" s="1229"/>
      <c r="E29" s="1212" cm="1">
        <f t="array" ref="E29">'PF calculator'!E29</f>
        <v>6000000</v>
      </c>
      <c r="F29" s="1213"/>
      <c r="G29" s="533"/>
      <c r="H29" s="1209" t="s">
        <v>89</v>
      </c>
      <c r="I29" s="1210"/>
      <c r="J29" s="1211"/>
      <c r="K29" s="1252" cm="1">
        <f t="array" ref="K29">'PF calculator'!K29</f>
        <v>0</v>
      </c>
      <c r="L29" s="1253"/>
      <c r="M29" s="1252" cm="1">
        <f t="array" ref="M29">'PF calculator'!M29</f>
        <v>0</v>
      </c>
      <c r="N29" s="1253"/>
      <c r="O29" s="1252" cm="1">
        <f t="array" ref="O29">'PF calculator'!O29</f>
        <v>0</v>
      </c>
      <c r="P29" s="1253"/>
      <c r="Q29" s="1247" cm="1">
        <f t="array" ref="Q29">'PF calculator'!Q29</f>
        <v>0</v>
      </c>
      <c r="R29" s="1248"/>
      <c r="S29" s="1249"/>
      <c r="T29" s="525"/>
      <c r="U29" s="522"/>
      <c r="V29" s="57"/>
      <c r="W29" s="57"/>
      <c r="X29" s="58"/>
    </row>
    <row r="30" spans="1:24" ht="18.75" customHeight="1">
      <c r="A30" s="522"/>
      <c r="B30" s="1209" t="s">
        <v>90</v>
      </c>
      <c r="C30" s="1210"/>
      <c r="D30" s="1229"/>
      <c r="E30" s="1212" cm="1">
        <f t="array" ref="E30">'PF calculator'!E30</f>
        <v>100000</v>
      </c>
      <c r="F30" s="1213"/>
      <c r="G30" s="533"/>
      <c r="H30" s="1209" t="s">
        <v>91</v>
      </c>
      <c r="I30" s="1210"/>
      <c r="J30" s="1211"/>
      <c r="K30" s="1252" cm="1">
        <f t="array" ref="K30">'PF calculator'!K30</f>
        <v>50000</v>
      </c>
      <c r="L30" s="1253"/>
      <c r="M30" s="1252" cm="1">
        <f t="array" ref="M30">'PF calculator'!M30</f>
        <v>300000</v>
      </c>
      <c r="N30" s="1253"/>
      <c r="O30" s="1252" cm="1">
        <f t="array" ref="O30">'PF calculator'!O30</f>
        <v>0</v>
      </c>
      <c r="P30" s="1253"/>
      <c r="Q30" s="1247" cm="1">
        <f t="array" ref="Q30">'PF calculator'!Q30</f>
        <v>0</v>
      </c>
      <c r="R30" s="1248"/>
      <c r="S30" s="1249"/>
      <c r="T30" s="525"/>
      <c r="U30" s="522"/>
      <c r="V30" s="57"/>
      <c r="W30" s="57"/>
      <c r="X30" s="58"/>
    </row>
    <row r="31" spans="1:24" ht="18.75" customHeight="1">
      <c r="A31" s="522"/>
      <c r="B31" s="1209" t="s">
        <v>92</v>
      </c>
      <c r="C31" s="1210"/>
      <c r="D31" s="1229"/>
      <c r="E31" s="1230" cm="1">
        <f t="array" ref="E31">SUM(E28:E30)</f>
        <v>6500000</v>
      </c>
      <c r="F31" s="1231"/>
      <c r="G31" s="533"/>
      <c r="H31" s="1209" t="s">
        <v>93</v>
      </c>
      <c r="I31" s="1210"/>
      <c r="J31" s="1211"/>
      <c r="K31" s="1250" cm="1">
        <f t="array" ref="K31">'PF calculator'!K31</f>
        <v>0</v>
      </c>
      <c r="L31" s="1251"/>
      <c r="M31" s="1250" cm="1">
        <f t="array" ref="M31">'PF calculator'!M31</f>
        <v>0</v>
      </c>
      <c r="N31" s="1251"/>
      <c r="O31" s="1250" cm="1">
        <f t="array" ref="O31">'PF calculator'!O31</f>
        <v>0</v>
      </c>
      <c r="P31" s="1251"/>
      <c r="Q31" s="1247" cm="1">
        <f t="array" ref="Q31">'PF calculator'!Q31</f>
        <v>0</v>
      </c>
      <c r="R31" s="1248"/>
      <c r="S31" s="1249"/>
      <c r="T31" s="525"/>
      <c r="U31" s="522"/>
      <c r="V31" s="57"/>
      <c r="W31" s="57"/>
      <c r="X31" s="58"/>
    </row>
    <row r="32" spans="1:24" ht="18.75" customHeight="1">
      <c r="A32" s="522"/>
      <c r="B32" s="1209" t="s">
        <v>94</v>
      </c>
      <c r="C32" s="1210"/>
      <c r="D32" s="1229"/>
      <c r="E32" s="1212" cm="1">
        <f t="array" ref="E32">'PF calculator'!E32</f>
        <v>2000000</v>
      </c>
      <c r="F32" s="1213"/>
      <c r="G32" s="533"/>
      <c r="H32" s="1217" t="s">
        <v>95</v>
      </c>
      <c r="I32" s="1218"/>
      <c r="J32" s="1227"/>
      <c r="K32" s="1245" cm="1">
        <f t="array" ref="K32">SUM(K28:L31)</f>
        <v>100000</v>
      </c>
      <c r="L32" s="1246"/>
      <c r="M32" s="1245" cm="1">
        <f t="array" ref="M32">SUM(M28:N31)</f>
        <v>500000</v>
      </c>
      <c r="N32" s="1246"/>
      <c r="O32" s="1245" cm="1">
        <f t="array" ref="O32">SUM(O28:P31)</f>
        <v>0</v>
      </c>
      <c r="P32" s="1246"/>
      <c r="Q32" s="560"/>
      <c r="R32" s="546"/>
      <c r="S32" s="546"/>
      <c r="T32" s="523"/>
      <c r="U32" s="522"/>
      <c r="V32" s="57"/>
      <c r="W32" s="57"/>
      <c r="X32" s="58"/>
    </row>
    <row r="33" spans="1:24" ht="18.75" customHeight="1">
      <c r="A33" s="522"/>
      <c r="B33" s="1209" t="s">
        <v>96</v>
      </c>
      <c r="C33" s="1210"/>
      <c r="D33" s="1229"/>
      <c r="E33" s="1230" cm="1">
        <f t="array" ref="E33">SUM(E31:F32)</f>
        <v>8500000</v>
      </c>
      <c r="F33" s="1231"/>
      <c r="G33" s="533"/>
      <c r="H33" s="1209" t="s">
        <v>97</v>
      </c>
      <c r="I33" s="1210"/>
      <c r="J33" s="1229"/>
      <c r="K33" s="1238" cm="1">
        <f t="array" ref="K33">IF(D11="Environment Agency",K32+M32+O32,K32+M32)</f>
        <v>600000</v>
      </c>
      <c r="L33" s="1239"/>
      <c r="M33" s="1240"/>
      <c r="N33" s="1241"/>
      <c r="O33" s="1241"/>
      <c r="P33" s="1241"/>
      <c r="Q33" s="1242"/>
      <c r="R33" s="1242"/>
      <c r="S33" s="1242"/>
      <c r="T33" s="523"/>
      <c r="U33" s="522"/>
      <c r="V33" s="57"/>
      <c r="W33" s="57"/>
      <c r="X33" s="58"/>
    </row>
    <row r="34" spans="1:24" ht="8" customHeight="1">
      <c r="A34" s="522"/>
      <c r="B34" s="549"/>
      <c r="C34" s="549"/>
      <c r="D34" s="549"/>
      <c r="E34" s="558"/>
      <c r="F34" s="558"/>
      <c r="G34" s="561"/>
      <c r="H34" s="561"/>
      <c r="I34" s="561"/>
      <c r="J34" s="549"/>
      <c r="K34" s="558"/>
      <c r="L34" s="558"/>
      <c r="M34" s="549"/>
      <c r="N34" s="561"/>
      <c r="O34" s="561"/>
      <c r="P34" s="561"/>
      <c r="Q34" s="549"/>
      <c r="R34" s="549"/>
      <c r="S34" s="549"/>
      <c r="T34" s="523"/>
      <c r="U34" s="522"/>
      <c r="V34" s="57"/>
      <c r="W34" s="57"/>
      <c r="X34" s="58"/>
    </row>
    <row r="35" spans="1:24" ht="18.75" customHeight="1">
      <c r="A35" s="522"/>
      <c r="B35" s="1190" t="e" cm="1" vm="4">
        <f t="array" aca="1" ref="B35" ca="1">'PF calculator'!B35:S35</f>
        <v>#VALUE!</v>
      </c>
      <c r="C35" s="1190"/>
      <c r="D35" s="1190"/>
      <c r="E35" s="1190"/>
      <c r="F35" s="1190"/>
      <c r="G35" s="1190"/>
      <c r="H35" s="1190"/>
      <c r="I35" s="1190"/>
      <c r="J35" s="1190"/>
      <c r="K35" s="1190"/>
      <c r="L35" s="1190"/>
      <c r="M35" s="1190"/>
      <c r="N35" s="1190"/>
      <c r="O35" s="1190"/>
      <c r="P35" s="1190"/>
      <c r="Q35" s="1190"/>
      <c r="R35" s="1190"/>
      <c r="S35" s="1190"/>
      <c r="T35" s="523"/>
      <c r="U35" s="522"/>
      <c r="V35" s="57"/>
      <c r="W35" s="57"/>
      <c r="X35" s="58"/>
    </row>
    <row r="36" spans="1:24" ht="8" customHeight="1">
      <c r="A36" s="522"/>
      <c r="B36" s="529"/>
      <c r="C36" s="529"/>
      <c r="D36" s="529"/>
      <c r="E36" s="530"/>
      <c r="F36" s="530"/>
      <c r="G36" s="529"/>
      <c r="H36" s="529"/>
      <c r="I36" s="529"/>
      <c r="J36" s="529"/>
      <c r="K36" s="529"/>
      <c r="L36" s="529"/>
      <c r="M36" s="529"/>
      <c r="N36" s="529"/>
      <c r="O36" s="529"/>
      <c r="P36" s="529"/>
      <c r="Q36" s="529"/>
      <c r="R36" s="529"/>
      <c r="S36" s="529"/>
      <c r="T36" s="523"/>
      <c r="U36" s="522"/>
      <c r="V36" s="57"/>
      <c r="W36" s="57"/>
      <c r="X36" s="58"/>
    </row>
    <row r="37" spans="1:24" ht="18.75" customHeight="1">
      <c r="A37" s="522"/>
      <c r="B37" s="1209" t="s">
        <v>100</v>
      </c>
      <c r="C37" s="1210"/>
      <c r="D37" s="1229"/>
      <c r="E37" s="1212" cm="1">
        <f t="array" ref="E37">'PF calculator'!E37</f>
        <v>4000000</v>
      </c>
      <c r="F37" s="1213"/>
      <c r="G37" s="533"/>
      <c r="H37" s="534"/>
      <c r="I37" s="534"/>
      <c r="J37" s="534"/>
      <c r="K37" s="534"/>
      <c r="L37" s="1235"/>
      <c r="M37" s="1235"/>
      <c r="N37" s="1235"/>
      <c r="O37" s="1235"/>
      <c r="P37" s="1235"/>
      <c r="Q37" s="1235"/>
      <c r="R37" s="1235"/>
      <c r="S37" s="1235"/>
      <c r="T37" s="523"/>
      <c r="U37" s="522"/>
      <c r="V37" s="57"/>
      <c r="W37" s="57"/>
      <c r="X37" s="58"/>
    </row>
    <row r="38" spans="1:24" ht="18.75" customHeight="1">
      <c r="A38" s="522"/>
      <c r="B38" s="1210" t="e" cm="1" vm="3">
        <f t="array" aca="1" ref="B38" ca="1">'PF calculator'!B38:D38</f>
        <v>#VALUE!</v>
      </c>
      <c r="C38" s="1210"/>
      <c r="D38" s="1229"/>
      <c r="E38" s="1236" cm="1">
        <f t="array" ref="E38">'PF calculator'!E38</f>
        <v>100</v>
      </c>
      <c r="F38" s="1237"/>
      <c r="G38" s="533"/>
      <c r="H38" s="534"/>
      <c r="I38" s="534"/>
      <c r="J38" s="534"/>
      <c r="K38" s="534"/>
      <c r="L38" s="534"/>
      <c r="M38" s="534"/>
      <c r="N38" s="534"/>
      <c r="O38" s="534"/>
      <c r="P38" s="534"/>
      <c r="Q38" s="534"/>
      <c r="R38" s="534"/>
      <c r="S38" s="534"/>
      <c r="T38" s="523"/>
      <c r="U38" s="522"/>
      <c r="V38" s="57"/>
      <c r="W38" s="57"/>
      <c r="X38" s="58"/>
    </row>
    <row r="39" spans="1:24" ht="18.75" customHeight="1">
      <c r="A39" s="522"/>
      <c r="B39" s="1210" t="e" cm="1" vm="3">
        <f t="array" aca="1" ref="B39" ca="1">'PF calculator'!B39:D39</f>
        <v>#VALUE!</v>
      </c>
      <c r="C39" s="1210"/>
      <c r="D39" s="1229"/>
      <c r="E39" s="1230" t="e" cm="1" vm="5">
        <f t="array" aca="1" ref="E39" ca="1">'PF calculator'!E39:F39</f>
        <v>#VALUE!</v>
      </c>
      <c r="F39" s="1231"/>
      <c r="G39" s="533"/>
      <c r="H39" s="534"/>
      <c r="I39" s="534"/>
      <c r="J39" s="534"/>
      <c r="K39" s="534"/>
      <c r="L39" s="534"/>
      <c r="M39" s="534"/>
      <c r="N39" s="534"/>
      <c r="O39" s="534"/>
      <c r="P39" s="534"/>
      <c r="Q39" s="534"/>
      <c r="R39" s="534"/>
      <c r="S39" s="534"/>
      <c r="T39" s="523"/>
      <c r="U39" s="522"/>
      <c r="V39" s="57"/>
      <c r="W39" s="57"/>
      <c r="X39" s="58"/>
    </row>
    <row r="40" spans="1:24" ht="8" customHeight="1">
      <c r="A40" s="522"/>
      <c r="B40" s="554"/>
      <c r="C40" s="554"/>
      <c r="D40" s="554"/>
      <c r="E40" s="562"/>
      <c r="F40" s="562"/>
      <c r="G40" s="554"/>
      <c r="H40" s="534"/>
      <c r="I40" s="534"/>
      <c r="J40" s="534"/>
      <c r="K40" s="534"/>
      <c r="L40" s="534"/>
      <c r="M40" s="534"/>
      <c r="N40" s="534"/>
      <c r="O40" s="534"/>
      <c r="P40" s="534"/>
      <c r="Q40" s="534"/>
      <c r="R40" s="534"/>
      <c r="S40" s="534"/>
      <c r="T40" s="523"/>
      <c r="U40" s="522"/>
      <c r="V40" s="57"/>
      <c r="W40" s="57"/>
      <c r="X40" s="58"/>
    </row>
    <row r="41" spans="1:24" ht="18.75" customHeight="1">
      <c r="A41" s="522"/>
      <c r="B41" s="1232" t="e" cm="1" vm="6">
        <f t="array" aca="1" ref="B41" ca="1">'PF calculator'!B41:D42</f>
        <v>#VALUE!</v>
      </c>
      <c r="C41" s="1232"/>
      <c r="D41" s="1233"/>
      <c r="E41" s="1230" cm="1">
        <f t="array" ref="E41">'PF calculator'!E41</f>
        <v>1000000</v>
      </c>
      <c r="F41" s="1231"/>
      <c r="G41" s="533"/>
      <c r="H41" s="534"/>
      <c r="I41" s="534"/>
      <c r="J41" s="534"/>
      <c r="K41" s="534"/>
      <c r="L41" s="534"/>
      <c r="M41" s="534"/>
      <c r="N41" s="534"/>
      <c r="O41" s="534"/>
      <c r="P41" s="534"/>
      <c r="Q41" s="534"/>
      <c r="R41" s="534"/>
      <c r="S41" s="534"/>
      <c r="T41" s="523"/>
      <c r="U41" s="522"/>
      <c r="V41" s="57"/>
      <c r="W41" s="57"/>
      <c r="X41" s="58"/>
    </row>
    <row r="42" spans="1:24" ht="13.5" customHeight="1">
      <c r="A42" s="522"/>
      <c r="B42" s="1234"/>
      <c r="C42" s="1234"/>
      <c r="D42" s="1234"/>
      <c r="E42" s="563"/>
      <c r="F42" s="563"/>
      <c r="G42" s="564"/>
      <c r="H42" s="564"/>
      <c r="I42" s="564"/>
      <c r="J42" s="564"/>
      <c r="K42" s="564"/>
      <c r="L42" s="564"/>
      <c r="M42" s="564"/>
      <c r="N42" s="564"/>
      <c r="O42" s="564"/>
      <c r="P42" s="564"/>
      <c r="Q42" s="564"/>
      <c r="R42" s="564"/>
      <c r="S42" s="564"/>
      <c r="T42" s="523"/>
      <c r="U42" s="522"/>
      <c r="V42" s="57"/>
      <c r="W42" s="57"/>
      <c r="X42" s="58"/>
    </row>
    <row r="43" spans="1:24" ht="18.75" customHeight="1">
      <c r="A43" s="522"/>
      <c r="B43" s="1190" t="e" cm="1" vm="4">
        <f t="array" aca="1" ref="B43" ca="1">'PF calculator'!B43:S43</f>
        <v>#VALUE!</v>
      </c>
      <c r="C43" s="1190"/>
      <c r="D43" s="1190"/>
      <c r="E43" s="1190"/>
      <c r="F43" s="1190"/>
      <c r="G43" s="1190"/>
      <c r="H43" s="1190"/>
      <c r="I43" s="1190"/>
      <c r="J43" s="1190"/>
      <c r="K43" s="1190"/>
      <c r="L43" s="1190"/>
      <c r="M43" s="1190"/>
      <c r="N43" s="1190"/>
      <c r="O43" s="1190"/>
      <c r="P43" s="1190"/>
      <c r="Q43" s="1190"/>
      <c r="R43" s="1190"/>
      <c r="S43" s="1190"/>
      <c r="T43" s="523"/>
      <c r="U43" s="522"/>
      <c r="V43" s="57"/>
      <c r="W43" s="57"/>
      <c r="X43" s="58"/>
    </row>
    <row r="44" spans="1:24" ht="8" customHeight="1">
      <c r="A44" s="522"/>
      <c r="B44" s="565"/>
      <c r="C44" s="529"/>
      <c r="D44" s="529"/>
      <c r="E44" s="529"/>
      <c r="F44" s="529"/>
      <c r="G44" s="529"/>
      <c r="H44" s="529"/>
      <c r="I44" s="529"/>
      <c r="J44" s="529"/>
      <c r="K44" s="529"/>
      <c r="L44" s="529"/>
      <c r="M44" s="529"/>
      <c r="N44" s="529"/>
      <c r="O44" s="529"/>
      <c r="P44" s="529"/>
      <c r="Q44" s="529"/>
      <c r="R44" s="529"/>
      <c r="S44" s="529"/>
      <c r="T44" s="523"/>
      <c r="U44" s="522"/>
      <c r="V44" s="57"/>
      <c r="W44" s="57"/>
      <c r="X44" s="58"/>
    </row>
    <row r="45" spans="1:24" ht="18.75" customHeight="1">
      <c r="A45" s="566"/>
      <c r="B45" s="1217" t="s">
        <v>107</v>
      </c>
      <c r="C45" s="1218"/>
      <c r="D45" s="1218"/>
      <c r="E45" s="1218"/>
      <c r="F45" s="1219" t="s">
        <v>108</v>
      </c>
      <c r="G45" s="1220"/>
      <c r="H45" s="1220"/>
      <c r="I45" s="1220"/>
      <c r="J45" s="1220"/>
      <c r="K45" s="534"/>
      <c r="L45" s="1219" t="s">
        <v>109</v>
      </c>
      <c r="M45" s="1220"/>
      <c r="N45" s="1220"/>
      <c r="O45" s="1220"/>
      <c r="P45" s="1220"/>
      <c r="Q45" s="534"/>
      <c r="R45" s="1221" t="s">
        <v>110</v>
      </c>
      <c r="S45" s="1222"/>
      <c r="T45" s="523"/>
      <c r="U45" s="522"/>
      <c r="V45" s="57"/>
      <c r="W45" s="57"/>
      <c r="X45" s="58"/>
    </row>
    <row r="46" spans="1:24" ht="18.75" customHeight="1">
      <c r="A46" s="566"/>
      <c r="B46" s="1209" t="s">
        <v>111</v>
      </c>
      <c r="C46" s="1210"/>
      <c r="D46" s="1210"/>
      <c r="E46" s="1211"/>
      <c r="F46" s="122"/>
      <c r="G46" s="567" cm="1">
        <f t="array" ref="G46">'PF calculator'!G46</f>
        <v>0</v>
      </c>
      <c r="H46" s="567" cm="1">
        <f t="array" ref="H46">'PF calculator'!H46</f>
        <v>0</v>
      </c>
      <c r="I46" s="612" cm="1">
        <f t="array" ref="I46">'PF calculator'!I46+('PF calculator'!J46*0.5)</f>
        <v>123</v>
      </c>
      <c r="J46" s="612" cm="1">
        <f t="array" ref="J46">'PF calculator'!J46*0.5</f>
        <v>0</v>
      </c>
      <c r="K46" s="568"/>
      <c r="L46" s="569" cm="1">
        <f t="array" ref="L46">IF(SUM(G46:J46)&lt;SUM(F51:J51),"n/a",F51)</f>
        <v>123</v>
      </c>
      <c r="M46" s="569" cm="1">
        <f t="array" ref="M46">IF(SUM(G46:J46)&lt;SUM(F51:J51),"n/a",G51-G46)</f>
        <v>0</v>
      </c>
      <c r="N46" s="569" cm="1">
        <f t="array" ref="N46">IF(SUM(G46:J46)&lt;SUM(F51:J51),"n/a",H51-H46)</f>
        <v>0</v>
      </c>
      <c r="O46" s="569" cm="1">
        <f t="array" ref="O46">IF(SUM(G46:J46)&lt;SUM(F51:J51),"n/a",I51-I46)</f>
        <v>-123</v>
      </c>
      <c r="P46" s="569" cm="1">
        <f t="array" ref="P46">IF(SUM(G46:J46)&lt;SUM(F51:J51),"n/a",J51-J46)</f>
        <v>0</v>
      </c>
      <c r="Q46" s="570"/>
      <c r="R46" s="1212" cm="1">
        <f t="array" ref="R46">-(SUMPRODUCT($M$46:$P$46,$M$52:$P$52))*(VLOOKUP($E$38,'Policy assumptions and formulae'!A10:D109,4,FALSE))</f>
        <v>3673805.8916927809</v>
      </c>
      <c r="S46" s="1213"/>
      <c r="T46" s="571"/>
      <c r="U46" s="522"/>
      <c r="V46" s="57"/>
      <c r="W46" s="57"/>
      <c r="X46" s="58"/>
    </row>
    <row r="47" spans="1:24" ht="18.75" customHeight="1">
      <c r="A47" s="566"/>
      <c r="B47" s="1209" t="s">
        <v>112</v>
      </c>
      <c r="C47" s="1210"/>
      <c r="D47" s="1210"/>
      <c r="E47" s="1211"/>
      <c r="F47" s="122"/>
      <c r="G47" s="567" cm="1">
        <f t="array" ref="G47">'PF calculator'!G47</f>
        <v>0</v>
      </c>
      <c r="H47" s="567" cm="1">
        <f t="array" ref="H47">'PF calculator'!H47</f>
        <v>0</v>
      </c>
      <c r="I47" s="612" cm="1">
        <f t="array" ref="I47">'PF calculator'!I47+('PF calculator'!J47*0.5)</f>
        <v>500</v>
      </c>
      <c r="J47" s="612" cm="1">
        <f t="array" ref="J47">'PF calculator'!J47*0.5</f>
        <v>0</v>
      </c>
      <c r="K47" s="568"/>
      <c r="L47" s="569" cm="1">
        <f t="array" ref="L47">IF(SUM(G47:J47)&lt;SUM(F52:J52),"n/a",F52)</f>
        <v>500</v>
      </c>
      <c r="M47" s="569" cm="1">
        <f t="array" ref="M47">IF(SUM(G47:J47)&lt;SUM(F52:J52),"n/a",G52-G47)</f>
        <v>0</v>
      </c>
      <c r="N47" s="569" cm="1">
        <f t="array" ref="N47">IF(SUM(G47:J47)&lt;SUM(F52:J52),"n/a",H52-H47)</f>
        <v>0</v>
      </c>
      <c r="O47" s="569" cm="1">
        <f t="array" ref="O47">IF(SUM(G47:J47)&lt;SUM(F52:J52),"n/a",I52-I47)</f>
        <v>-500</v>
      </c>
      <c r="P47" s="569" cm="1">
        <f t="array" ref="P47">IF(SUM(G47:J47)&lt;SUM(F52:J52),"n/a",J52-J47)</f>
        <v>0</v>
      </c>
      <c r="Q47" s="570"/>
      <c r="R47" s="1212" cm="1">
        <f t="array" ref="R47">-(SUMPRODUCT($M$47:$P$47,$M$52:$P$52))*(VLOOKUP($E$38,'Policy assumptions and formulae'!A10:D109,4,FALSE))</f>
        <v>14934170.291434068</v>
      </c>
      <c r="S47" s="1213"/>
      <c r="T47" s="571"/>
      <c r="U47" s="522"/>
      <c r="V47" s="57"/>
      <c r="W47" s="57"/>
      <c r="X47" s="58"/>
    </row>
    <row r="48" spans="1:24" ht="18.75" customHeight="1">
      <c r="A48" s="566"/>
      <c r="B48" s="1209" t="s">
        <v>113</v>
      </c>
      <c r="C48" s="1210"/>
      <c r="D48" s="1210"/>
      <c r="E48" s="1211"/>
      <c r="F48" s="122"/>
      <c r="G48" s="567" cm="1">
        <f t="array" ref="G48">'PF calculator'!G48</f>
        <v>0</v>
      </c>
      <c r="H48" s="567" cm="1">
        <f t="array" ref="H48">'PF calculator'!H48</f>
        <v>0</v>
      </c>
      <c r="I48" s="612" cm="1">
        <f t="array" ref="I48">'PF calculator'!I48+('PF calculator'!J48*0.5)</f>
        <v>0</v>
      </c>
      <c r="J48" s="612" cm="1">
        <f t="array" ref="J48">'PF calculator'!J48*0.5</f>
        <v>0</v>
      </c>
      <c r="K48" s="568"/>
      <c r="L48" s="569" cm="1">
        <f t="array" ref="L48">IF(SUM(G48:J48)&lt;SUM(F53:J53),"n/a",F53)</f>
        <v>0</v>
      </c>
      <c r="M48" s="569" cm="1">
        <f t="array" ref="M48">IF(SUM(G48:J48)&lt;SUM(F53:J53),"n/a",G53-G48)</f>
        <v>0</v>
      </c>
      <c r="N48" s="569" cm="1">
        <f t="array" ref="N48">IF(SUM(G48:J48)&lt;SUM(F53:J53),"n/a",H53-H48)</f>
        <v>0</v>
      </c>
      <c r="O48" s="569" cm="1">
        <f t="array" ref="O48">IF(SUM(G48:J48)&lt;SUM(F53:J53),"n/a",I53-I48)</f>
        <v>0</v>
      </c>
      <c r="P48" s="569" cm="1">
        <f t="array" ref="P48">IF(SUM(G48:J48)&lt;SUM(F53:J53),"n/a",J53-J48)</f>
        <v>0</v>
      </c>
      <c r="Q48" s="570"/>
      <c r="R48" s="1212" cm="1">
        <f t="array" ref="R48">-(SUMPRODUCT($M$48:$P$48,$M$52:$P$52))*(VLOOKUP($E$38,'Policy assumptions and formulae'!A10:D109,4,FALSE))</f>
        <v>0</v>
      </c>
      <c r="S48" s="1213"/>
      <c r="T48" s="571"/>
      <c r="U48" s="522"/>
      <c r="V48" s="57"/>
      <c r="W48" s="57"/>
      <c r="X48" s="58"/>
    </row>
    <row r="49" spans="1:24" ht="29.25" customHeight="1">
      <c r="A49" s="522"/>
      <c r="B49" s="529"/>
      <c r="C49" s="529"/>
      <c r="D49" s="529"/>
      <c r="E49" s="529"/>
      <c r="F49" s="572" t="s">
        <v>464</v>
      </c>
      <c r="G49" s="572" t="s">
        <v>114</v>
      </c>
      <c r="H49" s="572" t="s">
        <v>115</v>
      </c>
      <c r="I49" s="572" t="s">
        <v>117</v>
      </c>
      <c r="J49" s="572" t="s">
        <v>118</v>
      </c>
      <c r="K49" s="529"/>
      <c r="L49" s="572" t="s">
        <v>464</v>
      </c>
      <c r="M49" s="572" t="s">
        <v>114</v>
      </c>
      <c r="N49" s="572" t="s">
        <v>115</v>
      </c>
      <c r="O49" s="572" t="s">
        <v>117</v>
      </c>
      <c r="P49" s="572" t="s">
        <v>118</v>
      </c>
      <c r="Q49" s="529"/>
      <c r="R49" s="573"/>
      <c r="S49" s="573"/>
      <c r="T49" s="523"/>
      <c r="U49" s="522"/>
      <c r="V49" s="57"/>
      <c r="W49" s="57"/>
      <c r="X49" s="58"/>
    </row>
    <row r="50" spans="1:24" ht="18.75" customHeight="1">
      <c r="A50" s="522"/>
      <c r="B50" s="1217" t="s">
        <v>107</v>
      </c>
      <c r="C50" s="1218"/>
      <c r="D50" s="1218"/>
      <c r="E50" s="1218"/>
      <c r="F50" s="1219" t="s">
        <v>465</v>
      </c>
      <c r="G50" s="1220"/>
      <c r="H50" s="1220"/>
      <c r="I50" s="1220"/>
      <c r="J50" s="1220"/>
      <c r="K50" s="534"/>
      <c r="L50" s="1223" t="s">
        <v>120</v>
      </c>
      <c r="M50" s="1224"/>
      <c r="N50" s="1224"/>
      <c r="O50" s="1224"/>
      <c r="P50" s="1224"/>
      <c r="Q50" s="529"/>
      <c r="R50" s="529"/>
      <c r="S50" s="529"/>
      <c r="T50" s="523"/>
      <c r="U50" s="522"/>
      <c r="V50" s="57"/>
      <c r="W50" s="57"/>
      <c r="X50" s="58"/>
    </row>
    <row r="51" spans="1:24" ht="18.75" customHeight="1">
      <c r="A51" s="522"/>
      <c r="B51" s="1209" t="s">
        <v>111</v>
      </c>
      <c r="C51" s="1210"/>
      <c r="D51" s="1210"/>
      <c r="E51" s="1211"/>
      <c r="F51" s="567" cm="1">
        <f t="array" ref="F51">'PF calculator'!F51</f>
        <v>123</v>
      </c>
      <c r="G51" s="567" cm="1">
        <f t="array" ref="G51">'PF calculator'!G51</f>
        <v>0</v>
      </c>
      <c r="H51" s="567" cm="1">
        <f t="array" ref="H51">'PF calculator'!H51</f>
        <v>0</v>
      </c>
      <c r="I51" s="567" cm="1">
        <f t="array" ref="I51">'PF calculator'!I51</f>
        <v>0</v>
      </c>
      <c r="J51" s="567" cm="1">
        <f t="array" ref="J51">'PF calculator'!J51</f>
        <v>0</v>
      </c>
      <c r="K51" s="574"/>
      <c r="L51" s="1225"/>
      <c r="M51" s="1225"/>
      <c r="N51" s="1225"/>
      <c r="O51" s="1225"/>
      <c r="P51" s="1225"/>
      <c r="Q51" s="529"/>
      <c r="R51" s="529"/>
      <c r="S51" s="529"/>
      <c r="T51" s="523"/>
      <c r="U51" s="522"/>
      <c r="V51" s="57"/>
      <c r="W51" s="57"/>
      <c r="X51" s="58"/>
    </row>
    <row r="52" spans="1:24" ht="18.75" customHeight="1">
      <c r="A52" s="522"/>
      <c r="B52" s="1209" t="s">
        <v>112</v>
      </c>
      <c r="C52" s="1210"/>
      <c r="D52" s="1210"/>
      <c r="E52" s="1211"/>
      <c r="F52" s="567" cm="1">
        <f t="array" ref="F52">'PF calculator'!F52</f>
        <v>500</v>
      </c>
      <c r="G52" s="567" cm="1">
        <f t="array" ref="G52">'PF calculator'!G52</f>
        <v>0</v>
      </c>
      <c r="H52" s="567" cm="1">
        <f t="array" ref="H52">'PF calculator'!H52</f>
        <v>0</v>
      </c>
      <c r="I52" s="567" cm="1">
        <f t="array" ref="I52">'PF calculator'!I52</f>
        <v>0</v>
      </c>
      <c r="J52" s="567" cm="1">
        <f t="array" ref="J52">'PF calculator'!J52</f>
        <v>0</v>
      </c>
      <c r="K52" s="568"/>
      <c r="L52" s="575" cm="1">
        <f t="array" ref="L52">'Policy assumptions and formulae'!$AD$56</f>
        <v>0</v>
      </c>
      <c r="M52" s="575" cm="1">
        <f t="array" ref="M52">'Policy assumptions and formulae'!$AD$55</f>
        <v>58.833333333333343</v>
      </c>
      <c r="N52" s="575" cm="1">
        <f t="array" ref="N52">'Policy assumptions and formulae'!$AD$54</f>
        <v>294.16666666666674</v>
      </c>
      <c r="O52" s="575" cm="1">
        <f t="array" ref="O52">'Policy assumptions and formulae'!$AD$53</f>
        <v>1000.1666666666665</v>
      </c>
      <c r="P52" s="575" cm="1">
        <f t="array" ref="P52">'Policy assumptions and formulae'!$AD$52</f>
        <v>1588.5000000000002</v>
      </c>
      <c r="Q52" s="576"/>
      <c r="R52" s="529"/>
      <c r="S52" s="529"/>
      <c r="T52" s="523"/>
      <c r="U52" s="522"/>
      <c r="V52" s="57"/>
      <c r="W52" s="57"/>
      <c r="X52" s="58"/>
    </row>
    <row r="53" spans="1:24" ht="18.75" customHeight="1">
      <c r="A53" s="522"/>
      <c r="B53" s="1209" t="s">
        <v>121</v>
      </c>
      <c r="C53" s="1210"/>
      <c r="D53" s="1210"/>
      <c r="E53" s="1211"/>
      <c r="F53" s="567" cm="1">
        <f t="array" ref="F53">'PF calculator'!F53</f>
        <v>0</v>
      </c>
      <c r="G53" s="567" cm="1">
        <f t="array" ref="G53">'PF calculator'!G53</f>
        <v>0</v>
      </c>
      <c r="H53" s="567" cm="1">
        <f t="array" ref="H53">'PF calculator'!H53</f>
        <v>0</v>
      </c>
      <c r="I53" s="567" cm="1">
        <f t="array" ref="I53">'PF calculator'!I53</f>
        <v>0</v>
      </c>
      <c r="J53" s="567" cm="1">
        <f t="array" ref="J53">'PF calculator'!J53</f>
        <v>0</v>
      </c>
      <c r="K53" s="574"/>
      <c r="L53" s="577"/>
      <c r="M53" s="546"/>
      <c r="N53" s="546"/>
      <c r="O53" s="546"/>
      <c r="P53" s="546"/>
      <c r="Q53" s="529"/>
      <c r="R53" s="529"/>
      <c r="S53" s="529"/>
      <c r="T53" s="523"/>
      <c r="U53" s="522"/>
      <c r="V53" s="57"/>
      <c r="W53" s="57"/>
      <c r="X53" s="58"/>
    </row>
    <row r="54" spans="1:24" ht="28.5" customHeight="1">
      <c r="A54" s="522"/>
      <c r="B54" s="529"/>
      <c r="C54" s="529"/>
      <c r="D54" s="529"/>
      <c r="E54" s="529"/>
      <c r="F54" s="572" t="s">
        <v>464</v>
      </c>
      <c r="G54" s="572" t="s">
        <v>114</v>
      </c>
      <c r="H54" s="572" t="s">
        <v>115</v>
      </c>
      <c r="I54" s="572" t="s">
        <v>117</v>
      </c>
      <c r="J54" s="572" t="s">
        <v>118</v>
      </c>
      <c r="K54" s="529"/>
      <c r="L54" s="529"/>
      <c r="M54" s="529"/>
      <c r="N54" s="529"/>
      <c r="O54" s="529"/>
      <c r="P54" s="529"/>
      <c r="Q54" s="529"/>
      <c r="R54" s="529"/>
      <c r="S54" s="529"/>
      <c r="T54" s="523"/>
      <c r="U54" s="522"/>
      <c r="V54" s="57"/>
      <c r="W54" s="57"/>
      <c r="X54" s="58"/>
    </row>
    <row r="55" spans="1:24" ht="8" customHeight="1">
      <c r="A55" s="522"/>
      <c r="B55" s="549"/>
      <c r="C55" s="549"/>
      <c r="D55" s="549"/>
      <c r="E55" s="549"/>
      <c r="F55" s="549"/>
      <c r="G55" s="549"/>
      <c r="H55" s="549"/>
      <c r="I55" s="549"/>
      <c r="J55" s="549"/>
      <c r="K55" s="549"/>
      <c r="L55" s="549"/>
      <c r="M55" s="549"/>
      <c r="N55" s="549"/>
      <c r="O55" s="549"/>
      <c r="P55" s="549"/>
      <c r="Q55" s="549"/>
      <c r="R55" s="549"/>
      <c r="S55" s="549"/>
      <c r="T55" s="523"/>
      <c r="U55" s="522"/>
      <c r="V55" s="57"/>
      <c r="W55" s="57"/>
      <c r="X55" s="58"/>
    </row>
    <row r="56" spans="1:24" ht="18.75" customHeight="1">
      <c r="A56" s="522"/>
      <c r="B56" s="1190" t="e" cm="1" vm="4">
        <f t="array" aca="1" ref="B56" ca="1">'PF calculator'!B56:S56</f>
        <v>#VALUE!</v>
      </c>
      <c r="C56" s="1190"/>
      <c r="D56" s="1190"/>
      <c r="E56" s="1190"/>
      <c r="F56" s="1190"/>
      <c r="G56" s="1190"/>
      <c r="H56" s="1190"/>
      <c r="I56" s="1190"/>
      <c r="J56" s="1190"/>
      <c r="K56" s="1190"/>
      <c r="L56" s="1190"/>
      <c r="M56" s="1190"/>
      <c r="N56" s="1190"/>
      <c r="O56" s="1190"/>
      <c r="P56" s="1190"/>
      <c r="Q56" s="1190"/>
      <c r="R56" s="1190"/>
      <c r="S56" s="1190"/>
      <c r="T56" s="523"/>
      <c r="U56" s="522"/>
      <c r="V56" s="57"/>
      <c r="W56" s="57"/>
      <c r="X56" s="58"/>
    </row>
    <row r="57" spans="1:24" ht="8" customHeight="1">
      <c r="A57" s="522"/>
      <c r="B57" s="529"/>
      <c r="C57" s="529"/>
      <c r="D57" s="529"/>
      <c r="E57" s="530"/>
      <c r="F57" s="530"/>
      <c r="G57" s="529"/>
      <c r="H57" s="529"/>
      <c r="I57" s="529"/>
      <c r="J57" s="529"/>
      <c r="K57" s="529"/>
      <c r="L57" s="529"/>
      <c r="M57" s="529"/>
      <c r="N57" s="529"/>
      <c r="O57" s="529"/>
      <c r="P57" s="529"/>
      <c r="Q57" s="529"/>
      <c r="R57" s="529"/>
      <c r="S57" s="529"/>
      <c r="T57" s="523"/>
      <c r="U57" s="522"/>
      <c r="V57" s="57"/>
      <c r="W57" s="57"/>
      <c r="X57" s="58"/>
    </row>
    <row r="58" spans="1:24" ht="18.75" customHeight="1">
      <c r="A58" s="522"/>
      <c r="B58" s="1218" t="e" cm="1" vm="3">
        <f t="array" aca="1" ref="B58" ca="1">'PF calculator'!B58:D58</f>
        <v>#VALUE!</v>
      </c>
      <c r="C58" s="1218"/>
      <c r="D58" s="1227"/>
      <c r="E58" s="1228" cm="1">
        <f t="array" ref="E58">'PF calculator'!E58</f>
        <v>2024</v>
      </c>
      <c r="F58" s="1226"/>
      <c r="G58" s="533"/>
      <c r="H58" s="534"/>
      <c r="I58" s="534"/>
      <c r="J58" s="534"/>
      <c r="K58" s="534"/>
      <c r="L58" s="534"/>
      <c r="M58" s="534"/>
      <c r="N58" s="534"/>
      <c r="O58" s="534"/>
      <c r="P58" s="534"/>
      <c r="Q58" s="534"/>
      <c r="R58" s="534"/>
      <c r="S58" s="534"/>
      <c r="T58" s="523"/>
      <c r="U58" s="578" t="s">
        <v>475</v>
      </c>
      <c r="V58" s="57"/>
      <c r="W58" s="57"/>
      <c r="X58" s="58"/>
    </row>
    <row r="59" spans="1:24" ht="8" customHeight="1">
      <c r="A59" s="522"/>
      <c r="B59" s="534"/>
      <c r="C59" s="534"/>
      <c r="D59" s="534"/>
      <c r="E59" s="536"/>
      <c r="F59" s="536"/>
      <c r="G59" s="534"/>
      <c r="H59" s="534"/>
      <c r="I59" s="534"/>
      <c r="J59" s="534"/>
      <c r="K59" s="534"/>
      <c r="L59" s="534"/>
      <c r="M59" s="534"/>
      <c r="N59" s="534"/>
      <c r="O59" s="534"/>
      <c r="P59" s="534"/>
      <c r="Q59" s="534"/>
      <c r="R59" s="534"/>
      <c r="S59" s="534"/>
      <c r="T59" s="523"/>
      <c r="U59" s="522"/>
      <c r="V59" s="57"/>
      <c r="W59" s="57"/>
      <c r="X59" s="58"/>
    </row>
    <row r="60" spans="1:24" ht="18.75" customHeight="1">
      <c r="A60" s="522"/>
      <c r="B60" s="1217" t="s">
        <v>107</v>
      </c>
      <c r="C60" s="1218"/>
      <c r="D60" s="1218"/>
      <c r="E60" s="1218"/>
      <c r="F60" s="1219" t="s">
        <v>125</v>
      </c>
      <c r="G60" s="1220"/>
      <c r="H60" s="1220"/>
      <c r="I60" s="1220"/>
      <c r="J60" s="1220"/>
      <c r="K60" s="534"/>
      <c r="L60" s="1219" t="s">
        <v>109</v>
      </c>
      <c r="M60" s="1220"/>
      <c r="N60" s="1220"/>
      <c r="O60" s="1220"/>
      <c r="P60" s="1220"/>
      <c r="Q60" s="534"/>
      <c r="R60" s="1221" t="s">
        <v>110</v>
      </c>
      <c r="S60" s="1222"/>
      <c r="T60" s="523"/>
      <c r="U60" s="522"/>
      <c r="V60" s="57"/>
      <c r="W60" s="57"/>
      <c r="X60" s="58"/>
    </row>
    <row r="61" spans="1:24" ht="18.75" customHeight="1">
      <c r="A61" s="522"/>
      <c r="B61" s="1209" t="s">
        <v>111</v>
      </c>
      <c r="C61" s="1210"/>
      <c r="D61" s="1210"/>
      <c r="E61" s="1211"/>
      <c r="F61" s="122"/>
      <c r="G61" s="567" cm="1">
        <f t="array" ref="G61">'PF calculator'!G61</f>
        <v>0</v>
      </c>
      <c r="H61" s="567" cm="1">
        <f t="array" ref="H61">'PF calculator'!H61</f>
        <v>0</v>
      </c>
      <c r="I61" s="567" cm="1">
        <f t="array" ref="I61">'PF calculator'!I61</f>
        <v>14</v>
      </c>
      <c r="J61" s="567" cm="1">
        <f t="array" ref="J61">'PF calculator'!J61</f>
        <v>0</v>
      </c>
      <c r="K61" s="568"/>
      <c r="L61" s="569" cm="1">
        <f t="array" ref="L61">IF(SUM(G61:J61)&lt;SUM(F66:J66),"n/a",F66)</f>
        <v>14</v>
      </c>
      <c r="M61" s="569" cm="1">
        <f t="array" ref="M61">IF(SUM(G61:J61)&lt;SUM(F66:J66),"n/a",G66-G61)</f>
        <v>0</v>
      </c>
      <c r="N61" s="569" cm="1">
        <f t="array" ref="N61">IF(SUM(G61:J61)&lt;SUM(F66:J66),"n/a",H66-H61)</f>
        <v>0</v>
      </c>
      <c r="O61" s="569" cm="1">
        <f t="array" ref="O61">IF(SUM(G61:J61)&lt;SUM(F66:J66),"n/a",I66-I61)</f>
        <v>-14</v>
      </c>
      <c r="P61" s="569" cm="1">
        <f t="array" ref="P61">IF(SUM(G61:J61)&lt;SUM(F66:J66),"n/a",J66-J61)</f>
        <v>0</v>
      </c>
      <c r="Q61" s="570"/>
      <c r="R61" s="1212" cm="1">
        <f t="array" ref="R61">IF($E$58+$E$38&lt;2041,"Ltd by DoB",(-SUMPRODUCT($M$61:$P$61,$M$67:$P$67)*VLOOKUP($E$38,'Policy assumptions and formulae'!$A$10:$D$109,4,FALSE))-(-SUMPRODUCT($M$61:$P$61,$M$67:$P$67)*VLOOKUP((2040-$E$58),'Policy assumptions and formulae'!$A$10:$D$109,4,FALSE)))</f>
        <v>234808.57990684893</v>
      </c>
      <c r="S61" s="1213"/>
      <c r="T61" s="571"/>
      <c r="U61" s="522"/>
      <c r="V61" s="57"/>
      <c r="W61" s="57"/>
      <c r="X61" s="58"/>
    </row>
    <row r="62" spans="1:24" ht="18.75" customHeight="1">
      <c r="A62" s="522"/>
      <c r="B62" s="1209" t="s">
        <v>112</v>
      </c>
      <c r="C62" s="1210"/>
      <c r="D62" s="1210"/>
      <c r="E62" s="1211"/>
      <c r="F62" s="122"/>
      <c r="G62" s="567" cm="1">
        <f t="array" ref="G62">'PF calculator'!G62</f>
        <v>0</v>
      </c>
      <c r="H62" s="567" cm="1">
        <f t="array" ref="H62">'PF calculator'!H62</f>
        <v>0</v>
      </c>
      <c r="I62" s="567" cm="1">
        <f t="array" ref="I62">'PF calculator'!I62</f>
        <v>0</v>
      </c>
      <c r="J62" s="567" cm="1">
        <f t="array" ref="J62">'PF calculator'!J62</f>
        <v>0</v>
      </c>
      <c r="K62" s="568"/>
      <c r="L62" s="569" cm="1">
        <f t="array" ref="L62">IF(SUM(G62:J62)&lt;SUM(F67:J67),"n/a",F67)</f>
        <v>0</v>
      </c>
      <c r="M62" s="569" cm="1">
        <f t="array" ref="M62">IF(SUM(G62:J62)&lt;SUM(F67:J67),"n/a",G67-G62)</f>
        <v>0</v>
      </c>
      <c r="N62" s="569" cm="1">
        <f t="array" ref="N62">IF(SUM(G62:J62)&lt;SUM(F67:J67),"n/a",H67-H62)</f>
        <v>0</v>
      </c>
      <c r="O62" s="569" cm="1">
        <f t="array" ref="O62">IF(SUM(G62:J62)&lt;SUM(F67:J67),"n/a",I67-I62)</f>
        <v>0</v>
      </c>
      <c r="P62" s="569" cm="1">
        <f t="array" ref="P62">IF(SUM(G62:J62)&lt;SUM(F67:J67),"n/a",J67-J62)</f>
        <v>0</v>
      </c>
      <c r="Q62" s="570"/>
      <c r="R62" s="1212" cm="1">
        <f t="array" ref="R62">IF($E$58+$E$38&lt;2041,"Ltd by DoB",(-SUMPRODUCT($M$62:$P$62,$M$67:$P$67)*VLOOKUP($E$38,'Policy assumptions and formulae'!$A$10:$D$109,4,FALSE))-(-SUMPRODUCT($M$62:$P$62,$M$67:$P$67)*VLOOKUP((2040-$E$58),'Policy assumptions and formulae'!$A$10:$D$109,4,FALSE)))</f>
        <v>0</v>
      </c>
      <c r="S62" s="1213"/>
      <c r="T62" s="571"/>
      <c r="U62" s="522"/>
      <c r="V62" s="57"/>
      <c r="W62" s="57"/>
      <c r="X62" s="58"/>
    </row>
    <row r="63" spans="1:24" ht="18.75" customHeight="1">
      <c r="A63" s="522"/>
      <c r="B63" s="1209" t="s">
        <v>113</v>
      </c>
      <c r="C63" s="1210"/>
      <c r="D63" s="1210"/>
      <c r="E63" s="1211"/>
      <c r="F63" s="122"/>
      <c r="G63" s="567" cm="1">
        <f t="array" ref="G63">'PF calculator'!G63</f>
        <v>0</v>
      </c>
      <c r="H63" s="567" cm="1">
        <f t="array" ref="H63">'PF calculator'!H63</f>
        <v>0</v>
      </c>
      <c r="I63" s="567" cm="1">
        <f t="array" ref="I63">'PF calculator'!I63</f>
        <v>0</v>
      </c>
      <c r="J63" s="567" cm="1">
        <f t="array" ref="J63">'PF calculator'!J63</f>
        <v>0</v>
      </c>
      <c r="K63" s="568"/>
      <c r="L63" s="569" cm="1">
        <f t="array" ref="L63">IF(SUM(G63:J63)&lt;SUM(F68:J68),"n/a",F68)</f>
        <v>0</v>
      </c>
      <c r="M63" s="569" cm="1">
        <f t="array" ref="M63">IF(SUM(G63:J63)&lt;SUM(F68:J68),"n/a",G68-G63)</f>
        <v>0</v>
      </c>
      <c r="N63" s="569" cm="1">
        <f t="array" ref="N63">IF(SUM(G63:J63)&lt;SUM(F68:J68),"n/a",H68-H63)</f>
        <v>0</v>
      </c>
      <c r="O63" s="569" cm="1">
        <f t="array" ref="O63">IF(SUM(G63:J63)&lt;SUM(F68:J68),"n/a",I68-I63)</f>
        <v>0</v>
      </c>
      <c r="P63" s="569" cm="1">
        <f t="array" ref="P63">IF(SUM(G63:J63)&lt;SUM(F68:J68),"n/a",J68-J63)</f>
        <v>0</v>
      </c>
      <c r="Q63" s="570"/>
      <c r="R63" s="1212" cm="1">
        <f t="array" ref="R63">IF($E$58+$E$38&lt;2041,"Ltd by DoB",(-SUMPRODUCT($M$63:$P$63,$M$67:$P$67)*VLOOKUP($E$38,'Policy assumptions and formulae'!$A$10:$D$109,4,FALSE))-(-SUMPRODUCT($M$63:$P$63,$M$67:$P$67)*VLOOKUP((2040-$E$58),'Policy assumptions and formulae'!$A$10:$D$109,4,FALSE)))</f>
        <v>0</v>
      </c>
      <c r="S63" s="1213"/>
      <c r="T63" s="571"/>
      <c r="U63" s="522"/>
      <c r="V63" s="57"/>
      <c r="W63" s="57"/>
      <c r="X63" s="58"/>
    </row>
    <row r="64" spans="1:24" ht="28.5" customHeight="1">
      <c r="A64" s="522"/>
      <c r="B64" s="529"/>
      <c r="C64" s="529"/>
      <c r="D64" s="529"/>
      <c r="E64" s="529"/>
      <c r="F64" s="572" t="s">
        <v>464</v>
      </c>
      <c r="G64" s="572" t="s">
        <v>114</v>
      </c>
      <c r="H64" s="572" t="s">
        <v>115</v>
      </c>
      <c r="I64" s="572" t="s">
        <v>117</v>
      </c>
      <c r="J64" s="572" t="s">
        <v>118</v>
      </c>
      <c r="K64" s="579"/>
      <c r="L64" s="572" t="s">
        <v>467</v>
      </c>
      <c r="M64" s="572" t="s">
        <v>114</v>
      </c>
      <c r="N64" s="572" t="s">
        <v>115</v>
      </c>
      <c r="O64" s="572" t="s">
        <v>117</v>
      </c>
      <c r="P64" s="572" t="s">
        <v>118</v>
      </c>
      <c r="Q64" s="529"/>
      <c r="R64" s="573"/>
      <c r="S64" s="573"/>
      <c r="T64" s="523"/>
      <c r="U64" s="522"/>
      <c r="V64" s="57"/>
      <c r="W64" s="57"/>
      <c r="X64" s="58"/>
    </row>
    <row r="65" spans="1:24" ht="18.75" customHeight="1">
      <c r="A65" s="522"/>
      <c r="B65" s="1217" t="s">
        <v>107</v>
      </c>
      <c r="C65" s="1218"/>
      <c r="D65" s="1218"/>
      <c r="E65" s="1218"/>
      <c r="F65" s="1219" t="s">
        <v>465</v>
      </c>
      <c r="G65" s="1220"/>
      <c r="H65" s="1220"/>
      <c r="I65" s="1220"/>
      <c r="J65" s="1220"/>
      <c r="K65" s="534"/>
      <c r="L65" s="1223" t="s">
        <v>120</v>
      </c>
      <c r="M65" s="1224"/>
      <c r="N65" s="1224"/>
      <c r="O65" s="1224"/>
      <c r="P65" s="1224"/>
      <c r="Q65" s="534"/>
      <c r="R65" s="534"/>
      <c r="S65" s="534"/>
      <c r="T65" s="523"/>
      <c r="U65" s="522"/>
      <c r="V65" s="57"/>
      <c r="W65" s="57"/>
      <c r="X65" s="58"/>
    </row>
    <row r="66" spans="1:24" ht="18.75" customHeight="1">
      <c r="A66" s="522"/>
      <c r="B66" s="1209" t="s">
        <v>111</v>
      </c>
      <c r="C66" s="1210"/>
      <c r="D66" s="1210"/>
      <c r="E66" s="1211"/>
      <c r="F66" s="567" cm="1">
        <f t="array" ref="F66">'PF calculator'!F66</f>
        <v>14</v>
      </c>
      <c r="G66" s="567" cm="1">
        <f t="array" ref="G66">'PF calculator'!G66</f>
        <v>0</v>
      </c>
      <c r="H66" s="567" cm="1">
        <f t="array" ref="H66">'PF calculator'!H66</f>
        <v>0</v>
      </c>
      <c r="I66" s="567" cm="1">
        <f t="array" ref="I66">'PF calculator'!I66</f>
        <v>0</v>
      </c>
      <c r="J66" s="567" cm="1">
        <f t="array" ref="J66">'PF calculator'!J66</f>
        <v>0</v>
      </c>
      <c r="K66" s="574"/>
      <c r="L66" s="1225"/>
      <c r="M66" s="1225"/>
      <c r="N66" s="1225"/>
      <c r="O66" s="1225"/>
      <c r="P66" s="1225"/>
      <c r="Q66" s="534"/>
      <c r="R66" s="534"/>
      <c r="S66" s="534"/>
      <c r="T66" s="523"/>
      <c r="U66" s="522"/>
      <c r="V66" s="57"/>
      <c r="W66" s="57"/>
      <c r="X66" s="58"/>
    </row>
    <row r="67" spans="1:24" ht="18.75" customHeight="1">
      <c r="A67" s="522"/>
      <c r="B67" s="1209" t="s">
        <v>112</v>
      </c>
      <c r="C67" s="1210"/>
      <c r="D67" s="1210"/>
      <c r="E67" s="1211"/>
      <c r="F67" s="567" cm="1">
        <f t="array" ref="F67">'PF calculator'!F67</f>
        <v>0</v>
      </c>
      <c r="G67" s="567" cm="1">
        <f t="array" ref="G67">'PF calculator'!G67</f>
        <v>0</v>
      </c>
      <c r="H67" s="567" cm="1">
        <f t="array" ref="H67">'PF calculator'!H67</f>
        <v>0</v>
      </c>
      <c r="I67" s="567" cm="1">
        <f t="array" ref="I67">'PF calculator'!I67</f>
        <v>0</v>
      </c>
      <c r="J67" s="567" cm="1">
        <f t="array" ref="J67">'PF calculator'!J67</f>
        <v>0</v>
      </c>
      <c r="K67" s="568"/>
      <c r="L67" s="575" cm="1">
        <f t="array" ref="L67">'Policy assumptions and formulae'!$AD$56</f>
        <v>0</v>
      </c>
      <c r="M67" s="575" cm="1">
        <f t="array" ref="M67">'Policy assumptions and formulae'!$AD$55</f>
        <v>58.833333333333343</v>
      </c>
      <c r="N67" s="575" cm="1">
        <f t="array" ref="N67">'Policy assumptions and formulae'!$AD$54</f>
        <v>294.16666666666674</v>
      </c>
      <c r="O67" s="575" cm="1">
        <f t="array" ref="O67">'Policy assumptions and formulae'!$AD$53</f>
        <v>1000.1666666666665</v>
      </c>
      <c r="P67" s="575" cm="1">
        <f t="array" ref="P67">'Policy assumptions and formulae'!$AD$52</f>
        <v>1588.5000000000002</v>
      </c>
      <c r="Q67" s="574"/>
      <c r="R67" s="534"/>
      <c r="S67" s="534"/>
      <c r="T67" s="523"/>
      <c r="U67" s="522"/>
      <c r="V67" s="57"/>
      <c r="W67" s="57"/>
      <c r="X67" s="58"/>
    </row>
    <row r="68" spans="1:24" ht="18.75" customHeight="1">
      <c r="A68" s="522"/>
      <c r="B68" s="1209" t="s">
        <v>113</v>
      </c>
      <c r="C68" s="1210"/>
      <c r="D68" s="1210"/>
      <c r="E68" s="1211"/>
      <c r="F68" s="567" cm="1">
        <f t="array" ref="F68">'PF calculator'!F68</f>
        <v>0</v>
      </c>
      <c r="G68" s="567" cm="1">
        <f t="array" ref="G68">'PF calculator'!G68</f>
        <v>0</v>
      </c>
      <c r="H68" s="567" cm="1">
        <f t="array" ref="H68">'PF calculator'!H68</f>
        <v>0</v>
      </c>
      <c r="I68" s="567" cm="1">
        <f t="array" ref="I68">'PF calculator'!I68</f>
        <v>0</v>
      </c>
      <c r="J68" s="567" cm="1">
        <f t="array" ref="J68">'PF calculator'!J68</f>
        <v>0</v>
      </c>
      <c r="K68" s="574"/>
      <c r="L68" s="577"/>
      <c r="M68" s="546"/>
      <c r="N68" s="546"/>
      <c r="O68" s="546"/>
      <c r="P68" s="546"/>
      <c r="Q68" s="534"/>
      <c r="R68" s="534"/>
      <c r="S68" s="534"/>
      <c r="T68" s="523"/>
      <c r="U68" s="522"/>
      <c r="V68" s="57"/>
      <c r="W68" s="57"/>
      <c r="X68" s="58"/>
    </row>
    <row r="69" spans="1:24" ht="28.5" customHeight="1">
      <c r="A69" s="522"/>
      <c r="B69" s="529"/>
      <c r="C69" s="529"/>
      <c r="D69" s="529"/>
      <c r="E69" s="529"/>
      <c r="F69" s="572" t="s">
        <v>464</v>
      </c>
      <c r="G69" s="572" t="s">
        <v>114</v>
      </c>
      <c r="H69" s="572" t="s">
        <v>115</v>
      </c>
      <c r="I69" s="572" t="s">
        <v>117</v>
      </c>
      <c r="J69" s="572" t="s">
        <v>118</v>
      </c>
      <c r="K69" s="529"/>
      <c r="L69" s="529"/>
      <c r="M69" s="529"/>
      <c r="N69" s="529"/>
      <c r="O69" s="529"/>
      <c r="P69" s="529"/>
      <c r="Q69" s="529"/>
      <c r="R69" s="529"/>
      <c r="S69" s="529"/>
      <c r="T69" s="523"/>
      <c r="U69" s="522"/>
      <c r="V69" s="57"/>
      <c r="W69" s="57"/>
      <c r="X69" s="58"/>
    </row>
    <row r="70" spans="1:24" ht="8" customHeight="1">
      <c r="A70" s="522"/>
      <c r="B70" s="549"/>
      <c r="C70" s="549"/>
      <c r="D70" s="549"/>
      <c r="E70" s="549"/>
      <c r="F70" s="549"/>
      <c r="G70" s="549"/>
      <c r="H70" s="549"/>
      <c r="I70" s="549"/>
      <c r="J70" s="549"/>
      <c r="K70" s="549"/>
      <c r="L70" s="549"/>
      <c r="M70" s="549"/>
      <c r="N70" s="549"/>
      <c r="O70" s="549"/>
      <c r="P70" s="549"/>
      <c r="Q70" s="549"/>
      <c r="R70" s="549"/>
      <c r="S70" s="549"/>
      <c r="T70" s="523"/>
      <c r="U70" s="522"/>
      <c r="V70" s="57"/>
      <c r="W70" s="57"/>
      <c r="X70" s="58"/>
    </row>
    <row r="71" spans="1:24" ht="18.75" customHeight="1">
      <c r="A71" s="522"/>
      <c r="B71" s="1190" t="e" cm="1" vm="4">
        <f t="array" aca="1" ref="B71" ca="1">'PF calculator'!B71:S71</f>
        <v>#VALUE!</v>
      </c>
      <c r="C71" s="1190"/>
      <c r="D71" s="1190"/>
      <c r="E71" s="1190"/>
      <c r="F71" s="1190"/>
      <c r="G71" s="1190"/>
      <c r="H71" s="1190"/>
      <c r="I71" s="1190"/>
      <c r="J71" s="1190"/>
      <c r="K71" s="1190"/>
      <c r="L71" s="1190"/>
      <c r="M71" s="1190"/>
      <c r="N71" s="1190"/>
      <c r="O71" s="1190"/>
      <c r="P71" s="1190"/>
      <c r="Q71" s="1190"/>
      <c r="R71" s="1190"/>
      <c r="S71" s="1190"/>
      <c r="T71" s="523"/>
      <c r="U71" s="522"/>
      <c r="V71" s="57"/>
      <c r="W71" s="57"/>
      <c r="X71" s="58"/>
    </row>
    <row r="72" spans="1:24" ht="8" customHeight="1">
      <c r="A72" s="522"/>
      <c r="B72" s="529"/>
      <c r="C72" s="529"/>
      <c r="D72" s="529"/>
      <c r="E72" s="529"/>
      <c r="F72" s="529"/>
      <c r="G72" s="529"/>
      <c r="H72" s="529"/>
      <c r="I72" s="529"/>
      <c r="J72" s="529"/>
      <c r="K72" s="529"/>
      <c r="L72" s="529"/>
      <c r="M72" s="529"/>
      <c r="N72" s="529"/>
      <c r="O72" s="529"/>
      <c r="P72" s="529"/>
      <c r="Q72" s="529"/>
      <c r="R72" s="529"/>
      <c r="S72" s="529"/>
      <c r="T72" s="523"/>
      <c r="U72" s="522"/>
      <c r="V72" s="57"/>
      <c r="W72" s="57"/>
      <c r="X72" s="58"/>
    </row>
    <row r="73" spans="1:24" ht="18.75" customHeight="1">
      <c r="A73" s="522"/>
      <c r="B73" s="1217" t="s">
        <v>107</v>
      </c>
      <c r="C73" s="1218"/>
      <c r="D73" s="1218"/>
      <c r="E73" s="1218"/>
      <c r="F73" s="1219" t="s">
        <v>108</v>
      </c>
      <c r="G73" s="1220"/>
      <c r="H73" s="534"/>
      <c r="I73" s="534"/>
      <c r="J73" s="1217" t="s">
        <v>127</v>
      </c>
      <c r="K73" s="1218"/>
      <c r="L73" s="1218"/>
      <c r="M73" s="1218"/>
      <c r="N73" s="564"/>
      <c r="O73" s="564"/>
      <c r="P73" s="534"/>
      <c r="Q73" s="534"/>
      <c r="R73" s="1221" t="s">
        <v>110</v>
      </c>
      <c r="S73" s="1222"/>
      <c r="T73" s="523"/>
      <c r="U73" s="522"/>
      <c r="V73" s="57"/>
      <c r="W73" s="57"/>
      <c r="X73" s="58"/>
    </row>
    <row r="74" spans="1:24" ht="18.75" customHeight="1">
      <c r="A74" s="522"/>
      <c r="B74" s="1209" t="s">
        <v>111</v>
      </c>
      <c r="C74" s="1210"/>
      <c r="D74" s="1210"/>
      <c r="E74" s="1211"/>
      <c r="F74" s="567" cm="1">
        <f t="array" ref="F74">'PF calculator'!F74</f>
        <v>0</v>
      </c>
      <c r="G74" s="567" cm="1">
        <f t="array" ref="G74">'PF calculator'!G74</f>
        <v>0</v>
      </c>
      <c r="H74" s="574"/>
      <c r="I74" s="534"/>
      <c r="J74" s="1209" t="s">
        <v>128</v>
      </c>
      <c r="K74" s="1210"/>
      <c r="L74" s="1210"/>
      <c r="M74" s="1211"/>
      <c r="N74" s="580" cm="1">
        <f t="array" ref="N74">'Policy assumptions and formulae'!$AJ$7</f>
        <v>6800</v>
      </c>
      <c r="O74" s="580" cm="1">
        <f t="array" ref="O74">'Policy assumptions and formulae'!$AJ$7</f>
        <v>6800</v>
      </c>
      <c r="P74" s="581"/>
      <c r="Q74" s="582"/>
      <c r="R74" s="1212" cm="1">
        <f t="array" ref="R74">SUMPRODUCT($N$76:$O$76,$F$74:$G$74)*VLOOKUP($E$38,'Policy assumptions and formulae'!$A$10:$D$109,4,FALSE)</f>
        <v>0</v>
      </c>
      <c r="S74" s="1213"/>
      <c r="T74" s="571"/>
      <c r="U74" s="522"/>
      <c r="V74" s="57"/>
      <c r="W74" s="57"/>
      <c r="X74" s="58"/>
    </row>
    <row r="75" spans="1:24" ht="18.75" customHeight="1">
      <c r="A75" s="522"/>
      <c r="B75" s="1209" t="s">
        <v>112</v>
      </c>
      <c r="C75" s="1210"/>
      <c r="D75" s="1210"/>
      <c r="E75" s="1211"/>
      <c r="F75" s="567" cm="1">
        <f t="array" ref="F75">'PF calculator'!F75</f>
        <v>0</v>
      </c>
      <c r="G75" s="567" cm="1">
        <f t="array" ref="G75">'PF calculator'!G75</f>
        <v>0</v>
      </c>
      <c r="H75" s="574"/>
      <c r="I75" s="534"/>
      <c r="J75" s="1209" t="s">
        <v>129</v>
      </c>
      <c r="K75" s="1210"/>
      <c r="L75" s="1210"/>
      <c r="M75" s="1211"/>
      <c r="N75" s="583" cm="1">
        <f t="array" ref="N75">'Policy assumptions and formulae'!AJ28</f>
        <v>50</v>
      </c>
      <c r="O75" s="583" cm="1">
        <f t="array" ref="O75">'Policy assumptions and formulae'!AJ26</f>
        <v>20</v>
      </c>
      <c r="P75" s="584" t="s">
        <v>130</v>
      </c>
      <c r="Q75" s="582"/>
      <c r="R75" s="1212" cm="1">
        <f t="array" ref="R75">SUMPRODUCT($N$76:$O$76,$F$75:$G$75)*VLOOKUP($E$38,'Policy assumptions and formulae'!$A$10:$D$109,4,FALSE)</f>
        <v>0</v>
      </c>
      <c r="S75" s="1213"/>
      <c r="T75" s="571"/>
      <c r="U75" s="522"/>
      <c r="V75" s="57"/>
      <c r="W75" s="57"/>
      <c r="X75" s="58"/>
    </row>
    <row r="76" spans="1:24" ht="18.75" customHeight="1">
      <c r="A76" s="522"/>
      <c r="B76" s="1209" t="s">
        <v>113</v>
      </c>
      <c r="C76" s="1210"/>
      <c r="D76" s="1210"/>
      <c r="E76" s="1211"/>
      <c r="F76" s="567" cm="1">
        <f t="array" ref="F76">'PF calculator'!F76</f>
        <v>0</v>
      </c>
      <c r="G76" s="567" cm="1">
        <f t="array" ref="G76">'PF calculator'!G76</f>
        <v>0</v>
      </c>
      <c r="H76" s="574"/>
      <c r="I76" s="534"/>
      <c r="J76" s="1214" t="s">
        <v>131</v>
      </c>
      <c r="K76" s="1215"/>
      <c r="L76" s="1215"/>
      <c r="M76" s="1216"/>
      <c r="N76" s="580" cm="1">
        <f t="array" ref="N76">'Policy assumptions and formulae'!$AM$28</f>
        <v>1341.3864802956584</v>
      </c>
      <c r="O76" s="580" cm="1">
        <f t="array" ref="O76">'Policy assumptions and formulae'!$AM$26</f>
        <v>3417.4480141353633</v>
      </c>
      <c r="P76" s="585"/>
      <c r="Q76" s="582"/>
      <c r="R76" s="1212" cm="1">
        <f t="array" ref="R76">SUMPRODUCT($N$76:$O$76,$F$76:$G$76)*VLOOKUP($E$38,'Policy assumptions and formulae'!$A$10:$D$109,4,FALSE)</f>
        <v>0</v>
      </c>
      <c r="S76" s="1213"/>
      <c r="T76" s="571"/>
      <c r="U76" s="522"/>
      <c r="V76" s="57"/>
      <c r="W76" s="57"/>
      <c r="X76" s="58"/>
    </row>
    <row r="77" spans="1:24" ht="18.75" customHeight="1">
      <c r="A77" s="522"/>
      <c r="B77" s="534"/>
      <c r="C77" s="534"/>
      <c r="D77" s="534"/>
      <c r="E77" s="534"/>
      <c r="F77" s="572" t="s">
        <v>468</v>
      </c>
      <c r="G77" s="572" t="s">
        <v>133</v>
      </c>
      <c r="H77" s="534"/>
      <c r="I77" s="534"/>
      <c r="J77" s="1215"/>
      <c r="K77" s="1215"/>
      <c r="L77" s="1215"/>
      <c r="M77" s="1215"/>
      <c r="N77" s="572" t="s">
        <v>134</v>
      </c>
      <c r="O77" s="572" t="s">
        <v>135</v>
      </c>
      <c r="P77" s="586"/>
      <c r="Q77" s="534"/>
      <c r="R77" s="536"/>
      <c r="S77" s="536"/>
      <c r="T77" s="523"/>
      <c r="U77" s="522"/>
      <c r="V77" s="57"/>
      <c r="W77" s="57"/>
      <c r="X77" s="58"/>
    </row>
    <row r="78" spans="1:24" ht="8" customHeight="1">
      <c r="A78" s="522"/>
      <c r="B78" s="549"/>
      <c r="C78" s="549"/>
      <c r="D78" s="549"/>
      <c r="E78" s="549"/>
      <c r="F78" s="549"/>
      <c r="G78" s="549"/>
      <c r="H78" s="549"/>
      <c r="I78" s="549"/>
      <c r="J78" s="549"/>
      <c r="K78" s="549"/>
      <c r="L78" s="549"/>
      <c r="M78" s="549"/>
      <c r="N78" s="549"/>
      <c r="O78" s="549"/>
      <c r="P78" s="549"/>
      <c r="Q78" s="549"/>
      <c r="R78" s="549"/>
      <c r="S78" s="549"/>
      <c r="T78" s="523"/>
      <c r="U78" s="522"/>
      <c r="V78" s="57"/>
      <c r="W78" s="57"/>
      <c r="X78" s="58"/>
    </row>
    <row r="79" spans="1:24" ht="18.75" customHeight="1">
      <c r="A79" s="522"/>
      <c r="B79" s="1190" t="e" cm="1" vm="4">
        <f t="array" aca="1" ref="B79" ca="1">'PF calculator'!B79:S79</f>
        <v>#VALUE!</v>
      </c>
      <c r="C79" s="1190"/>
      <c r="D79" s="1190"/>
      <c r="E79" s="1190"/>
      <c r="F79" s="1190"/>
      <c r="G79" s="1190"/>
      <c r="H79" s="1190"/>
      <c r="I79" s="1190"/>
      <c r="J79" s="1190"/>
      <c r="K79" s="1190"/>
      <c r="L79" s="1190"/>
      <c r="M79" s="1190"/>
      <c r="N79" s="1190"/>
      <c r="O79" s="1190"/>
      <c r="P79" s="1190"/>
      <c r="Q79" s="1190"/>
      <c r="R79" s="1190"/>
      <c r="S79" s="1190"/>
      <c r="T79" s="523"/>
      <c r="U79" s="522"/>
      <c r="V79" s="57"/>
      <c r="W79" s="57"/>
      <c r="X79" s="58"/>
    </row>
    <row r="80" spans="1:24" ht="8" customHeight="1">
      <c r="A80" s="522"/>
      <c r="B80" s="550"/>
      <c r="C80" s="529"/>
      <c r="D80" s="529"/>
      <c r="E80" s="529"/>
      <c r="F80" s="529"/>
      <c r="G80" s="529"/>
      <c r="H80" s="529"/>
      <c r="I80" s="529"/>
      <c r="J80" s="529"/>
      <c r="K80" s="529"/>
      <c r="L80" s="529"/>
      <c r="M80" s="529"/>
      <c r="N80" s="529"/>
      <c r="O80" s="529"/>
      <c r="P80" s="529"/>
      <c r="Q80" s="529"/>
      <c r="R80" s="529"/>
      <c r="S80" s="529"/>
      <c r="T80" s="523"/>
      <c r="U80" s="522"/>
      <c r="V80" s="57"/>
      <c r="W80" s="57"/>
      <c r="X80" s="58"/>
    </row>
    <row r="81" spans="1:24" ht="18.75" customHeight="1">
      <c r="A81" s="522"/>
      <c r="B81" s="587"/>
      <c r="C81" s="559"/>
      <c r="D81" s="1199" t="s">
        <v>469</v>
      </c>
      <c r="E81" s="1200"/>
      <c r="F81" s="1200"/>
      <c r="G81" s="1199" t="s">
        <v>470</v>
      </c>
      <c r="H81" s="1200"/>
      <c r="I81" s="1200"/>
      <c r="J81" s="1200"/>
      <c r="K81" s="1200"/>
      <c r="L81" s="529"/>
      <c r="M81" s="529"/>
      <c r="N81" s="529"/>
      <c r="O81" s="529"/>
      <c r="P81" s="529"/>
      <c r="Q81" s="529"/>
      <c r="R81" s="529"/>
      <c r="S81" s="529"/>
      <c r="T81" s="523"/>
      <c r="U81" s="522"/>
      <c r="V81" s="57"/>
      <c r="W81" s="57"/>
      <c r="X81" s="58"/>
    </row>
    <row r="82" spans="1:24" ht="18.75" customHeight="1">
      <c r="A82" s="522"/>
      <c r="B82" s="1201" t="s">
        <v>471</v>
      </c>
      <c r="C82" s="1202"/>
      <c r="D82" s="588" t="s">
        <v>140</v>
      </c>
      <c r="E82" s="588" t="s">
        <v>141</v>
      </c>
      <c r="F82" s="588" t="s">
        <v>142</v>
      </c>
      <c r="G82" s="559"/>
      <c r="H82" s="588" t="s">
        <v>140</v>
      </c>
      <c r="I82" s="588" t="s">
        <v>141</v>
      </c>
      <c r="J82" s="588" t="s">
        <v>142</v>
      </c>
      <c r="K82" s="529"/>
      <c r="L82" s="1205" t="s">
        <v>110</v>
      </c>
      <c r="M82" s="1206"/>
      <c r="N82" s="529"/>
      <c r="O82" s="589" t="s">
        <v>472</v>
      </c>
      <c r="P82" s="529"/>
      <c r="Q82" s="529"/>
      <c r="R82" s="529"/>
      <c r="S82" s="529"/>
      <c r="T82" s="523"/>
      <c r="U82" s="522"/>
      <c r="V82" s="57"/>
      <c r="W82" s="57"/>
      <c r="X82" s="58"/>
    </row>
    <row r="83" spans="1:24" ht="18.75" customHeight="1">
      <c r="A83" s="522"/>
      <c r="B83" s="1188" t="s">
        <v>144</v>
      </c>
      <c r="C83" s="1189"/>
      <c r="D83" s="590" cm="1">
        <f t="array" ref="D83">'PF calculator'!D83</f>
        <v>1</v>
      </c>
      <c r="E83" s="590" cm="1">
        <f t="array" ref="E83">'PF calculator'!E83</f>
        <v>0</v>
      </c>
      <c r="F83" s="590" cm="1">
        <f t="array" ref="F83">'PF calculator'!F83</f>
        <v>0</v>
      </c>
      <c r="G83" s="1193"/>
      <c r="H83" s="590" cm="1">
        <f t="array" ref="H83">'PF calculator'!H83</f>
        <v>0</v>
      </c>
      <c r="I83" s="590" cm="1">
        <f t="array" ref="I83">'PF calculator'!I83</f>
        <v>0</v>
      </c>
      <c r="J83" s="590" cm="1">
        <f t="array" ref="J83">'PF calculator'!J83</f>
        <v>1</v>
      </c>
      <c r="K83" s="1194" t="str" cm="1">
        <f t="array" ref="K83">IF(SUM(D83:F90)&lt;&gt;SUM(H83:J90),"Error in net change habitat","")</f>
        <v/>
      </c>
      <c r="L83" s="1162" cm="1">
        <f t="array" ref="L83">(((H83-D83)*'Policy assumptions and formulae'!AR12)+((I83-E83)*'Policy assumptions and formulae'!AS12)+((J83-F83)*'Policy assumptions and formulae'!AT12))*VLOOKUP($E$38,'Policy assumptions and formulae'!$A$10:$D$109,4,FALSE)</f>
        <v>272055.24016990041</v>
      </c>
      <c r="M83" s="1163"/>
      <c r="N83" s="591"/>
      <c r="O83" s="587"/>
      <c r="P83" s="592" t="s">
        <v>145</v>
      </c>
      <c r="Q83" s="559"/>
      <c r="R83" s="1203" t="s">
        <v>110</v>
      </c>
      <c r="S83" s="1204"/>
      <c r="T83" s="523"/>
      <c r="U83" s="522"/>
      <c r="V83" s="57"/>
      <c r="W83" s="57"/>
      <c r="X83" s="58"/>
    </row>
    <row r="84" spans="1:24" ht="18.75" customHeight="1">
      <c r="A84" s="522"/>
      <c r="B84" s="1188" t="s">
        <v>146</v>
      </c>
      <c r="C84" s="1189"/>
      <c r="D84" s="590" cm="1">
        <f t="array" ref="D84">'PF calculator'!D84</f>
        <v>1</v>
      </c>
      <c r="E84" s="590" cm="1">
        <f t="array" ref="E84">'PF calculator'!E84</f>
        <v>0</v>
      </c>
      <c r="F84" s="590" cm="1">
        <f t="array" ref="F84">'PF calculator'!F84</f>
        <v>0</v>
      </c>
      <c r="G84" s="1193"/>
      <c r="H84" s="590" cm="1">
        <f t="array" ref="H84">'PF calculator'!H84</f>
        <v>0</v>
      </c>
      <c r="I84" s="590" cm="1">
        <f t="array" ref="I84">'PF calculator'!I84</f>
        <v>0</v>
      </c>
      <c r="J84" s="590" cm="1">
        <f t="array" ref="J84">'PF calculator'!J84</f>
        <v>1</v>
      </c>
      <c r="K84" s="1194"/>
      <c r="L84" s="1162" cm="1">
        <f t="array" ref="L84">(((H84-D84)*'Policy assumptions and formulae'!AR13)+((I84-E84)*'Policy assumptions and formulae'!AS13)+((J84-F84)*'Policy assumptions and formulae'!AT13))*VLOOKUP($E$38,'Policy assumptions and formulae'!$A$10:$D$109,4,FALSE)</f>
        <v>159768.99395268576</v>
      </c>
      <c r="M84" s="1163"/>
      <c r="N84" s="1207" t="s">
        <v>147</v>
      </c>
      <c r="O84" s="1208"/>
      <c r="P84" s="593" cm="1">
        <f t="array" ref="P84">'PF calculator'!P84</f>
        <v>1</v>
      </c>
      <c r="Q84" s="594"/>
      <c r="R84" s="1184" cm="1">
        <f t="array" ref="R84">(P84*'Policy assumptions and formulae'!AT23)*VLOOKUP($E$38,'Policy assumptions and formulae'!$A$10:$D$109,4,FALSE)</f>
        <v>394196.39629447705</v>
      </c>
      <c r="S84" s="1185"/>
      <c r="T84" s="571"/>
      <c r="U84" s="522"/>
      <c r="V84" s="57"/>
      <c r="W84" s="57"/>
      <c r="X84" s="58"/>
    </row>
    <row r="85" spans="1:24" ht="18.75" customHeight="1">
      <c r="A85" s="522"/>
      <c r="B85" s="1188" t="s">
        <v>148</v>
      </c>
      <c r="C85" s="1189"/>
      <c r="D85" s="590" cm="1">
        <f t="array" ref="D85">'PF calculator'!D85</f>
        <v>1</v>
      </c>
      <c r="E85" s="590" cm="1">
        <f t="array" ref="E85">'PF calculator'!E85</f>
        <v>0</v>
      </c>
      <c r="F85" s="590" cm="1">
        <f t="array" ref="F85">'PF calculator'!F85</f>
        <v>0</v>
      </c>
      <c r="G85" s="1193"/>
      <c r="H85" s="590" cm="1">
        <f t="array" ref="H85">'PF calculator'!H85</f>
        <v>0</v>
      </c>
      <c r="I85" s="590" cm="1">
        <f t="array" ref="I85">'PF calculator'!I85</f>
        <v>0</v>
      </c>
      <c r="J85" s="590" cm="1">
        <f t="array" ref="J85">'PF calculator'!J85</f>
        <v>1</v>
      </c>
      <c r="K85" s="1194"/>
      <c r="L85" s="1162" cm="1">
        <f t="array" ref="L85">(((H85-D85)*'Policy assumptions and formulae'!AR14)+((I85-E85)*'Policy assumptions and formulae'!AS14)+((J85-F85)*'Policy assumptions and formulae'!AT14))*VLOOKUP($E$38,'Policy assumptions and formulae'!$A$10:$D$109,4,FALSE)</f>
        <v>159768.99395268576</v>
      </c>
      <c r="M85" s="1163"/>
      <c r="N85" s="1207" t="s">
        <v>149</v>
      </c>
      <c r="O85" s="1208"/>
      <c r="P85" s="593" cm="1">
        <f t="array" ref="P85">'PF calculator'!P85</f>
        <v>1</v>
      </c>
      <c r="Q85" s="594"/>
      <c r="R85" s="1184" cm="1">
        <f t="array" ref="R85">(P85*'Policy assumptions and formulae'!AT24)*VLOOKUP($E$38,'Policy assumptions and formulae'!$A$10:$D$109,4,FALSE)</f>
        <v>197098.19814723852</v>
      </c>
      <c r="S85" s="1185"/>
      <c r="T85" s="571"/>
      <c r="U85" s="522"/>
      <c r="V85" s="57"/>
      <c r="W85" s="57"/>
      <c r="X85" s="58"/>
    </row>
    <row r="86" spans="1:24" ht="18.75" customHeight="1">
      <c r="A86" s="522"/>
      <c r="B86" s="1188" t="s">
        <v>150</v>
      </c>
      <c r="C86" s="1189"/>
      <c r="D86" s="590" cm="1">
        <f t="array" ref="D86">'PF calculator'!D86</f>
        <v>1</v>
      </c>
      <c r="E86" s="590" cm="1">
        <f t="array" ref="E86">'PF calculator'!E86</f>
        <v>0</v>
      </c>
      <c r="F86" s="590" cm="1">
        <f t="array" ref="F86">'PF calculator'!F86</f>
        <v>0</v>
      </c>
      <c r="G86" s="1193"/>
      <c r="H86" s="590" cm="1">
        <f t="array" ref="H86">'PF calculator'!H86</f>
        <v>0</v>
      </c>
      <c r="I86" s="590" cm="1">
        <f t="array" ref="I86">'PF calculator'!I86</f>
        <v>0</v>
      </c>
      <c r="J86" s="590" cm="1">
        <f t="array" ref="J86">'PF calculator'!J86</f>
        <v>1</v>
      </c>
      <c r="K86" s="1194"/>
      <c r="L86" s="1162" cm="1">
        <f t="array" ref="L86">(((H86-D86)*'Policy assumptions and formulae'!AR15)+((I86-E86)*'Policy assumptions and formulae'!AS15)+((J86-F86)*'Policy assumptions and formulae'!AT15))*VLOOKUP($E$38,'Policy assumptions and formulae'!$A$10:$D$109,4,FALSE)</f>
        <v>81825.615594459625</v>
      </c>
      <c r="M86" s="1163"/>
      <c r="N86" s="1195" t="s">
        <v>151</v>
      </c>
      <c r="O86" s="1196"/>
      <c r="P86" s="593" cm="1">
        <f t="array" ref="P86">'PF calculator'!P86</f>
        <v>1</v>
      </c>
      <c r="Q86" s="594"/>
      <c r="R86" s="1184" cm="1">
        <f t="array" ref="R86">(P86*'Policy assumptions and formulae'!AT25)*VLOOKUP($E$38,'Policy assumptions and formulae'!$A$10:$D$109,4,FALSE)</f>
        <v>98549.099073619262</v>
      </c>
      <c r="S86" s="1185"/>
      <c r="T86" s="571"/>
      <c r="U86" s="522"/>
      <c r="V86" s="57"/>
      <c r="W86" s="57"/>
      <c r="X86" s="58"/>
    </row>
    <row r="87" spans="1:24" ht="18.75" customHeight="1">
      <c r="A87" s="522"/>
      <c r="B87" s="1188" t="s">
        <v>152</v>
      </c>
      <c r="C87" s="1189"/>
      <c r="D87" s="590" cm="1">
        <f t="array" ref="D87">'PF calculator'!D87</f>
        <v>1</v>
      </c>
      <c r="E87" s="590" cm="1">
        <f t="array" ref="E87">'PF calculator'!E87</f>
        <v>0</v>
      </c>
      <c r="F87" s="590" cm="1">
        <f t="array" ref="F87">'PF calculator'!F87</f>
        <v>0</v>
      </c>
      <c r="G87" s="1193"/>
      <c r="H87" s="590" cm="1">
        <f t="array" ref="H87">'PF calculator'!H87</f>
        <v>0</v>
      </c>
      <c r="I87" s="590" cm="1">
        <f t="array" ref="I87">'PF calculator'!I87</f>
        <v>0</v>
      </c>
      <c r="J87" s="590" cm="1">
        <f t="array" ref="J87">'PF calculator'!J87</f>
        <v>1</v>
      </c>
      <c r="K87" s="1194"/>
      <c r="L87" s="1162" cm="1">
        <f t="array" ref="L87">(((H87-D87)*'Policy assumptions and formulae'!AR16)+((I87-E87)*'Policy assumptions and formulae'!AS16)+((J87-F87)*'Policy assumptions and formulae'!AT16))*VLOOKUP($E$38,'Policy assumptions and formulae'!$A$10:$D$109,4,FALSE)</f>
        <v>12841.246242926147</v>
      </c>
      <c r="M87" s="1163"/>
      <c r="N87" s="1197"/>
      <c r="O87" s="1198"/>
      <c r="P87" s="595"/>
      <c r="Q87" s="559"/>
      <c r="R87" s="596"/>
      <c r="S87" s="596"/>
      <c r="T87" s="523"/>
      <c r="U87" s="522"/>
      <c r="V87" s="57"/>
      <c r="W87" s="57"/>
      <c r="X87" s="58"/>
    </row>
    <row r="88" spans="1:24" ht="18.75" customHeight="1">
      <c r="A88" s="522"/>
      <c r="B88" s="1188" t="s">
        <v>153</v>
      </c>
      <c r="C88" s="1189"/>
      <c r="D88" s="590" cm="1">
        <f t="array" ref="D88">'PF calculator'!D88</f>
        <v>1</v>
      </c>
      <c r="E88" s="590" cm="1">
        <f t="array" ref="E88">'PF calculator'!E88</f>
        <v>0</v>
      </c>
      <c r="F88" s="590" cm="1">
        <f t="array" ref="F88">'PF calculator'!F88</f>
        <v>0</v>
      </c>
      <c r="G88" s="1193"/>
      <c r="H88" s="590" cm="1">
        <f t="array" ref="H88">'PF calculator'!H88</f>
        <v>0</v>
      </c>
      <c r="I88" s="590" cm="1">
        <f t="array" ref="I88">'PF calculator'!I88</f>
        <v>0</v>
      </c>
      <c r="J88" s="590" cm="1">
        <f t="array" ref="J88">'PF calculator'!J88</f>
        <v>1</v>
      </c>
      <c r="K88" s="1194"/>
      <c r="L88" s="1162" cm="1">
        <f t="array" ref="L88">(((H88-D88)*'Policy assumptions and formulae'!AR17)+((I88-E88)*'Policy assumptions and formulae'!AS17)+((J88-F88)*'Policy assumptions and formulae'!AT17))*VLOOKUP($E$38,'Policy assumptions and formulae'!$A$10:$D$109,4,FALSE)</f>
        <v>78540.645625338992</v>
      </c>
      <c r="M88" s="1163"/>
      <c r="N88" s="591"/>
      <c r="O88" s="529"/>
      <c r="P88" s="529"/>
      <c r="Q88" s="529"/>
      <c r="R88" s="529"/>
      <c r="S88" s="529"/>
      <c r="T88" s="523"/>
      <c r="U88" s="522"/>
      <c r="V88" s="57"/>
      <c r="W88" s="57"/>
      <c r="X88" s="58"/>
    </row>
    <row r="89" spans="1:24" ht="18.75" customHeight="1">
      <c r="A89" s="522"/>
      <c r="B89" s="1188" t="s">
        <v>154</v>
      </c>
      <c r="C89" s="1189"/>
      <c r="D89" s="590" cm="1">
        <f t="array" ref="D89">'PF calculator'!D89</f>
        <v>1</v>
      </c>
      <c r="E89" s="590" cm="1">
        <f t="array" ref="E89">'PF calculator'!E89</f>
        <v>0</v>
      </c>
      <c r="F89" s="590" cm="1">
        <f t="array" ref="F89">'PF calculator'!F89</f>
        <v>0</v>
      </c>
      <c r="G89" s="1193"/>
      <c r="H89" s="590" cm="1">
        <f t="array" ref="H89">'PF calculator'!H89</f>
        <v>0</v>
      </c>
      <c r="I89" s="590" cm="1">
        <f t="array" ref="I89">'PF calculator'!I89</f>
        <v>0</v>
      </c>
      <c r="J89" s="590" cm="1">
        <f t="array" ref="J89">'PF calculator'!J89</f>
        <v>1</v>
      </c>
      <c r="K89" s="1194"/>
      <c r="L89" s="1162" cm="1">
        <f t="array" ref="L89">(((H89-D89)*'Policy assumptions and formulae'!AR18)+((I89-E89)*'Policy assumptions and formulae'!AS18)+((J89-F89)*'Policy assumptions and formulae'!AT18))*VLOOKUP($E$38,'Policy assumptions and formulae'!$A$10:$D$109,4,FALSE)</f>
        <v>81825.615594459625</v>
      </c>
      <c r="M89" s="1163"/>
      <c r="N89" s="597"/>
      <c r="O89" s="598"/>
      <c r="P89" s="599"/>
      <c r="Q89" s="559"/>
      <c r="R89" s="600"/>
      <c r="S89" s="600"/>
      <c r="T89" s="523"/>
      <c r="U89" s="522"/>
      <c r="V89" s="57"/>
      <c r="W89" s="57"/>
      <c r="X89" s="58"/>
    </row>
    <row r="90" spans="1:24" ht="18.75" customHeight="1">
      <c r="A90" s="522"/>
      <c r="B90" s="1188" t="s">
        <v>155</v>
      </c>
      <c r="C90" s="1189"/>
      <c r="D90" s="590" cm="1">
        <f t="array" ref="D90">'PF calculator'!D90</f>
        <v>1</v>
      </c>
      <c r="E90" s="590" cm="1">
        <f t="array" ref="E90">'PF calculator'!E90</f>
        <v>0</v>
      </c>
      <c r="F90" s="590" cm="1">
        <f t="array" ref="F90">'PF calculator'!F90</f>
        <v>0</v>
      </c>
      <c r="G90" s="1193"/>
      <c r="H90" s="590" cm="1">
        <f t="array" ref="H90">'PF calculator'!H90</f>
        <v>0</v>
      </c>
      <c r="I90" s="590" cm="1">
        <f t="array" ref="I90">'PF calculator'!I90</f>
        <v>0</v>
      </c>
      <c r="J90" s="590" cm="1">
        <f t="array" ref="J90">'PF calculator'!J90</f>
        <v>1</v>
      </c>
      <c r="K90" s="1194"/>
      <c r="L90" s="1162" cm="1">
        <f t="array" ref="L90">(((H90-D90)*'Policy assumptions and formulae'!AR19)+((I90-E90)*'Policy assumptions and formulae'!AS19)+((J90-F90)*'Policy assumptions and formulae'!AT19))*VLOOKUP($E$38,'Policy assumptions and formulae'!$A$10:$D$109,4,FALSE)</f>
        <v>895.90090066926598</v>
      </c>
      <c r="M90" s="1163"/>
      <c r="N90" s="591"/>
      <c r="O90" s="529"/>
      <c r="P90" s="529"/>
      <c r="Q90" s="529"/>
      <c r="R90" s="529"/>
      <c r="S90" s="529"/>
      <c r="T90" s="523"/>
      <c r="U90" s="522"/>
      <c r="V90" s="57"/>
      <c r="W90" s="57"/>
      <c r="X90" s="58"/>
    </row>
    <row r="91" spans="1:24" ht="8" customHeight="1">
      <c r="A91" s="522"/>
      <c r="B91" s="549"/>
      <c r="C91" s="549"/>
      <c r="D91" s="601"/>
      <c r="E91" s="601"/>
      <c r="F91" s="601"/>
      <c r="G91" s="549"/>
      <c r="H91" s="601"/>
      <c r="I91" s="601"/>
      <c r="J91" s="601"/>
      <c r="K91" s="549"/>
      <c r="L91" s="558"/>
      <c r="M91" s="558"/>
      <c r="N91" s="549"/>
      <c r="O91" s="549"/>
      <c r="P91" s="549"/>
      <c r="Q91" s="549"/>
      <c r="R91" s="549"/>
      <c r="S91" s="549"/>
      <c r="T91" s="523"/>
      <c r="U91" s="522"/>
      <c r="V91" s="57"/>
      <c r="W91" s="57"/>
      <c r="X91" s="58"/>
    </row>
    <row r="92" spans="1:24" ht="18.75" customHeight="1">
      <c r="A92" s="522"/>
      <c r="B92" s="1190" t="e" cm="1" vm="7">
        <f t="array" aca="1" ref="B92" ca="1">'PF calculator'!B92:J92</f>
        <v>#VALUE!</v>
      </c>
      <c r="C92" s="1190"/>
      <c r="D92" s="1190"/>
      <c r="E92" s="1190"/>
      <c r="F92" s="1190"/>
      <c r="G92" s="1190"/>
      <c r="H92" s="1190"/>
      <c r="I92" s="1190"/>
      <c r="J92" s="1190"/>
      <c r="K92" s="1190"/>
      <c r="L92" s="1190"/>
      <c r="M92" s="1190"/>
      <c r="N92" s="1190"/>
      <c r="O92" s="1190"/>
      <c r="P92" s="1190"/>
      <c r="Q92" s="1190"/>
      <c r="R92" s="1190"/>
      <c r="S92" s="1190"/>
      <c r="T92" s="523"/>
      <c r="U92" s="522"/>
      <c r="V92" s="57"/>
      <c r="W92" s="57"/>
      <c r="X92" s="58"/>
    </row>
    <row r="93" spans="1:24" ht="8" customHeight="1">
      <c r="A93" s="522"/>
      <c r="B93" s="529"/>
      <c r="C93" s="529"/>
      <c r="D93" s="529"/>
      <c r="E93" s="529"/>
      <c r="F93" s="529"/>
      <c r="G93" s="529"/>
      <c r="H93" s="529"/>
      <c r="I93" s="529"/>
      <c r="J93" s="529"/>
      <c r="K93" s="529"/>
      <c r="L93" s="529"/>
      <c r="M93" s="529"/>
      <c r="N93" s="529"/>
      <c r="O93" s="529"/>
      <c r="P93" s="529"/>
      <c r="Q93" s="529"/>
      <c r="R93" s="529"/>
      <c r="S93" s="529"/>
      <c r="T93" s="523"/>
      <c r="U93" s="522"/>
      <c r="V93" s="57"/>
      <c r="W93" s="57"/>
      <c r="X93" s="58"/>
    </row>
    <row r="94" spans="1:24" ht="18.75" customHeight="1">
      <c r="A94" s="522"/>
      <c r="B94" s="602" t="s">
        <v>161</v>
      </c>
      <c r="C94" s="602" t="s">
        <v>162</v>
      </c>
      <c r="D94" s="1191" t="s">
        <v>163</v>
      </c>
      <c r="E94" s="1192"/>
      <c r="F94" s="1191" t="s">
        <v>160</v>
      </c>
      <c r="G94" s="1192"/>
      <c r="H94" s="1191" t="s">
        <v>164</v>
      </c>
      <c r="I94" s="1192"/>
      <c r="J94" s="529"/>
      <c r="K94" s="529"/>
      <c r="L94" s="529"/>
      <c r="M94" s="529"/>
      <c r="N94" s="529"/>
      <c r="O94" s="529"/>
      <c r="P94" s="529"/>
      <c r="Q94" s="529"/>
      <c r="R94" s="529"/>
      <c r="S94" s="529"/>
      <c r="T94" s="523"/>
      <c r="U94" s="522"/>
      <c r="V94" s="57"/>
      <c r="W94" s="57"/>
      <c r="X94" s="58"/>
    </row>
    <row r="95" spans="1:24" ht="18.75" customHeight="1">
      <c r="A95" s="522"/>
      <c r="B95" s="603" t="s">
        <v>473</v>
      </c>
      <c r="C95" s="604" t="s">
        <v>169</v>
      </c>
      <c r="D95" s="1166"/>
      <c r="E95" s="1167"/>
      <c r="F95" s="1177" cm="1">
        <f t="array" ref="F95">'PF calculator'!G95</f>
        <v>6</v>
      </c>
      <c r="G95" s="1178"/>
      <c r="H95" s="1166" cm="1">
        <f t="array" ref="H95">IF(D95="Ltd by high OM1b,2,3,4 values",0,D95*(F95/100))</f>
        <v>0</v>
      </c>
      <c r="I95" s="1167"/>
      <c r="J95" s="576"/>
      <c r="K95" s="529"/>
      <c r="L95" s="529"/>
      <c r="M95" s="529"/>
      <c r="N95" s="529"/>
      <c r="O95" s="529"/>
      <c r="P95" s="529"/>
      <c r="Q95" s="529"/>
      <c r="R95" s="529"/>
      <c r="S95" s="529"/>
      <c r="T95" s="523"/>
      <c r="U95" s="522"/>
      <c r="V95" s="57"/>
      <c r="W95" s="57"/>
      <c r="X95" s="58"/>
    </row>
    <row r="96" spans="1:24" ht="18.75" customHeight="1">
      <c r="A96" s="522"/>
      <c r="B96" s="605"/>
      <c r="C96" s="606" t="s">
        <v>172</v>
      </c>
      <c r="D96" s="1186" cm="1">
        <f t="array" ref="D96">E41</f>
        <v>1000000</v>
      </c>
      <c r="E96" s="1187"/>
      <c r="F96" s="1177" cm="1">
        <f t="array" ref="F96">'PF calculator'!G96</f>
        <v>20</v>
      </c>
      <c r="G96" s="1178"/>
      <c r="H96" s="1166" cm="1">
        <f t="array" ref="H96">D96*(F96/100)</f>
        <v>200000</v>
      </c>
      <c r="I96" s="1167"/>
      <c r="J96" s="576"/>
      <c r="K96" s="529"/>
      <c r="L96" s="529"/>
      <c r="M96" s="529"/>
      <c r="N96" s="529"/>
      <c r="O96" s="529"/>
      <c r="P96" s="529"/>
      <c r="Q96" s="529"/>
      <c r="R96" s="529"/>
      <c r="S96" s="529"/>
      <c r="T96" s="523"/>
      <c r="U96" s="522"/>
      <c r="V96" s="57"/>
      <c r="W96" s="57"/>
      <c r="X96" s="58"/>
    </row>
    <row r="97" spans="1:24" ht="18.75" customHeight="1">
      <c r="A97" s="522"/>
      <c r="B97" s="1172" t="s">
        <v>174</v>
      </c>
      <c r="C97" s="607" t="s">
        <v>175</v>
      </c>
      <c r="D97" s="1166" cm="1">
        <f t="array" ref="D97">IF(R61="Ltd by DoB",R46,R46+R61)</f>
        <v>3908614.4715996296</v>
      </c>
      <c r="E97" s="1167"/>
      <c r="F97" s="1177" cm="1">
        <f t="array" ref="F97">'PF calculator'!G97</f>
        <v>45</v>
      </c>
      <c r="G97" s="1178"/>
      <c r="H97" s="1166" cm="1">
        <f t="array" ref="H97">D97*(F97/100)</f>
        <v>1758876.5122198334</v>
      </c>
      <c r="I97" s="1167"/>
      <c r="J97" s="576"/>
      <c r="K97" s="529"/>
      <c r="L97" s="529"/>
      <c r="M97" s="529"/>
      <c r="N97" s="529"/>
      <c r="O97" s="529"/>
      <c r="P97" s="529"/>
      <c r="Q97" s="529"/>
      <c r="R97" s="529"/>
      <c r="S97" s="529"/>
      <c r="T97" s="523"/>
      <c r="U97" s="522"/>
      <c r="V97" s="57"/>
      <c r="W97" s="57"/>
      <c r="X97" s="58"/>
    </row>
    <row r="98" spans="1:24" ht="18.75" customHeight="1">
      <c r="A98" s="522"/>
      <c r="B98" s="1173"/>
      <c r="C98" s="607" t="s">
        <v>177</v>
      </c>
      <c r="D98" s="1166" cm="1">
        <f t="array" ref="D98">IF(R62="Ltd by DoB",R47,R47+R62)</f>
        <v>14934170.291434068</v>
      </c>
      <c r="E98" s="1167"/>
      <c r="F98" s="1177" cm="1">
        <f t="array" ref="F98">'PF calculator'!G98</f>
        <v>30</v>
      </c>
      <c r="G98" s="1178"/>
      <c r="H98" s="1166" cm="1">
        <f t="array" ref="H98">D98*(F98/100)</f>
        <v>4480251.0874302201</v>
      </c>
      <c r="I98" s="1167"/>
      <c r="J98" s="576"/>
      <c r="K98" s="529"/>
      <c r="L98" s="529"/>
      <c r="M98" s="529"/>
      <c r="N98" s="529"/>
      <c r="O98" s="529"/>
      <c r="P98" s="529"/>
      <c r="Q98" s="529"/>
      <c r="R98" s="529"/>
      <c r="S98" s="529"/>
      <c r="T98" s="523"/>
      <c r="U98" s="522"/>
      <c r="V98" s="57"/>
      <c r="W98" s="57"/>
      <c r="X98" s="58"/>
    </row>
    <row r="99" spans="1:24" ht="18.75" customHeight="1">
      <c r="A99" s="522"/>
      <c r="B99" s="1174"/>
      <c r="C99" s="607" t="s">
        <v>179</v>
      </c>
      <c r="D99" s="1166" cm="1">
        <f t="array" ref="D99">IF(R63="Ltd by DoB",R48,R48+R63)</f>
        <v>0</v>
      </c>
      <c r="E99" s="1167"/>
      <c r="F99" s="1177" cm="1">
        <f t="array" ref="F99">'PF calculator'!G99</f>
        <v>20</v>
      </c>
      <c r="G99" s="1178"/>
      <c r="H99" s="1166" cm="1">
        <f t="array" ref="H99">D99*(F99/100)</f>
        <v>0</v>
      </c>
      <c r="I99" s="1167"/>
      <c r="J99" s="576"/>
      <c r="K99" s="529"/>
      <c r="L99" s="529"/>
      <c r="M99" s="529"/>
      <c r="N99" s="529"/>
      <c r="O99" s="529"/>
      <c r="P99" s="529"/>
      <c r="Q99" s="529"/>
      <c r="R99" s="529"/>
      <c r="S99" s="529"/>
      <c r="T99" s="523"/>
      <c r="U99" s="522"/>
      <c r="V99" s="57"/>
      <c r="W99" s="57"/>
      <c r="X99" s="58"/>
    </row>
    <row r="100" spans="1:24" ht="18.75" customHeight="1">
      <c r="A100" s="522"/>
      <c r="B100" s="1172" t="s">
        <v>181</v>
      </c>
      <c r="C100" s="607" t="s">
        <v>175</v>
      </c>
      <c r="D100" s="1166" cm="1">
        <f t="array" ref="D100">R74</f>
        <v>0</v>
      </c>
      <c r="E100" s="1167"/>
      <c r="F100" s="1177" cm="1">
        <f t="array" ref="F100">'PF calculator'!G100</f>
        <v>45</v>
      </c>
      <c r="G100" s="1178"/>
      <c r="H100" s="1166" cm="1">
        <f t="array" ref="H100">D100*(F100/100)</f>
        <v>0</v>
      </c>
      <c r="I100" s="1167"/>
      <c r="J100" s="576"/>
      <c r="K100" s="529"/>
      <c r="L100" s="529"/>
      <c r="M100" s="529"/>
      <c r="N100" s="529"/>
      <c r="O100" s="529"/>
      <c r="P100" s="529"/>
      <c r="Q100" s="529"/>
      <c r="R100" s="529"/>
      <c r="S100" s="529"/>
      <c r="T100" s="523"/>
      <c r="U100" s="522"/>
      <c r="V100" s="57"/>
      <c r="W100" s="57"/>
      <c r="X100" s="58"/>
    </row>
    <row r="101" spans="1:24" ht="18.75" customHeight="1">
      <c r="A101" s="522"/>
      <c r="B101" s="1173"/>
      <c r="C101" s="607" t="s">
        <v>177</v>
      </c>
      <c r="D101" s="1166" cm="1">
        <f t="array" ref="D101">R75</f>
        <v>0</v>
      </c>
      <c r="E101" s="1167"/>
      <c r="F101" s="1177" cm="1">
        <f t="array" ref="F101">'PF calculator'!G101</f>
        <v>30</v>
      </c>
      <c r="G101" s="1178"/>
      <c r="H101" s="1166" cm="1">
        <f t="array" ref="H101">D101*(F101/100)</f>
        <v>0</v>
      </c>
      <c r="I101" s="1167"/>
      <c r="J101" s="576"/>
      <c r="K101" s="529"/>
      <c r="L101" s="529"/>
      <c r="M101" s="529"/>
      <c r="N101" s="529"/>
      <c r="O101" s="529"/>
      <c r="P101" s="529"/>
      <c r="Q101" s="529"/>
      <c r="R101" s="529"/>
      <c r="S101" s="529"/>
      <c r="T101" s="523"/>
      <c r="U101" s="522"/>
      <c r="V101" s="57"/>
      <c r="W101" s="57"/>
      <c r="X101" s="58"/>
    </row>
    <row r="102" spans="1:24" ht="18.75" customHeight="1">
      <c r="A102" s="522"/>
      <c r="B102" s="1174"/>
      <c r="C102" s="607" t="s">
        <v>179</v>
      </c>
      <c r="D102" s="1166" cm="1">
        <f t="array" ref="D102">R76</f>
        <v>0</v>
      </c>
      <c r="E102" s="1167"/>
      <c r="F102" s="1177" cm="1">
        <f t="array" ref="F102">'PF calculator'!G102</f>
        <v>20</v>
      </c>
      <c r="G102" s="1178"/>
      <c r="H102" s="1166" cm="1">
        <f t="array" ref="H102">D102*(F102/100)</f>
        <v>0</v>
      </c>
      <c r="I102" s="1167"/>
      <c r="J102" s="576"/>
      <c r="K102" s="529"/>
      <c r="L102" s="529"/>
      <c r="M102" s="529"/>
      <c r="N102" s="529"/>
      <c r="O102" s="529"/>
      <c r="P102" s="529"/>
      <c r="Q102" s="529"/>
      <c r="R102" s="529"/>
      <c r="S102" s="529"/>
      <c r="T102" s="523"/>
      <c r="U102" s="522"/>
      <c r="V102" s="57"/>
      <c r="W102" s="57"/>
      <c r="X102" s="58"/>
    </row>
    <row r="103" spans="1:24" ht="18.75" customHeight="1">
      <c r="A103" s="522"/>
      <c r="B103" s="1164" t="s">
        <v>185</v>
      </c>
      <c r="C103" s="608" t="s">
        <v>186</v>
      </c>
      <c r="D103" s="1166" cm="1">
        <f t="array" ref="D103">IF(SUM(L83:M90)&lt;0,"Ltd by negative OM4 values",SUM(L83:M90))</f>
        <v>847522.25203312549</v>
      </c>
      <c r="E103" s="1167"/>
      <c r="F103" s="1177" cm="1">
        <f t="array" ref="F103">'PF calculator'!G103</f>
        <v>20</v>
      </c>
      <c r="G103" s="1178"/>
      <c r="H103" s="1166" cm="1">
        <f t="array" ref="H103">IF(D103="Ltd by negative OM4 values",0,D103*(F103/100))</f>
        <v>169504.45040662511</v>
      </c>
      <c r="I103" s="1167"/>
      <c r="J103" s="576"/>
      <c r="K103" s="529"/>
      <c r="L103" s="529"/>
      <c r="M103" s="529"/>
      <c r="N103" s="529"/>
      <c r="O103" s="529"/>
      <c r="P103" s="529"/>
      <c r="Q103" s="529"/>
      <c r="R103" s="529"/>
      <c r="S103" s="529"/>
      <c r="T103" s="523"/>
      <c r="U103" s="522"/>
      <c r="V103" s="57"/>
      <c r="W103" s="57"/>
      <c r="X103" s="58"/>
    </row>
    <row r="104" spans="1:24" ht="18.75" customHeight="1">
      <c r="A104" s="522"/>
      <c r="B104" s="1181"/>
      <c r="C104" s="606" t="s">
        <v>187</v>
      </c>
      <c r="D104" s="1166" cm="1">
        <f t="array" ref="D104">SUM(R84:S86)</f>
        <v>689843.69351533486</v>
      </c>
      <c r="E104" s="1167"/>
      <c r="F104" s="1177" cm="1">
        <f t="array" ref="F104">'PF calculator'!G104</f>
        <v>20</v>
      </c>
      <c r="G104" s="1178"/>
      <c r="H104" s="1182" cm="1">
        <f t="array" ref="H104">D104*(F104/100)</f>
        <v>137968.73870306698</v>
      </c>
      <c r="I104" s="1183"/>
      <c r="J104" s="576"/>
      <c r="K104" s="529"/>
      <c r="L104" s="529"/>
      <c r="M104" s="529"/>
      <c r="N104" s="529"/>
      <c r="O104" s="529"/>
      <c r="P104" s="529"/>
      <c r="Q104" s="529"/>
      <c r="R104" s="529"/>
      <c r="S104" s="529"/>
      <c r="T104" s="523"/>
      <c r="U104" s="522"/>
      <c r="V104" s="57"/>
      <c r="W104" s="57"/>
      <c r="X104" s="58"/>
    </row>
    <row r="105" spans="1:24" ht="18.75" customHeight="1">
      <c r="A105" s="522"/>
      <c r="B105" s="1164" t="s">
        <v>188</v>
      </c>
      <c r="C105" s="1165"/>
      <c r="D105" s="1166" cm="1">
        <f t="array" ref="D105">SUM(D95:E104)</f>
        <v>21380150.708582155</v>
      </c>
      <c r="E105" s="1167"/>
      <c r="F105" s="1168" t="e" cm="1" vm="5">
        <f t="array" aca="1" ref="F105" ca="1">'PF calculator'!F105:G105</f>
        <v>#VALUE!</v>
      </c>
      <c r="G105" s="1169"/>
      <c r="H105" s="1170" cm="1">
        <f t="array" ref="H105">SUM(H95:I104)</f>
        <v>6746600.7887597457</v>
      </c>
      <c r="I105" s="1171"/>
      <c r="J105" s="591"/>
      <c r="K105" s="529"/>
      <c r="L105" s="529"/>
      <c r="M105" s="529"/>
      <c r="N105" s="529"/>
      <c r="O105" s="529"/>
      <c r="P105" s="529"/>
      <c r="Q105" s="529"/>
      <c r="R105" s="529"/>
      <c r="S105" s="529"/>
      <c r="T105" s="523"/>
      <c r="U105" s="522"/>
      <c r="V105" s="57"/>
      <c r="W105" s="57"/>
      <c r="X105" s="58"/>
    </row>
    <row r="106" spans="1:24" ht="8" customHeight="1">
      <c r="A106" s="522"/>
      <c r="B106" s="549"/>
      <c r="C106" s="549"/>
      <c r="D106" s="601"/>
      <c r="E106" s="601"/>
      <c r="F106" s="549"/>
      <c r="G106" s="549"/>
      <c r="H106" s="558"/>
      <c r="I106" s="558"/>
      <c r="J106" s="549"/>
      <c r="K106" s="549"/>
      <c r="L106" s="549"/>
      <c r="M106" s="549"/>
      <c r="N106" s="549"/>
      <c r="O106" s="549"/>
      <c r="P106" s="549"/>
      <c r="Q106" s="549"/>
      <c r="R106" s="549"/>
      <c r="S106" s="549"/>
      <c r="T106" s="523"/>
      <c r="U106" s="522"/>
      <c r="V106" s="57"/>
      <c r="W106" s="57"/>
      <c r="X106" s="58"/>
    </row>
    <row r="107" spans="1:24" ht="15.75" customHeight="1">
      <c r="A107" s="609"/>
      <c r="B107" s="1179" t="s">
        <v>190</v>
      </c>
      <c r="C107" s="1180"/>
      <c r="D107" s="1180"/>
      <c r="E107" s="1180"/>
      <c r="F107" s="1180"/>
      <c r="G107" s="1180"/>
      <c r="H107" s="1180"/>
      <c r="I107" s="1180"/>
      <c r="J107" s="1180"/>
      <c r="K107" s="1180"/>
      <c r="L107" s="1180"/>
      <c r="M107" s="1180"/>
      <c r="N107" s="1180"/>
      <c r="O107" s="1180"/>
      <c r="P107" s="1180"/>
      <c r="Q107" s="1180"/>
      <c r="R107" s="1180"/>
      <c r="S107" s="1180"/>
      <c r="T107" s="610"/>
      <c r="U107" s="611"/>
      <c r="V107" s="179"/>
      <c r="W107" s="179"/>
      <c r="X107" s="180"/>
    </row>
  </sheetData>
  <mergeCells count="219">
    <mergeCell ref="B1:S1"/>
    <mergeCell ref="B2:S2"/>
    <mergeCell ref="B3:S3"/>
    <mergeCell ref="B4:P4"/>
    <mergeCell ref="R4:S4"/>
    <mergeCell ref="R5:S5"/>
    <mergeCell ref="B7:C7"/>
    <mergeCell ref="D7:I7"/>
    <mergeCell ref="K7:L7"/>
    <mergeCell ref="M7:N7"/>
    <mergeCell ref="R6:S7"/>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9:D19"/>
    <mergeCell ref="E19:F19"/>
    <mergeCell ref="H19:J19"/>
    <mergeCell ref="K19:L19"/>
    <mergeCell ref="B21:D21"/>
    <mergeCell ref="E21:F21"/>
    <mergeCell ref="H21:J21"/>
    <mergeCell ref="K21:L21"/>
    <mergeCell ref="B25:S25"/>
    <mergeCell ref="K26:L27"/>
    <mergeCell ref="M26:N27"/>
    <mergeCell ref="O26:P27"/>
    <mergeCell ref="B27:D27"/>
    <mergeCell ref="E27:F27"/>
    <mergeCell ref="H27:J27"/>
    <mergeCell ref="B23:D23"/>
    <mergeCell ref="E23:F23"/>
    <mergeCell ref="H23:J23"/>
    <mergeCell ref="K23:L23"/>
    <mergeCell ref="M23:P23"/>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B37:D37"/>
    <mergeCell ref="E37:F37"/>
    <mergeCell ref="L37:S37"/>
    <mergeCell ref="B38:D38"/>
    <mergeCell ref="E38:F38"/>
    <mergeCell ref="B39:D39"/>
    <mergeCell ref="E39:F39"/>
    <mergeCell ref="B33:D33"/>
    <mergeCell ref="E33:F33"/>
    <mergeCell ref="H33:J33"/>
    <mergeCell ref="K33:L33"/>
    <mergeCell ref="M33:S33"/>
    <mergeCell ref="B35:S35"/>
    <mergeCell ref="B46:E46"/>
    <mergeCell ref="R46:S46"/>
    <mergeCell ref="B47:E47"/>
    <mergeCell ref="R47:S47"/>
    <mergeCell ref="B48:E48"/>
    <mergeCell ref="R48:S48"/>
    <mergeCell ref="B41:D42"/>
    <mergeCell ref="E41:F41"/>
    <mergeCell ref="B43:S43"/>
    <mergeCell ref="B45:E45"/>
    <mergeCell ref="F45:J45"/>
    <mergeCell ref="L45:P45"/>
    <mergeCell ref="R45:S45"/>
    <mergeCell ref="B56:S56"/>
    <mergeCell ref="B58:D58"/>
    <mergeCell ref="E58:F58"/>
    <mergeCell ref="B60:E60"/>
    <mergeCell ref="F60:J60"/>
    <mergeCell ref="L60:P60"/>
    <mergeCell ref="R60:S60"/>
    <mergeCell ref="B50:E50"/>
    <mergeCell ref="F50:J50"/>
    <mergeCell ref="L50:P51"/>
    <mergeCell ref="B51:E51"/>
    <mergeCell ref="B52:E52"/>
    <mergeCell ref="B53:E53"/>
    <mergeCell ref="B65:E65"/>
    <mergeCell ref="F65:J65"/>
    <mergeCell ref="L65:P66"/>
    <mergeCell ref="B66:E66"/>
    <mergeCell ref="B67:E67"/>
    <mergeCell ref="B68:E68"/>
    <mergeCell ref="B61:E61"/>
    <mergeCell ref="R61:S61"/>
    <mergeCell ref="B62:E62"/>
    <mergeCell ref="R62:S62"/>
    <mergeCell ref="B63:E63"/>
    <mergeCell ref="R63:S63"/>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s>
  <conditionalFormatting sqref="L46:P48 L61:P63">
    <cfRule type="cellIs" dxfId="5" priority="1" stopIfTrue="1" operator="lessThan">
      <formula>0</formula>
    </cfRule>
  </conditionalFormatting>
  <pageMargins left="0.7" right="0.7" top="0.75" bottom="0.75" header="0.3" footer="0.3"/>
  <pageSetup scale="37"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07"/>
  <sheetViews>
    <sheetView showGridLines="0" workbookViewId="0"/>
  </sheetViews>
  <sheetFormatPr defaultColWidth="8.84375" defaultRowHeight="15" customHeight="1"/>
  <cols>
    <col min="1" max="1" width="1.15234375" style="5" customWidth="1"/>
    <col min="2" max="19" width="10.84375" style="5" customWidth="1"/>
    <col min="20" max="20" width="1.15234375" style="5" customWidth="1"/>
    <col min="21" max="25" width="8.84375" style="5" customWidth="1"/>
    <col min="26" max="16384" width="8.84375" style="5"/>
  </cols>
  <sheetData>
    <row r="1" spans="1:24" ht="17.149999999999999" customHeight="1">
      <c r="A1" s="519"/>
      <c r="B1" s="1287"/>
      <c r="C1" s="1287"/>
      <c r="D1" s="1287"/>
      <c r="E1" s="1287"/>
      <c r="F1" s="1287"/>
      <c r="G1" s="1287"/>
      <c r="H1" s="1287"/>
      <c r="I1" s="1287"/>
      <c r="J1" s="1287"/>
      <c r="K1" s="1287"/>
      <c r="L1" s="1287"/>
      <c r="M1" s="1287"/>
      <c r="N1" s="1287"/>
      <c r="O1" s="1287"/>
      <c r="P1" s="1287"/>
      <c r="Q1" s="1287"/>
      <c r="R1" s="1287"/>
      <c r="S1" s="1287"/>
      <c r="T1" s="520"/>
      <c r="U1" s="521"/>
      <c r="V1" s="52"/>
      <c r="W1" s="52"/>
      <c r="X1" s="53"/>
    </row>
    <row r="2" spans="1:24" ht="33.75" customHeight="1">
      <c r="A2" s="522"/>
      <c r="B2" s="1288" t="s">
        <v>45</v>
      </c>
      <c r="C2" s="1289"/>
      <c r="D2" s="1289"/>
      <c r="E2" s="1289"/>
      <c r="F2" s="1289"/>
      <c r="G2" s="1289"/>
      <c r="H2" s="1289"/>
      <c r="I2" s="1289"/>
      <c r="J2" s="1289"/>
      <c r="K2" s="1289"/>
      <c r="L2" s="1289"/>
      <c r="M2" s="1289"/>
      <c r="N2" s="1289"/>
      <c r="O2" s="1289"/>
      <c r="P2" s="1289"/>
      <c r="Q2" s="1289"/>
      <c r="R2" s="1289"/>
      <c r="S2" s="1289"/>
      <c r="T2" s="523"/>
      <c r="U2" s="522"/>
      <c r="V2" s="57"/>
      <c r="W2" s="57"/>
      <c r="X2" s="58"/>
    </row>
    <row r="3" spans="1:24" ht="23.25" customHeight="1">
      <c r="A3" s="522"/>
      <c r="B3" s="1290" t="s">
        <v>460</v>
      </c>
      <c r="C3" s="1291"/>
      <c r="D3" s="1291"/>
      <c r="E3" s="1291"/>
      <c r="F3" s="1291"/>
      <c r="G3" s="1291"/>
      <c r="H3" s="1291"/>
      <c r="I3" s="1291"/>
      <c r="J3" s="1291"/>
      <c r="K3" s="1291"/>
      <c r="L3" s="1291"/>
      <c r="M3" s="1291"/>
      <c r="N3" s="1291"/>
      <c r="O3" s="1291"/>
      <c r="P3" s="1291"/>
      <c r="Q3" s="1291"/>
      <c r="R3" s="1292"/>
      <c r="S3" s="1292"/>
      <c r="T3" s="523"/>
      <c r="U3" s="522"/>
      <c r="V3" s="57"/>
      <c r="W3" s="57"/>
      <c r="X3" s="58"/>
    </row>
    <row r="4" spans="1:24" ht="19.5" customHeight="1">
      <c r="A4" s="522"/>
      <c r="B4" s="1293" t="e" cm="1" vm="2">
        <f t="array" aca="1" ref="B4" ca="1">'PF calculator'!B4:P4</f>
        <v>#VALUE!</v>
      </c>
      <c r="C4" s="1293"/>
      <c r="D4" s="1293"/>
      <c r="E4" s="1293"/>
      <c r="F4" s="1293"/>
      <c r="G4" s="1293"/>
      <c r="H4" s="1293"/>
      <c r="I4" s="1293"/>
      <c r="J4" s="1293"/>
      <c r="K4" s="1293"/>
      <c r="L4" s="1293"/>
      <c r="M4" s="1293"/>
      <c r="N4" s="1293"/>
      <c r="O4" s="1293"/>
      <c r="P4" s="1293"/>
      <c r="Q4" s="524" t="s">
        <v>48</v>
      </c>
      <c r="R4" s="1294" t="s">
        <v>395</v>
      </c>
      <c r="S4" s="1295"/>
      <c r="T4" s="525"/>
      <c r="U4" s="522"/>
      <c r="V4" s="67"/>
      <c r="W4" s="57"/>
      <c r="X4" s="58"/>
    </row>
    <row r="5" spans="1:24" ht="19.5" customHeight="1">
      <c r="A5" s="522"/>
      <c r="B5" s="526" t="str" cm="1">
        <f t="array" ref="B5">'PF calculator'!B5</f>
        <v>SECTION 1: Project details</v>
      </c>
      <c r="C5" s="527"/>
      <c r="D5" s="527"/>
      <c r="E5" s="527"/>
      <c r="F5" s="527"/>
      <c r="G5" s="527"/>
      <c r="H5" s="527"/>
      <c r="I5" s="527"/>
      <c r="J5" s="527"/>
      <c r="K5" s="527"/>
      <c r="L5" s="527"/>
      <c r="M5" s="527"/>
      <c r="N5" s="527"/>
      <c r="O5" s="527"/>
      <c r="P5" s="527"/>
      <c r="Q5" s="528"/>
      <c r="R5" s="1296" t="s">
        <v>52</v>
      </c>
      <c r="S5" s="1297"/>
      <c r="T5" s="525"/>
      <c r="U5" s="522"/>
      <c r="V5" s="57"/>
      <c r="W5" s="57"/>
      <c r="X5" s="58"/>
    </row>
    <row r="6" spans="1:24" ht="8" customHeight="1">
      <c r="A6" s="522"/>
      <c r="B6" s="529"/>
      <c r="C6" s="529"/>
      <c r="D6" s="530"/>
      <c r="E6" s="530"/>
      <c r="F6" s="530"/>
      <c r="G6" s="530"/>
      <c r="H6" s="530"/>
      <c r="I6" s="530"/>
      <c r="J6" s="529"/>
      <c r="K6" s="529"/>
      <c r="L6" s="529"/>
      <c r="M6" s="530"/>
      <c r="N6" s="530"/>
      <c r="O6" s="529"/>
      <c r="P6" s="529"/>
      <c r="Q6" s="531"/>
      <c r="R6" s="1301" t="s">
        <v>53</v>
      </c>
      <c r="S6" s="1302"/>
      <c r="T6" s="523"/>
      <c r="U6" s="522"/>
      <c r="V6" s="57"/>
      <c r="W6" s="57"/>
      <c r="X6" s="58"/>
    </row>
    <row r="7" spans="1:24" ht="18.75" customHeight="1">
      <c r="A7" s="522"/>
      <c r="B7" s="1209" t="s">
        <v>54</v>
      </c>
      <c r="C7" s="1229"/>
      <c r="D7" s="1298" t="str" cm="1">
        <f t="array" ref="D7">"Sensitivity Analysis: "&amp;'PF calculator'!L98</f>
        <v>Sensitivity Analysis: SA3: OM3 - Erosion risks lower than assumptions made</v>
      </c>
      <c r="E7" s="1299"/>
      <c r="F7" s="1299"/>
      <c r="G7" s="1299"/>
      <c r="H7" s="1299"/>
      <c r="I7" s="1300"/>
      <c r="J7" s="532"/>
      <c r="K7" s="1209" t="s">
        <v>56</v>
      </c>
      <c r="L7" s="1229"/>
      <c r="M7" s="1268" t="str" cm="1">
        <f t="array" ref="M7">'PF calculator'!M7</f>
        <v>Pre-SOC</v>
      </c>
      <c r="N7" s="1270"/>
      <c r="O7" s="533"/>
      <c r="P7" s="534"/>
      <c r="Q7" s="534"/>
      <c r="R7" s="1303"/>
      <c r="S7" s="1303"/>
      <c r="T7" s="523"/>
      <c r="U7" s="522"/>
      <c r="V7" s="57"/>
      <c r="W7" s="57"/>
      <c r="X7" s="58"/>
    </row>
    <row r="8" spans="1:24" ht="18.75" customHeight="1">
      <c r="A8" s="522"/>
      <c r="B8" s="1209" t="s">
        <v>461</v>
      </c>
      <c r="C8" s="1229"/>
      <c r="D8" s="1268" t="str" cm="1">
        <f t="array" ref="D8">'PF calculator'!D8</f>
        <v>YOC501E/000A/533A</v>
      </c>
      <c r="E8" s="1269"/>
      <c r="F8" s="1270"/>
      <c r="G8" s="535"/>
      <c r="H8" s="536"/>
      <c r="I8" s="536"/>
      <c r="J8" s="534"/>
      <c r="K8" s="1209" t="s">
        <v>60</v>
      </c>
      <c r="L8" s="1229"/>
      <c r="M8" s="1271" cm="1">
        <f t="array" ref="M8">'PF calculator'!M8</f>
        <v>0</v>
      </c>
      <c r="N8" s="1270"/>
      <c r="O8" s="1272" t="e" cm="1" vm="3">
        <f t="array" aca="1" ref="O8" ca="1">'PF calculator'!O8:Q8</f>
        <v>#VALUE!</v>
      </c>
      <c r="P8" s="1273"/>
      <c r="Q8" s="1274"/>
      <c r="R8" s="538" t="e" cm="1" vm="1">
        <f t="array" aca="1" ref="R8" ca="1">$E$39/$E$33</f>
        <v>#VALUE!</v>
      </c>
      <c r="S8" s="539" t="s">
        <v>62</v>
      </c>
      <c r="T8" s="525"/>
      <c r="U8" s="522"/>
      <c r="V8" s="57"/>
      <c r="W8" s="57"/>
      <c r="X8" s="58"/>
    </row>
    <row r="9" spans="1:24" ht="18.75" customHeight="1">
      <c r="A9" s="522"/>
      <c r="B9" s="1209" t="s">
        <v>462</v>
      </c>
      <c r="C9" s="1229"/>
      <c r="D9" s="1277" cm="1">
        <f t="array" ref="D9">'PF calculator'!D9</f>
        <v>45265</v>
      </c>
      <c r="E9" s="1278"/>
      <c r="F9" s="1279"/>
      <c r="G9" s="540"/>
      <c r="H9" s="541"/>
      <c r="I9" s="541"/>
      <c r="J9" s="534"/>
      <c r="K9" s="534"/>
      <c r="L9" s="534"/>
      <c r="M9" s="536"/>
      <c r="N9" s="536"/>
      <c r="O9" s="1280" t="s">
        <v>64</v>
      </c>
      <c r="P9" s="1281"/>
      <c r="Q9" s="1282"/>
      <c r="R9" s="542" t="str" cm="1">
        <f t="array" aca="1" ref="R9" ca="1">IFERROR(($E$39/MIN(($K$21+$K$23),$E$33)),"n/a")</f>
        <v>n/a</v>
      </c>
      <c r="S9" s="539" t="s">
        <v>62</v>
      </c>
      <c r="T9" s="525"/>
      <c r="U9" s="522"/>
      <c r="V9" s="57"/>
      <c r="W9" s="57"/>
      <c r="X9" s="58"/>
    </row>
    <row r="10" spans="1:24" ht="18.75" customHeight="1">
      <c r="A10" s="522"/>
      <c r="B10" s="1209" t="s">
        <v>65</v>
      </c>
      <c r="C10" s="1229"/>
      <c r="D10" s="1283" t="str" cm="1">
        <f t="array" ref="D10">'PF calculator'!D10</f>
        <v>City of Doncaster Council</v>
      </c>
      <c r="E10" s="1284"/>
      <c r="F10" s="1284"/>
      <c r="G10" s="1284"/>
      <c r="H10" s="1284"/>
      <c r="I10" s="1285"/>
      <c r="J10" s="533"/>
      <c r="K10" s="534"/>
      <c r="L10" s="534"/>
      <c r="M10" s="534"/>
      <c r="N10" s="534"/>
      <c r="O10" s="1280" t="s">
        <v>67</v>
      </c>
      <c r="P10" s="1281"/>
      <c r="Q10" s="1282"/>
      <c r="R10" s="538" t="e" cm="1" vm="1">
        <f t="array" aca="1" ref="R10" ca="1">IF($K$33&gt;0,$E$39/$K$33,"n/a")</f>
        <v>#VALUE!</v>
      </c>
      <c r="S10" s="539" t="s">
        <v>62</v>
      </c>
      <c r="T10" s="525"/>
      <c r="U10" s="522"/>
      <c r="V10" s="57"/>
      <c r="W10" s="57"/>
      <c r="X10" s="58"/>
    </row>
    <row r="11" spans="1:24" ht="18.75" customHeight="1">
      <c r="A11" s="522"/>
      <c r="B11" s="1209" t="s">
        <v>68</v>
      </c>
      <c r="C11" s="1229"/>
      <c r="D11" s="1283" t="str" cm="1">
        <f t="array" ref="D11">'PF calculator'!D11</f>
        <v>Local Authority</v>
      </c>
      <c r="E11" s="1284"/>
      <c r="F11" s="1285"/>
      <c r="G11" s="543"/>
      <c r="H11" s="544"/>
      <c r="I11" s="544"/>
      <c r="J11" s="534"/>
      <c r="K11" s="534"/>
      <c r="L11" s="534"/>
      <c r="M11" s="534"/>
      <c r="N11" s="534"/>
      <c r="O11" s="534"/>
      <c r="P11" s="534"/>
      <c r="Q11" s="537"/>
      <c r="R11" s="545"/>
      <c r="S11" s="546"/>
      <c r="T11" s="523"/>
      <c r="U11" s="522"/>
      <c r="V11" s="57"/>
      <c r="W11" s="57"/>
      <c r="X11" s="58"/>
    </row>
    <row r="12" spans="1:24" ht="18.75" customHeight="1">
      <c r="A12" s="522"/>
      <c r="B12" s="547" t="s">
        <v>70</v>
      </c>
      <c r="C12" s="534"/>
      <c r="D12" s="536"/>
      <c r="E12" s="536"/>
      <c r="F12" s="536"/>
      <c r="G12" s="534"/>
      <c r="H12" s="534"/>
      <c r="I12" s="534"/>
      <c r="J12" s="534"/>
      <c r="K12" s="534"/>
      <c r="L12" s="534"/>
      <c r="M12" s="534"/>
      <c r="N12" s="534"/>
      <c r="O12" s="534"/>
      <c r="P12" s="1286"/>
      <c r="Q12" s="1286"/>
      <c r="R12" s="1286"/>
      <c r="S12" s="1286"/>
      <c r="T12" s="523"/>
      <c r="U12" s="522"/>
      <c r="V12" s="57"/>
      <c r="W12" s="57"/>
      <c r="X12" s="58"/>
    </row>
    <row r="13" spans="1:24" ht="18.75" customHeight="1">
      <c r="A13" s="522"/>
      <c r="B13" s="548" t="s">
        <v>463</v>
      </c>
      <c r="C13" s="534"/>
      <c r="D13" s="534"/>
      <c r="E13" s="534"/>
      <c r="F13" s="534"/>
      <c r="G13" s="534"/>
      <c r="H13" s="534"/>
      <c r="I13" s="534"/>
      <c r="J13" s="534"/>
      <c r="K13" s="534"/>
      <c r="L13" s="534"/>
      <c r="M13" s="534"/>
      <c r="N13" s="534"/>
      <c r="O13" s="534"/>
      <c r="P13" s="1286"/>
      <c r="Q13" s="1286"/>
      <c r="R13" s="1286"/>
      <c r="S13" s="1286"/>
      <c r="T13" s="523"/>
      <c r="U13" s="522"/>
      <c r="V13" s="57"/>
      <c r="W13" s="57"/>
      <c r="X13" s="58"/>
    </row>
    <row r="14" spans="1:24" ht="8" customHeight="1">
      <c r="A14" s="522"/>
      <c r="B14" s="549"/>
      <c r="C14" s="549"/>
      <c r="D14" s="549"/>
      <c r="E14" s="549"/>
      <c r="F14" s="549"/>
      <c r="G14" s="549"/>
      <c r="H14" s="549"/>
      <c r="I14" s="549"/>
      <c r="J14" s="549"/>
      <c r="K14" s="549"/>
      <c r="L14" s="549"/>
      <c r="M14" s="549"/>
      <c r="N14" s="549"/>
      <c r="O14" s="549"/>
      <c r="P14" s="549"/>
      <c r="Q14" s="549"/>
      <c r="R14" s="549"/>
      <c r="S14" s="549"/>
      <c r="T14" s="523"/>
      <c r="U14" s="522"/>
      <c r="V14" s="57"/>
      <c r="W14" s="57"/>
      <c r="X14" s="58"/>
    </row>
    <row r="15" spans="1:24" ht="18.75" customHeight="1">
      <c r="A15" s="522"/>
      <c r="B15" s="1190" t="e" cm="1" vm="4">
        <f t="array" aca="1" ref="B15" ca="1">'PF calculator'!B15:S15</f>
        <v>#VALUE!</v>
      </c>
      <c r="C15" s="1190"/>
      <c r="D15" s="1190"/>
      <c r="E15" s="1190"/>
      <c r="F15" s="1190"/>
      <c r="G15" s="1190"/>
      <c r="H15" s="1190"/>
      <c r="I15" s="1190"/>
      <c r="J15" s="1190"/>
      <c r="K15" s="1190"/>
      <c r="L15" s="1190"/>
      <c r="M15" s="1190"/>
      <c r="N15" s="1190"/>
      <c r="O15" s="1190"/>
      <c r="P15" s="1190"/>
      <c r="Q15" s="1190"/>
      <c r="R15" s="1190"/>
      <c r="S15" s="1190"/>
      <c r="T15" s="523"/>
      <c r="U15" s="522"/>
      <c r="V15" s="57"/>
      <c r="W15" s="57"/>
      <c r="X15" s="58"/>
    </row>
    <row r="16" spans="1:24" ht="8" customHeight="1">
      <c r="A16" s="522"/>
      <c r="B16" s="550"/>
      <c r="C16" s="529"/>
      <c r="D16" s="529"/>
      <c r="E16" s="530"/>
      <c r="F16" s="530"/>
      <c r="G16" s="529"/>
      <c r="H16" s="529"/>
      <c r="I16" s="529"/>
      <c r="J16" s="529"/>
      <c r="K16" s="529"/>
      <c r="L16" s="529"/>
      <c r="M16" s="529"/>
      <c r="N16" s="529"/>
      <c r="O16" s="529"/>
      <c r="P16" s="529"/>
      <c r="Q16" s="529"/>
      <c r="R16" s="529"/>
      <c r="S16" s="529"/>
      <c r="T16" s="523"/>
      <c r="U16" s="522"/>
      <c r="V16" s="57"/>
      <c r="W16" s="57"/>
      <c r="X16" s="58"/>
    </row>
    <row r="17" spans="1:24" ht="18.75" customHeight="1">
      <c r="A17" s="522"/>
      <c r="B17" s="1217" t="s">
        <v>73</v>
      </c>
      <c r="C17" s="1218"/>
      <c r="D17" s="1227"/>
      <c r="E17" s="1275" t="str" cm="1">
        <f t="array" ref="E17">'PF calculator'!E17</f>
        <v>Yes</v>
      </c>
      <c r="F17" s="1276"/>
      <c r="G17" s="551"/>
      <c r="H17" s="534"/>
      <c r="I17" s="534"/>
      <c r="J17" s="534"/>
      <c r="K17" s="534"/>
      <c r="L17" s="534"/>
      <c r="M17" s="534"/>
      <c r="N17" s="534"/>
      <c r="O17" s="534"/>
      <c r="P17" s="534"/>
      <c r="Q17" s="534"/>
      <c r="R17" s="534"/>
      <c r="S17" s="534"/>
      <c r="T17" s="523"/>
      <c r="U17" s="522"/>
      <c r="V17" s="57"/>
      <c r="W17" s="57"/>
      <c r="X17" s="58"/>
    </row>
    <row r="18" spans="1:24" ht="18.75" customHeight="1">
      <c r="A18" s="522"/>
      <c r="B18" s="534"/>
      <c r="C18" s="534"/>
      <c r="D18" s="534"/>
      <c r="E18" s="552"/>
      <c r="F18" s="552"/>
      <c r="G18" s="534"/>
      <c r="H18" s="534"/>
      <c r="I18" s="534"/>
      <c r="J18" s="534"/>
      <c r="K18" s="541"/>
      <c r="L18" s="541"/>
      <c r="M18" s="534"/>
      <c r="N18" s="534"/>
      <c r="O18" s="534"/>
      <c r="P18" s="534"/>
      <c r="Q18" s="534"/>
      <c r="R18" s="534"/>
      <c r="S18" s="534"/>
      <c r="T18" s="523"/>
      <c r="U18" s="522"/>
      <c r="V18" s="57"/>
      <c r="W18" s="57"/>
      <c r="X18" s="58"/>
    </row>
    <row r="19" spans="1:24" ht="18.75" customHeight="1">
      <c r="A19" s="522"/>
      <c r="B19" s="1217" t="s">
        <v>75</v>
      </c>
      <c r="C19" s="1218"/>
      <c r="D19" s="1227"/>
      <c r="E19" s="1266" t="e" cm="1" vm="1">
        <f t="array" aca="1" ref="E19" ca="1">IF(E23="low BCR","n/a",IF(E17="Yes",$E$23/MAX($E$33,$E$31),0.45*$E$23/MAX($E$33,$E$31)))</f>
        <v>#VALUE!</v>
      </c>
      <c r="F19" s="1267"/>
      <c r="G19" s="533"/>
      <c r="H19" s="1217" t="s">
        <v>76</v>
      </c>
      <c r="I19" s="1218"/>
      <c r="J19" s="1227"/>
      <c r="K19" s="1266" t="e" cm="1" vm="1">
        <f t="array" aca="1" ref="K19" ca="1">IF(E23="low BCR","n/a",IF(E17="Yes",IF(D11="Environment Agency",E23/MAX(MAX(E33,E31)-K33,1),E19+K33/E31),IF(D11="Environment Agency",E23*0.45/MAX(MAX(E33,E31)-K33,1),E19+K33/E31)))</f>
        <v>#VALUE!</v>
      </c>
      <c r="L19" s="1267"/>
      <c r="M19" s="533"/>
      <c r="N19" s="534"/>
      <c r="O19" s="534"/>
      <c r="P19" s="534"/>
      <c r="Q19" s="534"/>
      <c r="R19" s="534"/>
      <c r="S19" s="534"/>
      <c r="T19" s="523"/>
      <c r="U19" s="522"/>
      <c r="V19" s="57"/>
      <c r="W19" s="57"/>
      <c r="X19" s="58"/>
    </row>
    <row r="20" spans="1:24" ht="18.75" customHeight="1">
      <c r="A20" s="522"/>
      <c r="B20" s="534"/>
      <c r="C20" s="534"/>
      <c r="D20" s="534"/>
      <c r="E20" s="553"/>
      <c r="F20" s="553"/>
      <c r="G20" s="534"/>
      <c r="H20" s="534"/>
      <c r="I20" s="534"/>
      <c r="J20" s="534"/>
      <c r="K20" s="552"/>
      <c r="L20" s="552"/>
      <c r="M20" s="534"/>
      <c r="N20" s="534"/>
      <c r="O20" s="534"/>
      <c r="P20" s="534"/>
      <c r="Q20" s="534"/>
      <c r="R20" s="534"/>
      <c r="S20" s="534"/>
      <c r="T20" s="523"/>
      <c r="U20" s="522"/>
      <c r="V20" s="57"/>
      <c r="W20" s="57"/>
      <c r="X20" s="58"/>
    </row>
    <row r="21" spans="1:24" ht="18.75" customHeight="1">
      <c r="A21" s="522"/>
      <c r="B21" s="1209" t="s">
        <v>77</v>
      </c>
      <c r="C21" s="1210"/>
      <c r="D21" s="1229"/>
      <c r="E21" s="1230" t="e" cm="1" vm="1">
        <f t="array" aca="1" ref="E21" ca="1">IF(E23="low BCR","n/a",IF(E23=0,0,(IF(E17="Yes",MAX(IF(D11="Environment Agency",MAX(E33,E31)-MIN(E23,E33),E31*(1-(E19))),0),IF(D11="Environment Agency",MAX(E33,E31)-MIN(E23*0.45,E33),E31*(1-(E19)))))))</f>
        <v>#VALUE!</v>
      </c>
      <c r="F21" s="1231"/>
      <c r="G21" s="533"/>
      <c r="H21" s="1209" t="s">
        <v>78</v>
      </c>
      <c r="I21" s="1210"/>
      <c r="J21" s="1229"/>
      <c r="K21" s="1263" t="e" cm="1" vm="1">
        <f t="array" aca="1" ref="K21" ca="1">IF(E23="low BCR","n/a",IF(ROUNDUP(K19,4)&lt;100%,"-",IF(K32+M32&gt;E31,"N/A",E31-(K32+M32))))</f>
        <v>#VALUE!</v>
      </c>
      <c r="L21" s="1264"/>
      <c r="M21" s="533"/>
      <c r="N21" s="534"/>
      <c r="O21" s="534"/>
      <c r="P21" s="534"/>
      <c r="Q21" s="534"/>
      <c r="R21" s="534"/>
      <c r="S21" s="534"/>
      <c r="T21" s="523"/>
      <c r="U21" s="522"/>
      <c r="V21" s="555"/>
      <c r="W21" s="57"/>
      <c r="X21" s="556"/>
    </row>
    <row r="22" spans="1:24" ht="18.75" customHeight="1">
      <c r="A22" s="522"/>
      <c r="B22" s="534"/>
      <c r="C22" s="534"/>
      <c r="D22" s="534"/>
      <c r="E22" s="552"/>
      <c r="F22" s="552"/>
      <c r="G22" s="534"/>
      <c r="H22" s="534"/>
      <c r="I22" s="534"/>
      <c r="J22" s="534"/>
      <c r="K22" s="552"/>
      <c r="L22" s="552"/>
      <c r="M22" s="534"/>
      <c r="N22" s="534"/>
      <c r="O22" s="534"/>
      <c r="P22" s="534"/>
      <c r="Q22" s="534"/>
      <c r="R22" s="534"/>
      <c r="S22" s="557"/>
      <c r="T22" s="523"/>
      <c r="U22" s="522"/>
      <c r="V22" s="57"/>
      <c r="W22" s="57"/>
      <c r="X22" s="58"/>
    </row>
    <row r="23" spans="1:24" ht="18.75" customHeight="1">
      <c r="A23" s="522"/>
      <c r="B23" s="1217" t="s">
        <v>79</v>
      </c>
      <c r="C23" s="1218"/>
      <c r="D23" s="1227"/>
      <c r="E23" s="1238" t="e" cm="1" vm="1">
        <f t="array" aca="1" ref="E23" ca="1">IF(R8&lt;1,"low BCR",IF(OR(M7="Pre-SOC",M7="SOC",M7="Change (before OBC)"),H105,IF('Economic summary'!H12&lt;4,0,H105)))</f>
        <v>#VALUE!</v>
      </c>
      <c r="F23" s="1239"/>
      <c r="G23" s="533"/>
      <c r="H23" s="1209" t="s">
        <v>80</v>
      </c>
      <c r="I23" s="1210"/>
      <c r="J23" s="1229"/>
      <c r="K23" s="1263" t="e" cm="1" vm="1">
        <f t="array" aca="1" ref="K23" ca="1">IF(E23="low BCR","n/a",IF(D11="Environment Agency",(IF(ROUNDUP(K19,4)&lt;100%,"-",IF(O32&gt;E32,"N/A",E32-O32))),0))</f>
        <v>#VALUE!</v>
      </c>
      <c r="L23" s="1264"/>
      <c r="M23" s="1265"/>
      <c r="N23" s="1235"/>
      <c r="O23" s="1235"/>
      <c r="P23" s="1235"/>
      <c r="Q23" s="557"/>
      <c r="R23" s="557"/>
      <c r="S23" s="557"/>
      <c r="T23" s="523"/>
      <c r="U23" s="522"/>
      <c r="V23" s="555"/>
      <c r="W23" s="57"/>
      <c r="X23" s="58"/>
    </row>
    <row r="24" spans="1:24" ht="8" customHeight="1">
      <c r="A24" s="522"/>
      <c r="B24" s="549"/>
      <c r="C24" s="549"/>
      <c r="D24" s="549"/>
      <c r="E24" s="558"/>
      <c r="F24" s="558"/>
      <c r="G24" s="549"/>
      <c r="H24" s="549"/>
      <c r="I24" s="549"/>
      <c r="J24" s="549"/>
      <c r="K24" s="558"/>
      <c r="L24" s="558"/>
      <c r="M24" s="549"/>
      <c r="N24" s="549"/>
      <c r="O24" s="549"/>
      <c r="P24" s="549"/>
      <c r="Q24" s="549"/>
      <c r="R24" s="549"/>
      <c r="S24" s="549"/>
      <c r="T24" s="523"/>
      <c r="U24" s="522"/>
      <c r="V24" s="57"/>
      <c r="W24" s="57"/>
      <c r="X24" s="58"/>
    </row>
    <row r="25" spans="1:24" ht="18.75" customHeight="1">
      <c r="A25" s="522"/>
      <c r="B25" s="1190" t="e" cm="1" vm="4">
        <f t="array" aca="1" ref="B25" ca="1">'PF calculator'!B25:S25</f>
        <v>#VALUE!</v>
      </c>
      <c r="C25" s="1190"/>
      <c r="D25" s="1190"/>
      <c r="E25" s="1190"/>
      <c r="F25" s="1190"/>
      <c r="G25" s="1190"/>
      <c r="H25" s="1190"/>
      <c r="I25" s="1190"/>
      <c r="J25" s="1190"/>
      <c r="K25" s="1190"/>
      <c r="L25" s="1190"/>
      <c r="M25" s="1190"/>
      <c r="N25" s="1190"/>
      <c r="O25" s="1190"/>
      <c r="P25" s="1190"/>
      <c r="Q25" s="1190"/>
      <c r="R25" s="1190"/>
      <c r="S25" s="1190"/>
      <c r="T25" s="523"/>
      <c r="U25" s="522"/>
      <c r="V25" s="57"/>
      <c r="W25" s="57"/>
      <c r="X25" s="58"/>
    </row>
    <row r="26" spans="1:24" ht="8" customHeight="1">
      <c r="A26" s="522"/>
      <c r="B26" s="529"/>
      <c r="C26" s="529"/>
      <c r="D26" s="529"/>
      <c r="E26" s="529"/>
      <c r="F26" s="529"/>
      <c r="G26" s="529"/>
      <c r="H26" s="559"/>
      <c r="I26" s="529"/>
      <c r="J26" s="529"/>
      <c r="K26" s="1256" t="s">
        <v>81</v>
      </c>
      <c r="L26" s="1257"/>
      <c r="M26" s="1256" t="s">
        <v>82</v>
      </c>
      <c r="N26" s="1257"/>
      <c r="O26" s="1256" t="s">
        <v>83</v>
      </c>
      <c r="P26" s="1257"/>
      <c r="Q26" s="529"/>
      <c r="R26" s="529"/>
      <c r="S26" s="529"/>
      <c r="T26" s="523"/>
      <c r="U26" s="522"/>
      <c r="V26" s="57"/>
      <c r="W26" s="57"/>
      <c r="X26" s="58"/>
    </row>
    <row r="27" spans="1:24" ht="18.75" customHeight="1">
      <c r="A27" s="522"/>
      <c r="B27" s="1259" t="str" cm="1">
        <f t="array" ref="B27">IF(M7="Pre-SOC","Estimated project costs",IF(M7="SOC","Estimated project costs","Project costs"))</f>
        <v>Estimated project costs</v>
      </c>
      <c r="C27" s="1259"/>
      <c r="D27" s="1259"/>
      <c r="E27" s="1260" t="s">
        <v>84</v>
      </c>
      <c r="F27" s="1261"/>
      <c r="G27" s="529"/>
      <c r="H27" s="1262" t="str" cm="1">
        <f t="array" ref="H27">IF(M7="Pre-SOC","Estimated contributions",IF(M7="SOC","Estimated contributions","Contributions secured to date"))</f>
        <v>Estimated contributions</v>
      </c>
      <c r="I27" s="1262"/>
      <c r="J27" s="1262"/>
      <c r="K27" s="1258"/>
      <c r="L27" s="1258"/>
      <c r="M27" s="1258"/>
      <c r="N27" s="1258"/>
      <c r="O27" s="1258"/>
      <c r="P27" s="1258"/>
      <c r="Q27" s="529"/>
      <c r="R27" s="529"/>
      <c r="S27" s="529"/>
      <c r="T27" s="523"/>
      <c r="U27" s="522"/>
      <c r="V27" s="57"/>
      <c r="W27" s="57"/>
      <c r="X27" s="58"/>
    </row>
    <row r="28" spans="1:24" ht="18.75" customHeight="1">
      <c r="A28" s="522"/>
      <c r="B28" s="1209" t="s">
        <v>85</v>
      </c>
      <c r="C28" s="1210"/>
      <c r="D28" s="1229"/>
      <c r="E28" s="1212" cm="1">
        <f t="array" ref="E28">'PF calculator'!E28</f>
        <v>400000</v>
      </c>
      <c r="F28" s="1213"/>
      <c r="G28" s="533"/>
      <c r="H28" s="1209" t="s">
        <v>86</v>
      </c>
      <c r="I28" s="1210"/>
      <c r="J28" s="1211"/>
      <c r="K28" s="1252" cm="1">
        <f t="array" ref="K28">'PF calculator'!K28</f>
        <v>50000</v>
      </c>
      <c r="L28" s="1253"/>
      <c r="M28" s="1252" cm="1">
        <f t="array" ref="M28">'PF calculator'!M28</f>
        <v>200000</v>
      </c>
      <c r="N28" s="1253"/>
      <c r="O28" s="1252" cm="1">
        <f t="array" ref="O28">'PF calculator'!O28</f>
        <v>0</v>
      </c>
      <c r="P28" s="1253"/>
      <c r="Q28" s="1313" t="s">
        <v>477</v>
      </c>
      <c r="R28" s="1255"/>
      <c r="S28" s="1255"/>
      <c r="T28" s="523"/>
      <c r="U28" s="522"/>
      <c r="V28" s="57"/>
      <c r="W28" s="57"/>
      <c r="X28" s="58"/>
    </row>
    <row r="29" spans="1:24" ht="18.75" customHeight="1">
      <c r="A29" s="522"/>
      <c r="B29" s="1209" t="s">
        <v>88</v>
      </c>
      <c r="C29" s="1210"/>
      <c r="D29" s="1229"/>
      <c r="E29" s="1212" cm="1">
        <f t="array" ref="E29">'PF calculator'!E29</f>
        <v>6000000</v>
      </c>
      <c r="F29" s="1213"/>
      <c r="G29" s="533"/>
      <c r="H29" s="1209" t="s">
        <v>89</v>
      </c>
      <c r="I29" s="1210"/>
      <c r="J29" s="1211"/>
      <c r="K29" s="1252" cm="1">
        <f t="array" ref="K29">'PF calculator'!K29</f>
        <v>0</v>
      </c>
      <c r="L29" s="1253"/>
      <c r="M29" s="1252" cm="1">
        <f t="array" ref="M29">'PF calculator'!M29</f>
        <v>0</v>
      </c>
      <c r="N29" s="1253"/>
      <c r="O29" s="1252" cm="1">
        <f t="array" ref="O29">'PF calculator'!O29</f>
        <v>0</v>
      </c>
      <c r="P29" s="1253"/>
      <c r="Q29" s="1247" cm="1">
        <f t="array" ref="Q29">'PF calculator'!Q29</f>
        <v>0</v>
      </c>
      <c r="R29" s="1248"/>
      <c r="S29" s="1249"/>
      <c r="T29" s="525"/>
      <c r="U29" s="522"/>
      <c r="V29" s="57"/>
      <c r="W29" s="57"/>
      <c r="X29" s="58"/>
    </row>
    <row r="30" spans="1:24" ht="18.75" customHeight="1">
      <c r="A30" s="522"/>
      <c r="B30" s="1209" t="s">
        <v>90</v>
      </c>
      <c r="C30" s="1210"/>
      <c r="D30" s="1229"/>
      <c r="E30" s="1212" cm="1">
        <f t="array" ref="E30">'PF calculator'!E30</f>
        <v>100000</v>
      </c>
      <c r="F30" s="1213"/>
      <c r="G30" s="533"/>
      <c r="H30" s="1209" t="s">
        <v>91</v>
      </c>
      <c r="I30" s="1210"/>
      <c r="J30" s="1211"/>
      <c r="K30" s="1252" cm="1">
        <f t="array" ref="K30">'PF calculator'!K30</f>
        <v>50000</v>
      </c>
      <c r="L30" s="1253"/>
      <c r="M30" s="1252" cm="1">
        <f t="array" ref="M30">'PF calculator'!M30</f>
        <v>300000</v>
      </c>
      <c r="N30" s="1253"/>
      <c r="O30" s="1252" cm="1">
        <f t="array" ref="O30">'PF calculator'!O30</f>
        <v>0</v>
      </c>
      <c r="P30" s="1253"/>
      <c r="Q30" s="1247" cm="1">
        <f t="array" ref="Q30">'PF calculator'!Q30</f>
        <v>0</v>
      </c>
      <c r="R30" s="1248"/>
      <c r="S30" s="1249"/>
      <c r="T30" s="525"/>
      <c r="U30" s="522"/>
      <c r="V30" s="57"/>
      <c r="W30" s="57"/>
      <c r="X30" s="58"/>
    </row>
    <row r="31" spans="1:24" ht="18.75" customHeight="1">
      <c r="A31" s="522"/>
      <c r="B31" s="1209" t="s">
        <v>92</v>
      </c>
      <c r="C31" s="1210"/>
      <c r="D31" s="1229"/>
      <c r="E31" s="1230" cm="1">
        <f t="array" ref="E31">SUM(E28:E30)</f>
        <v>6500000</v>
      </c>
      <c r="F31" s="1231"/>
      <c r="G31" s="533"/>
      <c r="H31" s="1209" t="s">
        <v>93</v>
      </c>
      <c r="I31" s="1210"/>
      <c r="J31" s="1211"/>
      <c r="K31" s="1250" cm="1">
        <f t="array" ref="K31">'PF calculator'!K31</f>
        <v>0</v>
      </c>
      <c r="L31" s="1251"/>
      <c r="M31" s="1250" cm="1">
        <f t="array" ref="M31">'PF calculator'!M31</f>
        <v>0</v>
      </c>
      <c r="N31" s="1251"/>
      <c r="O31" s="1250" cm="1">
        <f t="array" ref="O31">'PF calculator'!O31</f>
        <v>0</v>
      </c>
      <c r="P31" s="1251"/>
      <c r="Q31" s="1247" cm="1">
        <f t="array" ref="Q31">'PF calculator'!Q31</f>
        <v>0</v>
      </c>
      <c r="R31" s="1248"/>
      <c r="S31" s="1249"/>
      <c r="T31" s="525"/>
      <c r="U31" s="522"/>
      <c r="V31" s="57"/>
      <c r="W31" s="57"/>
      <c r="X31" s="58"/>
    </row>
    <row r="32" spans="1:24" ht="18.75" customHeight="1">
      <c r="A32" s="522"/>
      <c r="B32" s="1209" t="s">
        <v>94</v>
      </c>
      <c r="C32" s="1210"/>
      <c r="D32" s="1229"/>
      <c r="E32" s="1212" cm="1">
        <f t="array" ref="E32">'PF calculator'!E32</f>
        <v>2000000</v>
      </c>
      <c r="F32" s="1213"/>
      <c r="G32" s="533"/>
      <c r="H32" s="1217" t="s">
        <v>95</v>
      </c>
      <c r="I32" s="1218"/>
      <c r="J32" s="1227"/>
      <c r="K32" s="1245" cm="1">
        <f t="array" ref="K32">SUM(K28:L31)</f>
        <v>100000</v>
      </c>
      <c r="L32" s="1246"/>
      <c r="M32" s="1245" cm="1">
        <f t="array" ref="M32">SUM(M28:N31)</f>
        <v>500000</v>
      </c>
      <c r="N32" s="1246"/>
      <c r="O32" s="1245" cm="1">
        <f t="array" ref="O32">SUM(O28:P31)</f>
        <v>0</v>
      </c>
      <c r="P32" s="1246"/>
      <c r="Q32" s="560"/>
      <c r="R32" s="546"/>
      <c r="S32" s="546"/>
      <c r="T32" s="523"/>
      <c r="U32" s="522"/>
      <c r="V32" s="57"/>
      <c r="W32" s="57"/>
      <c r="X32" s="58"/>
    </row>
    <row r="33" spans="1:24" ht="18.75" customHeight="1">
      <c r="A33" s="522"/>
      <c r="B33" s="1209" t="s">
        <v>96</v>
      </c>
      <c r="C33" s="1210"/>
      <c r="D33" s="1229"/>
      <c r="E33" s="1230" cm="1">
        <f t="array" ref="E33">SUM(E31:F32)</f>
        <v>8500000</v>
      </c>
      <c r="F33" s="1231"/>
      <c r="G33" s="533"/>
      <c r="H33" s="1209" t="s">
        <v>97</v>
      </c>
      <c r="I33" s="1210"/>
      <c r="J33" s="1229"/>
      <c r="K33" s="1238" cm="1">
        <f t="array" ref="K33">IF(D11="Environment Agency",K32+M32+O32,K32+M32)</f>
        <v>600000</v>
      </c>
      <c r="L33" s="1239"/>
      <c r="M33" s="1240"/>
      <c r="N33" s="1241"/>
      <c r="O33" s="1241"/>
      <c r="P33" s="1241"/>
      <c r="Q33" s="1242"/>
      <c r="R33" s="1242"/>
      <c r="S33" s="1242"/>
      <c r="T33" s="523"/>
      <c r="U33" s="522"/>
      <c r="V33" s="57"/>
      <c r="W33" s="57"/>
      <c r="X33" s="58"/>
    </row>
    <row r="34" spans="1:24" ht="8" customHeight="1">
      <c r="A34" s="522"/>
      <c r="B34" s="549"/>
      <c r="C34" s="549"/>
      <c r="D34" s="549"/>
      <c r="E34" s="558"/>
      <c r="F34" s="558"/>
      <c r="G34" s="561"/>
      <c r="H34" s="561"/>
      <c r="I34" s="561"/>
      <c r="J34" s="549"/>
      <c r="K34" s="558"/>
      <c r="L34" s="558"/>
      <c r="M34" s="549"/>
      <c r="N34" s="561"/>
      <c r="O34" s="561"/>
      <c r="P34" s="561"/>
      <c r="Q34" s="549"/>
      <c r="R34" s="549"/>
      <c r="S34" s="549"/>
      <c r="T34" s="523"/>
      <c r="U34" s="522"/>
      <c r="V34" s="57"/>
      <c r="W34" s="57"/>
      <c r="X34" s="58"/>
    </row>
    <row r="35" spans="1:24" ht="18.75" customHeight="1">
      <c r="A35" s="522"/>
      <c r="B35" s="1190" t="e" cm="1" vm="4">
        <f t="array" aca="1" ref="B35" ca="1">'PF calculator'!B35:S35</f>
        <v>#VALUE!</v>
      </c>
      <c r="C35" s="1190"/>
      <c r="D35" s="1190"/>
      <c r="E35" s="1190"/>
      <c r="F35" s="1190"/>
      <c r="G35" s="1190"/>
      <c r="H35" s="1190"/>
      <c r="I35" s="1190"/>
      <c r="J35" s="1190"/>
      <c r="K35" s="1190"/>
      <c r="L35" s="1190"/>
      <c r="M35" s="1190"/>
      <c r="N35" s="1190"/>
      <c r="O35" s="1190"/>
      <c r="P35" s="1190"/>
      <c r="Q35" s="1190"/>
      <c r="R35" s="1190"/>
      <c r="S35" s="1190"/>
      <c r="T35" s="523"/>
      <c r="U35" s="522"/>
      <c r="V35" s="57"/>
      <c r="W35" s="57"/>
      <c r="X35" s="58"/>
    </row>
    <row r="36" spans="1:24" ht="8" customHeight="1">
      <c r="A36" s="522"/>
      <c r="B36" s="529"/>
      <c r="C36" s="529"/>
      <c r="D36" s="529"/>
      <c r="E36" s="530"/>
      <c r="F36" s="530"/>
      <c r="G36" s="529"/>
      <c r="H36" s="529"/>
      <c r="I36" s="529"/>
      <c r="J36" s="529"/>
      <c r="K36" s="529"/>
      <c r="L36" s="529"/>
      <c r="M36" s="529"/>
      <c r="N36" s="529"/>
      <c r="O36" s="529"/>
      <c r="P36" s="529"/>
      <c r="Q36" s="529"/>
      <c r="R36" s="529"/>
      <c r="S36" s="529"/>
      <c r="T36" s="523"/>
      <c r="U36" s="522"/>
      <c r="V36" s="57"/>
      <c r="W36" s="57"/>
      <c r="X36" s="58"/>
    </row>
    <row r="37" spans="1:24" ht="18.75" customHeight="1">
      <c r="A37" s="522"/>
      <c r="B37" s="1209" t="s">
        <v>100</v>
      </c>
      <c r="C37" s="1210"/>
      <c r="D37" s="1229"/>
      <c r="E37" s="1212" cm="1">
        <f t="array" ref="E37">'PF calculator'!E37</f>
        <v>4000000</v>
      </c>
      <c r="F37" s="1213"/>
      <c r="G37" s="533"/>
      <c r="H37" s="534"/>
      <c r="I37" s="534"/>
      <c r="J37" s="534"/>
      <c r="K37" s="534"/>
      <c r="L37" s="1235"/>
      <c r="M37" s="1235"/>
      <c r="N37" s="1235"/>
      <c r="O37" s="1235"/>
      <c r="P37" s="1235"/>
      <c r="Q37" s="1235"/>
      <c r="R37" s="1235"/>
      <c r="S37" s="1235"/>
      <c r="T37" s="523"/>
      <c r="U37" s="522"/>
      <c r="V37" s="57"/>
      <c r="W37" s="57"/>
      <c r="X37" s="58"/>
    </row>
    <row r="38" spans="1:24" ht="18.75" customHeight="1">
      <c r="A38" s="522"/>
      <c r="B38" s="1210" t="e" cm="1" vm="3">
        <f t="array" aca="1" ref="B38" ca="1">'PF calculator'!B38:D38</f>
        <v>#VALUE!</v>
      </c>
      <c r="C38" s="1210"/>
      <c r="D38" s="1229"/>
      <c r="E38" s="1236" cm="1">
        <f t="array" ref="E38">'PF calculator'!E38</f>
        <v>100</v>
      </c>
      <c r="F38" s="1237"/>
      <c r="G38" s="533"/>
      <c r="H38" s="534"/>
      <c r="I38" s="534"/>
      <c r="J38" s="534"/>
      <c r="K38" s="534"/>
      <c r="L38" s="534"/>
      <c r="M38" s="534"/>
      <c r="N38" s="534"/>
      <c r="O38" s="534"/>
      <c r="P38" s="534"/>
      <c r="Q38" s="534"/>
      <c r="R38" s="534"/>
      <c r="S38" s="534"/>
      <c r="T38" s="523"/>
      <c r="U38" s="522"/>
      <c r="V38" s="57"/>
      <c r="W38" s="57"/>
      <c r="X38" s="58"/>
    </row>
    <row r="39" spans="1:24" ht="18.75" customHeight="1">
      <c r="A39" s="522"/>
      <c r="B39" s="1210" t="e" cm="1" vm="3">
        <f t="array" aca="1" ref="B39" ca="1">'PF calculator'!B39:D39</f>
        <v>#VALUE!</v>
      </c>
      <c r="C39" s="1210"/>
      <c r="D39" s="1229"/>
      <c r="E39" s="1230" t="e" cm="1" vm="5">
        <f t="array" aca="1" ref="E39" ca="1">'PF calculator'!E39:F39</f>
        <v>#VALUE!</v>
      </c>
      <c r="F39" s="1231"/>
      <c r="G39" s="533"/>
      <c r="H39" s="534"/>
      <c r="I39" s="534"/>
      <c r="J39" s="534"/>
      <c r="K39" s="534"/>
      <c r="L39" s="534"/>
      <c r="M39" s="534"/>
      <c r="N39" s="534"/>
      <c r="O39" s="534"/>
      <c r="P39" s="534"/>
      <c r="Q39" s="534"/>
      <c r="R39" s="534"/>
      <c r="S39" s="534"/>
      <c r="T39" s="523"/>
      <c r="U39" s="522"/>
      <c r="V39" s="57"/>
      <c r="W39" s="57"/>
      <c r="X39" s="58"/>
    </row>
    <row r="40" spans="1:24" ht="8" customHeight="1">
      <c r="A40" s="522"/>
      <c r="B40" s="554"/>
      <c r="C40" s="554"/>
      <c r="D40" s="554"/>
      <c r="E40" s="562"/>
      <c r="F40" s="562"/>
      <c r="G40" s="554"/>
      <c r="H40" s="534"/>
      <c r="I40" s="534"/>
      <c r="J40" s="534"/>
      <c r="K40" s="534"/>
      <c r="L40" s="534"/>
      <c r="M40" s="534"/>
      <c r="N40" s="534"/>
      <c r="O40" s="534"/>
      <c r="P40" s="534"/>
      <c r="Q40" s="534"/>
      <c r="R40" s="534"/>
      <c r="S40" s="534"/>
      <c r="T40" s="523"/>
      <c r="U40" s="522"/>
      <c r="V40" s="57"/>
      <c r="W40" s="57"/>
      <c r="X40" s="58"/>
    </row>
    <row r="41" spans="1:24" ht="18.75" customHeight="1">
      <c r="A41" s="522"/>
      <c r="B41" s="1232" t="e" cm="1" vm="6">
        <f t="array" aca="1" ref="B41" ca="1">'PF calculator'!B41:D42</f>
        <v>#VALUE!</v>
      </c>
      <c r="C41" s="1232"/>
      <c r="D41" s="1233"/>
      <c r="E41" s="1230" cm="1">
        <f t="array" ref="E41">'PF calculator'!E41</f>
        <v>1000000</v>
      </c>
      <c r="F41" s="1231"/>
      <c r="G41" s="533"/>
      <c r="H41" s="534"/>
      <c r="I41" s="534"/>
      <c r="J41" s="534"/>
      <c r="K41" s="534"/>
      <c r="L41" s="534"/>
      <c r="M41" s="534"/>
      <c r="N41" s="534"/>
      <c r="O41" s="534"/>
      <c r="P41" s="534"/>
      <c r="Q41" s="534"/>
      <c r="R41" s="534"/>
      <c r="S41" s="534"/>
      <c r="T41" s="523"/>
      <c r="U41" s="522"/>
      <c r="V41" s="57"/>
      <c r="W41" s="57"/>
      <c r="X41" s="58"/>
    </row>
    <row r="42" spans="1:24" ht="13.5" customHeight="1">
      <c r="A42" s="522"/>
      <c r="B42" s="1234"/>
      <c r="C42" s="1234"/>
      <c r="D42" s="1234"/>
      <c r="E42" s="563"/>
      <c r="F42" s="563"/>
      <c r="G42" s="564"/>
      <c r="H42" s="564"/>
      <c r="I42" s="564"/>
      <c r="J42" s="564"/>
      <c r="K42" s="564"/>
      <c r="L42" s="564"/>
      <c r="M42" s="564"/>
      <c r="N42" s="564"/>
      <c r="O42" s="564"/>
      <c r="P42" s="564"/>
      <c r="Q42" s="564"/>
      <c r="R42" s="564"/>
      <c r="S42" s="564"/>
      <c r="T42" s="523"/>
      <c r="U42" s="522"/>
      <c r="V42" s="57"/>
      <c r="W42" s="57"/>
      <c r="X42" s="58"/>
    </row>
    <row r="43" spans="1:24" ht="18.75" customHeight="1">
      <c r="A43" s="522"/>
      <c r="B43" s="1190" t="e" cm="1" vm="4">
        <f t="array" aca="1" ref="B43" ca="1">'PF calculator'!B43:S43</f>
        <v>#VALUE!</v>
      </c>
      <c r="C43" s="1190"/>
      <c r="D43" s="1190"/>
      <c r="E43" s="1190"/>
      <c r="F43" s="1190"/>
      <c r="G43" s="1190"/>
      <c r="H43" s="1190"/>
      <c r="I43" s="1190"/>
      <c r="J43" s="1190"/>
      <c r="K43" s="1190"/>
      <c r="L43" s="1190"/>
      <c r="M43" s="1190"/>
      <c r="N43" s="1190"/>
      <c r="O43" s="1190"/>
      <c r="P43" s="1190"/>
      <c r="Q43" s="1190"/>
      <c r="R43" s="1190"/>
      <c r="S43" s="1190"/>
      <c r="T43" s="523"/>
      <c r="U43" s="522"/>
      <c r="V43" s="57"/>
      <c r="W43" s="57"/>
      <c r="X43" s="58"/>
    </row>
    <row r="44" spans="1:24" ht="8" customHeight="1">
      <c r="A44" s="522"/>
      <c r="B44" s="565"/>
      <c r="C44" s="529"/>
      <c r="D44" s="529"/>
      <c r="E44" s="529"/>
      <c r="F44" s="529"/>
      <c r="G44" s="529"/>
      <c r="H44" s="529"/>
      <c r="I44" s="529"/>
      <c r="J44" s="529"/>
      <c r="K44" s="529"/>
      <c r="L44" s="529"/>
      <c r="M44" s="529"/>
      <c r="N44" s="529"/>
      <c r="O44" s="529"/>
      <c r="P44" s="529"/>
      <c r="Q44" s="529"/>
      <c r="R44" s="529"/>
      <c r="S44" s="529"/>
      <c r="T44" s="523"/>
      <c r="U44" s="522"/>
      <c r="V44" s="57"/>
      <c r="W44" s="57"/>
      <c r="X44" s="58"/>
    </row>
    <row r="45" spans="1:24" ht="18.75" customHeight="1">
      <c r="A45" s="566"/>
      <c r="B45" s="1217" t="s">
        <v>107</v>
      </c>
      <c r="C45" s="1218"/>
      <c r="D45" s="1218"/>
      <c r="E45" s="1218"/>
      <c r="F45" s="1219" t="s">
        <v>108</v>
      </c>
      <c r="G45" s="1220"/>
      <c r="H45" s="1220"/>
      <c r="I45" s="1220"/>
      <c r="J45" s="1220"/>
      <c r="K45" s="534"/>
      <c r="L45" s="1219" t="s">
        <v>109</v>
      </c>
      <c r="M45" s="1220"/>
      <c r="N45" s="1220"/>
      <c r="O45" s="1220"/>
      <c r="P45" s="1220"/>
      <c r="Q45" s="534"/>
      <c r="R45" s="1221" t="s">
        <v>110</v>
      </c>
      <c r="S45" s="1222"/>
      <c r="T45" s="523"/>
      <c r="U45" s="522"/>
      <c r="V45" s="57"/>
      <c r="W45" s="57"/>
      <c r="X45" s="58"/>
    </row>
    <row r="46" spans="1:24" ht="18.75" customHeight="1">
      <c r="A46" s="566"/>
      <c r="B46" s="1209" t="s">
        <v>111</v>
      </c>
      <c r="C46" s="1210"/>
      <c r="D46" s="1210"/>
      <c r="E46" s="1211"/>
      <c r="F46" s="122"/>
      <c r="G46" s="567" cm="1">
        <f t="array" ref="G46">'PF calculator'!G46</f>
        <v>0</v>
      </c>
      <c r="H46" s="567" cm="1">
        <f t="array" ref="H46">'PF calculator'!H46</f>
        <v>0</v>
      </c>
      <c r="I46" s="567" cm="1">
        <f t="array" ref="I46">'PF calculator'!I46</f>
        <v>123</v>
      </c>
      <c r="J46" s="567" cm="1">
        <f t="array" ref="J46">'PF calculator'!J46</f>
        <v>0</v>
      </c>
      <c r="K46" s="568"/>
      <c r="L46" s="569" cm="1">
        <f t="array" ref="L46">IF(SUM(G46:J46)&lt;SUM(F51:J51),"n/a",F51)</f>
        <v>123</v>
      </c>
      <c r="M46" s="569" cm="1">
        <f t="array" ref="M46">IF(SUM(G46:J46)&lt;SUM(F51:J51),"n/a",G51-G46)</f>
        <v>0</v>
      </c>
      <c r="N46" s="569" cm="1">
        <f t="array" ref="N46">IF(SUM(G46:J46)&lt;SUM(F51:J51),"n/a",H51-H46)</f>
        <v>0</v>
      </c>
      <c r="O46" s="569" cm="1">
        <f t="array" ref="O46">IF(SUM(G46:J46)&lt;SUM(F51:J51),"n/a",I51-I46)</f>
        <v>-123</v>
      </c>
      <c r="P46" s="569" cm="1">
        <f t="array" ref="P46">IF(SUM(G46:J46)&lt;SUM(F51:J51),"n/a",J51-J46)</f>
        <v>0</v>
      </c>
      <c r="Q46" s="570"/>
      <c r="R46" s="1212" cm="1">
        <f t="array" ref="R46">-(SUMPRODUCT($M$46:$P$46,$M$52:$P$52))*(VLOOKUP($E$38,'Policy assumptions and formulae'!A10:D109,4,FALSE))</f>
        <v>3673805.8916927809</v>
      </c>
      <c r="S46" s="1226"/>
      <c r="T46" s="571"/>
      <c r="U46" s="522"/>
      <c r="V46" s="57"/>
      <c r="W46" s="57"/>
      <c r="X46" s="58"/>
    </row>
    <row r="47" spans="1:24" ht="18.75" customHeight="1">
      <c r="A47" s="566"/>
      <c r="B47" s="1209" t="s">
        <v>112</v>
      </c>
      <c r="C47" s="1210"/>
      <c r="D47" s="1210"/>
      <c r="E47" s="1211"/>
      <c r="F47" s="122"/>
      <c r="G47" s="567" cm="1">
        <f t="array" ref="G47">'PF calculator'!G47</f>
        <v>0</v>
      </c>
      <c r="H47" s="567" cm="1">
        <f t="array" ref="H47">'PF calculator'!H47</f>
        <v>0</v>
      </c>
      <c r="I47" s="567" cm="1">
        <f t="array" ref="I47">'PF calculator'!I47</f>
        <v>500</v>
      </c>
      <c r="J47" s="567" cm="1">
        <f t="array" ref="J47">'PF calculator'!J47</f>
        <v>0</v>
      </c>
      <c r="K47" s="568"/>
      <c r="L47" s="569" cm="1">
        <f t="array" ref="L47">IF(SUM(G47:J47)&lt;SUM(F52:J52),"n/a",F52)</f>
        <v>500</v>
      </c>
      <c r="M47" s="569" cm="1">
        <f t="array" ref="M47">IF(SUM(G47:J47)&lt;SUM(F52:J52),"n/a",G52-G47)</f>
        <v>0</v>
      </c>
      <c r="N47" s="569" cm="1">
        <f t="array" ref="N47">IF(SUM(G47:J47)&lt;SUM(F52:J52),"n/a",H52-H47)</f>
        <v>0</v>
      </c>
      <c r="O47" s="569" cm="1">
        <f t="array" ref="O47">IF(SUM(G47:J47)&lt;SUM(F52:J52),"n/a",I52-I47)</f>
        <v>-500</v>
      </c>
      <c r="P47" s="569" cm="1">
        <f t="array" ref="P47">IF(SUM(G47:J47)&lt;SUM(F52:J52),"n/a",J52-J47)</f>
        <v>0</v>
      </c>
      <c r="Q47" s="570"/>
      <c r="R47" s="1212" cm="1">
        <f t="array" ref="R47">-(SUMPRODUCT($M$47:$P$47,$M$52:$P$52))*(VLOOKUP($E$38,'Policy assumptions and formulae'!A10:D109,4,FALSE))</f>
        <v>14934170.291434068</v>
      </c>
      <c r="S47" s="1226"/>
      <c r="T47" s="571"/>
      <c r="U47" s="522"/>
      <c r="V47" s="57"/>
      <c r="W47" s="57"/>
      <c r="X47" s="58"/>
    </row>
    <row r="48" spans="1:24" ht="18.75" customHeight="1">
      <c r="A48" s="566"/>
      <c r="B48" s="1209" t="s">
        <v>113</v>
      </c>
      <c r="C48" s="1210"/>
      <c r="D48" s="1210"/>
      <c r="E48" s="1211"/>
      <c r="F48" s="122"/>
      <c r="G48" s="567" cm="1">
        <f t="array" ref="G48">'PF calculator'!G48</f>
        <v>0</v>
      </c>
      <c r="H48" s="567" cm="1">
        <f t="array" ref="H48">'PF calculator'!H48</f>
        <v>0</v>
      </c>
      <c r="I48" s="567" cm="1">
        <f t="array" ref="I48">'PF calculator'!I48</f>
        <v>0</v>
      </c>
      <c r="J48" s="567" cm="1">
        <f t="array" ref="J48">'PF calculator'!J48</f>
        <v>0</v>
      </c>
      <c r="K48" s="568"/>
      <c r="L48" s="569" cm="1">
        <f t="array" ref="L48">IF(SUM(G48:J48)&lt;SUM(F53:J53),"n/a",F53)</f>
        <v>0</v>
      </c>
      <c r="M48" s="569" cm="1">
        <f t="array" ref="M48">IF(SUM(G48:J48)&lt;SUM(F53:J53),"n/a",G53-G48)</f>
        <v>0</v>
      </c>
      <c r="N48" s="569" cm="1">
        <f t="array" ref="N48">IF(SUM(G48:J48)&lt;SUM(F53:J53),"n/a",H53-H48)</f>
        <v>0</v>
      </c>
      <c r="O48" s="569" cm="1">
        <f t="array" ref="O48">IF(SUM(G48:J48)&lt;SUM(F53:J53),"n/a",I53-I48)</f>
        <v>0</v>
      </c>
      <c r="P48" s="569" cm="1">
        <f t="array" ref="P48">IF(SUM(G48:J48)&lt;SUM(F53:J53),"n/a",J53-J48)</f>
        <v>0</v>
      </c>
      <c r="Q48" s="570"/>
      <c r="R48" s="1212" cm="1">
        <f t="array" ref="R48">-(SUMPRODUCT($M$48:$P$48,$M$52:$P$52))*(VLOOKUP($E$38,'Policy assumptions and formulae'!A10:D109,4,FALSE))</f>
        <v>0</v>
      </c>
      <c r="S48" s="1226"/>
      <c r="T48" s="571"/>
      <c r="U48" s="522"/>
      <c r="V48" s="57"/>
      <c r="W48" s="57"/>
      <c r="X48" s="58"/>
    </row>
    <row r="49" spans="1:24" ht="29.25" customHeight="1">
      <c r="A49" s="522"/>
      <c r="B49" s="529"/>
      <c r="C49" s="529"/>
      <c r="D49" s="529"/>
      <c r="E49" s="529"/>
      <c r="F49" s="572" t="s">
        <v>464</v>
      </c>
      <c r="G49" s="572" t="s">
        <v>114</v>
      </c>
      <c r="H49" s="572" t="s">
        <v>115</v>
      </c>
      <c r="I49" s="572" t="s">
        <v>117</v>
      </c>
      <c r="J49" s="572" t="s">
        <v>118</v>
      </c>
      <c r="K49" s="529"/>
      <c r="L49" s="572" t="s">
        <v>464</v>
      </c>
      <c r="M49" s="572" t="s">
        <v>114</v>
      </c>
      <c r="N49" s="572" t="s">
        <v>115</v>
      </c>
      <c r="O49" s="572" t="s">
        <v>117</v>
      </c>
      <c r="P49" s="572" t="s">
        <v>118</v>
      </c>
      <c r="Q49" s="529"/>
      <c r="R49" s="573"/>
      <c r="S49" s="573"/>
      <c r="T49" s="523"/>
      <c r="U49" s="522"/>
      <c r="V49" s="57"/>
      <c r="W49" s="57"/>
      <c r="X49" s="58"/>
    </row>
    <row r="50" spans="1:24" ht="18.75" customHeight="1">
      <c r="A50" s="522"/>
      <c r="B50" s="1217" t="s">
        <v>107</v>
      </c>
      <c r="C50" s="1218"/>
      <c r="D50" s="1218"/>
      <c r="E50" s="1218"/>
      <c r="F50" s="1219" t="s">
        <v>465</v>
      </c>
      <c r="G50" s="1220"/>
      <c r="H50" s="1220"/>
      <c r="I50" s="1220"/>
      <c r="J50" s="1220"/>
      <c r="K50" s="534"/>
      <c r="L50" s="1223" t="s">
        <v>120</v>
      </c>
      <c r="M50" s="1224"/>
      <c r="N50" s="1224"/>
      <c r="O50" s="1224"/>
      <c r="P50" s="1224"/>
      <c r="Q50" s="529"/>
      <c r="R50" s="529"/>
      <c r="S50" s="529"/>
      <c r="T50" s="523"/>
      <c r="U50" s="522"/>
      <c r="V50" s="57"/>
      <c r="W50" s="57"/>
      <c r="X50" s="58"/>
    </row>
    <row r="51" spans="1:24" ht="18.75" customHeight="1">
      <c r="A51" s="522"/>
      <c r="B51" s="1209" t="s">
        <v>111</v>
      </c>
      <c r="C51" s="1210"/>
      <c r="D51" s="1210"/>
      <c r="E51" s="1211"/>
      <c r="F51" s="567" cm="1">
        <f t="array" ref="F51">'PF calculator'!F51</f>
        <v>123</v>
      </c>
      <c r="G51" s="567" cm="1">
        <f t="array" ref="G51">'PF calculator'!G51</f>
        <v>0</v>
      </c>
      <c r="H51" s="567" cm="1">
        <f t="array" ref="H51">'PF calculator'!H51</f>
        <v>0</v>
      </c>
      <c r="I51" s="567" cm="1">
        <f t="array" ref="I51">'PF calculator'!I51</f>
        <v>0</v>
      </c>
      <c r="J51" s="567" cm="1">
        <f t="array" ref="J51">'PF calculator'!J51</f>
        <v>0</v>
      </c>
      <c r="K51" s="574"/>
      <c r="L51" s="1225"/>
      <c r="M51" s="1225"/>
      <c r="N51" s="1225"/>
      <c r="O51" s="1225"/>
      <c r="P51" s="1225"/>
      <c r="Q51" s="529"/>
      <c r="R51" s="529"/>
      <c r="S51" s="529"/>
      <c r="T51" s="523"/>
      <c r="U51" s="522"/>
      <c r="V51" s="57"/>
      <c r="W51" s="57"/>
      <c r="X51" s="58"/>
    </row>
    <row r="52" spans="1:24" ht="18.75" customHeight="1">
      <c r="A52" s="522"/>
      <c r="B52" s="1209" t="s">
        <v>112</v>
      </c>
      <c r="C52" s="1210"/>
      <c r="D52" s="1210"/>
      <c r="E52" s="1211"/>
      <c r="F52" s="567" cm="1">
        <f t="array" ref="F52">'PF calculator'!F52</f>
        <v>500</v>
      </c>
      <c r="G52" s="567" cm="1">
        <f t="array" ref="G52">'PF calculator'!G52</f>
        <v>0</v>
      </c>
      <c r="H52" s="567" cm="1">
        <f t="array" ref="H52">'PF calculator'!H52</f>
        <v>0</v>
      </c>
      <c r="I52" s="567" cm="1">
        <f t="array" ref="I52">'PF calculator'!I52</f>
        <v>0</v>
      </c>
      <c r="J52" s="567" cm="1">
        <f t="array" ref="J52">'PF calculator'!J52</f>
        <v>0</v>
      </c>
      <c r="K52" s="568"/>
      <c r="L52" s="575" cm="1">
        <f t="array" ref="L52">'Policy assumptions and formulae'!$AD$56</f>
        <v>0</v>
      </c>
      <c r="M52" s="575" cm="1">
        <f t="array" ref="M52">'Policy assumptions and formulae'!$AD$55</f>
        <v>58.833333333333343</v>
      </c>
      <c r="N52" s="575" cm="1">
        <f t="array" ref="N52">'Policy assumptions and formulae'!$AD$54</f>
        <v>294.16666666666674</v>
      </c>
      <c r="O52" s="575" cm="1">
        <f t="array" ref="O52">'Policy assumptions and formulae'!$AD$53</f>
        <v>1000.1666666666665</v>
      </c>
      <c r="P52" s="575" cm="1">
        <f t="array" ref="P52">'Policy assumptions and formulae'!$AD$52</f>
        <v>1588.5000000000002</v>
      </c>
      <c r="Q52" s="576"/>
      <c r="R52" s="529"/>
      <c r="S52" s="529"/>
      <c r="T52" s="523"/>
      <c r="U52" s="522"/>
      <c r="V52" s="57"/>
      <c r="W52" s="57"/>
      <c r="X52" s="58"/>
    </row>
    <row r="53" spans="1:24" ht="18.75" customHeight="1">
      <c r="A53" s="522"/>
      <c r="B53" s="1209" t="s">
        <v>121</v>
      </c>
      <c r="C53" s="1210"/>
      <c r="D53" s="1210"/>
      <c r="E53" s="1211"/>
      <c r="F53" s="567" cm="1">
        <f t="array" ref="F53">'PF calculator'!F53</f>
        <v>0</v>
      </c>
      <c r="G53" s="567" cm="1">
        <f t="array" ref="G53">'PF calculator'!G53</f>
        <v>0</v>
      </c>
      <c r="H53" s="567" cm="1">
        <f t="array" ref="H53">'PF calculator'!H53</f>
        <v>0</v>
      </c>
      <c r="I53" s="567" cm="1">
        <f t="array" ref="I53">'PF calculator'!I53</f>
        <v>0</v>
      </c>
      <c r="J53" s="567" cm="1">
        <f t="array" ref="J53">'PF calculator'!J53</f>
        <v>0</v>
      </c>
      <c r="K53" s="574"/>
      <c r="L53" s="577"/>
      <c r="M53" s="546"/>
      <c r="N53" s="546"/>
      <c r="O53" s="546"/>
      <c r="P53" s="546"/>
      <c r="Q53" s="529"/>
      <c r="R53" s="529"/>
      <c r="S53" s="529"/>
      <c r="T53" s="523"/>
      <c r="U53" s="522"/>
      <c r="V53" s="57"/>
      <c r="W53" s="57"/>
      <c r="X53" s="58"/>
    </row>
    <row r="54" spans="1:24" ht="28.5" customHeight="1">
      <c r="A54" s="522"/>
      <c r="B54" s="529"/>
      <c r="C54" s="529"/>
      <c r="D54" s="529"/>
      <c r="E54" s="529"/>
      <c r="F54" s="572" t="s">
        <v>464</v>
      </c>
      <c r="G54" s="572" t="s">
        <v>114</v>
      </c>
      <c r="H54" s="572" t="s">
        <v>115</v>
      </c>
      <c r="I54" s="572" t="s">
        <v>117</v>
      </c>
      <c r="J54" s="572" t="s">
        <v>118</v>
      </c>
      <c r="K54" s="529"/>
      <c r="L54" s="529"/>
      <c r="M54" s="529"/>
      <c r="N54" s="529"/>
      <c r="O54" s="529"/>
      <c r="P54" s="529"/>
      <c r="Q54" s="529"/>
      <c r="R54" s="529"/>
      <c r="S54" s="529"/>
      <c r="T54" s="523"/>
      <c r="U54" s="522"/>
      <c r="V54" s="57"/>
      <c r="W54" s="57"/>
      <c r="X54" s="58"/>
    </row>
    <row r="55" spans="1:24" ht="8" customHeight="1">
      <c r="A55" s="522"/>
      <c r="B55" s="549"/>
      <c r="C55" s="549"/>
      <c r="D55" s="549"/>
      <c r="E55" s="549"/>
      <c r="F55" s="549"/>
      <c r="G55" s="549"/>
      <c r="H55" s="549"/>
      <c r="I55" s="549"/>
      <c r="J55" s="549"/>
      <c r="K55" s="549"/>
      <c r="L55" s="549"/>
      <c r="M55" s="549"/>
      <c r="N55" s="549"/>
      <c r="O55" s="549"/>
      <c r="P55" s="549"/>
      <c r="Q55" s="549"/>
      <c r="R55" s="549"/>
      <c r="S55" s="549"/>
      <c r="T55" s="523"/>
      <c r="U55" s="522"/>
      <c r="V55" s="57"/>
      <c r="W55" s="57"/>
      <c r="X55" s="58"/>
    </row>
    <row r="56" spans="1:24" ht="18.75" customHeight="1">
      <c r="A56" s="522"/>
      <c r="B56" s="1190" t="e" cm="1" vm="4">
        <f t="array" aca="1" ref="B56" ca="1">'PF calculator'!B56:S56</f>
        <v>#VALUE!</v>
      </c>
      <c r="C56" s="1190"/>
      <c r="D56" s="1190"/>
      <c r="E56" s="1190"/>
      <c r="F56" s="1190"/>
      <c r="G56" s="1190"/>
      <c r="H56" s="1190"/>
      <c r="I56" s="1190"/>
      <c r="J56" s="1190"/>
      <c r="K56" s="1190"/>
      <c r="L56" s="1190"/>
      <c r="M56" s="1190"/>
      <c r="N56" s="1190"/>
      <c r="O56" s="1190"/>
      <c r="P56" s="1190"/>
      <c r="Q56" s="1190"/>
      <c r="R56" s="1190"/>
      <c r="S56" s="1190"/>
      <c r="T56" s="523"/>
      <c r="U56" s="522"/>
      <c r="V56" s="57"/>
      <c r="W56" s="57"/>
      <c r="X56" s="58"/>
    </row>
    <row r="57" spans="1:24" ht="8" customHeight="1">
      <c r="A57" s="522"/>
      <c r="B57" s="529"/>
      <c r="C57" s="529"/>
      <c r="D57" s="529"/>
      <c r="E57" s="530"/>
      <c r="F57" s="530"/>
      <c r="G57" s="529"/>
      <c r="H57" s="529"/>
      <c r="I57" s="529"/>
      <c r="J57" s="529"/>
      <c r="K57" s="529"/>
      <c r="L57" s="529"/>
      <c r="M57" s="529"/>
      <c r="N57" s="529"/>
      <c r="O57" s="529"/>
      <c r="P57" s="529"/>
      <c r="Q57" s="529"/>
      <c r="R57" s="529"/>
      <c r="S57" s="529"/>
      <c r="T57" s="523"/>
      <c r="U57" s="522"/>
      <c r="V57" s="57"/>
      <c r="W57" s="57"/>
      <c r="X57" s="58"/>
    </row>
    <row r="58" spans="1:24" ht="18.75" customHeight="1">
      <c r="A58" s="522"/>
      <c r="B58" s="1217" t="s">
        <v>478</v>
      </c>
      <c r="C58" s="1218"/>
      <c r="D58" s="1227"/>
      <c r="E58" s="1228" cm="1">
        <f t="array" ref="E58">'PF calculator'!E58</f>
        <v>2024</v>
      </c>
      <c r="F58" s="1226"/>
      <c r="G58" s="533"/>
      <c r="H58" s="534"/>
      <c r="I58" s="534"/>
      <c r="J58" s="534"/>
      <c r="K58" s="534"/>
      <c r="L58" s="534"/>
      <c r="M58" s="534"/>
      <c r="N58" s="534"/>
      <c r="O58" s="534"/>
      <c r="P58" s="534"/>
      <c r="Q58" s="534"/>
      <c r="R58" s="534"/>
      <c r="S58" s="534"/>
      <c r="T58" s="523"/>
      <c r="U58" s="522"/>
      <c r="V58" s="57"/>
      <c r="W58" s="57"/>
      <c r="X58" s="58"/>
    </row>
    <row r="59" spans="1:24" ht="8" customHeight="1">
      <c r="A59" s="522"/>
      <c r="B59" s="534"/>
      <c r="C59" s="534"/>
      <c r="D59" s="534"/>
      <c r="E59" s="536"/>
      <c r="F59" s="536"/>
      <c r="G59" s="534"/>
      <c r="H59" s="534"/>
      <c r="I59" s="534"/>
      <c r="J59" s="534"/>
      <c r="K59" s="534"/>
      <c r="L59" s="534"/>
      <c r="M59" s="534"/>
      <c r="N59" s="534"/>
      <c r="O59" s="534"/>
      <c r="P59" s="534"/>
      <c r="Q59" s="534"/>
      <c r="R59" s="534"/>
      <c r="S59" s="534"/>
      <c r="T59" s="523"/>
      <c r="U59" s="522"/>
      <c r="V59" s="57"/>
      <c r="W59" s="57"/>
      <c r="X59" s="58"/>
    </row>
    <row r="60" spans="1:24" ht="18.75" customHeight="1">
      <c r="A60" s="522"/>
      <c r="B60" s="1217" t="s">
        <v>107</v>
      </c>
      <c r="C60" s="1218"/>
      <c r="D60" s="1218"/>
      <c r="E60" s="1218"/>
      <c r="F60" s="1219" t="s">
        <v>125</v>
      </c>
      <c r="G60" s="1220"/>
      <c r="H60" s="1220"/>
      <c r="I60" s="1220"/>
      <c r="J60" s="1220"/>
      <c r="K60" s="534"/>
      <c r="L60" s="1219" t="s">
        <v>109</v>
      </c>
      <c r="M60" s="1220"/>
      <c r="N60" s="1220"/>
      <c r="O60" s="1220"/>
      <c r="P60" s="1220"/>
      <c r="Q60" s="534"/>
      <c r="R60" s="1221" t="s">
        <v>110</v>
      </c>
      <c r="S60" s="1222"/>
      <c r="T60" s="523"/>
      <c r="U60" s="522"/>
      <c r="V60" s="57"/>
      <c r="W60" s="57"/>
      <c r="X60" s="58"/>
    </row>
    <row r="61" spans="1:24" ht="18.75" customHeight="1">
      <c r="A61" s="522"/>
      <c r="B61" s="1209" t="s">
        <v>111</v>
      </c>
      <c r="C61" s="1210"/>
      <c r="D61" s="1210"/>
      <c r="E61" s="1211"/>
      <c r="F61" s="122"/>
      <c r="G61" s="567" cm="1">
        <f t="array" ref="G61">'PF calculator'!G61</f>
        <v>0</v>
      </c>
      <c r="H61" s="567" cm="1">
        <f t="array" ref="H61">'PF calculator'!H61</f>
        <v>0</v>
      </c>
      <c r="I61" s="567" cm="1">
        <f t="array" ref="I61">'PF calculator'!I61</f>
        <v>14</v>
      </c>
      <c r="J61" s="567" cm="1">
        <f t="array" ref="J61">'PF calculator'!J61</f>
        <v>0</v>
      </c>
      <c r="K61" s="568"/>
      <c r="L61" s="569" cm="1">
        <f t="array" ref="L61">IF(SUM(G61:J61)&lt;SUM(F66:J66),"n/a",F66)</f>
        <v>14</v>
      </c>
      <c r="M61" s="569" cm="1">
        <f t="array" ref="M61">IF(SUM(G61:J61)&lt;SUM(F66:J66),"n/a",G66-G61)</f>
        <v>0</v>
      </c>
      <c r="N61" s="569" cm="1">
        <f t="array" ref="N61">IF(SUM(G61:J61)&lt;SUM(F66:J66),"n/a",H66-H61)</f>
        <v>0</v>
      </c>
      <c r="O61" s="569" cm="1">
        <f t="array" ref="O61">IF(SUM(G61:J61)&lt;SUM(F66:J66),"n/a",I66-I61)</f>
        <v>-14</v>
      </c>
      <c r="P61" s="569" cm="1">
        <f t="array" ref="P61">IF(SUM(G61:J61)&lt;SUM(F66:J66),"n/a",J66-J61)</f>
        <v>0</v>
      </c>
      <c r="Q61" s="570"/>
      <c r="R61" s="1212" cm="1">
        <f t="array" ref="R61">IF($E$58+$E$38&lt;2041,"Ltd by DoB",(-SUMPRODUCT($M$61:$P$61,$M$67:$P$67)*VLOOKUP($E$38,'Policy assumptions and formulae'!$A$10:$D$109,4,FALSE))-(-SUMPRODUCT($M$61:$P$61,$M$67:$P$67)*VLOOKUP((2040-$E$58),'Policy assumptions and formulae'!$A$10:$D$109,4,FALSE)))</f>
        <v>234808.57990684893</v>
      </c>
      <c r="S61" s="1226"/>
      <c r="T61" s="571"/>
      <c r="U61" s="522"/>
      <c r="V61" s="57"/>
      <c r="W61" s="57"/>
      <c r="X61" s="58"/>
    </row>
    <row r="62" spans="1:24" ht="18.75" customHeight="1">
      <c r="A62" s="522"/>
      <c r="B62" s="1209" t="s">
        <v>112</v>
      </c>
      <c r="C62" s="1210"/>
      <c r="D62" s="1210"/>
      <c r="E62" s="1211"/>
      <c r="F62" s="122"/>
      <c r="G62" s="567" cm="1">
        <f t="array" ref="G62">'PF calculator'!G62</f>
        <v>0</v>
      </c>
      <c r="H62" s="567" cm="1">
        <f t="array" ref="H62">'PF calculator'!H62</f>
        <v>0</v>
      </c>
      <c r="I62" s="567" cm="1">
        <f t="array" ref="I62">'PF calculator'!I62</f>
        <v>0</v>
      </c>
      <c r="J62" s="567" cm="1">
        <f t="array" ref="J62">'PF calculator'!J62</f>
        <v>0</v>
      </c>
      <c r="K62" s="568"/>
      <c r="L62" s="569" cm="1">
        <f t="array" ref="L62">IF(SUM(G62:J62)&lt;SUM(F67:J67),"n/a",F67)</f>
        <v>0</v>
      </c>
      <c r="M62" s="569" cm="1">
        <f t="array" ref="M62">IF(SUM(G62:J62)&lt;SUM(F67:J67),"n/a",G67-G62)</f>
        <v>0</v>
      </c>
      <c r="N62" s="569" cm="1">
        <f t="array" ref="N62">IF(SUM(G62:J62)&lt;SUM(F67:J67),"n/a",H67-H62)</f>
        <v>0</v>
      </c>
      <c r="O62" s="569" cm="1">
        <f t="array" ref="O62">IF(SUM(G62:J62)&lt;SUM(F67:J67),"n/a",I67-I62)</f>
        <v>0</v>
      </c>
      <c r="P62" s="569" cm="1">
        <f t="array" ref="P62">IF(SUM(G62:J62)&lt;SUM(F67:J67),"n/a",J67-J62)</f>
        <v>0</v>
      </c>
      <c r="Q62" s="570"/>
      <c r="R62" s="1212" cm="1">
        <f t="array" ref="R62">IF($E$58+$E$38&lt;2041,"Ltd by DoB",(-SUMPRODUCT($M$62:$P$62,$M$67:$P$67)*VLOOKUP($E$38,'Policy assumptions and formulae'!$A$10:$D$109,4,FALSE))-(-SUMPRODUCT($M$62:$P$62,$M$67:$P$67)*VLOOKUP((2040-$E$58),'Policy assumptions and formulae'!$A$10:$D$109,4,FALSE)))</f>
        <v>0</v>
      </c>
      <c r="S62" s="1226"/>
      <c r="T62" s="571"/>
      <c r="U62" s="522"/>
      <c r="V62" s="57"/>
      <c r="W62" s="57"/>
      <c r="X62" s="58"/>
    </row>
    <row r="63" spans="1:24" ht="18.75" customHeight="1">
      <c r="A63" s="522"/>
      <c r="B63" s="1209" t="s">
        <v>113</v>
      </c>
      <c r="C63" s="1210"/>
      <c r="D63" s="1210"/>
      <c r="E63" s="1211"/>
      <c r="F63" s="122"/>
      <c r="G63" s="567" cm="1">
        <f t="array" ref="G63">'PF calculator'!G63</f>
        <v>0</v>
      </c>
      <c r="H63" s="567" cm="1">
        <f t="array" ref="H63">'PF calculator'!H63</f>
        <v>0</v>
      </c>
      <c r="I63" s="567" cm="1">
        <f t="array" ref="I63">'PF calculator'!I63</f>
        <v>0</v>
      </c>
      <c r="J63" s="567" cm="1">
        <f t="array" ref="J63">'PF calculator'!J63</f>
        <v>0</v>
      </c>
      <c r="K63" s="568"/>
      <c r="L63" s="569" cm="1">
        <f t="array" ref="L63">IF(SUM(G63:J63)&lt;SUM(F68:J68),"n/a",F68)</f>
        <v>0</v>
      </c>
      <c r="M63" s="569" cm="1">
        <f t="array" ref="M63">IF(SUM(G63:J63)&lt;SUM(F68:J68),"n/a",G68-G63)</f>
        <v>0</v>
      </c>
      <c r="N63" s="569" cm="1">
        <f t="array" ref="N63">IF(SUM(G63:J63)&lt;SUM(F68:J68),"n/a",H68-H63)</f>
        <v>0</v>
      </c>
      <c r="O63" s="569" cm="1">
        <f t="array" ref="O63">IF(SUM(G63:J63)&lt;SUM(F68:J68),"n/a",I68-I63)</f>
        <v>0</v>
      </c>
      <c r="P63" s="569" cm="1">
        <f t="array" ref="P63">IF(SUM(G63:J63)&lt;SUM(F68:J68),"n/a",J68-J63)</f>
        <v>0</v>
      </c>
      <c r="Q63" s="570"/>
      <c r="R63" s="1212" cm="1">
        <f t="array" ref="R63">IF($E$58+$E$38&lt;2041,"Ltd by DoB",(-SUMPRODUCT($M$63:$P$63,$M$67:$P$67)*VLOOKUP($E$38,'Policy assumptions and formulae'!$A$10:$D$109,4,FALSE))-(-SUMPRODUCT($M$63:$P$63,$M$67:$P$67)*VLOOKUP((2040-$E$58),'Policy assumptions and formulae'!$A$10:$D$109,4,FALSE)))</f>
        <v>0</v>
      </c>
      <c r="S63" s="1226"/>
      <c r="T63" s="571"/>
      <c r="U63" s="522"/>
      <c r="V63" s="57"/>
      <c r="W63" s="57"/>
      <c r="X63" s="58"/>
    </row>
    <row r="64" spans="1:24" ht="28.5" customHeight="1">
      <c r="A64" s="522"/>
      <c r="B64" s="529"/>
      <c r="C64" s="529"/>
      <c r="D64" s="529"/>
      <c r="E64" s="529"/>
      <c r="F64" s="572" t="s">
        <v>464</v>
      </c>
      <c r="G64" s="572" t="s">
        <v>114</v>
      </c>
      <c r="H64" s="572" t="s">
        <v>115</v>
      </c>
      <c r="I64" s="572" t="s">
        <v>117</v>
      </c>
      <c r="J64" s="572" t="s">
        <v>118</v>
      </c>
      <c r="K64" s="579"/>
      <c r="L64" s="572" t="s">
        <v>467</v>
      </c>
      <c r="M64" s="572" t="s">
        <v>114</v>
      </c>
      <c r="N64" s="572" t="s">
        <v>115</v>
      </c>
      <c r="O64" s="572" t="s">
        <v>117</v>
      </c>
      <c r="P64" s="572" t="s">
        <v>118</v>
      </c>
      <c r="Q64" s="529"/>
      <c r="R64" s="573"/>
      <c r="S64" s="573"/>
      <c r="T64" s="523"/>
      <c r="U64" s="522"/>
      <c r="V64" s="57"/>
      <c r="W64" s="57"/>
      <c r="X64" s="58"/>
    </row>
    <row r="65" spans="1:24" ht="18.75" customHeight="1">
      <c r="A65" s="522"/>
      <c r="B65" s="1217" t="s">
        <v>107</v>
      </c>
      <c r="C65" s="1218"/>
      <c r="D65" s="1218"/>
      <c r="E65" s="1218"/>
      <c r="F65" s="1219" t="s">
        <v>465</v>
      </c>
      <c r="G65" s="1220"/>
      <c r="H65" s="1220"/>
      <c r="I65" s="1220"/>
      <c r="J65" s="1220"/>
      <c r="K65" s="534"/>
      <c r="L65" s="1223" t="s">
        <v>120</v>
      </c>
      <c r="M65" s="1224"/>
      <c r="N65" s="1224"/>
      <c r="O65" s="1224"/>
      <c r="P65" s="1224"/>
      <c r="Q65" s="534"/>
      <c r="R65" s="534"/>
      <c r="S65" s="534"/>
      <c r="T65" s="523"/>
      <c r="U65" s="522"/>
      <c r="V65" s="57"/>
      <c r="W65" s="57"/>
      <c r="X65" s="58"/>
    </row>
    <row r="66" spans="1:24" ht="18.75" customHeight="1">
      <c r="A66" s="522"/>
      <c r="B66" s="1209" t="s">
        <v>111</v>
      </c>
      <c r="C66" s="1210"/>
      <c r="D66" s="1210"/>
      <c r="E66" s="1211"/>
      <c r="F66" s="567" cm="1">
        <f t="array" ref="F66">'PF calculator'!F66</f>
        <v>14</v>
      </c>
      <c r="G66" s="567" cm="1">
        <f t="array" ref="G66">'PF calculator'!G66</f>
        <v>0</v>
      </c>
      <c r="H66" s="567" cm="1">
        <f t="array" ref="H66">'PF calculator'!H66</f>
        <v>0</v>
      </c>
      <c r="I66" s="567" cm="1">
        <f t="array" ref="I66">'PF calculator'!I66</f>
        <v>0</v>
      </c>
      <c r="J66" s="567" cm="1">
        <f t="array" ref="J66">'PF calculator'!J66</f>
        <v>0</v>
      </c>
      <c r="K66" s="574"/>
      <c r="L66" s="1225"/>
      <c r="M66" s="1225"/>
      <c r="N66" s="1225"/>
      <c r="O66" s="1225"/>
      <c r="P66" s="1225"/>
      <c r="Q66" s="534"/>
      <c r="R66" s="534"/>
      <c r="S66" s="534"/>
      <c r="T66" s="523"/>
      <c r="U66" s="522"/>
      <c r="V66" s="57"/>
      <c r="W66" s="57"/>
      <c r="X66" s="58"/>
    </row>
    <row r="67" spans="1:24" ht="18.75" customHeight="1">
      <c r="A67" s="522"/>
      <c r="B67" s="1209" t="s">
        <v>112</v>
      </c>
      <c r="C67" s="1210"/>
      <c r="D67" s="1210"/>
      <c r="E67" s="1211"/>
      <c r="F67" s="567" cm="1">
        <f t="array" ref="F67">'PF calculator'!F67</f>
        <v>0</v>
      </c>
      <c r="G67" s="567" cm="1">
        <f t="array" ref="G67">'PF calculator'!G67</f>
        <v>0</v>
      </c>
      <c r="H67" s="567" cm="1">
        <f t="array" ref="H67">'PF calculator'!H67</f>
        <v>0</v>
      </c>
      <c r="I67" s="567" cm="1">
        <f t="array" ref="I67">'PF calculator'!I67</f>
        <v>0</v>
      </c>
      <c r="J67" s="567" cm="1">
        <f t="array" ref="J67">'PF calculator'!J67</f>
        <v>0</v>
      </c>
      <c r="K67" s="568"/>
      <c r="L67" s="613" t="str" cm="1">
        <f t="array" ref="L67">'PF calculator'!$D$7&amp;"  Sensitivity Analysis: "&amp;'PF calculator'!$L$98</f>
        <v>Test  Sensitivity Analysis: SA3: OM3 - Erosion risks lower than assumptions made</v>
      </c>
      <c r="M67" s="575" cm="1">
        <f t="array" ref="M67">'Policy assumptions and formulae'!$AD$55</f>
        <v>58.833333333333343</v>
      </c>
      <c r="N67" s="575" cm="1">
        <f t="array" ref="N67">'Policy assumptions and formulae'!$AD$54</f>
        <v>294.16666666666674</v>
      </c>
      <c r="O67" s="575" cm="1">
        <f t="array" ref="O67">'Policy assumptions and formulae'!$AD$53</f>
        <v>1000.1666666666665</v>
      </c>
      <c r="P67" s="575" cm="1">
        <f t="array" ref="P67">'Policy assumptions and formulae'!$AD$52</f>
        <v>1588.5000000000002</v>
      </c>
      <c r="Q67" s="574"/>
      <c r="R67" s="534"/>
      <c r="S67" s="534"/>
      <c r="T67" s="523"/>
      <c r="U67" s="522"/>
      <c r="V67" s="57"/>
      <c r="W67" s="57"/>
      <c r="X67" s="58"/>
    </row>
    <row r="68" spans="1:24" ht="18.75" customHeight="1">
      <c r="A68" s="522"/>
      <c r="B68" s="1209" t="s">
        <v>113</v>
      </c>
      <c r="C68" s="1210"/>
      <c r="D68" s="1210"/>
      <c r="E68" s="1211"/>
      <c r="F68" s="567" cm="1">
        <f t="array" ref="F68">'PF calculator'!F68</f>
        <v>0</v>
      </c>
      <c r="G68" s="567" cm="1">
        <f t="array" ref="G68">'PF calculator'!G68</f>
        <v>0</v>
      </c>
      <c r="H68" s="567" cm="1">
        <f t="array" ref="H68">'PF calculator'!H68</f>
        <v>0</v>
      </c>
      <c r="I68" s="567" cm="1">
        <f t="array" ref="I68">'PF calculator'!I68</f>
        <v>0</v>
      </c>
      <c r="J68" s="567" cm="1">
        <f t="array" ref="J68">'PF calculator'!J68</f>
        <v>0</v>
      </c>
      <c r="K68" s="574"/>
      <c r="L68" s="577"/>
      <c r="M68" s="546"/>
      <c r="N68" s="546"/>
      <c r="O68" s="546"/>
      <c r="P68" s="546"/>
      <c r="Q68" s="534"/>
      <c r="R68" s="534"/>
      <c r="S68" s="534"/>
      <c r="T68" s="523"/>
      <c r="U68" s="522"/>
      <c r="V68" s="57"/>
      <c r="W68" s="57"/>
      <c r="X68" s="58"/>
    </row>
    <row r="69" spans="1:24" ht="28.5" customHeight="1">
      <c r="A69" s="522"/>
      <c r="B69" s="529"/>
      <c r="C69" s="529"/>
      <c r="D69" s="529"/>
      <c r="E69" s="529"/>
      <c r="F69" s="572" t="s">
        <v>464</v>
      </c>
      <c r="G69" s="572" t="s">
        <v>114</v>
      </c>
      <c r="H69" s="572" t="s">
        <v>115</v>
      </c>
      <c r="I69" s="572" t="s">
        <v>117</v>
      </c>
      <c r="J69" s="572" t="s">
        <v>118</v>
      </c>
      <c r="K69" s="529"/>
      <c r="L69" s="529"/>
      <c r="M69" s="529"/>
      <c r="N69" s="529"/>
      <c r="O69" s="529"/>
      <c r="P69" s="529"/>
      <c r="Q69" s="529"/>
      <c r="R69" s="529"/>
      <c r="S69" s="529"/>
      <c r="T69" s="523"/>
      <c r="U69" s="522"/>
      <c r="V69" s="57"/>
      <c r="W69" s="57"/>
      <c r="X69" s="58"/>
    </row>
    <row r="70" spans="1:24" ht="8" customHeight="1">
      <c r="A70" s="522"/>
      <c r="B70" s="549"/>
      <c r="C70" s="549"/>
      <c r="D70" s="549"/>
      <c r="E70" s="549"/>
      <c r="F70" s="549"/>
      <c r="G70" s="549"/>
      <c r="H70" s="549"/>
      <c r="I70" s="549"/>
      <c r="J70" s="549"/>
      <c r="K70" s="549"/>
      <c r="L70" s="549"/>
      <c r="M70" s="549"/>
      <c r="N70" s="549"/>
      <c r="O70" s="549"/>
      <c r="P70" s="549"/>
      <c r="Q70" s="549"/>
      <c r="R70" s="549"/>
      <c r="S70" s="549"/>
      <c r="T70" s="523"/>
      <c r="U70" s="522"/>
      <c r="V70" s="57"/>
      <c r="W70" s="57"/>
      <c r="X70" s="58"/>
    </row>
    <row r="71" spans="1:24" ht="18.75" customHeight="1">
      <c r="A71" s="522"/>
      <c r="B71" s="1190" t="e" cm="1" vm="4">
        <f t="array" aca="1" ref="B71" ca="1">'PF calculator'!B71:S71</f>
        <v>#VALUE!</v>
      </c>
      <c r="C71" s="1190"/>
      <c r="D71" s="1190"/>
      <c r="E71" s="1190"/>
      <c r="F71" s="1190"/>
      <c r="G71" s="1190"/>
      <c r="H71" s="1190"/>
      <c r="I71" s="1190"/>
      <c r="J71" s="1190"/>
      <c r="K71" s="1190"/>
      <c r="L71" s="1190"/>
      <c r="M71" s="1190"/>
      <c r="N71" s="1190"/>
      <c r="O71" s="1190"/>
      <c r="P71" s="1190"/>
      <c r="Q71" s="1190"/>
      <c r="R71" s="1190"/>
      <c r="S71" s="1190"/>
      <c r="T71" s="523"/>
      <c r="U71" s="522"/>
      <c r="V71" s="57"/>
      <c r="W71" s="57"/>
      <c r="X71" s="58"/>
    </row>
    <row r="72" spans="1:24" ht="8" customHeight="1">
      <c r="A72" s="522"/>
      <c r="B72" s="529"/>
      <c r="C72" s="529"/>
      <c r="D72" s="529"/>
      <c r="E72" s="529"/>
      <c r="F72" s="529"/>
      <c r="G72" s="529"/>
      <c r="H72" s="529"/>
      <c r="I72" s="529"/>
      <c r="J72" s="529"/>
      <c r="K72" s="529"/>
      <c r="L72" s="529"/>
      <c r="M72" s="529"/>
      <c r="N72" s="529"/>
      <c r="O72" s="529"/>
      <c r="P72" s="529"/>
      <c r="Q72" s="529"/>
      <c r="R72" s="529"/>
      <c r="S72" s="529"/>
      <c r="T72" s="523"/>
      <c r="U72" s="522"/>
      <c r="V72" s="57"/>
      <c r="W72" s="57"/>
      <c r="X72" s="58"/>
    </row>
    <row r="73" spans="1:24" ht="18.75" customHeight="1">
      <c r="A73" s="522"/>
      <c r="B73" s="1217" t="s">
        <v>107</v>
      </c>
      <c r="C73" s="1218"/>
      <c r="D73" s="1218"/>
      <c r="E73" s="1218"/>
      <c r="F73" s="1219" t="s">
        <v>108</v>
      </c>
      <c r="G73" s="1220"/>
      <c r="H73" s="534"/>
      <c r="I73" s="534"/>
      <c r="J73" s="1217" t="s">
        <v>127</v>
      </c>
      <c r="K73" s="1218"/>
      <c r="L73" s="1218"/>
      <c r="M73" s="1218"/>
      <c r="N73" s="564"/>
      <c r="O73" s="564"/>
      <c r="P73" s="534"/>
      <c r="Q73" s="534"/>
      <c r="R73" s="1221" t="s">
        <v>110</v>
      </c>
      <c r="S73" s="1222"/>
      <c r="T73" s="523"/>
      <c r="U73" s="522"/>
      <c r="V73" s="57"/>
      <c r="W73" s="57"/>
      <c r="X73" s="58"/>
    </row>
    <row r="74" spans="1:24" ht="18.75" customHeight="1">
      <c r="A74" s="522"/>
      <c r="B74" s="1209" t="s">
        <v>111</v>
      </c>
      <c r="C74" s="1210"/>
      <c r="D74" s="1210"/>
      <c r="E74" s="1211"/>
      <c r="F74" s="612" cm="1">
        <f t="array" ref="F74">'PF calculator'!F74+('PF calculator'!G74*0.5)</f>
        <v>0</v>
      </c>
      <c r="G74" s="612" cm="1">
        <f t="array" ref="G74">'PF calculator'!G74*0.5</f>
        <v>0</v>
      </c>
      <c r="H74" s="574"/>
      <c r="I74" s="534"/>
      <c r="J74" s="1209" t="s">
        <v>128</v>
      </c>
      <c r="K74" s="1210"/>
      <c r="L74" s="1210"/>
      <c r="M74" s="1211"/>
      <c r="N74" s="580" cm="1">
        <f t="array" ref="N74">'Policy assumptions and formulae'!$AJ$7</f>
        <v>6800</v>
      </c>
      <c r="O74" s="580" cm="1">
        <f t="array" ref="O74">'Policy assumptions and formulae'!$AJ$7</f>
        <v>6800</v>
      </c>
      <c r="P74" s="581"/>
      <c r="Q74" s="582"/>
      <c r="R74" s="1212" cm="1">
        <f t="array" ref="R74">SUMPRODUCT($N$76:$O$76,$F$74:$G$74)*VLOOKUP($E$38,'Policy assumptions and formulae'!$A$10:$D$109,4,FALSE)</f>
        <v>0</v>
      </c>
      <c r="S74" s="1213"/>
      <c r="T74" s="571"/>
      <c r="U74" s="522"/>
      <c r="V74" s="57"/>
      <c r="W74" s="57"/>
      <c r="X74" s="58"/>
    </row>
    <row r="75" spans="1:24" ht="18.75" customHeight="1">
      <c r="A75" s="522"/>
      <c r="B75" s="1209" t="s">
        <v>112</v>
      </c>
      <c r="C75" s="1210"/>
      <c r="D75" s="1210"/>
      <c r="E75" s="1211"/>
      <c r="F75" s="612" cm="1">
        <f t="array" ref="F75">'PF calculator'!F75+('PF calculator'!G75*0.5)</f>
        <v>0</v>
      </c>
      <c r="G75" s="612" cm="1">
        <f t="array" ref="G75">'PF calculator'!G75*0.5</f>
        <v>0</v>
      </c>
      <c r="H75" s="574"/>
      <c r="I75" s="534"/>
      <c r="J75" s="1209" t="s">
        <v>129</v>
      </c>
      <c r="K75" s="1210"/>
      <c r="L75" s="1210"/>
      <c r="M75" s="1211"/>
      <c r="N75" s="583" cm="1">
        <f t="array" ref="N75">'Policy assumptions and formulae'!AJ28</f>
        <v>50</v>
      </c>
      <c r="O75" s="583" cm="1">
        <f t="array" ref="O75">'Policy assumptions and formulae'!AJ26</f>
        <v>20</v>
      </c>
      <c r="P75" s="584" t="s">
        <v>130</v>
      </c>
      <c r="Q75" s="582"/>
      <c r="R75" s="1212" cm="1">
        <f t="array" ref="R75">SUMPRODUCT($N$76:$O$76,$F$75:$G$75)*VLOOKUP($E$38,'Policy assumptions and formulae'!$A$10:$D$109,4,FALSE)</f>
        <v>0</v>
      </c>
      <c r="S75" s="1213"/>
      <c r="T75" s="571"/>
      <c r="U75" s="522"/>
      <c r="V75" s="57"/>
      <c r="W75" s="57"/>
      <c r="X75" s="58"/>
    </row>
    <row r="76" spans="1:24" ht="18.75" customHeight="1">
      <c r="A76" s="522"/>
      <c r="B76" s="1209" t="s">
        <v>113</v>
      </c>
      <c r="C76" s="1210"/>
      <c r="D76" s="1210"/>
      <c r="E76" s="1211"/>
      <c r="F76" s="612" cm="1">
        <f t="array" ref="F76">'PF calculator'!F76+('PF calculator'!G76*0.5)</f>
        <v>0</v>
      </c>
      <c r="G76" s="612" cm="1">
        <f t="array" ref="G76">'PF calculator'!G76*0.5</f>
        <v>0</v>
      </c>
      <c r="H76" s="574"/>
      <c r="I76" s="534"/>
      <c r="J76" s="1214" t="s">
        <v>131</v>
      </c>
      <c r="K76" s="1215"/>
      <c r="L76" s="1215"/>
      <c r="M76" s="1216"/>
      <c r="N76" s="580" cm="1">
        <f t="array" ref="N76">'Policy assumptions and formulae'!$AM$28</f>
        <v>1341.3864802956584</v>
      </c>
      <c r="O76" s="580" cm="1">
        <f t="array" ref="O76">'Policy assumptions and formulae'!$AM$26</f>
        <v>3417.4480141353633</v>
      </c>
      <c r="P76" s="585"/>
      <c r="Q76" s="582"/>
      <c r="R76" s="1212" cm="1">
        <f t="array" ref="R76">SUMPRODUCT($N$76:$O$76,$F$76:$G$76)*VLOOKUP($E$38,'Policy assumptions and formulae'!$A$10:$D$109,4,FALSE)</f>
        <v>0</v>
      </c>
      <c r="S76" s="1213"/>
      <c r="T76" s="571"/>
      <c r="U76" s="522"/>
      <c r="V76" s="57"/>
      <c r="W76" s="57"/>
      <c r="X76" s="58"/>
    </row>
    <row r="77" spans="1:24" ht="18.75" customHeight="1">
      <c r="A77" s="522"/>
      <c r="B77" s="534"/>
      <c r="C77" s="534"/>
      <c r="D77" s="534"/>
      <c r="E77" s="534"/>
      <c r="F77" s="572" t="s">
        <v>468</v>
      </c>
      <c r="G77" s="572" t="s">
        <v>133</v>
      </c>
      <c r="H77" s="534"/>
      <c r="I77" s="534"/>
      <c r="J77" s="1215"/>
      <c r="K77" s="1215"/>
      <c r="L77" s="1215"/>
      <c r="M77" s="1215"/>
      <c r="N77" s="572" t="s">
        <v>134</v>
      </c>
      <c r="O77" s="572" t="s">
        <v>135</v>
      </c>
      <c r="P77" s="586"/>
      <c r="Q77" s="534"/>
      <c r="R77" s="536"/>
      <c r="S77" s="536"/>
      <c r="T77" s="523"/>
      <c r="U77" s="522"/>
      <c r="V77" s="57"/>
      <c r="W77" s="57"/>
      <c r="X77" s="58"/>
    </row>
    <row r="78" spans="1:24" ht="8" customHeight="1">
      <c r="A78" s="522"/>
      <c r="B78" s="549"/>
      <c r="C78" s="549"/>
      <c r="D78" s="549"/>
      <c r="E78" s="549"/>
      <c r="F78" s="549"/>
      <c r="G78" s="614" t="s">
        <v>156</v>
      </c>
      <c r="H78" s="549"/>
      <c r="I78" s="549"/>
      <c r="J78" s="549"/>
      <c r="K78" s="549"/>
      <c r="L78" s="549"/>
      <c r="M78" s="549"/>
      <c r="N78" s="549"/>
      <c r="O78" s="549"/>
      <c r="P78" s="549"/>
      <c r="Q78" s="549"/>
      <c r="R78" s="549"/>
      <c r="S78" s="549"/>
      <c r="T78" s="523"/>
      <c r="U78" s="522"/>
      <c r="V78" s="57"/>
      <c r="W78" s="57"/>
      <c r="X78" s="58"/>
    </row>
    <row r="79" spans="1:24" ht="18.75" customHeight="1">
      <c r="A79" s="522"/>
      <c r="B79" s="1190" t="e" cm="1" vm="4">
        <f t="array" aca="1" ref="B79" ca="1">'PF calculator'!B79:S79</f>
        <v>#VALUE!</v>
      </c>
      <c r="C79" s="1190"/>
      <c r="D79" s="1190"/>
      <c r="E79" s="1190"/>
      <c r="F79" s="1190"/>
      <c r="G79" s="1190"/>
      <c r="H79" s="1190"/>
      <c r="I79" s="1190"/>
      <c r="J79" s="1190"/>
      <c r="K79" s="1190"/>
      <c r="L79" s="1190"/>
      <c r="M79" s="1190"/>
      <c r="N79" s="1190"/>
      <c r="O79" s="1190"/>
      <c r="P79" s="1190"/>
      <c r="Q79" s="1190"/>
      <c r="R79" s="1190"/>
      <c r="S79" s="1190"/>
      <c r="T79" s="523"/>
      <c r="U79" s="522"/>
      <c r="V79" s="57"/>
      <c r="W79" s="57"/>
      <c r="X79" s="58"/>
    </row>
    <row r="80" spans="1:24" ht="8" customHeight="1">
      <c r="A80" s="522"/>
      <c r="B80" s="550"/>
      <c r="C80" s="529"/>
      <c r="D80" s="529"/>
      <c r="E80" s="529"/>
      <c r="F80" s="529"/>
      <c r="G80" s="529"/>
      <c r="H80" s="529"/>
      <c r="I80" s="529"/>
      <c r="J80" s="529"/>
      <c r="K80" s="529"/>
      <c r="L80" s="529"/>
      <c r="M80" s="529"/>
      <c r="N80" s="529"/>
      <c r="O80" s="529"/>
      <c r="P80" s="529"/>
      <c r="Q80" s="529"/>
      <c r="R80" s="529"/>
      <c r="S80" s="529"/>
      <c r="T80" s="523"/>
      <c r="U80" s="522"/>
      <c r="V80" s="57"/>
      <c r="W80" s="57"/>
      <c r="X80" s="58"/>
    </row>
    <row r="81" spans="1:24" ht="18.75" customHeight="1">
      <c r="A81" s="522"/>
      <c r="B81" s="587"/>
      <c r="C81" s="559"/>
      <c r="D81" s="1199" t="s">
        <v>469</v>
      </c>
      <c r="E81" s="1200"/>
      <c r="F81" s="1200"/>
      <c r="G81" s="1199" t="s">
        <v>470</v>
      </c>
      <c r="H81" s="1200"/>
      <c r="I81" s="1200"/>
      <c r="J81" s="1200"/>
      <c r="K81" s="1200"/>
      <c r="L81" s="529"/>
      <c r="M81" s="529"/>
      <c r="N81" s="529"/>
      <c r="O81" s="529"/>
      <c r="P81" s="529"/>
      <c r="Q81" s="529"/>
      <c r="R81" s="529"/>
      <c r="S81" s="529"/>
      <c r="T81" s="523"/>
      <c r="U81" s="522"/>
      <c r="V81" s="57"/>
      <c r="W81" s="57"/>
      <c r="X81" s="58"/>
    </row>
    <row r="82" spans="1:24" ht="18.75" customHeight="1">
      <c r="A82" s="522"/>
      <c r="B82" s="1201" t="s">
        <v>471</v>
      </c>
      <c r="C82" s="1202"/>
      <c r="D82" s="588" t="s">
        <v>140</v>
      </c>
      <c r="E82" s="588" t="s">
        <v>141</v>
      </c>
      <c r="F82" s="588" t="s">
        <v>142</v>
      </c>
      <c r="G82" s="559"/>
      <c r="H82" s="588" t="s">
        <v>140</v>
      </c>
      <c r="I82" s="588" t="s">
        <v>141</v>
      </c>
      <c r="J82" s="588" t="s">
        <v>142</v>
      </c>
      <c r="K82" s="529"/>
      <c r="L82" s="1205" t="s">
        <v>110</v>
      </c>
      <c r="M82" s="1206"/>
      <c r="N82" s="529"/>
      <c r="O82" s="589" t="s">
        <v>472</v>
      </c>
      <c r="P82" s="529"/>
      <c r="Q82" s="529"/>
      <c r="R82" s="529"/>
      <c r="S82" s="529"/>
      <c r="T82" s="523"/>
      <c r="U82" s="522"/>
      <c r="V82" s="57"/>
      <c r="W82" s="57"/>
      <c r="X82" s="58"/>
    </row>
    <row r="83" spans="1:24" ht="18.75" customHeight="1">
      <c r="A83" s="522"/>
      <c r="B83" s="1188" t="s">
        <v>144</v>
      </c>
      <c r="C83" s="1189"/>
      <c r="D83" s="590" cm="1">
        <f t="array" ref="D83">'PF calculator'!D83</f>
        <v>1</v>
      </c>
      <c r="E83" s="590" cm="1">
        <f t="array" ref="E83">'PF calculator'!E83</f>
        <v>0</v>
      </c>
      <c r="F83" s="590" cm="1">
        <f t="array" ref="F83">'PF calculator'!F83</f>
        <v>0</v>
      </c>
      <c r="G83" s="1193"/>
      <c r="H83" s="590" cm="1">
        <f t="array" ref="H83">'PF calculator'!H83</f>
        <v>0</v>
      </c>
      <c r="I83" s="590" cm="1">
        <f t="array" ref="I83">'PF calculator'!I83</f>
        <v>0</v>
      </c>
      <c r="J83" s="590" cm="1">
        <f t="array" ref="J83">'PF calculator'!J83</f>
        <v>1</v>
      </c>
      <c r="K83" s="1194" t="str" cm="1">
        <f t="array" ref="K83">IF(SUM(D83:F90)&lt;&gt;SUM(H83:J90),"Error in net change habitat","")</f>
        <v/>
      </c>
      <c r="L83" s="1162" cm="1">
        <f t="array" ref="L83">(((H83-D83)*'Policy assumptions and formulae'!AR12)+((I83-E83)*'Policy assumptions and formulae'!AS12)+((J83-F83)*'Policy assumptions and formulae'!AT12))*VLOOKUP($E$38,'Policy assumptions and formulae'!$A$10:$D$109,4,FALSE)</f>
        <v>272055.24016990041</v>
      </c>
      <c r="M83" s="1163"/>
      <c r="N83" s="591"/>
      <c r="O83" s="587"/>
      <c r="P83" s="592" t="s">
        <v>145</v>
      </c>
      <c r="Q83" s="559"/>
      <c r="R83" s="1203" t="s">
        <v>110</v>
      </c>
      <c r="S83" s="1204"/>
      <c r="T83" s="523"/>
      <c r="U83" s="522"/>
      <c r="V83" s="57"/>
      <c r="W83" s="57"/>
      <c r="X83" s="58"/>
    </row>
    <row r="84" spans="1:24" ht="18.75" customHeight="1">
      <c r="A84" s="522"/>
      <c r="B84" s="1188" t="s">
        <v>146</v>
      </c>
      <c r="C84" s="1189"/>
      <c r="D84" s="590" cm="1">
        <f t="array" ref="D84">'PF calculator'!D84</f>
        <v>1</v>
      </c>
      <c r="E84" s="590" cm="1">
        <f t="array" ref="E84">'PF calculator'!E84</f>
        <v>0</v>
      </c>
      <c r="F84" s="590" cm="1">
        <f t="array" ref="F84">'PF calculator'!F84</f>
        <v>0</v>
      </c>
      <c r="G84" s="1193"/>
      <c r="H84" s="590" cm="1">
        <f t="array" ref="H84">'PF calculator'!H84</f>
        <v>0</v>
      </c>
      <c r="I84" s="590" cm="1">
        <f t="array" ref="I84">'PF calculator'!I84</f>
        <v>0</v>
      </c>
      <c r="J84" s="590" cm="1">
        <f t="array" ref="J84">'PF calculator'!J84</f>
        <v>1</v>
      </c>
      <c r="K84" s="1194"/>
      <c r="L84" s="1162" cm="1">
        <f t="array" ref="L84">(((H84-D84)*'Policy assumptions and formulae'!AR13)+((I84-E84)*'Policy assumptions and formulae'!AS13)+((J84-F84)*'Policy assumptions and formulae'!AT13))*VLOOKUP($E$38,'Policy assumptions and formulae'!$A$10:$D$109,4,FALSE)</f>
        <v>159768.99395268576</v>
      </c>
      <c r="M84" s="1163"/>
      <c r="N84" s="1207" t="s">
        <v>147</v>
      </c>
      <c r="O84" s="1208"/>
      <c r="P84" s="593" cm="1">
        <f t="array" ref="P84">'PF calculator'!P84</f>
        <v>1</v>
      </c>
      <c r="Q84" s="594"/>
      <c r="R84" s="1184" cm="1">
        <f t="array" ref="R84">(P84*'Policy assumptions and formulae'!AT23)*VLOOKUP($E$38,'Policy assumptions and formulae'!$A$10:$D$109,4,FALSE)</f>
        <v>394196.39629447705</v>
      </c>
      <c r="S84" s="1185"/>
      <c r="T84" s="571"/>
      <c r="U84" s="522"/>
      <c r="V84" s="57"/>
      <c r="W84" s="57"/>
      <c r="X84" s="58"/>
    </row>
    <row r="85" spans="1:24" ht="18.75" customHeight="1">
      <c r="A85" s="522"/>
      <c r="B85" s="1188" t="s">
        <v>148</v>
      </c>
      <c r="C85" s="1189"/>
      <c r="D85" s="590" cm="1">
        <f t="array" ref="D85">'PF calculator'!D85</f>
        <v>1</v>
      </c>
      <c r="E85" s="590" cm="1">
        <f t="array" ref="E85">'PF calculator'!E85</f>
        <v>0</v>
      </c>
      <c r="F85" s="590" cm="1">
        <f t="array" ref="F85">'PF calculator'!F85</f>
        <v>0</v>
      </c>
      <c r="G85" s="1193"/>
      <c r="H85" s="590" cm="1">
        <f t="array" ref="H85">'PF calculator'!H85</f>
        <v>0</v>
      </c>
      <c r="I85" s="590" cm="1">
        <f t="array" ref="I85">'PF calculator'!I85</f>
        <v>0</v>
      </c>
      <c r="J85" s="590" cm="1">
        <f t="array" ref="J85">'PF calculator'!J85</f>
        <v>1</v>
      </c>
      <c r="K85" s="1194"/>
      <c r="L85" s="1162" cm="1">
        <f t="array" ref="L85">(((H85-D85)*'Policy assumptions and formulae'!AR14)+((I85-E85)*'Policy assumptions and formulae'!AS14)+((J85-F85)*'Policy assumptions and formulae'!AT14))*VLOOKUP($E$38,'Policy assumptions and formulae'!$A$10:$D$109,4,FALSE)</f>
        <v>159768.99395268576</v>
      </c>
      <c r="M85" s="1163"/>
      <c r="N85" s="1207" t="s">
        <v>149</v>
      </c>
      <c r="O85" s="1208"/>
      <c r="P85" s="593" cm="1">
        <f t="array" ref="P85">'PF calculator'!P85</f>
        <v>1</v>
      </c>
      <c r="Q85" s="594"/>
      <c r="R85" s="1184" cm="1">
        <f t="array" ref="R85">(P85*'Policy assumptions and formulae'!AT24)*VLOOKUP($E$38,'Policy assumptions and formulae'!$A$10:$D$109,4,FALSE)</f>
        <v>197098.19814723852</v>
      </c>
      <c r="S85" s="1185"/>
      <c r="T85" s="571"/>
      <c r="U85" s="522"/>
      <c r="V85" s="57"/>
      <c r="W85" s="57"/>
      <c r="X85" s="58"/>
    </row>
    <row r="86" spans="1:24" ht="18.75" customHeight="1">
      <c r="A86" s="522"/>
      <c r="B86" s="1188" t="s">
        <v>150</v>
      </c>
      <c r="C86" s="1189"/>
      <c r="D86" s="590" cm="1">
        <f t="array" ref="D86">'PF calculator'!D86</f>
        <v>1</v>
      </c>
      <c r="E86" s="590" cm="1">
        <f t="array" ref="E86">'PF calculator'!E86</f>
        <v>0</v>
      </c>
      <c r="F86" s="590" cm="1">
        <f t="array" ref="F86">'PF calculator'!F86</f>
        <v>0</v>
      </c>
      <c r="G86" s="1193"/>
      <c r="H86" s="590" cm="1">
        <f t="array" ref="H86">'PF calculator'!H86</f>
        <v>0</v>
      </c>
      <c r="I86" s="590" cm="1">
        <f t="array" ref="I86">'PF calculator'!I86</f>
        <v>0</v>
      </c>
      <c r="J86" s="590" cm="1">
        <f t="array" ref="J86">'PF calculator'!J86</f>
        <v>1</v>
      </c>
      <c r="K86" s="1194"/>
      <c r="L86" s="1162" cm="1">
        <f t="array" ref="L86">(((H86-D86)*'Policy assumptions and formulae'!AR15)+((I86-E86)*'Policy assumptions and formulae'!AS15)+((J86-F86)*'Policy assumptions and formulae'!AT15))*VLOOKUP($E$38,'Policy assumptions and formulae'!$A$10:$D$109,4,FALSE)</f>
        <v>81825.615594459625</v>
      </c>
      <c r="M86" s="1163"/>
      <c r="N86" s="1195" t="s">
        <v>151</v>
      </c>
      <c r="O86" s="1196"/>
      <c r="P86" s="593" cm="1">
        <f t="array" ref="P86">'PF calculator'!P86</f>
        <v>1</v>
      </c>
      <c r="Q86" s="594"/>
      <c r="R86" s="1184" cm="1">
        <f t="array" ref="R86">(P86*'Policy assumptions and formulae'!AT25)*VLOOKUP($E$38,'Policy assumptions and formulae'!$A$10:$D$109,4,FALSE)</f>
        <v>98549.099073619262</v>
      </c>
      <c r="S86" s="1185"/>
      <c r="T86" s="571"/>
      <c r="U86" s="522"/>
      <c r="V86" s="57"/>
      <c r="W86" s="57"/>
      <c r="X86" s="58"/>
    </row>
    <row r="87" spans="1:24" ht="18.75" customHeight="1">
      <c r="A87" s="522"/>
      <c r="B87" s="1188" t="s">
        <v>152</v>
      </c>
      <c r="C87" s="1189"/>
      <c r="D87" s="590" cm="1">
        <f t="array" ref="D87">'PF calculator'!D87</f>
        <v>1</v>
      </c>
      <c r="E87" s="590" cm="1">
        <f t="array" ref="E87">'PF calculator'!E87</f>
        <v>0</v>
      </c>
      <c r="F87" s="590" cm="1">
        <f t="array" ref="F87">'PF calculator'!F87</f>
        <v>0</v>
      </c>
      <c r="G87" s="1193"/>
      <c r="H87" s="590" cm="1">
        <f t="array" ref="H87">'PF calculator'!H87</f>
        <v>0</v>
      </c>
      <c r="I87" s="590" cm="1">
        <f t="array" ref="I87">'PF calculator'!I87</f>
        <v>0</v>
      </c>
      <c r="J87" s="590" cm="1">
        <f t="array" ref="J87">'PF calculator'!J87</f>
        <v>1</v>
      </c>
      <c r="K87" s="1194"/>
      <c r="L87" s="1162" cm="1">
        <f t="array" ref="L87">(((H87-D87)*'Policy assumptions and formulae'!AR16)+((I87-E87)*'Policy assumptions and formulae'!AS16)+((J87-F87)*'Policy assumptions and formulae'!AT16))*VLOOKUP($E$38,'Policy assumptions and formulae'!$A$10:$D$109,4,FALSE)</f>
        <v>12841.246242926147</v>
      </c>
      <c r="M87" s="1163"/>
      <c r="N87" s="1197"/>
      <c r="O87" s="1198"/>
      <c r="P87" s="595"/>
      <c r="Q87" s="559"/>
      <c r="R87" s="596"/>
      <c r="S87" s="596"/>
      <c r="T87" s="523"/>
      <c r="U87" s="522"/>
      <c r="V87" s="57"/>
      <c r="W87" s="57"/>
      <c r="X87" s="58"/>
    </row>
    <row r="88" spans="1:24" ht="18.75" customHeight="1">
      <c r="A88" s="522"/>
      <c r="B88" s="1188" t="s">
        <v>153</v>
      </c>
      <c r="C88" s="1189"/>
      <c r="D88" s="590" cm="1">
        <f t="array" ref="D88">'PF calculator'!D88</f>
        <v>1</v>
      </c>
      <c r="E88" s="590" cm="1">
        <f t="array" ref="E88">'PF calculator'!E88</f>
        <v>0</v>
      </c>
      <c r="F88" s="590" cm="1">
        <f t="array" ref="F88">'PF calculator'!F88</f>
        <v>0</v>
      </c>
      <c r="G88" s="1193"/>
      <c r="H88" s="590" cm="1">
        <f t="array" ref="H88">'PF calculator'!H88</f>
        <v>0</v>
      </c>
      <c r="I88" s="590" cm="1">
        <f t="array" ref="I88">'PF calculator'!I88</f>
        <v>0</v>
      </c>
      <c r="J88" s="590" cm="1">
        <f t="array" ref="J88">'PF calculator'!J88</f>
        <v>1</v>
      </c>
      <c r="K88" s="1194"/>
      <c r="L88" s="1162" cm="1">
        <f t="array" ref="L88">(((H88-D88)*'Policy assumptions and formulae'!AR17)+((I88-E88)*'Policy assumptions and formulae'!AS17)+((J88-F88)*'Policy assumptions and formulae'!AT17))*VLOOKUP($E$38,'Policy assumptions and formulae'!$A$10:$D$109,4,FALSE)</f>
        <v>78540.645625338992</v>
      </c>
      <c r="M88" s="1163"/>
      <c r="N88" s="591"/>
      <c r="O88" s="529"/>
      <c r="P88" s="529"/>
      <c r="Q88" s="529"/>
      <c r="R88" s="529"/>
      <c r="S88" s="529"/>
      <c r="T88" s="523"/>
      <c r="U88" s="522"/>
      <c r="V88" s="57"/>
      <c r="W88" s="57"/>
      <c r="X88" s="58"/>
    </row>
    <row r="89" spans="1:24" ht="18.75" customHeight="1">
      <c r="A89" s="522"/>
      <c r="B89" s="1188" t="s">
        <v>154</v>
      </c>
      <c r="C89" s="1189"/>
      <c r="D89" s="590" cm="1">
        <f t="array" ref="D89">'PF calculator'!D89</f>
        <v>1</v>
      </c>
      <c r="E89" s="590" cm="1">
        <f t="array" ref="E89">'PF calculator'!E89</f>
        <v>0</v>
      </c>
      <c r="F89" s="590" cm="1">
        <f t="array" ref="F89">'PF calculator'!F89</f>
        <v>0</v>
      </c>
      <c r="G89" s="1193"/>
      <c r="H89" s="590" cm="1">
        <f t="array" ref="H89">'PF calculator'!H89</f>
        <v>0</v>
      </c>
      <c r="I89" s="590" cm="1">
        <f t="array" ref="I89">'PF calculator'!I89</f>
        <v>0</v>
      </c>
      <c r="J89" s="590" cm="1">
        <f t="array" ref="J89">'PF calculator'!J89</f>
        <v>1</v>
      </c>
      <c r="K89" s="1194"/>
      <c r="L89" s="1162" cm="1">
        <f t="array" ref="L89">(((H89-D89)*'Policy assumptions and formulae'!AR18)+((I89-E89)*'Policy assumptions and formulae'!AS18)+((J89-F89)*'Policy assumptions and formulae'!AT18))*VLOOKUP($E$38,'Policy assumptions and formulae'!$A$10:$D$109,4,FALSE)</f>
        <v>81825.615594459625</v>
      </c>
      <c r="M89" s="1163"/>
      <c r="N89" s="597"/>
      <c r="O89" s="598"/>
      <c r="P89" s="599"/>
      <c r="Q89" s="559"/>
      <c r="R89" s="600"/>
      <c r="S89" s="600"/>
      <c r="T89" s="523"/>
      <c r="U89" s="522"/>
      <c r="V89" s="57"/>
      <c r="W89" s="57"/>
      <c r="X89" s="58"/>
    </row>
    <row r="90" spans="1:24" ht="18.75" customHeight="1">
      <c r="A90" s="522"/>
      <c r="B90" s="1188" t="s">
        <v>155</v>
      </c>
      <c r="C90" s="1189"/>
      <c r="D90" s="590" cm="1">
        <f t="array" ref="D90">'PF calculator'!D90</f>
        <v>1</v>
      </c>
      <c r="E90" s="590" cm="1">
        <f t="array" ref="E90">'PF calculator'!E90</f>
        <v>0</v>
      </c>
      <c r="F90" s="590" cm="1">
        <f t="array" ref="F90">'PF calculator'!F90</f>
        <v>0</v>
      </c>
      <c r="G90" s="1193"/>
      <c r="H90" s="590" cm="1">
        <f t="array" ref="H90">'PF calculator'!H90</f>
        <v>0</v>
      </c>
      <c r="I90" s="590" cm="1">
        <f t="array" ref="I90">'PF calculator'!I90</f>
        <v>0</v>
      </c>
      <c r="J90" s="590" cm="1">
        <f t="array" ref="J90">'PF calculator'!J90</f>
        <v>1</v>
      </c>
      <c r="K90" s="1194"/>
      <c r="L90" s="1162" cm="1">
        <f t="array" ref="L90">(((H90-D90)*'Policy assumptions and formulae'!AR19)+((I90-E90)*'Policy assumptions and formulae'!AS19)+((J90-F90)*'Policy assumptions and formulae'!AT19))*VLOOKUP($E$38,'Policy assumptions and formulae'!$A$10:$D$109,4,FALSE)</f>
        <v>895.90090066926598</v>
      </c>
      <c r="M90" s="1163"/>
      <c r="N90" s="591"/>
      <c r="O90" s="529"/>
      <c r="P90" s="529"/>
      <c r="Q90" s="529"/>
      <c r="R90" s="529"/>
      <c r="S90" s="529"/>
      <c r="T90" s="523"/>
      <c r="U90" s="522"/>
      <c r="V90" s="57"/>
      <c r="W90" s="57"/>
      <c r="X90" s="58"/>
    </row>
    <row r="91" spans="1:24" ht="8" customHeight="1">
      <c r="A91" s="522"/>
      <c r="B91" s="549"/>
      <c r="C91" s="549"/>
      <c r="D91" s="601"/>
      <c r="E91" s="601"/>
      <c r="F91" s="601"/>
      <c r="G91" s="549"/>
      <c r="H91" s="601"/>
      <c r="I91" s="601"/>
      <c r="J91" s="601"/>
      <c r="K91" s="549"/>
      <c r="L91" s="558"/>
      <c r="M91" s="558"/>
      <c r="N91" s="549"/>
      <c r="O91" s="549"/>
      <c r="P91" s="549"/>
      <c r="Q91" s="549"/>
      <c r="R91" s="549"/>
      <c r="S91" s="549"/>
      <c r="T91" s="523"/>
      <c r="U91" s="522"/>
      <c r="V91" s="57"/>
      <c r="W91" s="57"/>
      <c r="X91" s="58"/>
    </row>
    <row r="92" spans="1:24" ht="18.75" customHeight="1">
      <c r="A92" s="522"/>
      <c r="B92" s="1190" t="e" cm="1" vm="7">
        <f t="array" aca="1" ref="B92" ca="1">'PF calculator'!B92:J92</f>
        <v>#VALUE!</v>
      </c>
      <c r="C92" s="1190"/>
      <c r="D92" s="1190"/>
      <c r="E92" s="1190"/>
      <c r="F92" s="1190"/>
      <c r="G92" s="1190"/>
      <c r="H92" s="1190"/>
      <c r="I92" s="1190"/>
      <c r="J92" s="1190"/>
      <c r="K92" s="1190"/>
      <c r="L92" s="1190"/>
      <c r="M92" s="1190"/>
      <c r="N92" s="1190"/>
      <c r="O92" s="1190"/>
      <c r="P92" s="1190"/>
      <c r="Q92" s="1190"/>
      <c r="R92" s="1190"/>
      <c r="S92" s="1190"/>
      <c r="T92" s="523"/>
      <c r="U92" s="522"/>
      <c r="V92" s="57"/>
      <c r="W92" s="57"/>
      <c r="X92" s="58"/>
    </row>
    <row r="93" spans="1:24" ht="8" customHeight="1">
      <c r="A93" s="522"/>
      <c r="B93" s="529"/>
      <c r="C93" s="529"/>
      <c r="D93" s="529"/>
      <c r="E93" s="529"/>
      <c r="F93" s="529"/>
      <c r="G93" s="529"/>
      <c r="H93" s="529"/>
      <c r="I93" s="529"/>
      <c r="J93" s="529"/>
      <c r="K93" s="529"/>
      <c r="L93" s="529"/>
      <c r="M93" s="529"/>
      <c r="N93" s="529"/>
      <c r="O93" s="529"/>
      <c r="P93" s="529"/>
      <c r="Q93" s="529"/>
      <c r="R93" s="529"/>
      <c r="S93" s="529"/>
      <c r="T93" s="523"/>
      <c r="U93" s="522"/>
      <c r="V93" s="57"/>
      <c r="W93" s="57"/>
      <c r="X93" s="58"/>
    </row>
    <row r="94" spans="1:24" ht="18.75" customHeight="1">
      <c r="A94" s="522"/>
      <c r="B94" s="602" t="s">
        <v>161</v>
      </c>
      <c r="C94" s="602" t="s">
        <v>162</v>
      </c>
      <c r="D94" s="1191" t="s">
        <v>163</v>
      </c>
      <c r="E94" s="1192"/>
      <c r="F94" s="1191" t="s">
        <v>160</v>
      </c>
      <c r="G94" s="1192"/>
      <c r="H94" s="1191" t="s">
        <v>164</v>
      </c>
      <c r="I94" s="1192"/>
      <c r="J94" s="529"/>
      <c r="K94" s="529"/>
      <c r="L94" s="529"/>
      <c r="M94" s="529"/>
      <c r="N94" s="529"/>
      <c r="O94" s="529"/>
      <c r="P94" s="529"/>
      <c r="Q94" s="529"/>
      <c r="R94" s="529"/>
      <c r="S94" s="529"/>
      <c r="T94" s="523"/>
      <c r="U94" s="522"/>
      <c r="V94" s="57"/>
      <c r="W94" s="57"/>
      <c r="X94" s="58"/>
    </row>
    <row r="95" spans="1:24" ht="18.75" customHeight="1">
      <c r="A95" s="522"/>
      <c r="B95" s="603" t="s">
        <v>473</v>
      </c>
      <c r="C95" s="604" t="s">
        <v>169</v>
      </c>
      <c r="D95" s="1175"/>
      <c r="E95" s="1176"/>
      <c r="F95" s="1177" cm="1">
        <f t="array" ref="F95">'PF calculator'!G95</f>
        <v>6</v>
      </c>
      <c r="G95" s="1178"/>
      <c r="H95" s="1175" cm="1">
        <f t="array" ref="H95">IF(D95="Ltd by high OM1b,2,3,4 values",0,D95*(F95/100))</f>
        <v>0</v>
      </c>
      <c r="I95" s="1175"/>
      <c r="J95" s="576"/>
      <c r="K95" s="529"/>
      <c r="L95" s="529"/>
      <c r="M95" s="529"/>
      <c r="N95" s="529"/>
      <c r="O95" s="529"/>
      <c r="P95" s="529"/>
      <c r="Q95" s="529"/>
      <c r="R95" s="529"/>
      <c r="S95" s="529"/>
      <c r="T95" s="523"/>
      <c r="U95" s="522"/>
      <c r="V95" s="57"/>
      <c r="W95" s="57"/>
      <c r="X95" s="58"/>
    </row>
    <row r="96" spans="1:24" ht="18.75" customHeight="1">
      <c r="A96" s="522"/>
      <c r="B96" s="605"/>
      <c r="C96" s="606" t="s">
        <v>172</v>
      </c>
      <c r="D96" s="1186" cm="1">
        <f t="array" ref="D96">E41</f>
        <v>1000000</v>
      </c>
      <c r="E96" s="1187"/>
      <c r="F96" s="1177" cm="1">
        <f t="array" ref="F96">'PF calculator'!G96</f>
        <v>20</v>
      </c>
      <c r="G96" s="1178"/>
      <c r="H96" s="1175" cm="1">
        <f t="array" ref="H96">D96*(F96/100)</f>
        <v>200000</v>
      </c>
      <c r="I96" s="1175"/>
      <c r="J96" s="576"/>
      <c r="K96" s="529"/>
      <c r="L96" s="529"/>
      <c r="M96" s="529"/>
      <c r="N96" s="529"/>
      <c r="O96" s="529"/>
      <c r="P96" s="529"/>
      <c r="Q96" s="529"/>
      <c r="R96" s="529"/>
      <c r="S96" s="529"/>
      <c r="T96" s="523"/>
      <c r="U96" s="522"/>
      <c r="V96" s="57"/>
      <c r="W96" s="57"/>
      <c r="X96" s="58"/>
    </row>
    <row r="97" spans="1:24" ht="18.75" customHeight="1">
      <c r="A97" s="522"/>
      <c r="B97" s="1311" t="s">
        <v>174</v>
      </c>
      <c r="C97" s="607" t="s">
        <v>175</v>
      </c>
      <c r="D97" s="1175" cm="1">
        <f t="array" ref="D97">IF(R61="Ltd by DoB",R46,R46+R61)</f>
        <v>3908614.4715996296</v>
      </c>
      <c r="E97" s="1176"/>
      <c r="F97" s="1177" cm="1">
        <f t="array" ref="F97">'PF calculator'!G97</f>
        <v>45</v>
      </c>
      <c r="G97" s="1178"/>
      <c r="H97" s="1175" cm="1">
        <f t="array" ref="H97">D97*(F97/100)</f>
        <v>1758876.5122198334</v>
      </c>
      <c r="I97" s="1175"/>
      <c r="J97" s="576"/>
      <c r="K97" s="529"/>
      <c r="L97" s="529"/>
      <c r="M97" s="529"/>
      <c r="N97" s="529"/>
      <c r="O97" s="529"/>
      <c r="P97" s="529"/>
      <c r="Q97" s="529"/>
      <c r="R97" s="529"/>
      <c r="S97" s="529"/>
      <c r="T97" s="523"/>
      <c r="U97" s="522"/>
      <c r="V97" s="57"/>
      <c r="W97" s="57"/>
      <c r="X97" s="58"/>
    </row>
    <row r="98" spans="1:24" ht="18.75" customHeight="1">
      <c r="A98" s="522"/>
      <c r="B98" s="1312"/>
      <c r="C98" s="607" t="s">
        <v>177</v>
      </c>
      <c r="D98" s="1175" cm="1">
        <f t="array" ref="D98">IF(R62="Ltd by DoB",R47,R47+R62)</f>
        <v>14934170.291434068</v>
      </c>
      <c r="E98" s="1176"/>
      <c r="F98" s="1177" cm="1">
        <f t="array" ref="F98">'PF calculator'!G98</f>
        <v>30</v>
      </c>
      <c r="G98" s="1178"/>
      <c r="H98" s="1175" cm="1">
        <f t="array" ref="H98">D98*(F98/100)</f>
        <v>4480251.0874302201</v>
      </c>
      <c r="I98" s="1175"/>
      <c r="J98" s="576"/>
      <c r="K98" s="529"/>
      <c r="L98" s="529"/>
      <c r="M98" s="529"/>
      <c r="N98" s="529"/>
      <c r="O98" s="529"/>
      <c r="P98" s="529"/>
      <c r="Q98" s="529"/>
      <c r="R98" s="529"/>
      <c r="S98" s="529"/>
      <c r="T98" s="523"/>
      <c r="U98" s="522"/>
      <c r="V98" s="57"/>
      <c r="W98" s="57"/>
      <c r="X98" s="58"/>
    </row>
    <row r="99" spans="1:24" ht="18.75" customHeight="1">
      <c r="A99" s="522"/>
      <c r="B99" s="1312"/>
      <c r="C99" s="607" t="s">
        <v>179</v>
      </c>
      <c r="D99" s="1175" cm="1">
        <f t="array" ref="D99">IF(R63="Ltd by DoB",R48,R48+R63)</f>
        <v>0</v>
      </c>
      <c r="E99" s="1176"/>
      <c r="F99" s="1177" cm="1">
        <f t="array" ref="F99">'PF calculator'!G99</f>
        <v>20</v>
      </c>
      <c r="G99" s="1178"/>
      <c r="H99" s="1175" cm="1">
        <f t="array" ref="H99">D99*(F99/100)</f>
        <v>0</v>
      </c>
      <c r="I99" s="1175"/>
      <c r="J99" s="576"/>
      <c r="K99" s="529"/>
      <c r="L99" s="529"/>
      <c r="M99" s="529"/>
      <c r="N99" s="529"/>
      <c r="O99" s="529"/>
      <c r="P99" s="529"/>
      <c r="Q99" s="529"/>
      <c r="R99" s="529"/>
      <c r="S99" s="529"/>
      <c r="T99" s="523"/>
      <c r="U99" s="522"/>
      <c r="V99" s="57"/>
      <c r="W99" s="57"/>
      <c r="X99" s="58"/>
    </row>
    <row r="100" spans="1:24" ht="18.75" customHeight="1">
      <c r="A100" s="522"/>
      <c r="B100" s="1311" t="s">
        <v>181</v>
      </c>
      <c r="C100" s="607" t="s">
        <v>175</v>
      </c>
      <c r="D100" s="1175" cm="1">
        <f t="array" ref="D100">R74</f>
        <v>0</v>
      </c>
      <c r="E100" s="1176"/>
      <c r="F100" s="1177" cm="1">
        <f t="array" ref="F100">'PF calculator'!G100</f>
        <v>45</v>
      </c>
      <c r="G100" s="1178"/>
      <c r="H100" s="1175" cm="1">
        <f t="array" ref="H100">D100*(F100/100)</f>
        <v>0</v>
      </c>
      <c r="I100" s="1175"/>
      <c r="J100" s="576"/>
      <c r="K100" s="529"/>
      <c r="L100" s="529"/>
      <c r="M100" s="529"/>
      <c r="N100" s="529"/>
      <c r="O100" s="529"/>
      <c r="P100" s="529"/>
      <c r="Q100" s="529"/>
      <c r="R100" s="529"/>
      <c r="S100" s="529"/>
      <c r="T100" s="523"/>
      <c r="U100" s="522"/>
      <c r="V100" s="57"/>
      <c r="W100" s="57"/>
      <c r="X100" s="58"/>
    </row>
    <row r="101" spans="1:24" ht="18.75" customHeight="1">
      <c r="A101" s="522"/>
      <c r="B101" s="1312"/>
      <c r="C101" s="607" t="s">
        <v>177</v>
      </c>
      <c r="D101" s="1175" cm="1">
        <f t="array" ref="D101">R75</f>
        <v>0</v>
      </c>
      <c r="E101" s="1176"/>
      <c r="F101" s="1177" cm="1">
        <f t="array" ref="F101">'PF calculator'!G101</f>
        <v>30</v>
      </c>
      <c r="G101" s="1178"/>
      <c r="H101" s="1175" cm="1">
        <f t="array" ref="H101">D101*(F101/100)</f>
        <v>0</v>
      </c>
      <c r="I101" s="1175"/>
      <c r="J101" s="576"/>
      <c r="K101" s="529"/>
      <c r="L101" s="529"/>
      <c r="M101" s="529"/>
      <c r="N101" s="529"/>
      <c r="O101" s="529"/>
      <c r="P101" s="529"/>
      <c r="Q101" s="529"/>
      <c r="R101" s="529"/>
      <c r="S101" s="529"/>
      <c r="T101" s="523"/>
      <c r="U101" s="522"/>
      <c r="V101" s="57"/>
      <c r="W101" s="57"/>
      <c r="X101" s="58"/>
    </row>
    <row r="102" spans="1:24" ht="18.75" customHeight="1">
      <c r="A102" s="522"/>
      <c r="B102" s="1312"/>
      <c r="C102" s="607" t="s">
        <v>179</v>
      </c>
      <c r="D102" s="1175" cm="1">
        <f t="array" ref="D102">R76</f>
        <v>0</v>
      </c>
      <c r="E102" s="1176"/>
      <c r="F102" s="1177" cm="1">
        <f t="array" ref="F102">'PF calculator'!G102</f>
        <v>20</v>
      </c>
      <c r="G102" s="1178"/>
      <c r="H102" s="1175" cm="1">
        <f t="array" ref="H102">D102*(F102/100)</f>
        <v>0</v>
      </c>
      <c r="I102" s="1175"/>
      <c r="J102" s="576"/>
      <c r="K102" s="529"/>
      <c r="L102" s="529"/>
      <c r="M102" s="529"/>
      <c r="N102" s="529"/>
      <c r="O102" s="529"/>
      <c r="P102" s="529"/>
      <c r="Q102" s="529"/>
      <c r="R102" s="529"/>
      <c r="S102" s="529"/>
      <c r="T102" s="523"/>
      <c r="U102" s="522"/>
      <c r="V102" s="57"/>
      <c r="W102" s="57"/>
      <c r="X102" s="58"/>
    </row>
    <row r="103" spans="1:24" ht="18.75" customHeight="1">
      <c r="A103" s="522"/>
      <c r="B103" s="1164" t="s">
        <v>185</v>
      </c>
      <c r="C103" s="608" t="s">
        <v>186</v>
      </c>
      <c r="D103" s="1175" cm="1">
        <f t="array" ref="D103">IF(SUM(L83:M90)&lt;0,"Ltd by negative OM4 values",SUM(L83:M90))</f>
        <v>847522.25203312549</v>
      </c>
      <c r="E103" s="1175"/>
      <c r="F103" s="1177" cm="1">
        <f t="array" ref="F103">'PF calculator'!G103</f>
        <v>20</v>
      </c>
      <c r="G103" s="1178"/>
      <c r="H103" s="1175" cm="1">
        <f t="array" ref="H103">IF(D103="Ltd by negative OM4 values",0,D103*(F103/100))</f>
        <v>169504.45040662511</v>
      </c>
      <c r="I103" s="1175"/>
      <c r="J103" s="576"/>
      <c r="K103" s="529"/>
      <c r="L103" s="529"/>
      <c r="M103" s="529"/>
      <c r="N103" s="529"/>
      <c r="O103" s="529"/>
      <c r="P103" s="529"/>
      <c r="Q103" s="529"/>
      <c r="R103" s="529"/>
      <c r="S103" s="529"/>
      <c r="T103" s="523"/>
      <c r="U103" s="522"/>
      <c r="V103" s="57"/>
      <c r="W103" s="57"/>
      <c r="X103" s="58"/>
    </row>
    <row r="104" spans="1:24" ht="18.75" customHeight="1">
      <c r="A104" s="522"/>
      <c r="B104" s="1181"/>
      <c r="C104" s="606" t="s">
        <v>187</v>
      </c>
      <c r="D104" s="1166" cm="1">
        <f t="array" ref="D104">SUM(R84:S86)</f>
        <v>689843.69351533486</v>
      </c>
      <c r="E104" s="1167"/>
      <c r="F104" s="1177" cm="1">
        <f t="array" ref="F104">'PF calculator'!G104</f>
        <v>20</v>
      </c>
      <c r="G104" s="1178"/>
      <c r="H104" s="1310" cm="1">
        <f t="array" ref="H104">D104*(F104/100)</f>
        <v>137968.73870306698</v>
      </c>
      <c r="I104" s="1310"/>
      <c r="J104" s="576"/>
      <c r="K104" s="529"/>
      <c r="L104" s="529"/>
      <c r="M104" s="529"/>
      <c r="N104" s="529"/>
      <c r="O104" s="529"/>
      <c r="P104" s="529"/>
      <c r="Q104" s="529"/>
      <c r="R104" s="529"/>
      <c r="S104" s="529"/>
      <c r="T104" s="523"/>
      <c r="U104" s="522"/>
      <c r="V104" s="57"/>
      <c r="W104" s="57"/>
      <c r="X104" s="58"/>
    </row>
    <row r="105" spans="1:24" ht="18.75" customHeight="1">
      <c r="A105" s="522"/>
      <c r="B105" s="1164" t="s">
        <v>188</v>
      </c>
      <c r="C105" s="1165"/>
      <c r="D105" s="1175" cm="1">
        <f t="array" ref="D105">SUM(D95:E104)</f>
        <v>21380150.708582155</v>
      </c>
      <c r="E105" s="1175"/>
      <c r="F105" s="1306" t="e" cm="1" vm="5">
        <f t="array" aca="1" ref="F105" ca="1">'PF calculator'!F105:G105</f>
        <v>#VALUE!</v>
      </c>
      <c r="G105" s="1307"/>
      <c r="H105" s="1308" cm="1">
        <f t="array" ref="H105">SUM(H95:I104)</f>
        <v>6746600.7887597457</v>
      </c>
      <c r="I105" s="1309"/>
      <c r="J105" s="591"/>
      <c r="K105" s="529"/>
      <c r="L105" s="529"/>
      <c r="M105" s="529"/>
      <c r="N105" s="529"/>
      <c r="O105" s="529"/>
      <c r="P105" s="529"/>
      <c r="Q105" s="529"/>
      <c r="R105" s="529"/>
      <c r="S105" s="529"/>
      <c r="T105" s="523"/>
      <c r="U105" s="522"/>
      <c r="V105" s="57"/>
      <c r="W105" s="57"/>
      <c r="X105" s="58"/>
    </row>
    <row r="106" spans="1:24" ht="8" customHeight="1">
      <c r="A106" s="522"/>
      <c r="B106" s="549"/>
      <c r="C106" s="549"/>
      <c r="D106" s="601"/>
      <c r="E106" s="601"/>
      <c r="F106" s="549"/>
      <c r="G106" s="549"/>
      <c r="H106" s="558"/>
      <c r="I106" s="558"/>
      <c r="J106" s="549"/>
      <c r="K106" s="549"/>
      <c r="L106" s="549"/>
      <c r="M106" s="549"/>
      <c r="N106" s="549"/>
      <c r="O106" s="549"/>
      <c r="P106" s="549"/>
      <c r="Q106" s="549"/>
      <c r="R106" s="549"/>
      <c r="S106" s="549"/>
      <c r="T106" s="523"/>
      <c r="U106" s="522"/>
      <c r="V106" s="57"/>
      <c r="W106" s="57"/>
      <c r="X106" s="58"/>
    </row>
    <row r="107" spans="1:24" ht="15.75" customHeight="1">
      <c r="A107" s="609"/>
      <c r="B107" s="1179" t="s">
        <v>190</v>
      </c>
      <c r="C107" s="1180"/>
      <c r="D107" s="1180"/>
      <c r="E107" s="1180"/>
      <c r="F107" s="1180"/>
      <c r="G107" s="1180"/>
      <c r="H107" s="1180"/>
      <c r="I107" s="1180"/>
      <c r="J107" s="1180"/>
      <c r="K107" s="1180"/>
      <c r="L107" s="1180"/>
      <c r="M107" s="1180"/>
      <c r="N107" s="1180"/>
      <c r="O107" s="1180"/>
      <c r="P107" s="1180"/>
      <c r="Q107" s="1180"/>
      <c r="R107" s="1180"/>
      <c r="S107" s="1180"/>
      <c r="T107" s="610"/>
      <c r="U107" s="611"/>
      <c r="V107" s="179"/>
      <c r="W107" s="179"/>
      <c r="X107" s="180"/>
    </row>
  </sheetData>
  <mergeCells count="219">
    <mergeCell ref="B1:S1"/>
    <mergeCell ref="B2:S2"/>
    <mergeCell ref="B3:S3"/>
    <mergeCell ref="B4:P4"/>
    <mergeCell ref="R4:S4"/>
    <mergeCell ref="R5:S5"/>
    <mergeCell ref="B7:C7"/>
    <mergeCell ref="D7:I7"/>
    <mergeCell ref="K7:L7"/>
    <mergeCell ref="M7:N7"/>
    <mergeCell ref="R6:S7"/>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9:D19"/>
    <mergeCell ref="E19:F19"/>
    <mergeCell ref="H19:J19"/>
    <mergeCell ref="K19:L19"/>
    <mergeCell ref="B21:D21"/>
    <mergeCell ref="E21:F21"/>
    <mergeCell ref="H21:J21"/>
    <mergeCell ref="K21:L21"/>
    <mergeCell ref="B25:S25"/>
    <mergeCell ref="K26:L27"/>
    <mergeCell ref="M26:N27"/>
    <mergeCell ref="O26:P27"/>
    <mergeCell ref="B27:D27"/>
    <mergeCell ref="E27:F27"/>
    <mergeCell ref="H27:J27"/>
    <mergeCell ref="B23:D23"/>
    <mergeCell ref="E23:F23"/>
    <mergeCell ref="H23:J23"/>
    <mergeCell ref="K23:L23"/>
    <mergeCell ref="M23:P23"/>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B37:D37"/>
    <mergeCell ref="E37:F37"/>
    <mergeCell ref="L37:S37"/>
    <mergeCell ref="B38:D38"/>
    <mergeCell ref="E38:F38"/>
    <mergeCell ref="B39:D39"/>
    <mergeCell ref="E39:F39"/>
    <mergeCell ref="B33:D33"/>
    <mergeCell ref="E33:F33"/>
    <mergeCell ref="H33:J33"/>
    <mergeCell ref="K33:L33"/>
    <mergeCell ref="M33:S33"/>
    <mergeCell ref="B35:S35"/>
    <mergeCell ref="B46:E46"/>
    <mergeCell ref="R46:S46"/>
    <mergeCell ref="B47:E47"/>
    <mergeCell ref="R47:S47"/>
    <mergeCell ref="B48:E48"/>
    <mergeCell ref="R48:S48"/>
    <mergeCell ref="B41:D42"/>
    <mergeCell ref="E41:F41"/>
    <mergeCell ref="B43:S43"/>
    <mergeCell ref="B45:E45"/>
    <mergeCell ref="F45:J45"/>
    <mergeCell ref="L45:P45"/>
    <mergeCell ref="R45:S45"/>
    <mergeCell ref="B56:S56"/>
    <mergeCell ref="B58:D58"/>
    <mergeCell ref="E58:F58"/>
    <mergeCell ref="B60:E60"/>
    <mergeCell ref="F60:J60"/>
    <mergeCell ref="L60:P60"/>
    <mergeCell ref="R60:S60"/>
    <mergeCell ref="B50:E50"/>
    <mergeCell ref="F50:J50"/>
    <mergeCell ref="L50:P51"/>
    <mergeCell ref="B51:E51"/>
    <mergeCell ref="B52:E52"/>
    <mergeCell ref="B53:E53"/>
    <mergeCell ref="B65:E65"/>
    <mergeCell ref="F65:J65"/>
    <mergeCell ref="L65:P66"/>
    <mergeCell ref="B66:E66"/>
    <mergeCell ref="B67:E67"/>
    <mergeCell ref="B68:E68"/>
    <mergeCell ref="B61:E61"/>
    <mergeCell ref="R61:S61"/>
    <mergeCell ref="B62:E62"/>
    <mergeCell ref="R62:S62"/>
    <mergeCell ref="B63:E63"/>
    <mergeCell ref="R63:S63"/>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84:C84"/>
    <mergeCell ref="B85:C85"/>
    <mergeCell ref="B79:S79"/>
    <mergeCell ref="D81:F81"/>
    <mergeCell ref="B82:C82"/>
    <mergeCell ref="B83:C83"/>
    <mergeCell ref="R83:S83"/>
    <mergeCell ref="R84:S84"/>
    <mergeCell ref="R85:S85"/>
    <mergeCell ref="L82:M82"/>
    <mergeCell ref="L83:M83"/>
    <mergeCell ref="L84:M84"/>
    <mergeCell ref="N84:O84"/>
    <mergeCell ref="L85:M85"/>
    <mergeCell ref="G81:K81"/>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L86:M86"/>
    <mergeCell ref="L87:M87"/>
    <mergeCell ref="L88:M88"/>
    <mergeCell ref="L89:M89"/>
    <mergeCell ref="G83:G90"/>
    <mergeCell ref="K83:K90"/>
    <mergeCell ref="N85:O85"/>
    <mergeCell ref="N86:O87"/>
    <mergeCell ref="D97:E97"/>
    <mergeCell ref="F97:G97"/>
    <mergeCell ref="H97:I97"/>
    <mergeCell ref="D98:E98"/>
    <mergeCell ref="F98:G98"/>
    <mergeCell ref="H98:I98"/>
    <mergeCell ref="D99:E99"/>
    <mergeCell ref="F99:G99"/>
    <mergeCell ref="H99:I99"/>
    <mergeCell ref="L90:M90"/>
    <mergeCell ref="B105:C105"/>
    <mergeCell ref="D105:E105"/>
    <mergeCell ref="F105:G105"/>
    <mergeCell ref="H105:I105"/>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B97:B99"/>
  </mergeCells>
  <conditionalFormatting sqref="L46:P48 L61:P63">
    <cfRule type="cellIs" dxfId="4" priority="1" stopIfTrue="1" operator="lessThan">
      <formula>0</formula>
    </cfRule>
  </conditionalFormatting>
  <pageMargins left="0.7" right="0.7" top="0.75" bottom="0.75" header="0.3" footer="0.3"/>
  <pageSetup scale="37"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07"/>
  <sheetViews>
    <sheetView showGridLines="0" workbookViewId="0"/>
  </sheetViews>
  <sheetFormatPr defaultColWidth="8.84375" defaultRowHeight="15" customHeight="1"/>
  <cols>
    <col min="1" max="1" width="1.15234375" style="5" customWidth="1"/>
    <col min="2" max="19" width="10.84375" style="5" customWidth="1"/>
    <col min="20" max="20" width="1.15234375" style="5" customWidth="1"/>
    <col min="21" max="25" width="8.84375" style="5" customWidth="1"/>
    <col min="26" max="16384" width="8.84375" style="5"/>
  </cols>
  <sheetData>
    <row r="1" spans="1:24" ht="17.149999999999999" customHeight="1">
      <c r="A1" s="519"/>
      <c r="B1" s="1287"/>
      <c r="C1" s="1287"/>
      <c r="D1" s="1287"/>
      <c r="E1" s="1287"/>
      <c r="F1" s="1287"/>
      <c r="G1" s="1287"/>
      <c r="H1" s="1287"/>
      <c r="I1" s="1287"/>
      <c r="J1" s="1287"/>
      <c r="K1" s="1287"/>
      <c r="L1" s="1287"/>
      <c r="M1" s="1287"/>
      <c r="N1" s="1287"/>
      <c r="O1" s="1287"/>
      <c r="P1" s="1287"/>
      <c r="Q1" s="1287"/>
      <c r="R1" s="1287"/>
      <c r="S1" s="1287"/>
      <c r="T1" s="520"/>
      <c r="U1" s="521"/>
      <c r="V1" s="52"/>
      <c r="W1" s="52"/>
      <c r="X1" s="53"/>
    </row>
    <row r="2" spans="1:24" ht="33.75" customHeight="1">
      <c r="A2" s="522"/>
      <c r="B2" s="1288" t="s">
        <v>45</v>
      </c>
      <c r="C2" s="1289"/>
      <c r="D2" s="1289"/>
      <c r="E2" s="1289"/>
      <c r="F2" s="1289"/>
      <c r="G2" s="1289"/>
      <c r="H2" s="1289"/>
      <c r="I2" s="1289"/>
      <c r="J2" s="1289"/>
      <c r="K2" s="1289"/>
      <c r="L2" s="1289"/>
      <c r="M2" s="1289"/>
      <c r="N2" s="1289"/>
      <c r="O2" s="1289"/>
      <c r="P2" s="1289"/>
      <c r="Q2" s="1289"/>
      <c r="R2" s="1289"/>
      <c r="S2" s="1289"/>
      <c r="T2" s="523"/>
      <c r="U2" s="522"/>
      <c r="V2" s="57"/>
      <c r="W2" s="57"/>
      <c r="X2" s="58"/>
    </row>
    <row r="3" spans="1:24" ht="23.25" customHeight="1">
      <c r="A3" s="522"/>
      <c r="B3" s="1290" t="s">
        <v>460</v>
      </c>
      <c r="C3" s="1291"/>
      <c r="D3" s="1291"/>
      <c r="E3" s="1291"/>
      <c r="F3" s="1291"/>
      <c r="G3" s="1291"/>
      <c r="H3" s="1291"/>
      <c r="I3" s="1291"/>
      <c r="J3" s="1291"/>
      <c r="K3" s="1291"/>
      <c r="L3" s="1291"/>
      <c r="M3" s="1291"/>
      <c r="N3" s="1291"/>
      <c r="O3" s="1291"/>
      <c r="P3" s="1291"/>
      <c r="Q3" s="1291"/>
      <c r="R3" s="1292"/>
      <c r="S3" s="1292"/>
      <c r="T3" s="523"/>
      <c r="U3" s="522"/>
      <c r="V3" s="57"/>
      <c r="W3" s="57"/>
      <c r="X3" s="58"/>
    </row>
    <row r="4" spans="1:24" ht="19.5" customHeight="1">
      <c r="A4" s="522"/>
      <c r="B4" s="1293" t="e" cm="1" vm="2">
        <f t="array" aca="1" ref="B4" ca="1">'PF calculator'!B4:P4</f>
        <v>#VALUE!</v>
      </c>
      <c r="C4" s="1293"/>
      <c r="D4" s="1293"/>
      <c r="E4" s="1293"/>
      <c r="F4" s="1293"/>
      <c r="G4" s="1293"/>
      <c r="H4" s="1293"/>
      <c r="I4" s="1293"/>
      <c r="J4" s="1293"/>
      <c r="K4" s="1293"/>
      <c r="L4" s="1293"/>
      <c r="M4" s="1293"/>
      <c r="N4" s="1293"/>
      <c r="O4" s="1293"/>
      <c r="P4" s="1293"/>
      <c r="Q4" s="524" t="s">
        <v>48</v>
      </c>
      <c r="R4" s="1294" t="s">
        <v>395</v>
      </c>
      <c r="S4" s="1295"/>
      <c r="T4" s="525"/>
      <c r="U4" s="522"/>
      <c r="V4" s="67"/>
      <c r="W4" s="57"/>
      <c r="X4" s="58"/>
    </row>
    <row r="5" spans="1:24" ht="19.5" customHeight="1">
      <c r="A5" s="522"/>
      <c r="B5" s="526" t="str" cm="1">
        <f t="array" ref="B5">'PF calculator'!B5</f>
        <v>SECTION 1: Project details</v>
      </c>
      <c r="C5" s="527"/>
      <c r="D5" s="527"/>
      <c r="E5" s="527"/>
      <c r="F5" s="527"/>
      <c r="G5" s="527"/>
      <c r="H5" s="527"/>
      <c r="I5" s="527"/>
      <c r="J5" s="527"/>
      <c r="K5" s="527"/>
      <c r="L5" s="527"/>
      <c r="M5" s="527"/>
      <c r="N5" s="527"/>
      <c r="O5" s="527"/>
      <c r="P5" s="527"/>
      <c r="Q5" s="528"/>
      <c r="R5" s="1296" t="s">
        <v>52</v>
      </c>
      <c r="S5" s="1297"/>
      <c r="T5" s="525"/>
      <c r="U5" s="522"/>
      <c r="V5" s="57"/>
      <c r="W5" s="57"/>
      <c r="X5" s="58"/>
    </row>
    <row r="6" spans="1:24" ht="8" customHeight="1">
      <c r="A6" s="522"/>
      <c r="B6" s="529"/>
      <c r="C6" s="529"/>
      <c r="D6" s="530"/>
      <c r="E6" s="530"/>
      <c r="F6" s="530"/>
      <c r="G6" s="530"/>
      <c r="H6" s="530"/>
      <c r="I6" s="530"/>
      <c r="J6" s="529"/>
      <c r="K6" s="529"/>
      <c r="L6" s="529"/>
      <c r="M6" s="530"/>
      <c r="N6" s="530"/>
      <c r="O6" s="529"/>
      <c r="P6" s="529"/>
      <c r="Q6" s="531"/>
      <c r="R6" s="1301" t="s">
        <v>53</v>
      </c>
      <c r="S6" s="1302"/>
      <c r="T6" s="523"/>
      <c r="U6" s="522"/>
      <c r="V6" s="57"/>
      <c r="W6" s="57"/>
      <c r="X6" s="58"/>
    </row>
    <row r="7" spans="1:24" ht="18.75" customHeight="1">
      <c r="A7" s="522"/>
      <c r="B7" s="1209" t="s">
        <v>54</v>
      </c>
      <c r="C7" s="1229"/>
      <c r="D7" s="1298" t="str" cm="1">
        <f t="array" ref="D7">"Sensitivity Analysis: "&amp;'PF calculator'!$L$99</f>
        <v>Sensitivity Analysis: SA4: Duration of benefits - Option choice is conservative</v>
      </c>
      <c r="E7" s="1299"/>
      <c r="F7" s="1299"/>
      <c r="G7" s="1299"/>
      <c r="H7" s="1299"/>
      <c r="I7" s="1300"/>
      <c r="J7" s="532"/>
      <c r="K7" s="1209" t="s">
        <v>56</v>
      </c>
      <c r="L7" s="1229"/>
      <c r="M7" s="1268" t="str" cm="1">
        <f t="array" ref="M7">'PF calculator'!M7</f>
        <v>Pre-SOC</v>
      </c>
      <c r="N7" s="1270"/>
      <c r="O7" s="533"/>
      <c r="P7" s="534"/>
      <c r="Q7" s="534"/>
      <c r="R7" s="1303"/>
      <c r="S7" s="1303"/>
      <c r="T7" s="523"/>
      <c r="U7" s="522"/>
      <c r="V7" s="57"/>
      <c r="W7" s="57"/>
      <c r="X7" s="58"/>
    </row>
    <row r="8" spans="1:24" ht="18.75" customHeight="1">
      <c r="A8" s="522"/>
      <c r="B8" s="1209" t="s">
        <v>461</v>
      </c>
      <c r="C8" s="1229"/>
      <c r="D8" s="1268" t="str" cm="1">
        <f t="array" ref="D8">'PF calculator'!D8</f>
        <v>YOC501E/000A/533A</v>
      </c>
      <c r="E8" s="1269"/>
      <c r="F8" s="1270"/>
      <c r="G8" s="535"/>
      <c r="H8" s="536"/>
      <c r="I8" s="536"/>
      <c r="J8" s="534"/>
      <c r="K8" s="1209" t="s">
        <v>60</v>
      </c>
      <c r="L8" s="1229"/>
      <c r="M8" s="1271" cm="1">
        <f t="array" ref="M8">'PF calculator'!M8</f>
        <v>0</v>
      </c>
      <c r="N8" s="1270"/>
      <c r="O8" s="1272" t="e" cm="1" vm="3">
        <f t="array" aca="1" ref="O8" ca="1">'PF calculator'!O8:Q8</f>
        <v>#VALUE!</v>
      </c>
      <c r="P8" s="1273"/>
      <c r="Q8" s="1274"/>
      <c r="R8" s="538" t="e" cm="1" vm="1">
        <f t="array" aca="1" ref="R8" ca="1">$E$39/$E$33</f>
        <v>#VALUE!</v>
      </c>
      <c r="S8" s="539" t="s">
        <v>62</v>
      </c>
      <c r="T8" s="525"/>
      <c r="U8" s="522"/>
      <c r="V8" s="57"/>
      <c r="W8" s="57"/>
      <c r="X8" s="58"/>
    </row>
    <row r="9" spans="1:24" ht="18.75" customHeight="1">
      <c r="A9" s="522"/>
      <c r="B9" s="1209" t="s">
        <v>462</v>
      </c>
      <c r="C9" s="1229"/>
      <c r="D9" s="1277" cm="1">
        <f t="array" ref="D9">'PF calculator'!D9</f>
        <v>45265</v>
      </c>
      <c r="E9" s="1278"/>
      <c r="F9" s="1279"/>
      <c r="G9" s="540"/>
      <c r="H9" s="541"/>
      <c r="I9" s="541"/>
      <c r="J9" s="534"/>
      <c r="K9" s="534"/>
      <c r="L9" s="534"/>
      <c r="M9" s="536"/>
      <c r="N9" s="536"/>
      <c r="O9" s="1280" t="s">
        <v>64</v>
      </c>
      <c r="P9" s="1281"/>
      <c r="Q9" s="1282"/>
      <c r="R9" s="542" t="str" cm="1">
        <f t="array" aca="1" ref="R9" ca="1">IFERROR(($E$39/MIN(($K$21+$K$23),$E$33)),"n/a")</f>
        <v>n/a</v>
      </c>
      <c r="S9" s="539" t="s">
        <v>62</v>
      </c>
      <c r="T9" s="525"/>
      <c r="U9" s="522"/>
      <c r="V9" s="57"/>
      <c r="W9" s="57"/>
      <c r="X9" s="58"/>
    </row>
    <row r="10" spans="1:24" ht="18.75" customHeight="1">
      <c r="A10" s="522"/>
      <c r="B10" s="1209" t="s">
        <v>65</v>
      </c>
      <c r="C10" s="1229"/>
      <c r="D10" s="1283" t="str" cm="1">
        <f t="array" ref="D10">'PF calculator'!D10</f>
        <v>City of Doncaster Council</v>
      </c>
      <c r="E10" s="1284"/>
      <c r="F10" s="1284"/>
      <c r="G10" s="1284"/>
      <c r="H10" s="1284"/>
      <c r="I10" s="1285"/>
      <c r="J10" s="533"/>
      <c r="K10" s="534"/>
      <c r="L10" s="534"/>
      <c r="M10" s="534"/>
      <c r="N10" s="534"/>
      <c r="O10" s="1280" t="s">
        <v>67</v>
      </c>
      <c r="P10" s="1281"/>
      <c r="Q10" s="1282"/>
      <c r="R10" s="538" t="e" cm="1" vm="1">
        <f t="array" aca="1" ref="R10" ca="1">IF($K$33&gt;0,$E$39/$K$33,"n/a")</f>
        <v>#VALUE!</v>
      </c>
      <c r="S10" s="539" t="s">
        <v>62</v>
      </c>
      <c r="T10" s="525"/>
      <c r="U10" s="522"/>
      <c r="V10" s="57"/>
      <c r="W10" s="57"/>
      <c r="X10" s="58"/>
    </row>
    <row r="11" spans="1:24" ht="18.75" customHeight="1">
      <c r="A11" s="522"/>
      <c r="B11" s="1209" t="s">
        <v>68</v>
      </c>
      <c r="C11" s="1229"/>
      <c r="D11" s="1283" t="str" cm="1">
        <f t="array" ref="D11">'PF calculator'!D11</f>
        <v>Local Authority</v>
      </c>
      <c r="E11" s="1284"/>
      <c r="F11" s="1285"/>
      <c r="G11" s="543"/>
      <c r="H11" s="544"/>
      <c r="I11" s="544"/>
      <c r="J11" s="534"/>
      <c r="K11" s="534"/>
      <c r="L11" s="534"/>
      <c r="M11" s="534"/>
      <c r="N11" s="534"/>
      <c r="O11" s="534"/>
      <c r="P11" s="534"/>
      <c r="Q11" s="537"/>
      <c r="R11" s="545"/>
      <c r="S11" s="546"/>
      <c r="T11" s="523"/>
      <c r="U11" s="522"/>
      <c r="V11" s="57"/>
      <c r="W11" s="57"/>
      <c r="X11" s="58"/>
    </row>
    <row r="12" spans="1:24" ht="18.75" customHeight="1">
      <c r="A12" s="522"/>
      <c r="B12" s="547" t="s">
        <v>70</v>
      </c>
      <c r="C12" s="534"/>
      <c r="D12" s="536"/>
      <c r="E12" s="536"/>
      <c r="F12" s="536"/>
      <c r="G12" s="534"/>
      <c r="H12" s="534"/>
      <c r="I12" s="534"/>
      <c r="J12" s="534"/>
      <c r="K12" s="534"/>
      <c r="L12" s="534"/>
      <c r="M12" s="534"/>
      <c r="N12" s="534"/>
      <c r="O12" s="534"/>
      <c r="P12" s="1286"/>
      <c r="Q12" s="1286"/>
      <c r="R12" s="1286"/>
      <c r="S12" s="1286"/>
      <c r="T12" s="523"/>
      <c r="U12" s="522"/>
      <c r="V12" s="57"/>
      <c r="W12" s="57"/>
      <c r="X12" s="58"/>
    </row>
    <row r="13" spans="1:24" ht="18.75" customHeight="1">
      <c r="A13" s="522"/>
      <c r="B13" s="548" t="s">
        <v>463</v>
      </c>
      <c r="C13" s="534"/>
      <c r="D13" s="534"/>
      <c r="E13" s="534"/>
      <c r="F13" s="534"/>
      <c r="G13" s="534"/>
      <c r="H13" s="534"/>
      <c r="I13" s="534"/>
      <c r="J13" s="534"/>
      <c r="K13" s="534"/>
      <c r="L13" s="534"/>
      <c r="M13" s="534"/>
      <c r="N13" s="534"/>
      <c r="O13" s="534"/>
      <c r="P13" s="1286"/>
      <c r="Q13" s="1286"/>
      <c r="R13" s="1286"/>
      <c r="S13" s="1286"/>
      <c r="T13" s="523"/>
      <c r="U13" s="522"/>
      <c r="V13" s="57"/>
      <c r="W13" s="57"/>
      <c r="X13" s="58"/>
    </row>
    <row r="14" spans="1:24" ht="8" customHeight="1">
      <c r="A14" s="522"/>
      <c r="B14" s="549"/>
      <c r="C14" s="549"/>
      <c r="D14" s="549"/>
      <c r="E14" s="549"/>
      <c r="F14" s="549"/>
      <c r="G14" s="549"/>
      <c r="H14" s="549"/>
      <c r="I14" s="549"/>
      <c r="J14" s="549"/>
      <c r="K14" s="549"/>
      <c r="L14" s="549"/>
      <c r="M14" s="549"/>
      <c r="N14" s="549"/>
      <c r="O14" s="549"/>
      <c r="P14" s="549"/>
      <c r="Q14" s="549"/>
      <c r="R14" s="549"/>
      <c r="S14" s="549"/>
      <c r="T14" s="523"/>
      <c r="U14" s="522"/>
      <c r="V14" s="57"/>
      <c r="W14" s="57"/>
      <c r="X14" s="58"/>
    </row>
    <row r="15" spans="1:24" ht="18.75" customHeight="1">
      <c r="A15" s="522"/>
      <c r="B15" s="1190" t="e" cm="1" vm="4">
        <f t="array" aca="1" ref="B15" ca="1">'PF calculator'!B15:S15</f>
        <v>#VALUE!</v>
      </c>
      <c r="C15" s="1190"/>
      <c r="D15" s="1190"/>
      <c r="E15" s="1190"/>
      <c r="F15" s="1190"/>
      <c r="G15" s="1190"/>
      <c r="H15" s="1190"/>
      <c r="I15" s="1190"/>
      <c r="J15" s="1190"/>
      <c r="K15" s="1190"/>
      <c r="L15" s="1190"/>
      <c r="M15" s="1190"/>
      <c r="N15" s="1190"/>
      <c r="O15" s="1190"/>
      <c r="P15" s="1190"/>
      <c r="Q15" s="1190"/>
      <c r="R15" s="1190"/>
      <c r="S15" s="1190"/>
      <c r="T15" s="523"/>
      <c r="U15" s="522"/>
      <c r="V15" s="57"/>
      <c r="W15" s="57"/>
      <c r="X15" s="58"/>
    </row>
    <row r="16" spans="1:24" ht="8" customHeight="1">
      <c r="A16" s="522"/>
      <c r="B16" s="550"/>
      <c r="C16" s="529"/>
      <c r="D16" s="529"/>
      <c r="E16" s="530"/>
      <c r="F16" s="530"/>
      <c r="G16" s="529"/>
      <c r="H16" s="529"/>
      <c r="I16" s="529"/>
      <c r="J16" s="529"/>
      <c r="K16" s="529"/>
      <c r="L16" s="529"/>
      <c r="M16" s="529"/>
      <c r="N16" s="529"/>
      <c r="O16" s="529"/>
      <c r="P16" s="529"/>
      <c r="Q16" s="529"/>
      <c r="R16" s="529"/>
      <c r="S16" s="529"/>
      <c r="T16" s="523"/>
      <c r="U16" s="522"/>
      <c r="V16" s="57"/>
      <c r="W16" s="57"/>
      <c r="X16" s="58"/>
    </row>
    <row r="17" spans="1:24" ht="18.75" customHeight="1">
      <c r="A17" s="522"/>
      <c r="B17" s="1217" t="s">
        <v>73</v>
      </c>
      <c r="C17" s="1218"/>
      <c r="D17" s="1227"/>
      <c r="E17" s="1275" t="str" cm="1">
        <f t="array" ref="E17">'PF calculator'!E17</f>
        <v>Yes</v>
      </c>
      <c r="F17" s="1276"/>
      <c r="G17" s="551"/>
      <c r="H17" s="534"/>
      <c r="I17" s="534"/>
      <c r="J17" s="534"/>
      <c r="K17" s="534"/>
      <c r="L17" s="534"/>
      <c r="M17" s="534"/>
      <c r="N17" s="534"/>
      <c r="O17" s="534"/>
      <c r="P17" s="534"/>
      <c r="Q17" s="534"/>
      <c r="R17" s="534"/>
      <c r="S17" s="534"/>
      <c r="T17" s="523"/>
      <c r="U17" s="522"/>
      <c r="V17" s="57"/>
      <c r="W17" s="57"/>
      <c r="X17" s="58"/>
    </row>
    <row r="18" spans="1:24" ht="18.75" customHeight="1">
      <c r="A18" s="522"/>
      <c r="B18" s="534"/>
      <c r="C18" s="534"/>
      <c r="D18" s="534"/>
      <c r="E18" s="552"/>
      <c r="F18" s="552"/>
      <c r="G18" s="534"/>
      <c r="H18" s="534"/>
      <c r="I18" s="534"/>
      <c r="J18" s="534"/>
      <c r="K18" s="541"/>
      <c r="L18" s="541"/>
      <c r="M18" s="534"/>
      <c r="N18" s="534"/>
      <c r="O18" s="534"/>
      <c r="P18" s="534"/>
      <c r="Q18" s="534"/>
      <c r="R18" s="534"/>
      <c r="S18" s="534"/>
      <c r="T18" s="523"/>
      <c r="U18" s="522"/>
      <c r="V18" s="57"/>
      <c r="W18" s="57"/>
      <c r="X18" s="58"/>
    </row>
    <row r="19" spans="1:24" ht="18.75" customHeight="1">
      <c r="A19" s="522"/>
      <c r="B19" s="1217" t="s">
        <v>75</v>
      </c>
      <c r="C19" s="1218"/>
      <c r="D19" s="1227"/>
      <c r="E19" s="1266" t="e" cm="1" vm="1">
        <f t="array" aca="1" ref="E19" ca="1">IF(E23="low BCR","n/a",IF(E17="Yes",$E$23/MAX($E$33,$E$31),0.45*$E$23/MAX($E$33,$E$31)))</f>
        <v>#VALUE!</v>
      </c>
      <c r="F19" s="1267"/>
      <c r="G19" s="533"/>
      <c r="H19" s="1217" t="s">
        <v>76</v>
      </c>
      <c r="I19" s="1218"/>
      <c r="J19" s="1227"/>
      <c r="K19" s="1266" t="e" cm="1" vm="1">
        <f t="array" aca="1" ref="K19" ca="1">IF(E23="low BCR","n/a",IF(E17="Yes",IF(D11="Environment Agency",E23/MAX(MAX(E33,E31)-K33,1),E19+K33/E31),IF(D11="Environment Agency",E23*0.45/MAX(MAX(E33,E31)-K33,1),E19+K33/E31)))</f>
        <v>#VALUE!</v>
      </c>
      <c r="L19" s="1267"/>
      <c r="M19" s="533"/>
      <c r="N19" s="534"/>
      <c r="O19" s="534"/>
      <c r="P19" s="534"/>
      <c r="Q19" s="534"/>
      <c r="R19" s="534"/>
      <c r="S19" s="534"/>
      <c r="T19" s="523"/>
      <c r="U19" s="522"/>
      <c r="V19" s="57"/>
      <c r="W19" s="57"/>
      <c r="X19" s="58"/>
    </row>
    <row r="20" spans="1:24" ht="18.75" customHeight="1">
      <c r="A20" s="522"/>
      <c r="B20" s="534"/>
      <c r="C20" s="534"/>
      <c r="D20" s="534"/>
      <c r="E20" s="553"/>
      <c r="F20" s="553"/>
      <c r="G20" s="534"/>
      <c r="H20" s="534"/>
      <c r="I20" s="534"/>
      <c r="J20" s="534"/>
      <c r="K20" s="552"/>
      <c r="L20" s="552"/>
      <c r="M20" s="534"/>
      <c r="N20" s="534"/>
      <c r="O20" s="534"/>
      <c r="P20" s="534"/>
      <c r="Q20" s="534"/>
      <c r="R20" s="534"/>
      <c r="S20" s="534"/>
      <c r="T20" s="523"/>
      <c r="U20" s="522"/>
      <c r="V20" s="57"/>
      <c r="W20" s="57"/>
      <c r="X20" s="58"/>
    </row>
    <row r="21" spans="1:24" ht="18.75" customHeight="1">
      <c r="A21" s="522"/>
      <c r="B21" s="1209" t="s">
        <v>77</v>
      </c>
      <c r="C21" s="1210"/>
      <c r="D21" s="1229"/>
      <c r="E21" s="1230" t="e" cm="1" vm="1">
        <f t="array" aca="1" ref="E21" ca="1">IF(E23="low BCR","n/a",IF(E23=0,0,(IF(E17="Yes",MAX(IF(D11="Environment Agency",MAX(E33,E31)-MIN(E23,E33),E31*(1-(E19))),0),IF(D11="Environment Agency",MAX(E33,E31)-MIN(E23*0.45,E33),E31*(1-(E19)))))))</f>
        <v>#VALUE!</v>
      </c>
      <c r="F21" s="1231"/>
      <c r="G21" s="533"/>
      <c r="H21" s="1209" t="s">
        <v>78</v>
      </c>
      <c r="I21" s="1210"/>
      <c r="J21" s="1229"/>
      <c r="K21" s="1263" t="e" cm="1" vm="1">
        <f t="array" aca="1" ref="K21" ca="1">IF(E23="low BCR","n/a",IF(ROUNDUP(K19,4)&lt;100%,"-",IF(K32+M32&gt;E31,"N/A",E31-(K32+M32))))</f>
        <v>#VALUE!</v>
      </c>
      <c r="L21" s="1264"/>
      <c r="M21" s="533"/>
      <c r="N21" s="534"/>
      <c r="O21" s="534"/>
      <c r="P21" s="534"/>
      <c r="Q21" s="534"/>
      <c r="R21" s="534"/>
      <c r="S21" s="534"/>
      <c r="T21" s="523"/>
      <c r="U21" s="522"/>
      <c r="V21" s="555"/>
      <c r="W21" s="57"/>
      <c r="X21" s="556"/>
    </row>
    <row r="22" spans="1:24" ht="18.75" customHeight="1">
      <c r="A22" s="522"/>
      <c r="B22" s="534"/>
      <c r="C22" s="534"/>
      <c r="D22" s="534"/>
      <c r="E22" s="552"/>
      <c r="F22" s="552"/>
      <c r="G22" s="534"/>
      <c r="H22" s="534"/>
      <c r="I22" s="534"/>
      <c r="J22" s="534"/>
      <c r="K22" s="552"/>
      <c r="L22" s="552"/>
      <c r="M22" s="534"/>
      <c r="N22" s="534"/>
      <c r="O22" s="534"/>
      <c r="P22" s="534"/>
      <c r="Q22" s="534"/>
      <c r="R22" s="534"/>
      <c r="S22" s="557"/>
      <c r="T22" s="523"/>
      <c r="U22" s="522"/>
      <c r="V22" s="57"/>
      <c r="W22" s="57"/>
      <c r="X22" s="58"/>
    </row>
    <row r="23" spans="1:24" ht="18.75" customHeight="1">
      <c r="A23" s="522"/>
      <c r="B23" s="1217" t="s">
        <v>79</v>
      </c>
      <c r="C23" s="1218"/>
      <c r="D23" s="1227"/>
      <c r="E23" s="1238" t="e" cm="1" vm="1">
        <f t="array" aca="1" ref="E23" ca="1">IF(R8&lt;1,"low BCR",IF(OR(M7="Pre-SOC",M7="SOC",M7="Change (before OBC)"),H105,IF('Economic summary'!H12&lt;4,0,H105)))</f>
        <v>#VALUE!</v>
      </c>
      <c r="F23" s="1239"/>
      <c r="G23" s="533"/>
      <c r="H23" s="1209" t="s">
        <v>80</v>
      </c>
      <c r="I23" s="1210"/>
      <c r="J23" s="1229"/>
      <c r="K23" s="1263" t="e" cm="1" vm="1">
        <f t="array" aca="1" ref="K23" ca="1">IF(E23="low BCR","n/a",IF(D11="Environment Agency",(IF(ROUNDUP(K19,4)&lt;100%,"-",IF(O32&gt;E32,"N/A",E32-O32))),0))</f>
        <v>#VALUE!</v>
      </c>
      <c r="L23" s="1264"/>
      <c r="M23" s="1265"/>
      <c r="N23" s="1235"/>
      <c r="O23" s="1235"/>
      <c r="P23" s="1235"/>
      <c r="Q23" s="557"/>
      <c r="R23" s="557"/>
      <c r="S23" s="557"/>
      <c r="T23" s="523"/>
      <c r="U23" s="522"/>
      <c r="V23" s="555"/>
      <c r="W23" s="57"/>
      <c r="X23" s="58"/>
    </row>
    <row r="24" spans="1:24" ht="8" customHeight="1">
      <c r="A24" s="522"/>
      <c r="B24" s="549"/>
      <c r="C24" s="549"/>
      <c r="D24" s="549"/>
      <c r="E24" s="558"/>
      <c r="F24" s="558"/>
      <c r="G24" s="549"/>
      <c r="H24" s="549"/>
      <c r="I24" s="549"/>
      <c r="J24" s="549"/>
      <c r="K24" s="558"/>
      <c r="L24" s="558"/>
      <c r="M24" s="549"/>
      <c r="N24" s="549"/>
      <c r="O24" s="549"/>
      <c r="P24" s="549"/>
      <c r="Q24" s="549"/>
      <c r="R24" s="549"/>
      <c r="S24" s="549"/>
      <c r="T24" s="523"/>
      <c r="U24" s="522"/>
      <c r="V24" s="57"/>
      <c r="W24" s="57"/>
      <c r="X24" s="58"/>
    </row>
    <row r="25" spans="1:24" ht="18.75" customHeight="1">
      <c r="A25" s="522"/>
      <c r="B25" s="1190" t="e" cm="1" vm="4">
        <f t="array" aca="1" ref="B25" ca="1">'PF calculator'!B25:S25</f>
        <v>#VALUE!</v>
      </c>
      <c r="C25" s="1190"/>
      <c r="D25" s="1190"/>
      <c r="E25" s="1190"/>
      <c r="F25" s="1190"/>
      <c r="G25" s="1190"/>
      <c r="H25" s="1190"/>
      <c r="I25" s="1190"/>
      <c r="J25" s="1190"/>
      <c r="K25" s="1190"/>
      <c r="L25" s="1190"/>
      <c r="M25" s="1190"/>
      <c r="N25" s="1190"/>
      <c r="O25" s="1190"/>
      <c r="P25" s="1190"/>
      <c r="Q25" s="1190"/>
      <c r="R25" s="1190"/>
      <c r="S25" s="1190"/>
      <c r="T25" s="523"/>
      <c r="U25" s="522"/>
      <c r="V25" s="57"/>
      <c r="W25" s="57"/>
      <c r="X25" s="58"/>
    </row>
    <row r="26" spans="1:24" ht="8" customHeight="1">
      <c r="A26" s="522"/>
      <c r="B26" s="529"/>
      <c r="C26" s="529"/>
      <c r="D26" s="529"/>
      <c r="E26" s="529"/>
      <c r="F26" s="529"/>
      <c r="G26" s="529"/>
      <c r="H26" s="559"/>
      <c r="I26" s="529"/>
      <c r="J26" s="529"/>
      <c r="K26" s="1256" t="s">
        <v>81</v>
      </c>
      <c r="L26" s="1257"/>
      <c r="M26" s="1256" t="s">
        <v>82</v>
      </c>
      <c r="N26" s="1257"/>
      <c r="O26" s="1256" t="s">
        <v>83</v>
      </c>
      <c r="P26" s="1257"/>
      <c r="Q26" s="529"/>
      <c r="R26" s="529"/>
      <c r="S26" s="529"/>
      <c r="T26" s="523"/>
      <c r="U26" s="522"/>
      <c r="V26" s="57"/>
      <c r="W26" s="57"/>
      <c r="X26" s="58"/>
    </row>
    <row r="27" spans="1:24" ht="18.75" customHeight="1">
      <c r="A27" s="522"/>
      <c r="B27" s="1259" t="str" cm="1">
        <f t="array" ref="B27">IF(M7="Pre-SOC","Estimated project costs",IF(M7="SOC","Estimated project costs","Project costs"))</f>
        <v>Estimated project costs</v>
      </c>
      <c r="C27" s="1259"/>
      <c r="D27" s="1259"/>
      <c r="E27" s="1260" t="s">
        <v>84</v>
      </c>
      <c r="F27" s="1261"/>
      <c r="G27" s="529"/>
      <c r="H27" s="1262" t="str" cm="1">
        <f t="array" ref="H27">IF(M7="Pre-SOC","Estimated contributions",IF(M7="SOC","Estimated contributions","Contributions secured to date"))</f>
        <v>Estimated contributions</v>
      </c>
      <c r="I27" s="1262"/>
      <c r="J27" s="1262"/>
      <c r="K27" s="1258"/>
      <c r="L27" s="1258"/>
      <c r="M27" s="1258"/>
      <c r="N27" s="1258"/>
      <c r="O27" s="1258"/>
      <c r="P27" s="1258"/>
      <c r="Q27" s="529"/>
      <c r="R27" s="529"/>
      <c r="S27" s="529"/>
      <c r="T27" s="523"/>
      <c r="U27" s="522"/>
      <c r="V27" s="57"/>
      <c r="W27" s="57"/>
      <c r="X27" s="58"/>
    </row>
    <row r="28" spans="1:24" ht="18.75" customHeight="1">
      <c r="A28" s="522"/>
      <c r="B28" s="1209" t="s">
        <v>85</v>
      </c>
      <c r="C28" s="1210"/>
      <c r="D28" s="1229"/>
      <c r="E28" s="1212" cm="1">
        <f t="array" ref="E28">'PF calculator'!E28</f>
        <v>400000</v>
      </c>
      <c r="F28" s="1213"/>
      <c r="G28" s="533"/>
      <c r="H28" s="1209" t="s">
        <v>86</v>
      </c>
      <c r="I28" s="1210"/>
      <c r="J28" s="1211"/>
      <c r="K28" s="1252" cm="1">
        <f t="array" ref="K28">'PF calculator'!K28</f>
        <v>50000</v>
      </c>
      <c r="L28" s="1253"/>
      <c r="M28" s="1252" cm="1">
        <f t="array" ref="M28">'PF calculator'!M28</f>
        <v>200000</v>
      </c>
      <c r="N28" s="1253"/>
      <c r="O28" s="1252" cm="1">
        <f t="array" ref="O28">'PF calculator'!O28</f>
        <v>0</v>
      </c>
      <c r="P28" s="1253"/>
      <c r="Q28" s="1313" t="s">
        <v>477</v>
      </c>
      <c r="R28" s="1255"/>
      <c r="S28" s="1255"/>
      <c r="T28" s="523"/>
      <c r="U28" s="522"/>
      <c r="V28" s="57"/>
      <c r="W28" s="57"/>
      <c r="X28" s="58"/>
    </row>
    <row r="29" spans="1:24" ht="18.75" customHeight="1">
      <c r="A29" s="522"/>
      <c r="B29" s="1209" t="s">
        <v>88</v>
      </c>
      <c r="C29" s="1210"/>
      <c r="D29" s="1229"/>
      <c r="E29" s="1212" cm="1">
        <f t="array" ref="E29">'PF calculator'!E29</f>
        <v>6000000</v>
      </c>
      <c r="F29" s="1213"/>
      <c r="G29" s="533"/>
      <c r="H29" s="1209" t="s">
        <v>89</v>
      </c>
      <c r="I29" s="1210"/>
      <c r="J29" s="1211"/>
      <c r="K29" s="1252" cm="1">
        <f t="array" ref="K29">'PF calculator'!K29</f>
        <v>0</v>
      </c>
      <c r="L29" s="1253"/>
      <c r="M29" s="1252" cm="1">
        <f t="array" ref="M29">'PF calculator'!M29</f>
        <v>0</v>
      </c>
      <c r="N29" s="1253"/>
      <c r="O29" s="1252" cm="1">
        <f t="array" ref="O29">'PF calculator'!O29</f>
        <v>0</v>
      </c>
      <c r="P29" s="1253"/>
      <c r="Q29" s="1247" cm="1">
        <f t="array" ref="Q29">'PF calculator'!Q29</f>
        <v>0</v>
      </c>
      <c r="R29" s="1248"/>
      <c r="S29" s="1249"/>
      <c r="T29" s="525"/>
      <c r="U29" s="522"/>
      <c r="V29" s="57"/>
      <c r="W29" s="57"/>
      <c r="X29" s="58"/>
    </row>
    <row r="30" spans="1:24" ht="18.75" customHeight="1">
      <c r="A30" s="522"/>
      <c r="B30" s="1209" t="s">
        <v>90</v>
      </c>
      <c r="C30" s="1210"/>
      <c r="D30" s="1229"/>
      <c r="E30" s="1212" cm="1">
        <f t="array" ref="E30">'PF calculator'!E30</f>
        <v>100000</v>
      </c>
      <c r="F30" s="1213"/>
      <c r="G30" s="533"/>
      <c r="H30" s="1209" t="s">
        <v>91</v>
      </c>
      <c r="I30" s="1210"/>
      <c r="J30" s="1211"/>
      <c r="K30" s="1252" cm="1">
        <f t="array" ref="K30">'PF calculator'!K30</f>
        <v>50000</v>
      </c>
      <c r="L30" s="1253"/>
      <c r="M30" s="1252" cm="1">
        <f t="array" ref="M30">'PF calculator'!M30</f>
        <v>300000</v>
      </c>
      <c r="N30" s="1253"/>
      <c r="O30" s="1252" cm="1">
        <f t="array" ref="O30">'PF calculator'!O30</f>
        <v>0</v>
      </c>
      <c r="P30" s="1253"/>
      <c r="Q30" s="1247" cm="1">
        <f t="array" ref="Q30">'PF calculator'!Q30</f>
        <v>0</v>
      </c>
      <c r="R30" s="1248"/>
      <c r="S30" s="1249"/>
      <c r="T30" s="525"/>
      <c r="U30" s="522"/>
      <c r="V30" s="57"/>
      <c r="W30" s="57"/>
      <c r="X30" s="58"/>
    </row>
    <row r="31" spans="1:24" ht="18.75" customHeight="1">
      <c r="A31" s="522"/>
      <c r="B31" s="1209" t="s">
        <v>92</v>
      </c>
      <c r="C31" s="1210"/>
      <c r="D31" s="1229"/>
      <c r="E31" s="1230" cm="1">
        <f t="array" ref="E31">SUM(E28:E30)</f>
        <v>6500000</v>
      </c>
      <c r="F31" s="1231"/>
      <c r="G31" s="533"/>
      <c r="H31" s="1209" t="s">
        <v>93</v>
      </c>
      <c r="I31" s="1210"/>
      <c r="J31" s="1211"/>
      <c r="K31" s="1250" cm="1">
        <f t="array" ref="K31">'PF calculator'!K31</f>
        <v>0</v>
      </c>
      <c r="L31" s="1251"/>
      <c r="M31" s="1250" cm="1">
        <f t="array" ref="M31">'PF calculator'!M31</f>
        <v>0</v>
      </c>
      <c r="N31" s="1251"/>
      <c r="O31" s="1250" cm="1">
        <f t="array" ref="O31">'PF calculator'!O31</f>
        <v>0</v>
      </c>
      <c r="P31" s="1251"/>
      <c r="Q31" s="1247" cm="1">
        <f t="array" ref="Q31">'PF calculator'!Q31</f>
        <v>0</v>
      </c>
      <c r="R31" s="1248"/>
      <c r="S31" s="1249"/>
      <c r="T31" s="525"/>
      <c r="U31" s="522"/>
      <c r="V31" s="57"/>
      <c r="W31" s="57"/>
      <c r="X31" s="58"/>
    </row>
    <row r="32" spans="1:24" ht="18.75" customHeight="1">
      <c r="A32" s="522"/>
      <c r="B32" s="1209" t="s">
        <v>94</v>
      </c>
      <c r="C32" s="1210"/>
      <c r="D32" s="1229"/>
      <c r="E32" s="1212" cm="1">
        <f t="array" ref="E32">'PF calculator'!E32</f>
        <v>2000000</v>
      </c>
      <c r="F32" s="1213"/>
      <c r="G32" s="533"/>
      <c r="H32" s="1217" t="s">
        <v>95</v>
      </c>
      <c r="I32" s="1218"/>
      <c r="J32" s="1227"/>
      <c r="K32" s="1245" cm="1">
        <f t="array" ref="K32">SUM(K28:L31)</f>
        <v>100000</v>
      </c>
      <c r="L32" s="1246"/>
      <c r="M32" s="1245" cm="1">
        <f t="array" ref="M32">SUM(M28:N31)</f>
        <v>500000</v>
      </c>
      <c r="N32" s="1246"/>
      <c r="O32" s="1245" cm="1">
        <f t="array" ref="O32">SUM(O28:P31)</f>
        <v>0</v>
      </c>
      <c r="P32" s="1246"/>
      <c r="Q32" s="560"/>
      <c r="R32" s="546"/>
      <c r="S32" s="546"/>
      <c r="T32" s="523"/>
      <c r="U32" s="522"/>
      <c r="V32" s="57"/>
      <c r="W32" s="57"/>
      <c r="X32" s="58"/>
    </row>
    <row r="33" spans="1:24" ht="18.75" customHeight="1">
      <c r="A33" s="522"/>
      <c r="B33" s="1209" t="s">
        <v>96</v>
      </c>
      <c r="C33" s="1210"/>
      <c r="D33" s="1229"/>
      <c r="E33" s="1230" cm="1">
        <f t="array" ref="E33">SUM(E31:F32)</f>
        <v>8500000</v>
      </c>
      <c r="F33" s="1231"/>
      <c r="G33" s="533"/>
      <c r="H33" s="1209" t="s">
        <v>97</v>
      </c>
      <c r="I33" s="1210"/>
      <c r="J33" s="1229"/>
      <c r="K33" s="1238" cm="1">
        <f t="array" ref="K33">IF(D11="Environment Agency",K32+M32+O32,K32+M32)</f>
        <v>600000</v>
      </c>
      <c r="L33" s="1239"/>
      <c r="M33" s="1240"/>
      <c r="N33" s="1241"/>
      <c r="O33" s="1241"/>
      <c r="P33" s="1241"/>
      <c r="Q33" s="1242"/>
      <c r="R33" s="1242"/>
      <c r="S33" s="1242"/>
      <c r="T33" s="523"/>
      <c r="U33" s="522"/>
      <c r="V33" s="57"/>
      <c r="W33" s="57"/>
      <c r="X33" s="58"/>
    </row>
    <row r="34" spans="1:24" ht="8" customHeight="1">
      <c r="A34" s="522"/>
      <c r="B34" s="549"/>
      <c r="C34" s="549"/>
      <c r="D34" s="549"/>
      <c r="E34" s="558"/>
      <c r="F34" s="558"/>
      <c r="G34" s="561"/>
      <c r="H34" s="561"/>
      <c r="I34" s="561"/>
      <c r="J34" s="549"/>
      <c r="K34" s="558"/>
      <c r="L34" s="558"/>
      <c r="M34" s="549"/>
      <c r="N34" s="561"/>
      <c r="O34" s="561"/>
      <c r="P34" s="561"/>
      <c r="Q34" s="549"/>
      <c r="R34" s="549"/>
      <c r="S34" s="549"/>
      <c r="T34" s="523"/>
      <c r="U34" s="522"/>
      <c r="V34" s="57"/>
      <c r="W34" s="57"/>
      <c r="X34" s="58"/>
    </row>
    <row r="35" spans="1:24" ht="18.75" customHeight="1">
      <c r="A35" s="522"/>
      <c r="B35" s="1190" t="e" cm="1" vm="4">
        <f t="array" aca="1" ref="B35" ca="1">'PF calculator'!B35:S35</f>
        <v>#VALUE!</v>
      </c>
      <c r="C35" s="1190"/>
      <c r="D35" s="1190"/>
      <c r="E35" s="1190"/>
      <c r="F35" s="1190"/>
      <c r="G35" s="1190"/>
      <c r="H35" s="1190"/>
      <c r="I35" s="1190"/>
      <c r="J35" s="1190"/>
      <c r="K35" s="1190"/>
      <c r="L35" s="1190"/>
      <c r="M35" s="1190"/>
      <c r="N35" s="1190"/>
      <c r="O35" s="1190"/>
      <c r="P35" s="1190"/>
      <c r="Q35" s="1190"/>
      <c r="R35" s="1190"/>
      <c r="S35" s="1190"/>
      <c r="T35" s="523"/>
      <c r="U35" s="522"/>
      <c r="V35" s="57"/>
      <c r="W35" s="57"/>
      <c r="X35" s="58"/>
    </row>
    <row r="36" spans="1:24" ht="8" customHeight="1">
      <c r="A36" s="522"/>
      <c r="B36" s="529"/>
      <c r="C36" s="529"/>
      <c r="D36" s="529"/>
      <c r="E36" s="530"/>
      <c r="F36" s="530"/>
      <c r="G36" s="529"/>
      <c r="H36" s="529"/>
      <c r="I36" s="529"/>
      <c r="J36" s="529"/>
      <c r="K36" s="529"/>
      <c r="L36" s="529"/>
      <c r="M36" s="529"/>
      <c r="N36" s="529"/>
      <c r="O36" s="529"/>
      <c r="P36" s="529"/>
      <c r="Q36" s="529"/>
      <c r="R36" s="529"/>
      <c r="S36" s="529"/>
      <c r="T36" s="523"/>
      <c r="U36" s="522"/>
      <c r="V36" s="57"/>
      <c r="W36" s="57"/>
      <c r="X36" s="58"/>
    </row>
    <row r="37" spans="1:24" ht="18.75" customHeight="1">
      <c r="A37" s="522"/>
      <c r="B37" s="1209" t="s">
        <v>100</v>
      </c>
      <c r="C37" s="1210"/>
      <c r="D37" s="1229"/>
      <c r="E37" s="1212" cm="1">
        <f t="array" ref="E37">'PF calculator'!E37</f>
        <v>4000000</v>
      </c>
      <c r="F37" s="1213"/>
      <c r="G37" s="533"/>
      <c r="H37" s="534"/>
      <c r="I37" s="534"/>
      <c r="J37" s="534"/>
      <c r="K37" s="534"/>
      <c r="L37" s="1235"/>
      <c r="M37" s="1235"/>
      <c r="N37" s="1235"/>
      <c r="O37" s="1235"/>
      <c r="P37" s="1235"/>
      <c r="Q37" s="1235"/>
      <c r="R37" s="1235"/>
      <c r="S37" s="1235"/>
      <c r="T37" s="523"/>
      <c r="U37" s="522"/>
      <c r="V37" s="57"/>
      <c r="W37" s="57"/>
      <c r="X37" s="58"/>
    </row>
    <row r="38" spans="1:24" ht="18.75" customHeight="1">
      <c r="A38" s="522"/>
      <c r="B38" s="1210" t="e" cm="1" vm="3">
        <f t="array" aca="1" ref="B38" ca="1">'PF calculator'!B38:D38</f>
        <v>#VALUE!</v>
      </c>
      <c r="C38" s="1210"/>
      <c r="D38" s="1229"/>
      <c r="E38" s="1316" cm="1">
        <f t="array" ref="E38">IF('PF calculator'!E38*1.25&gt;100,100,(INT('PF calculator'!E38*1.25)))</f>
        <v>100</v>
      </c>
      <c r="F38" s="1317"/>
      <c r="G38" s="615"/>
      <c r="H38" s="534"/>
      <c r="I38" s="534"/>
      <c r="J38" s="534"/>
      <c r="K38" s="534"/>
      <c r="L38" s="534"/>
      <c r="M38" s="534"/>
      <c r="N38" s="534"/>
      <c r="O38" s="534"/>
      <c r="P38" s="534"/>
      <c r="Q38" s="534"/>
      <c r="R38" s="534"/>
      <c r="S38" s="534"/>
      <c r="T38" s="523"/>
      <c r="U38" s="522"/>
      <c r="V38" s="57"/>
      <c r="W38" s="57"/>
      <c r="X38" s="58"/>
    </row>
    <row r="39" spans="1:24" ht="18.75" customHeight="1">
      <c r="A39" s="522"/>
      <c r="B39" s="1210" t="e" cm="1" vm="3">
        <f t="array" aca="1" ref="B39" ca="1">'PF calculator'!B39:D39</f>
        <v>#VALUE!</v>
      </c>
      <c r="C39" s="1210"/>
      <c r="D39" s="1229"/>
      <c r="E39" s="1230" t="e" cm="1" vm="5">
        <f t="array" aca="1" ref="E39" ca="1">'PF calculator'!E39:F39</f>
        <v>#VALUE!</v>
      </c>
      <c r="F39" s="1231"/>
      <c r="G39" s="533"/>
      <c r="H39" s="534"/>
      <c r="I39" s="534"/>
      <c r="J39" s="534"/>
      <c r="K39" s="534"/>
      <c r="L39" s="534"/>
      <c r="M39" s="534"/>
      <c r="N39" s="534"/>
      <c r="O39" s="534"/>
      <c r="P39" s="534"/>
      <c r="Q39" s="534"/>
      <c r="R39" s="534"/>
      <c r="S39" s="534"/>
      <c r="T39" s="523"/>
      <c r="U39" s="522"/>
      <c r="V39" s="57"/>
      <c r="W39" s="57"/>
      <c r="X39" s="58"/>
    </row>
    <row r="40" spans="1:24" ht="8" customHeight="1">
      <c r="A40" s="522"/>
      <c r="B40" s="554"/>
      <c r="C40" s="554"/>
      <c r="D40" s="554"/>
      <c r="E40" s="562"/>
      <c r="F40" s="562"/>
      <c r="G40" s="554"/>
      <c r="H40" s="534"/>
      <c r="I40" s="534"/>
      <c r="J40" s="534"/>
      <c r="K40" s="534"/>
      <c r="L40" s="534"/>
      <c r="M40" s="534"/>
      <c r="N40" s="534"/>
      <c r="O40" s="534"/>
      <c r="P40" s="534"/>
      <c r="Q40" s="534"/>
      <c r="R40" s="534"/>
      <c r="S40" s="534"/>
      <c r="T40" s="523"/>
      <c r="U40" s="522"/>
      <c r="V40" s="57"/>
      <c r="W40" s="57"/>
      <c r="X40" s="58"/>
    </row>
    <row r="41" spans="1:24" ht="18.75" customHeight="1">
      <c r="A41" s="522"/>
      <c r="B41" s="1232" t="e" cm="1" vm="6">
        <f t="array" aca="1" ref="B41" ca="1">'PF calculator'!B41:D42</f>
        <v>#VALUE!</v>
      </c>
      <c r="C41" s="1232"/>
      <c r="D41" s="1233"/>
      <c r="E41" s="1230" cm="1">
        <f t="array" ref="E41">'PF calculator'!E41</f>
        <v>1000000</v>
      </c>
      <c r="F41" s="1231"/>
      <c r="G41" s="533"/>
      <c r="H41" s="534"/>
      <c r="I41" s="534"/>
      <c r="J41" s="534"/>
      <c r="K41" s="534"/>
      <c r="L41" s="534"/>
      <c r="M41" s="534"/>
      <c r="N41" s="534"/>
      <c r="O41" s="534"/>
      <c r="P41" s="534"/>
      <c r="Q41" s="534"/>
      <c r="R41" s="534"/>
      <c r="S41" s="534"/>
      <c r="T41" s="523"/>
      <c r="U41" s="522"/>
      <c r="V41" s="57"/>
      <c r="W41" s="57"/>
      <c r="X41" s="58"/>
    </row>
    <row r="42" spans="1:24" ht="13.5" customHeight="1">
      <c r="A42" s="522"/>
      <c r="B42" s="1234"/>
      <c r="C42" s="1234"/>
      <c r="D42" s="1234"/>
      <c r="E42" s="563"/>
      <c r="F42" s="563"/>
      <c r="G42" s="564"/>
      <c r="H42" s="564"/>
      <c r="I42" s="564"/>
      <c r="J42" s="564"/>
      <c r="K42" s="564"/>
      <c r="L42" s="564"/>
      <c r="M42" s="564"/>
      <c r="N42" s="564"/>
      <c r="O42" s="564"/>
      <c r="P42" s="564"/>
      <c r="Q42" s="564"/>
      <c r="R42" s="564"/>
      <c r="S42" s="564"/>
      <c r="T42" s="523"/>
      <c r="U42" s="522"/>
      <c r="V42" s="57"/>
      <c r="W42" s="57"/>
      <c r="X42" s="58"/>
    </row>
    <row r="43" spans="1:24" ht="18.75" customHeight="1">
      <c r="A43" s="522"/>
      <c r="B43" s="1190" t="e" cm="1" vm="4">
        <f t="array" aca="1" ref="B43" ca="1">'PF calculator'!B43:S43</f>
        <v>#VALUE!</v>
      </c>
      <c r="C43" s="1190"/>
      <c r="D43" s="1190"/>
      <c r="E43" s="1190"/>
      <c r="F43" s="1190"/>
      <c r="G43" s="1190"/>
      <c r="H43" s="1190"/>
      <c r="I43" s="1190"/>
      <c r="J43" s="1190"/>
      <c r="K43" s="1190"/>
      <c r="L43" s="1190"/>
      <c r="M43" s="1190"/>
      <c r="N43" s="1190"/>
      <c r="O43" s="1190"/>
      <c r="P43" s="1190"/>
      <c r="Q43" s="1190"/>
      <c r="R43" s="1190"/>
      <c r="S43" s="1190"/>
      <c r="T43" s="523"/>
      <c r="U43" s="522"/>
      <c r="V43" s="57"/>
      <c r="W43" s="57"/>
      <c r="X43" s="58"/>
    </row>
    <row r="44" spans="1:24" ht="8" customHeight="1">
      <c r="A44" s="522"/>
      <c r="B44" s="565"/>
      <c r="C44" s="529"/>
      <c r="D44" s="529"/>
      <c r="E44" s="529"/>
      <c r="F44" s="529"/>
      <c r="G44" s="529"/>
      <c r="H44" s="529"/>
      <c r="I44" s="529"/>
      <c r="J44" s="529"/>
      <c r="K44" s="529"/>
      <c r="L44" s="529"/>
      <c r="M44" s="529"/>
      <c r="N44" s="529"/>
      <c r="O44" s="529"/>
      <c r="P44" s="529"/>
      <c r="Q44" s="529"/>
      <c r="R44" s="529"/>
      <c r="S44" s="529"/>
      <c r="T44" s="523"/>
      <c r="U44" s="522"/>
      <c r="V44" s="57"/>
      <c r="W44" s="57"/>
      <c r="X44" s="58"/>
    </row>
    <row r="45" spans="1:24" ht="18.75" customHeight="1">
      <c r="A45" s="566"/>
      <c r="B45" s="1217" t="s">
        <v>107</v>
      </c>
      <c r="C45" s="1218"/>
      <c r="D45" s="1218"/>
      <c r="E45" s="1218"/>
      <c r="F45" s="1219" t="s">
        <v>108</v>
      </c>
      <c r="G45" s="1220"/>
      <c r="H45" s="1220"/>
      <c r="I45" s="1220"/>
      <c r="J45" s="1220"/>
      <c r="K45" s="534"/>
      <c r="L45" s="1219" t="s">
        <v>109</v>
      </c>
      <c r="M45" s="1220"/>
      <c r="N45" s="1220"/>
      <c r="O45" s="1220"/>
      <c r="P45" s="1220"/>
      <c r="Q45" s="534"/>
      <c r="R45" s="1221" t="s">
        <v>110</v>
      </c>
      <c r="S45" s="1222"/>
      <c r="T45" s="523"/>
      <c r="U45" s="522"/>
      <c r="V45" s="57"/>
      <c r="W45" s="57"/>
      <c r="X45" s="58"/>
    </row>
    <row r="46" spans="1:24" ht="18.75" customHeight="1">
      <c r="A46" s="566"/>
      <c r="B46" s="1209" t="s">
        <v>111</v>
      </c>
      <c r="C46" s="1210"/>
      <c r="D46" s="1210"/>
      <c r="E46" s="1211"/>
      <c r="F46" s="122"/>
      <c r="G46" s="567" cm="1">
        <f t="array" ref="G46">'PF calculator'!G46</f>
        <v>0</v>
      </c>
      <c r="H46" s="567" cm="1">
        <f t="array" ref="H46">'PF calculator'!H46</f>
        <v>0</v>
      </c>
      <c r="I46" s="567" cm="1">
        <f t="array" ref="I46">'PF calculator'!I46</f>
        <v>123</v>
      </c>
      <c r="J46" s="567" cm="1">
        <f t="array" ref="J46">'PF calculator'!J46</f>
        <v>0</v>
      </c>
      <c r="K46" s="568"/>
      <c r="L46" s="569" cm="1">
        <f t="array" ref="L46">IF(SUM(G46:J46)&lt;SUM(F51:J51),"n/a",F51)</f>
        <v>123</v>
      </c>
      <c r="M46" s="569" cm="1">
        <f t="array" ref="M46">IF(SUM(G46:J46)&lt;SUM(F51:J51),"n/a",G51-G46)</f>
        <v>0</v>
      </c>
      <c r="N46" s="569" cm="1">
        <f t="array" ref="N46">IF(SUM(G46:J46)&lt;SUM(F51:J51),"n/a",H51-H46)</f>
        <v>0</v>
      </c>
      <c r="O46" s="569" cm="1">
        <f t="array" ref="O46">IF(SUM(G46:J46)&lt;SUM(F51:J51),"n/a",I51-I46)</f>
        <v>-123</v>
      </c>
      <c r="P46" s="569" cm="1">
        <f t="array" ref="P46">IF(SUM(G46:J46)&lt;SUM(F51:J51),"n/a",J51-J46)</f>
        <v>0</v>
      </c>
      <c r="Q46" s="570"/>
      <c r="R46" s="1212" cm="1">
        <f t="array" ref="R46">-(SUMPRODUCT($M$46:$P$46,$M$52:$P$52))*(VLOOKUP($E$38,'Policy assumptions and formulae'!A10:D109,4,FALSE))</f>
        <v>3673805.8916927809</v>
      </c>
      <c r="S46" s="1226"/>
      <c r="T46" s="571"/>
      <c r="U46" s="522"/>
      <c r="V46" s="57"/>
      <c r="W46" s="57"/>
      <c r="X46" s="58"/>
    </row>
    <row r="47" spans="1:24" ht="18.75" customHeight="1">
      <c r="A47" s="566"/>
      <c r="B47" s="1209" t="s">
        <v>112</v>
      </c>
      <c r="C47" s="1210"/>
      <c r="D47" s="1210"/>
      <c r="E47" s="1211"/>
      <c r="F47" s="122"/>
      <c r="G47" s="567" cm="1">
        <f t="array" ref="G47">'PF calculator'!G47</f>
        <v>0</v>
      </c>
      <c r="H47" s="567" cm="1">
        <f t="array" ref="H47">'PF calculator'!H47</f>
        <v>0</v>
      </c>
      <c r="I47" s="567" cm="1">
        <f t="array" ref="I47">'PF calculator'!I47</f>
        <v>500</v>
      </c>
      <c r="J47" s="567" cm="1">
        <f t="array" ref="J47">'PF calculator'!J47</f>
        <v>0</v>
      </c>
      <c r="K47" s="568"/>
      <c r="L47" s="569" cm="1">
        <f t="array" ref="L47">IF(SUM(G47:J47)&lt;SUM(F52:J52),"n/a",F52)</f>
        <v>500</v>
      </c>
      <c r="M47" s="569" cm="1">
        <f t="array" ref="M47">IF(SUM(G47:J47)&lt;SUM(F52:J52),"n/a",G52-G47)</f>
        <v>0</v>
      </c>
      <c r="N47" s="569" cm="1">
        <f t="array" ref="N47">IF(SUM(G47:J47)&lt;SUM(F52:J52),"n/a",H52-H47)</f>
        <v>0</v>
      </c>
      <c r="O47" s="569" cm="1">
        <f t="array" ref="O47">IF(SUM(G47:J47)&lt;SUM(F52:J52),"n/a",I52-I47)</f>
        <v>-500</v>
      </c>
      <c r="P47" s="569" cm="1">
        <f t="array" ref="P47">IF(SUM(G47:J47)&lt;SUM(F52:J52),"n/a",J52-J47)</f>
        <v>0</v>
      </c>
      <c r="Q47" s="570"/>
      <c r="R47" s="1212" cm="1">
        <f t="array" ref="R47">-(SUMPRODUCT($M$47:$P$47,$M$52:$P$52))*(VLOOKUP($E$38,'Policy assumptions and formulae'!A10:D109,4,FALSE))</f>
        <v>14934170.291434068</v>
      </c>
      <c r="S47" s="1226"/>
      <c r="T47" s="571"/>
      <c r="U47" s="522"/>
      <c r="V47" s="57"/>
      <c r="W47" s="57"/>
      <c r="X47" s="58"/>
    </row>
    <row r="48" spans="1:24" ht="18.75" customHeight="1">
      <c r="A48" s="566"/>
      <c r="B48" s="1209" t="s">
        <v>113</v>
      </c>
      <c r="C48" s="1210"/>
      <c r="D48" s="1210"/>
      <c r="E48" s="1211"/>
      <c r="F48" s="122"/>
      <c r="G48" s="567" cm="1">
        <f t="array" ref="G48">'PF calculator'!G48</f>
        <v>0</v>
      </c>
      <c r="H48" s="567" cm="1">
        <f t="array" ref="H48">'PF calculator'!H48</f>
        <v>0</v>
      </c>
      <c r="I48" s="567" cm="1">
        <f t="array" ref="I48">'PF calculator'!I48</f>
        <v>0</v>
      </c>
      <c r="J48" s="567" cm="1">
        <f t="array" ref="J48">'PF calculator'!J48</f>
        <v>0</v>
      </c>
      <c r="K48" s="568"/>
      <c r="L48" s="569" cm="1">
        <f t="array" ref="L48">IF(SUM(G48:J48)&lt;SUM(F53:J53),"n/a",F53)</f>
        <v>0</v>
      </c>
      <c r="M48" s="569" cm="1">
        <f t="array" ref="M48">IF(SUM(G48:J48)&lt;SUM(F53:J53),"n/a",G53-G48)</f>
        <v>0</v>
      </c>
      <c r="N48" s="569" cm="1">
        <f t="array" ref="N48">IF(SUM(G48:J48)&lt;SUM(F53:J53),"n/a",H53-H48)</f>
        <v>0</v>
      </c>
      <c r="O48" s="569" cm="1">
        <f t="array" ref="O48">IF(SUM(G48:J48)&lt;SUM(F53:J53),"n/a",I53-I48)</f>
        <v>0</v>
      </c>
      <c r="P48" s="569" cm="1">
        <f t="array" ref="P48">IF(SUM(G48:J48)&lt;SUM(F53:J53),"n/a",J53-J48)</f>
        <v>0</v>
      </c>
      <c r="Q48" s="570"/>
      <c r="R48" s="1212" cm="1">
        <f t="array" ref="R48">-(SUMPRODUCT($M$48:$P$48,$M$52:$P$52))*(VLOOKUP($E$38,'Policy assumptions and formulae'!A10:D109,4,FALSE))</f>
        <v>0</v>
      </c>
      <c r="S48" s="1226"/>
      <c r="T48" s="571"/>
      <c r="U48" s="522"/>
      <c r="V48" s="57"/>
      <c r="W48" s="57"/>
      <c r="X48" s="58"/>
    </row>
    <row r="49" spans="1:24" ht="29.25" customHeight="1">
      <c r="A49" s="522"/>
      <c r="B49" s="529"/>
      <c r="C49" s="529"/>
      <c r="D49" s="529"/>
      <c r="E49" s="529"/>
      <c r="F49" s="572" t="s">
        <v>464</v>
      </c>
      <c r="G49" s="572" t="s">
        <v>114</v>
      </c>
      <c r="H49" s="572" t="s">
        <v>115</v>
      </c>
      <c r="I49" s="572" t="s">
        <v>117</v>
      </c>
      <c r="J49" s="572" t="s">
        <v>118</v>
      </c>
      <c r="K49" s="529"/>
      <c r="L49" s="572" t="s">
        <v>464</v>
      </c>
      <c r="M49" s="572" t="s">
        <v>114</v>
      </c>
      <c r="N49" s="572" t="s">
        <v>115</v>
      </c>
      <c r="O49" s="572" t="s">
        <v>117</v>
      </c>
      <c r="P49" s="572" t="s">
        <v>118</v>
      </c>
      <c r="Q49" s="529"/>
      <c r="R49" s="573"/>
      <c r="S49" s="573"/>
      <c r="T49" s="523"/>
      <c r="U49" s="522"/>
      <c r="V49" s="57"/>
      <c r="W49" s="57"/>
      <c r="X49" s="58"/>
    </row>
    <row r="50" spans="1:24" ht="18.75" customHeight="1">
      <c r="A50" s="522"/>
      <c r="B50" s="1217" t="s">
        <v>107</v>
      </c>
      <c r="C50" s="1218"/>
      <c r="D50" s="1218"/>
      <c r="E50" s="1218"/>
      <c r="F50" s="1219" t="s">
        <v>465</v>
      </c>
      <c r="G50" s="1220"/>
      <c r="H50" s="1220"/>
      <c r="I50" s="1220"/>
      <c r="J50" s="1220"/>
      <c r="K50" s="534"/>
      <c r="L50" s="1223" t="s">
        <v>120</v>
      </c>
      <c r="M50" s="1224"/>
      <c r="N50" s="1224"/>
      <c r="O50" s="1224"/>
      <c r="P50" s="1224"/>
      <c r="Q50" s="529"/>
      <c r="R50" s="529"/>
      <c r="S50" s="529"/>
      <c r="T50" s="523"/>
      <c r="U50" s="522"/>
      <c r="V50" s="57"/>
      <c r="W50" s="57"/>
      <c r="X50" s="58"/>
    </row>
    <row r="51" spans="1:24" ht="18.75" customHeight="1">
      <c r="A51" s="522"/>
      <c r="B51" s="1209" t="s">
        <v>111</v>
      </c>
      <c r="C51" s="1210"/>
      <c r="D51" s="1210"/>
      <c r="E51" s="1211"/>
      <c r="F51" s="567" cm="1">
        <f t="array" ref="F51">'PF calculator'!F51</f>
        <v>123</v>
      </c>
      <c r="G51" s="567" cm="1">
        <f t="array" ref="G51">'PF calculator'!G51</f>
        <v>0</v>
      </c>
      <c r="H51" s="567" cm="1">
        <f t="array" ref="H51">'PF calculator'!H51</f>
        <v>0</v>
      </c>
      <c r="I51" s="567" cm="1">
        <f t="array" ref="I51">'PF calculator'!I51</f>
        <v>0</v>
      </c>
      <c r="J51" s="567" cm="1">
        <f t="array" ref="J51">'PF calculator'!J51</f>
        <v>0</v>
      </c>
      <c r="K51" s="574"/>
      <c r="L51" s="1225"/>
      <c r="M51" s="1225"/>
      <c r="N51" s="1225"/>
      <c r="O51" s="1225"/>
      <c r="P51" s="1225"/>
      <c r="Q51" s="529"/>
      <c r="R51" s="529"/>
      <c r="S51" s="529"/>
      <c r="T51" s="523"/>
      <c r="U51" s="522"/>
      <c r="V51" s="57"/>
      <c r="W51" s="57"/>
      <c r="X51" s="58"/>
    </row>
    <row r="52" spans="1:24" ht="18.75" customHeight="1">
      <c r="A52" s="522"/>
      <c r="B52" s="1209" t="s">
        <v>112</v>
      </c>
      <c r="C52" s="1210"/>
      <c r="D52" s="1210"/>
      <c r="E52" s="1211"/>
      <c r="F52" s="567" cm="1">
        <f t="array" ref="F52">'PF calculator'!F52</f>
        <v>500</v>
      </c>
      <c r="G52" s="567" cm="1">
        <f t="array" ref="G52">'PF calculator'!G52</f>
        <v>0</v>
      </c>
      <c r="H52" s="567" cm="1">
        <f t="array" ref="H52">'PF calculator'!H52</f>
        <v>0</v>
      </c>
      <c r="I52" s="567" cm="1">
        <f t="array" ref="I52">'PF calculator'!I52</f>
        <v>0</v>
      </c>
      <c r="J52" s="567" cm="1">
        <f t="array" ref="J52">'PF calculator'!J52</f>
        <v>0</v>
      </c>
      <c r="K52" s="568"/>
      <c r="L52" s="575" cm="1">
        <f t="array" ref="L52">'Policy assumptions and formulae'!$AD$56</f>
        <v>0</v>
      </c>
      <c r="M52" s="575" cm="1">
        <f t="array" ref="M52">'Policy assumptions and formulae'!$AD$55</f>
        <v>58.833333333333343</v>
      </c>
      <c r="N52" s="575" cm="1">
        <f t="array" ref="N52">'Policy assumptions and formulae'!$AD$54</f>
        <v>294.16666666666674</v>
      </c>
      <c r="O52" s="575" cm="1">
        <f t="array" ref="O52">'Policy assumptions and formulae'!$AD$53</f>
        <v>1000.1666666666665</v>
      </c>
      <c r="P52" s="575" cm="1">
        <f t="array" ref="P52">'Policy assumptions and formulae'!$AD$52</f>
        <v>1588.5000000000002</v>
      </c>
      <c r="Q52" s="576"/>
      <c r="R52" s="529"/>
      <c r="S52" s="529"/>
      <c r="T52" s="523"/>
      <c r="U52" s="522"/>
      <c r="V52" s="57"/>
      <c r="W52" s="57"/>
      <c r="X52" s="58"/>
    </row>
    <row r="53" spans="1:24" ht="18.75" customHeight="1">
      <c r="A53" s="522"/>
      <c r="B53" s="1209" t="s">
        <v>121</v>
      </c>
      <c r="C53" s="1210"/>
      <c r="D53" s="1210"/>
      <c r="E53" s="1211"/>
      <c r="F53" s="567" cm="1">
        <f t="array" ref="F53">'PF calculator'!F53</f>
        <v>0</v>
      </c>
      <c r="G53" s="567" cm="1">
        <f t="array" ref="G53">'PF calculator'!G53</f>
        <v>0</v>
      </c>
      <c r="H53" s="567" cm="1">
        <f t="array" ref="H53">'PF calculator'!H53</f>
        <v>0</v>
      </c>
      <c r="I53" s="567" cm="1">
        <f t="array" ref="I53">'PF calculator'!I53</f>
        <v>0</v>
      </c>
      <c r="J53" s="567" cm="1">
        <f t="array" ref="J53">'PF calculator'!J53</f>
        <v>0</v>
      </c>
      <c r="K53" s="574"/>
      <c r="L53" s="577"/>
      <c r="M53" s="546"/>
      <c r="N53" s="546"/>
      <c r="O53" s="546"/>
      <c r="P53" s="546"/>
      <c r="Q53" s="529"/>
      <c r="R53" s="529"/>
      <c r="S53" s="529"/>
      <c r="T53" s="523"/>
      <c r="U53" s="522"/>
      <c r="V53" s="57"/>
      <c r="W53" s="57"/>
      <c r="X53" s="58"/>
    </row>
    <row r="54" spans="1:24" ht="28.5" customHeight="1">
      <c r="A54" s="522"/>
      <c r="B54" s="529"/>
      <c r="C54" s="529"/>
      <c r="D54" s="529"/>
      <c r="E54" s="529"/>
      <c r="F54" s="572" t="s">
        <v>464</v>
      </c>
      <c r="G54" s="572" t="s">
        <v>114</v>
      </c>
      <c r="H54" s="572" t="s">
        <v>115</v>
      </c>
      <c r="I54" s="572" t="s">
        <v>117</v>
      </c>
      <c r="J54" s="572" t="s">
        <v>118</v>
      </c>
      <c r="K54" s="529"/>
      <c r="L54" s="529"/>
      <c r="M54" s="529"/>
      <c r="N54" s="529"/>
      <c r="O54" s="529"/>
      <c r="P54" s="529"/>
      <c r="Q54" s="529"/>
      <c r="R54" s="529"/>
      <c r="S54" s="529"/>
      <c r="T54" s="523"/>
      <c r="U54" s="522"/>
      <c r="V54" s="57"/>
      <c r="W54" s="57"/>
      <c r="X54" s="58"/>
    </row>
    <row r="55" spans="1:24" ht="8" customHeight="1">
      <c r="A55" s="522"/>
      <c r="B55" s="549"/>
      <c r="C55" s="549"/>
      <c r="D55" s="549"/>
      <c r="E55" s="549"/>
      <c r="F55" s="549"/>
      <c r="G55" s="549"/>
      <c r="H55" s="549"/>
      <c r="I55" s="549"/>
      <c r="J55" s="549"/>
      <c r="K55" s="549"/>
      <c r="L55" s="549"/>
      <c r="M55" s="549"/>
      <c r="N55" s="549"/>
      <c r="O55" s="549"/>
      <c r="P55" s="549"/>
      <c r="Q55" s="549"/>
      <c r="R55" s="549"/>
      <c r="S55" s="549"/>
      <c r="T55" s="523"/>
      <c r="U55" s="522"/>
      <c r="V55" s="57"/>
      <c r="W55" s="57"/>
      <c r="X55" s="58"/>
    </row>
    <row r="56" spans="1:24" ht="18.75" customHeight="1">
      <c r="A56" s="522"/>
      <c r="B56" s="1190" t="e" cm="1" vm="4">
        <f t="array" aca="1" ref="B56" ca="1">'PF calculator'!B56:S56</f>
        <v>#VALUE!</v>
      </c>
      <c r="C56" s="1190"/>
      <c r="D56" s="1190"/>
      <c r="E56" s="1190"/>
      <c r="F56" s="1190"/>
      <c r="G56" s="1190"/>
      <c r="H56" s="1190"/>
      <c r="I56" s="1190"/>
      <c r="J56" s="1190"/>
      <c r="K56" s="1190"/>
      <c r="L56" s="1190"/>
      <c r="M56" s="1190"/>
      <c r="N56" s="1190"/>
      <c r="O56" s="1190"/>
      <c r="P56" s="1190"/>
      <c r="Q56" s="1190"/>
      <c r="R56" s="1190"/>
      <c r="S56" s="1190"/>
      <c r="T56" s="523"/>
      <c r="U56" s="522"/>
      <c r="V56" s="57"/>
      <c r="W56" s="57"/>
      <c r="X56" s="58"/>
    </row>
    <row r="57" spans="1:24" ht="8" customHeight="1">
      <c r="A57" s="522"/>
      <c r="B57" s="529"/>
      <c r="C57" s="529"/>
      <c r="D57" s="529"/>
      <c r="E57" s="530"/>
      <c r="F57" s="530"/>
      <c r="G57" s="529"/>
      <c r="H57" s="529"/>
      <c r="I57" s="529"/>
      <c r="J57" s="529"/>
      <c r="K57" s="529"/>
      <c r="L57" s="529"/>
      <c r="M57" s="529"/>
      <c r="N57" s="529"/>
      <c r="O57" s="529"/>
      <c r="P57" s="529"/>
      <c r="Q57" s="529"/>
      <c r="R57" s="529"/>
      <c r="S57" s="529"/>
      <c r="T57" s="523"/>
      <c r="U57" s="522"/>
      <c r="V57" s="57"/>
      <c r="W57" s="57"/>
      <c r="X57" s="58"/>
    </row>
    <row r="58" spans="1:24" ht="18.75" customHeight="1">
      <c r="A58" s="522"/>
      <c r="B58" s="1217" t="s">
        <v>478</v>
      </c>
      <c r="C58" s="1218"/>
      <c r="D58" s="1227"/>
      <c r="E58" s="1228" cm="1">
        <f t="array" ref="E58">'PF calculator'!E58</f>
        <v>2024</v>
      </c>
      <c r="F58" s="1226"/>
      <c r="G58" s="533"/>
      <c r="H58" s="534"/>
      <c r="I58" s="534"/>
      <c r="J58" s="534"/>
      <c r="K58" s="534"/>
      <c r="L58" s="534"/>
      <c r="M58" s="534"/>
      <c r="N58" s="534"/>
      <c r="O58" s="534"/>
      <c r="P58" s="534"/>
      <c r="Q58" s="534"/>
      <c r="R58" s="534"/>
      <c r="S58" s="534"/>
      <c r="T58" s="523"/>
      <c r="U58" s="522"/>
      <c r="V58" s="57"/>
      <c r="W58" s="57"/>
      <c r="X58" s="58"/>
    </row>
    <row r="59" spans="1:24" ht="8" customHeight="1">
      <c r="A59" s="522"/>
      <c r="B59" s="534"/>
      <c r="C59" s="534"/>
      <c r="D59" s="534"/>
      <c r="E59" s="536"/>
      <c r="F59" s="536"/>
      <c r="G59" s="534"/>
      <c r="H59" s="534"/>
      <c r="I59" s="534"/>
      <c r="J59" s="534"/>
      <c r="K59" s="534"/>
      <c r="L59" s="534"/>
      <c r="M59" s="534"/>
      <c r="N59" s="534"/>
      <c r="O59" s="534"/>
      <c r="P59" s="534"/>
      <c r="Q59" s="534"/>
      <c r="R59" s="534"/>
      <c r="S59" s="534"/>
      <c r="T59" s="523"/>
      <c r="U59" s="522"/>
      <c r="V59" s="57"/>
      <c r="W59" s="57"/>
      <c r="X59" s="58"/>
    </row>
    <row r="60" spans="1:24" ht="18.75" customHeight="1">
      <c r="A60" s="522"/>
      <c r="B60" s="1217" t="s">
        <v>107</v>
      </c>
      <c r="C60" s="1218"/>
      <c r="D60" s="1218"/>
      <c r="E60" s="1218"/>
      <c r="F60" s="1219" t="s">
        <v>125</v>
      </c>
      <c r="G60" s="1220"/>
      <c r="H60" s="1220"/>
      <c r="I60" s="1220"/>
      <c r="J60" s="1220"/>
      <c r="K60" s="534"/>
      <c r="L60" s="1219" t="s">
        <v>109</v>
      </c>
      <c r="M60" s="1220"/>
      <c r="N60" s="1220"/>
      <c r="O60" s="1220"/>
      <c r="P60" s="1220"/>
      <c r="Q60" s="534"/>
      <c r="R60" s="1221" t="s">
        <v>110</v>
      </c>
      <c r="S60" s="1222"/>
      <c r="T60" s="523"/>
      <c r="U60" s="522"/>
      <c r="V60" s="57"/>
      <c r="W60" s="57"/>
      <c r="X60" s="58"/>
    </row>
    <row r="61" spans="1:24" ht="18.75" customHeight="1">
      <c r="A61" s="522"/>
      <c r="B61" s="1209" t="s">
        <v>111</v>
      </c>
      <c r="C61" s="1210"/>
      <c r="D61" s="1210"/>
      <c r="E61" s="1211"/>
      <c r="F61" s="122"/>
      <c r="G61" s="567" cm="1">
        <f t="array" ref="G61">'PF calculator'!G61</f>
        <v>0</v>
      </c>
      <c r="H61" s="567" cm="1">
        <f t="array" ref="H61">'PF calculator'!H61</f>
        <v>0</v>
      </c>
      <c r="I61" s="567" cm="1">
        <f t="array" ref="I61">'PF calculator'!I61</f>
        <v>14</v>
      </c>
      <c r="J61" s="567" cm="1">
        <f t="array" ref="J61">'PF calculator'!J61</f>
        <v>0</v>
      </c>
      <c r="K61" s="568"/>
      <c r="L61" s="569" cm="1">
        <f t="array" ref="L61">IF(SUM(G61:J61)&lt;SUM(F66:J66),"n/a",F66)</f>
        <v>14</v>
      </c>
      <c r="M61" s="569" cm="1">
        <f t="array" ref="M61">IF(SUM(G61:J61)&lt;SUM(F66:J66),"n/a",G66-G61)</f>
        <v>0</v>
      </c>
      <c r="N61" s="569" cm="1">
        <f t="array" ref="N61">IF(SUM(G61:J61)&lt;SUM(F66:J66),"n/a",H66-H61)</f>
        <v>0</v>
      </c>
      <c r="O61" s="569" cm="1">
        <f t="array" ref="O61">IF(SUM(G61:J61)&lt;SUM(F66:J66),"n/a",I66-I61)</f>
        <v>-14</v>
      </c>
      <c r="P61" s="569" cm="1">
        <f t="array" ref="P61">IF(SUM(G61:J61)&lt;SUM(F66:J66),"n/a",J66-J61)</f>
        <v>0</v>
      </c>
      <c r="Q61" s="570"/>
      <c r="R61" s="1212" cm="1">
        <f t="array" ref="R61">IF($E$58+$E$38&lt;2041,"Ltd by DoB",(-SUMPRODUCT($M$61:$P$61,$M$67:$P$67)*VLOOKUP($E$38,'Policy assumptions and formulae'!$A$10:$D$109,4,FALSE))-(-SUMPRODUCT($M$61:$P$61,$M$67:$P$67)*VLOOKUP((2040-$E$58),'Policy assumptions and formulae'!$A$10:$D$109,4,FALSE)))</f>
        <v>234808.57990684893</v>
      </c>
      <c r="S61" s="1226"/>
      <c r="T61" s="571"/>
      <c r="U61" s="522"/>
      <c r="V61" s="57"/>
      <c r="W61" s="57"/>
      <c r="X61" s="58"/>
    </row>
    <row r="62" spans="1:24" ht="18.75" customHeight="1">
      <c r="A62" s="522"/>
      <c r="B62" s="1209" t="s">
        <v>112</v>
      </c>
      <c r="C62" s="1210"/>
      <c r="D62" s="1210"/>
      <c r="E62" s="1211"/>
      <c r="F62" s="122"/>
      <c r="G62" s="567" cm="1">
        <f t="array" ref="G62">'PF calculator'!G62</f>
        <v>0</v>
      </c>
      <c r="H62" s="567" cm="1">
        <f t="array" ref="H62">'PF calculator'!H62</f>
        <v>0</v>
      </c>
      <c r="I62" s="567" cm="1">
        <f t="array" ref="I62">'PF calculator'!I62</f>
        <v>0</v>
      </c>
      <c r="J62" s="567" cm="1">
        <f t="array" ref="J62">'PF calculator'!J62</f>
        <v>0</v>
      </c>
      <c r="K62" s="568"/>
      <c r="L62" s="569" cm="1">
        <f t="array" ref="L62">IF(SUM(G62:J62)&lt;SUM(F67:J67),"n/a",F67)</f>
        <v>0</v>
      </c>
      <c r="M62" s="569" cm="1">
        <f t="array" ref="M62">IF(SUM(G62:J62)&lt;SUM(F67:J67),"n/a",G67-G62)</f>
        <v>0</v>
      </c>
      <c r="N62" s="569" cm="1">
        <f t="array" ref="N62">IF(SUM(G62:J62)&lt;SUM(F67:J67),"n/a",H67-H62)</f>
        <v>0</v>
      </c>
      <c r="O62" s="569" cm="1">
        <f t="array" ref="O62">IF(SUM(G62:J62)&lt;SUM(F67:J67),"n/a",I67-I62)</f>
        <v>0</v>
      </c>
      <c r="P62" s="569" cm="1">
        <f t="array" ref="P62">IF(SUM(G62:J62)&lt;SUM(F67:J67),"n/a",J67-J62)</f>
        <v>0</v>
      </c>
      <c r="Q62" s="570"/>
      <c r="R62" s="1212" cm="1">
        <f t="array" ref="R62">IF($E$58+$E$38&lt;2041,"Ltd by DoB",(-SUMPRODUCT($M$62:$P$62,$M$67:$P$67)*VLOOKUP($E$38,'Policy assumptions and formulae'!$A$10:$D$109,4,FALSE))-(-SUMPRODUCT($M$62:$P$62,$M$67:$P$67)*VLOOKUP((2040-$E$58),'Policy assumptions and formulae'!$A$10:$D$109,4,FALSE)))</f>
        <v>0</v>
      </c>
      <c r="S62" s="1226"/>
      <c r="T62" s="571"/>
      <c r="U62" s="522"/>
      <c r="V62" s="57"/>
      <c r="W62" s="57"/>
      <c r="X62" s="58"/>
    </row>
    <row r="63" spans="1:24" ht="18.75" customHeight="1">
      <c r="A63" s="522"/>
      <c r="B63" s="1209" t="s">
        <v>113</v>
      </c>
      <c r="C63" s="1210"/>
      <c r="D63" s="1210"/>
      <c r="E63" s="1211"/>
      <c r="F63" s="122"/>
      <c r="G63" s="567" cm="1">
        <f t="array" ref="G63">'PF calculator'!G63</f>
        <v>0</v>
      </c>
      <c r="H63" s="567" cm="1">
        <f t="array" ref="H63">'PF calculator'!H63</f>
        <v>0</v>
      </c>
      <c r="I63" s="567" cm="1">
        <f t="array" ref="I63">'PF calculator'!I63</f>
        <v>0</v>
      </c>
      <c r="J63" s="567" cm="1">
        <f t="array" ref="J63">'PF calculator'!J63</f>
        <v>0</v>
      </c>
      <c r="K63" s="568"/>
      <c r="L63" s="569" cm="1">
        <f t="array" ref="L63">IF(SUM(G63:J63)&lt;SUM(F68:J68),"n/a",F68)</f>
        <v>0</v>
      </c>
      <c r="M63" s="569" cm="1">
        <f t="array" ref="M63">IF(SUM(G63:J63)&lt;SUM(F68:J68),"n/a",G68-G63)</f>
        <v>0</v>
      </c>
      <c r="N63" s="569" cm="1">
        <f t="array" ref="N63">IF(SUM(G63:J63)&lt;SUM(F68:J68),"n/a",H68-H63)</f>
        <v>0</v>
      </c>
      <c r="O63" s="569" cm="1">
        <f t="array" ref="O63">IF(SUM(G63:J63)&lt;SUM(F68:J68),"n/a",I68-I63)</f>
        <v>0</v>
      </c>
      <c r="P63" s="569" cm="1">
        <f t="array" ref="P63">IF(SUM(G63:J63)&lt;SUM(F68:J68),"n/a",J68-J63)</f>
        <v>0</v>
      </c>
      <c r="Q63" s="570"/>
      <c r="R63" s="1212" cm="1">
        <f t="array" ref="R63">IF($E$58+$E$38&lt;2041,"Ltd by DoB",(-SUMPRODUCT($M$63:$P$63,$M$67:$P$67)*VLOOKUP($E$38,'Policy assumptions and formulae'!$A$10:$D$109,4,FALSE))-(-SUMPRODUCT($M$63:$P$63,$M$67:$P$67)*VLOOKUP((2040-$E$58),'Policy assumptions and formulae'!$A$10:$D$109,4,FALSE)))</f>
        <v>0</v>
      </c>
      <c r="S63" s="1226"/>
      <c r="T63" s="571"/>
      <c r="U63" s="522"/>
      <c r="V63" s="57"/>
      <c r="W63" s="57"/>
      <c r="X63" s="58"/>
    </row>
    <row r="64" spans="1:24" ht="28.5" customHeight="1">
      <c r="A64" s="522"/>
      <c r="B64" s="529"/>
      <c r="C64" s="529"/>
      <c r="D64" s="529"/>
      <c r="E64" s="529"/>
      <c r="F64" s="572" t="s">
        <v>464</v>
      </c>
      <c r="G64" s="572" t="s">
        <v>114</v>
      </c>
      <c r="H64" s="572" t="s">
        <v>115</v>
      </c>
      <c r="I64" s="572" t="s">
        <v>117</v>
      </c>
      <c r="J64" s="572" t="s">
        <v>118</v>
      </c>
      <c r="K64" s="579"/>
      <c r="L64" s="572" t="s">
        <v>467</v>
      </c>
      <c r="M64" s="572" t="s">
        <v>114</v>
      </c>
      <c r="N64" s="572" t="s">
        <v>115</v>
      </c>
      <c r="O64" s="572" t="s">
        <v>117</v>
      </c>
      <c r="P64" s="572" t="s">
        <v>118</v>
      </c>
      <c r="Q64" s="529"/>
      <c r="R64" s="573"/>
      <c r="S64" s="573"/>
      <c r="T64" s="523"/>
      <c r="U64" s="522"/>
      <c r="V64" s="57"/>
      <c r="W64" s="57"/>
      <c r="X64" s="58"/>
    </row>
    <row r="65" spans="1:24" ht="18.75" customHeight="1">
      <c r="A65" s="522"/>
      <c r="B65" s="1217" t="s">
        <v>107</v>
      </c>
      <c r="C65" s="1218"/>
      <c r="D65" s="1218"/>
      <c r="E65" s="1218"/>
      <c r="F65" s="1219" t="s">
        <v>465</v>
      </c>
      <c r="G65" s="1220"/>
      <c r="H65" s="1220"/>
      <c r="I65" s="1220"/>
      <c r="J65" s="1220"/>
      <c r="K65" s="534"/>
      <c r="L65" s="1223" t="s">
        <v>120</v>
      </c>
      <c r="M65" s="1224"/>
      <c r="N65" s="1224"/>
      <c r="O65" s="1224"/>
      <c r="P65" s="1224"/>
      <c r="Q65" s="534"/>
      <c r="R65" s="534"/>
      <c r="S65" s="534"/>
      <c r="T65" s="523"/>
      <c r="U65" s="522"/>
      <c r="V65" s="57"/>
      <c r="W65" s="57"/>
      <c r="X65" s="58"/>
    </row>
    <row r="66" spans="1:24" ht="18.75" customHeight="1">
      <c r="A66" s="522"/>
      <c r="B66" s="1209" t="s">
        <v>111</v>
      </c>
      <c r="C66" s="1210"/>
      <c r="D66" s="1210"/>
      <c r="E66" s="1211"/>
      <c r="F66" s="567" cm="1">
        <f t="array" ref="F66">'PF calculator'!F66</f>
        <v>14</v>
      </c>
      <c r="G66" s="567" cm="1">
        <f t="array" ref="G66">'PF calculator'!G66</f>
        <v>0</v>
      </c>
      <c r="H66" s="567" cm="1">
        <f t="array" ref="H66">'PF calculator'!H66</f>
        <v>0</v>
      </c>
      <c r="I66" s="567" cm="1">
        <f t="array" ref="I66">'PF calculator'!I66</f>
        <v>0</v>
      </c>
      <c r="J66" s="567" cm="1">
        <f t="array" ref="J66">'PF calculator'!J66</f>
        <v>0</v>
      </c>
      <c r="K66" s="574"/>
      <c r="L66" s="1225"/>
      <c r="M66" s="1225"/>
      <c r="N66" s="1225"/>
      <c r="O66" s="1225"/>
      <c r="P66" s="1225"/>
      <c r="Q66" s="534"/>
      <c r="R66" s="534"/>
      <c r="S66" s="534"/>
      <c r="T66" s="523"/>
      <c r="U66" s="522"/>
      <c r="V66" s="57"/>
      <c r="W66" s="57"/>
      <c r="X66" s="58"/>
    </row>
    <row r="67" spans="1:24" ht="18.75" customHeight="1">
      <c r="A67" s="522"/>
      <c r="B67" s="1209" t="s">
        <v>112</v>
      </c>
      <c r="C67" s="1210"/>
      <c r="D67" s="1210"/>
      <c r="E67" s="1211"/>
      <c r="F67" s="567" cm="1">
        <f t="array" ref="F67">'PF calculator'!F67</f>
        <v>0</v>
      </c>
      <c r="G67" s="567" cm="1">
        <f t="array" ref="G67">'PF calculator'!G67</f>
        <v>0</v>
      </c>
      <c r="H67" s="567" cm="1">
        <f t="array" ref="H67">'PF calculator'!H67</f>
        <v>0</v>
      </c>
      <c r="I67" s="567" cm="1">
        <f t="array" ref="I67">'PF calculator'!I67</f>
        <v>0</v>
      </c>
      <c r="J67" s="567" cm="1">
        <f t="array" ref="J67">'PF calculator'!J67</f>
        <v>0</v>
      </c>
      <c r="K67" s="568"/>
      <c r="L67" s="575" cm="1">
        <f t="array" ref="L67">'Policy assumptions and formulae'!$AD$56</f>
        <v>0</v>
      </c>
      <c r="M67" s="575" cm="1">
        <f t="array" ref="M67">'Policy assumptions and formulae'!$AD$55</f>
        <v>58.833333333333343</v>
      </c>
      <c r="N67" s="575" cm="1">
        <f t="array" ref="N67">'Policy assumptions and formulae'!$AD$54</f>
        <v>294.16666666666674</v>
      </c>
      <c r="O67" s="575" cm="1">
        <f t="array" ref="O67">'Policy assumptions and formulae'!$AD$53</f>
        <v>1000.1666666666665</v>
      </c>
      <c r="P67" s="575" cm="1">
        <f t="array" ref="P67">'Policy assumptions and formulae'!$AD$52</f>
        <v>1588.5000000000002</v>
      </c>
      <c r="Q67" s="574"/>
      <c r="R67" s="534"/>
      <c r="S67" s="534"/>
      <c r="T67" s="523"/>
      <c r="U67" s="522"/>
      <c r="V67" s="57"/>
      <c r="W67" s="57"/>
      <c r="X67" s="58"/>
    </row>
    <row r="68" spans="1:24" ht="18.75" customHeight="1">
      <c r="A68" s="522"/>
      <c r="B68" s="1209" t="s">
        <v>113</v>
      </c>
      <c r="C68" s="1210"/>
      <c r="D68" s="1210"/>
      <c r="E68" s="1211"/>
      <c r="F68" s="567" cm="1">
        <f t="array" ref="F68">'PF calculator'!F68</f>
        <v>0</v>
      </c>
      <c r="G68" s="567" cm="1">
        <f t="array" ref="G68">'PF calculator'!G68</f>
        <v>0</v>
      </c>
      <c r="H68" s="567" cm="1">
        <f t="array" ref="H68">'PF calculator'!H68</f>
        <v>0</v>
      </c>
      <c r="I68" s="567" cm="1">
        <f t="array" ref="I68">'PF calculator'!I68</f>
        <v>0</v>
      </c>
      <c r="J68" s="567" cm="1">
        <f t="array" ref="J68">'PF calculator'!J68</f>
        <v>0</v>
      </c>
      <c r="K68" s="574"/>
      <c r="L68" s="577"/>
      <c r="M68" s="546"/>
      <c r="N68" s="546"/>
      <c r="O68" s="546"/>
      <c r="P68" s="546"/>
      <c r="Q68" s="534"/>
      <c r="R68" s="534"/>
      <c r="S68" s="534"/>
      <c r="T68" s="523"/>
      <c r="U68" s="522"/>
      <c r="V68" s="57"/>
      <c r="W68" s="57"/>
      <c r="X68" s="58"/>
    </row>
    <row r="69" spans="1:24" ht="28.5" customHeight="1">
      <c r="A69" s="522"/>
      <c r="B69" s="529"/>
      <c r="C69" s="529"/>
      <c r="D69" s="529"/>
      <c r="E69" s="529"/>
      <c r="F69" s="572" t="s">
        <v>464</v>
      </c>
      <c r="G69" s="572" t="s">
        <v>114</v>
      </c>
      <c r="H69" s="572" t="s">
        <v>115</v>
      </c>
      <c r="I69" s="572" t="s">
        <v>117</v>
      </c>
      <c r="J69" s="572" t="s">
        <v>118</v>
      </c>
      <c r="K69" s="529"/>
      <c r="L69" s="529"/>
      <c r="M69" s="529"/>
      <c r="N69" s="529"/>
      <c r="O69" s="529"/>
      <c r="P69" s="529"/>
      <c r="Q69" s="529"/>
      <c r="R69" s="529"/>
      <c r="S69" s="529"/>
      <c r="T69" s="523"/>
      <c r="U69" s="522"/>
      <c r="V69" s="57"/>
      <c r="W69" s="57"/>
      <c r="X69" s="58"/>
    </row>
    <row r="70" spans="1:24" ht="8" customHeight="1">
      <c r="A70" s="522"/>
      <c r="B70" s="549"/>
      <c r="C70" s="549"/>
      <c r="D70" s="549"/>
      <c r="E70" s="549"/>
      <c r="F70" s="549"/>
      <c r="G70" s="549"/>
      <c r="H70" s="549"/>
      <c r="I70" s="549"/>
      <c r="J70" s="549"/>
      <c r="K70" s="549"/>
      <c r="L70" s="549"/>
      <c r="M70" s="549"/>
      <c r="N70" s="549"/>
      <c r="O70" s="549"/>
      <c r="P70" s="549"/>
      <c r="Q70" s="549"/>
      <c r="R70" s="549"/>
      <c r="S70" s="549"/>
      <c r="T70" s="523"/>
      <c r="U70" s="522"/>
      <c r="V70" s="57"/>
      <c r="W70" s="57"/>
      <c r="X70" s="58"/>
    </row>
    <row r="71" spans="1:24" ht="18.75" customHeight="1">
      <c r="A71" s="522"/>
      <c r="B71" s="1190" t="e" cm="1" vm="4">
        <f t="array" aca="1" ref="B71" ca="1">'PF calculator'!B71:S71</f>
        <v>#VALUE!</v>
      </c>
      <c r="C71" s="1190"/>
      <c r="D71" s="1190"/>
      <c r="E71" s="1190"/>
      <c r="F71" s="1190"/>
      <c r="G71" s="1190"/>
      <c r="H71" s="1190"/>
      <c r="I71" s="1190"/>
      <c r="J71" s="1190"/>
      <c r="K71" s="1190"/>
      <c r="L71" s="1190"/>
      <c r="M71" s="1190"/>
      <c r="N71" s="1190"/>
      <c r="O71" s="1190"/>
      <c r="P71" s="1190"/>
      <c r="Q71" s="1190"/>
      <c r="R71" s="1190"/>
      <c r="S71" s="1190"/>
      <c r="T71" s="523"/>
      <c r="U71" s="522"/>
      <c r="V71" s="57"/>
      <c r="W71" s="57"/>
      <c r="X71" s="58"/>
    </row>
    <row r="72" spans="1:24" ht="8" customHeight="1">
      <c r="A72" s="522"/>
      <c r="B72" s="529"/>
      <c r="C72" s="529"/>
      <c r="D72" s="529"/>
      <c r="E72" s="529"/>
      <c r="F72" s="529"/>
      <c r="G72" s="529"/>
      <c r="H72" s="529"/>
      <c r="I72" s="529"/>
      <c r="J72" s="529"/>
      <c r="K72" s="529"/>
      <c r="L72" s="529"/>
      <c r="M72" s="529"/>
      <c r="N72" s="529"/>
      <c r="O72" s="529"/>
      <c r="P72" s="529"/>
      <c r="Q72" s="529"/>
      <c r="R72" s="529"/>
      <c r="S72" s="529"/>
      <c r="T72" s="523"/>
      <c r="U72" s="522"/>
      <c r="V72" s="57"/>
      <c r="W72" s="57"/>
      <c r="X72" s="58"/>
    </row>
    <row r="73" spans="1:24" ht="18.75" customHeight="1">
      <c r="A73" s="522"/>
      <c r="B73" s="1217" t="s">
        <v>107</v>
      </c>
      <c r="C73" s="1218"/>
      <c r="D73" s="1218"/>
      <c r="E73" s="1218"/>
      <c r="F73" s="1219" t="s">
        <v>108</v>
      </c>
      <c r="G73" s="1220"/>
      <c r="H73" s="534"/>
      <c r="I73" s="534"/>
      <c r="J73" s="1217" t="s">
        <v>127</v>
      </c>
      <c r="K73" s="1218"/>
      <c r="L73" s="1218"/>
      <c r="M73" s="1218"/>
      <c r="N73" s="564"/>
      <c r="O73" s="564"/>
      <c r="P73" s="534"/>
      <c r="Q73" s="534"/>
      <c r="R73" s="1221" t="s">
        <v>110</v>
      </c>
      <c r="S73" s="1222"/>
      <c r="T73" s="523"/>
      <c r="U73" s="522"/>
      <c r="V73" s="57"/>
      <c r="W73" s="57"/>
      <c r="X73" s="58"/>
    </row>
    <row r="74" spans="1:24" ht="18.75" customHeight="1">
      <c r="A74" s="522"/>
      <c r="B74" s="1209" t="s">
        <v>111</v>
      </c>
      <c r="C74" s="1210"/>
      <c r="D74" s="1210"/>
      <c r="E74" s="1211"/>
      <c r="F74" s="567" cm="1">
        <f t="array" ref="F74">'PF calculator'!F74</f>
        <v>0</v>
      </c>
      <c r="G74" s="567" cm="1">
        <f t="array" ref="G74">'PF calculator'!G74</f>
        <v>0</v>
      </c>
      <c r="H74" s="574"/>
      <c r="I74" s="534"/>
      <c r="J74" s="1209" t="s">
        <v>128</v>
      </c>
      <c r="K74" s="1210"/>
      <c r="L74" s="1210"/>
      <c r="M74" s="1211"/>
      <c r="N74" s="580" cm="1">
        <f t="array" ref="N74">'Policy assumptions and formulae'!$AJ$7</f>
        <v>6800</v>
      </c>
      <c r="O74" s="580" cm="1">
        <f t="array" ref="O74">'Policy assumptions and formulae'!$AJ$7</f>
        <v>6800</v>
      </c>
      <c r="P74" s="581"/>
      <c r="Q74" s="582"/>
      <c r="R74" s="1212" cm="1">
        <f t="array" ref="R74">SUMPRODUCT($N$76:$O$76,$F$74:$G$74)*VLOOKUP($E$38,'Policy assumptions and formulae'!$A$10:$D$109,4,FALSE)</f>
        <v>0</v>
      </c>
      <c r="S74" s="1213"/>
      <c r="T74" s="571"/>
      <c r="U74" s="522"/>
      <c r="V74" s="57"/>
      <c r="W74" s="57"/>
      <c r="X74" s="58"/>
    </row>
    <row r="75" spans="1:24" ht="18.75" customHeight="1">
      <c r="A75" s="522"/>
      <c r="B75" s="1209" t="s">
        <v>112</v>
      </c>
      <c r="C75" s="1210"/>
      <c r="D75" s="1210"/>
      <c r="E75" s="1211"/>
      <c r="F75" s="567" cm="1">
        <f t="array" ref="F75">'PF calculator'!F75</f>
        <v>0</v>
      </c>
      <c r="G75" s="567" cm="1">
        <f t="array" ref="G75">'PF calculator'!G75</f>
        <v>0</v>
      </c>
      <c r="H75" s="574"/>
      <c r="I75" s="534"/>
      <c r="J75" s="1209" t="s">
        <v>129</v>
      </c>
      <c r="K75" s="1210"/>
      <c r="L75" s="1210"/>
      <c r="M75" s="1211"/>
      <c r="N75" s="583" cm="1">
        <f t="array" ref="N75">'Policy assumptions and formulae'!AJ28</f>
        <v>50</v>
      </c>
      <c r="O75" s="583" cm="1">
        <f t="array" ref="O75">'Policy assumptions and formulae'!AJ26</f>
        <v>20</v>
      </c>
      <c r="P75" s="584" t="s">
        <v>130</v>
      </c>
      <c r="Q75" s="582"/>
      <c r="R75" s="1212" cm="1">
        <f t="array" ref="R75">SUMPRODUCT($N$76:$O$76,$F$75:$G$75)*VLOOKUP($E$38,'Policy assumptions and formulae'!$A$10:$D$109,4,FALSE)</f>
        <v>0</v>
      </c>
      <c r="S75" s="1213"/>
      <c r="T75" s="571"/>
      <c r="U75" s="522"/>
      <c r="V75" s="57"/>
      <c r="W75" s="57"/>
      <c r="X75" s="58"/>
    </row>
    <row r="76" spans="1:24" ht="18.75" customHeight="1">
      <c r="A76" s="522"/>
      <c r="B76" s="1209" t="s">
        <v>113</v>
      </c>
      <c r="C76" s="1210"/>
      <c r="D76" s="1210"/>
      <c r="E76" s="1211"/>
      <c r="F76" s="567" cm="1">
        <f t="array" ref="F76">'PF calculator'!F76</f>
        <v>0</v>
      </c>
      <c r="G76" s="567" cm="1">
        <f t="array" ref="G76">'PF calculator'!G76</f>
        <v>0</v>
      </c>
      <c r="H76" s="574"/>
      <c r="I76" s="534"/>
      <c r="J76" s="1214" t="s">
        <v>131</v>
      </c>
      <c r="K76" s="1215"/>
      <c r="L76" s="1215"/>
      <c r="M76" s="1216"/>
      <c r="N76" s="580" cm="1">
        <f t="array" ref="N76">'Policy assumptions and formulae'!$AM$28</f>
        <v>1341.3864802956584</v>
      </c>
      <c r="O76" s="580" cm="1">
        <f t="array" ref="O76">'Policy assumptions and formulae'!$AM$26</f>
        <v>3417.4480141353633</v>
      </c>
      <c r="P76" s="585"/>
      <c r="Q76" s="582"/>
      <c r="R76" s="1212" cm="1">
        <f t="array" ref="R76">SUMPRODUCT($N$76:$O$76,$F$76:$G$76)*VLOOKUP($E$38,'Policy assumptions and formulae'!$A$10:$D$109,4,FALSE)</f>
        <v>0</v>
      </c>
      <c r="S76" s="1213"/>
      <c r="T76" s="571"/>
      <c r="U76" s="522"/>
      <c r="V76" s="57"/>
      <c r="W76" s="57"/>
      <c r="X76" s="58"/>
    </row>
    <row r="77" spans="1:24" ht="18.75" customHeight="1">
      <c r="A77" s="522"/>
      <c r="B77" s="534"/>
      <c r="C77" s="534"/>
      <c r="D77" s="534"/>
      <c r="E77" s="534"/>
      <c r="F77" s="572" t="s">
        <v>468</v>
      </c>
      <c r="G77" s="572" t="s">
        <v>133</v>
      </c>
      <c r="H77" s="534"/>
      <c r="I77" s="534"/>
      <c r="J77" s="1215"/>
      <c r="K77" s="1215"/>
      <c r="L77" s="1215"/>
      <c r="M77" s="1215"/>
      <c r="N77" s="572" t="s">
        <v>134</v>
      </c>
      <c r="O77" s="572" t="s">
        <v>135</v>
      </c>
      <c r="P77" s="586"/>
      <c r="Q77" s="534"/>
      <c r="R77" s="536"/>
      <c r="S77" s="536"/>
      <c r="T77" s="523"/>
      <c r="U77" s="522"/>
      <c r="V77" s="57"/>
      <c r="W77" s="57"/>
      <c r="X77" s="58"/>
    </row>
    <row r="78" spans="1:24" ht="8" customHeight="1">
      <c r="A78" s="522"/>
      <c r="B78" s="549"/>
      <c r="C78" s="549"/>
      <c r="D78" s="549"/>
      <c r="E78" s="549"/>
      <c r="F78" s="549"/>
      <c r="G78" s="549"/>
      <c r="H78" s="549"/>
      <c r="I78" s="549"/>
      <c r="J78" s="549"/>
      <c r="K78" s="549"/>
      <c r="L78" s="549"/>
      <c r="M78" s="549"/>
      <c r="N78" s="549"/>
      <c r="O78" s="549"/>
      <c r="P78" s="549"/>
      <c r="Q78" s="549"/>
      <c r="R78" s="549"/>
      <c r="S78" s="549"/>
      <c r="T78" s="523"/>
      <c r="U78" s="522"/>
      <c r="V78" s="57"/>
      <c r="W78" s="57"/>
      <c r="X78" s="58"/>
    </row>
    <row r="79" spans="1:24" ht="18.75" customHeight="1">
      <c r="A79" s="522"/>
      <c r="B79" s="1190" t="e" cm="1" vm="4">
        <f t="array" aca="1" ref="B79" ca="1">'PF calculator'!B79:S79</f>
        <v>#VALUE!</v>
      </c>
      <c r="C79" s="1190"/>
      <c r="D79" s="1190"/>
      <c r="E79" s="1190"/>
      <c r="F79" s="1190"/>
      <c r="G79" s="1190"/>
      <c r="H79" s="1190"/>
      <c r="I79" s="1190"/>
      <c r="J79" s="1190"/>
      <c r="K79" s="1190"/>
      <c r="L79" s="1190"/>
      <c r="M79" s="1190"/>
      <c r="N79" s="1190"/>
      <c r="O79" s="1190"/>
      <c r="P79" s="1190"/>
      <c r="Q79" s="1190"/>
      <c r="R79" s="1190"/>
      <c r="S79" s="1190"/>
      <c r="T79" s="523"/>
      <c r="U79" s="522"/>
      <c r="V79" s="57"/>
      <c r="W79" s="57"/>
      <c r="X79" s="58"/>
    </row>
    <row r="80" spans="1:24" ht="8" customHeight="1">
      <c r="A80" s="522"/>
      <c r="B80" s="550"/>
      <c r="C80" s="529"/>
      <c r="D80" s="529"/>
      <c r="E80" s="529"/>
      <c r="F80" s="529"/>
      <c r="G80" s="529"/>
      <c r="H80" s="529"/>
      <c r="I80" s="529"/>
      <c r="J80" s="529"/>
      <c r="K80" s="529"/>
      <c r="L80" s="529"/>
      <c r="M80" s="529"/>
      <c r="N80" s="529"/>
      <c r="O80" s="529"/>
      <c r="P80" s="529"/>
      <c r="Q80" s="529"/>
      <c r="R80" s="529"/>
      <c r="S80" s="529"/>
      <c r="T80" s="523"/>
      <c r="U80" s="522"/>
      <c r="V80" s="57"/>
      <c r="W80" s="57"/>
      <c r="X80" s="58"/>
    </row>
    <row r="81" spans="1:24" ht="18.75" customHeight="1">
      <c r="A81" s="522"/>
      <c r="B81" s="587"/>
      <c r="C81" s="559"/>
      <c r="D81" s="1199" t="s">
        <v>469</v>
      </c>
      <c r="E81" s="1200"/>
      <c r="F81" s="1200"/>
      <c r="G81" s="1199" t="s">
        <v>470</v>
      </c>
      <c r="H81" s="1200"/>
      <c r="I81" s="1200"/>
      <c r="J81" s="1200"/>
      <c r="K81" s="1200"/>
      <c r="L81" s="529"/>
      <c r="M81" s="529"/>
      <c r="N81" s="529"/>
      <c r="O81" s="529"/>
      <c r="P81" s="529"/>
      <c r="Q81" s="529"/>
      <c r="R81" s="529"/>
      <c r="S81" s="529"/>
      <c r="T81" s="523"/>
      <c r="U81" s="522"/>
      <c r="V81" s="57"/>
      <c r="W81" s="57"/>
      <c r="X81" s="58"/>
    </row>
    <row r="82" spans="1:24" ht="18.75" customHeight="1">
      <c r="A82" s="522"/>
      <c r="B82" s="1201" t="s">
        <v>471</v>
      </c>
      <c r="C82" s="1202"/>
      <c r="D82" s="588" t="s">
        <v>140</v>
      </c>
      <c r="E82" s="588" t="s">
        <v>141</v>
      </c>
      <c r="F82" s="588" t="s">
        <v>142</v>
      </c>
      <c r="G82" s="559"/>
      <c r="H82" s="588" t="s">
        <v>140</v>
      </c>
      <c r="I82" s="588" t="s">
        <v>141</v>
      </c>
      <c r="J82" s="588" t="s">
        <v>142</v>
      </c>
      <c r="K82" s="529"/>
      <c r="L82" s="1205" t="s">
        <v>110</v>
      </c>
      <c r="M82" s="1206"/>
      <c r="N82" s="529"/>
      <c r="O82" s="589" t="s">
        <v>472</v>
      </c>
      <c r="P82" s="529"/>
      <c r="Q82" s="529"/>
      <c r="R82" s="529"/>
      <c r="S82" s="529"/>
      <c r="T82" s="523"/>
      <c r="U82" s="522"/>
      <c r="V82" s="57"/>
      <c r="W82" s="57"/>
      <c r="X82" s="58"/>
    </row>
    <row r="83" spans="1:24" ht="18.75" customHeight="1">
      <c r="A83" s="522"/>
      <c r="B83" s="1188" t="s">
        <v>144</v>
      </c>
      <c r="C83" s="1189"/>
      <c r="D83" s="590" cm="1">
        <f t="array" ref="D83">'PF calculator'!D83</f>
        <v>1</v>
      </c>
      <c r="E83" s="590" cm="1">
        <f t="array" ref="E83">'PF calculator'!E83</f>
        <v>0</v>
      </c>
      <c r="F83" s="590" cm="1">
        <f t="array" ref="F83">'PF calculator'!F83</f>
        <v>0</v>
      </c>
      <c r="G83" s="1193"/>
      <c r="H83" s="590" cm="1">
        <f t="array" ref="H83">'PF calculator'!H83</f>
        <v>0</v>
      </c>
      <c r="I83" s="590" cm="1">
        <f t="array" ref="I83">'PF calculator'!I83</f>
        <v>0</v>
      </c>
      <c r="J83" s="590" cm="1">
        <f t="array" ref="J83">'PF calculator'!J83</f>
        <v>1</v>
      </c>
      <c r="K83" s="1194" t="str" cm="1">
        <f t="array" ref="K83">IF(SUM(D83:F90)&lt;&gt;SUM(H83:J90),"Error in net change habitat","")</f>
        <v/>
      </c>
      <c r="L83" s="1314" cm="1">
        <f t="array" ref="L83">(((H83-D83)*'Policy assumptions and formulae'!AR12)+((I83-E83)*'Policy assumptions and formulae'!AS12)+((J83-F83)*'Policy assumptions and formulae'!AT12))*VLOOKUP($E$38,'Policy assumptions and formulae'!$A$10:$D$109,4,FALSE)</f>
        <v>272055.24016990041</v>
      </c>
      <c r="M83" s="1315"/>
      <c r="N83" s="591"/>
      <c r="O83" s="587"/>
      <c r="P83" s="592" t="s">
        <v>145</v>
      </c>
      <c r="Q83" s="559"/>
      <c r="R83" s="1203" t="s">
        <v>110</v>
      </c>
      <c r="S83" s="1204"/>
      <c r="T83" s="523"/>
      <c r="U83" s="522"/>
      <c r="V83" s="57"/>
      <c r="W83" s="57"/>
      <c r="X83" s="58"/>
    </row>
    <row r="84" spans="1:24" ht="18.75" customHeight="1">
      <c r="A84" s="522"/>
      <c r="B84" s="1188" t="s">
        <v>146</v>
      </c>
      <c r="C84" s="1189"/>
      <c r="D84" s="590" cm="1">
        <f t="array" ref="D84">'PF calculator'!D84</f>
        <v>1</v>
      </c>
      <c r="E84" s="590" cm="1">
        <f t="array" ref="E84">'PF calculator'!E84</f>
        <v>0</v>
      </c>
      <c r="F84" s="590" cm="1">
        <f t="array" ref="F84">'PF calculator'!F84</f>
        <v>0</v>
      </c>
      <c r="G84" s="1193"/>
      <c r="H84" s="590" cm="1">
        <f t="array" ref="H84">'PF calculator'!H84</f>
        <v>0</v>
      </c>
      <c r="I84" s="590" cm="1">
        <f t="array" ref="I84">'PF calculator'!I84</f>
        <v>0</v>
      </c>
      <c r="J84" s="590" cm="1">
        <f t="array" ref="J84">'PF calculator'!J84</f>
        <v>1</v>
      </c>
      <c r="K84" s="1194"/>
      <c r="L84" s="1314" cm="1">
        <f t="array" ref="L84">(((H84-D84)*'Policy assumptions and formulae'!AR13)+((I84-E84)*'Policy assumptions and formulae'!AS13)+((J84-F84)*'Policy assumptions and formulae'!AT13))*VLOOKUP($E$38,'Policy assumptions and formulae'!$A$10:$D$109,4,FALSE)</f>
        <v>159768.99395268576</v>
      </c>
      <c r="M84" s="1315"/>
      <c r="N84" s="1207" t="s">
        <v>147</v>
      </c>
      <c r="O84" s="1208"/>
      <c r="P84" s="593" cm="1">
        <f t="array" ref="P84">'PF calculator'!P84</f>
        <v>1</v>
      </c>
      <c r="Q84" s="594"/>
      <c r="R84" s="1184" cm="1">
        <f t="array" ref="R84">(P84*'Policy assumptions and formulae'!AT23)*VLOOKUP($E$38,'Policy assumptions and formulae'!$A$10:$D$109,4,FALSE)</f>
        <v>394196.39629447705</v>
      </c>
      <c r="S84" s="1185"/>
      <c r="T84" s="571"/>
      <c r="U84" s="522"/>
      <c r="V84" s="57"/>
      <c r="W84" s="57"/>
      <c r="X84" s="58"/>
    </row>
    <row r="85" spans="1:24" ht="18.75" customHeight="1">
      <c r="A85" s="522"/>
      <c r="B85" s="1188" t="s">
        <v>148</v>
      </c>
      <c r="C85" s="1189"/>
      <c r="D85" s="590" cm="1">
        <f t="array" ref="D85">'PF calculator'!D85</f>
        <v>1</v>
      </c>
      <c r="E85" s="590" cm="1">
        <f t="array" ref="E85">'PF calculator'!E85</f>
        <v>0</v>
      </c>
      <c r="F85" s="590" cm="1">
        <f t="array" ref="F85">'PF calculator'!F85</f>
        <v>0</v>
      </c>
      <c r="G85" s="1193"/>
      <c r="H85" s="590" cm="1">
        <f t="array" ref="H85">'PF calculator'!H85</f>
        <v>0</v>
      </c>
      <c r="I85" s="590" cm="1">
        <f t="array" ref="I85">'PF calculator'!I85</f>
        <v>0</v>
      </c>
      <c r="J85" s="590" cm="1">
        <f t="array" ref="J85">'PF calculator'!J85</f>
        <v>1</v>
      </c>
      <c r="K85" s="1194"/>
      <c r="L85" s="1314" cm="1">
        <f t="array" ref="L85">(((H85-D85)*'Policy assumptions and formulae'!AR14)+((I85-E85)*'Policy assumptions and formulae'!AS14)+((J85-F85)*'Policy assumptions and formulae'!AT14))*VLOOKUP($E$38,'Policy assumptions and formulae'!$A$10:$D$109,4,FALSE)</f>
        <v>159768.99395268576</v>
      </c>
      <c r="M85" s="1315"/>
      <c r="N85" s="1207" t="s">
        <v>149</v>
      </c>
      <c r="O85" s="1208"/>
      <c r="P85" s="593" cm="1">
        <f t="array" ref="P85">'PF calculator'!P85</f>
        <v>1</v>
      </c>
      <c r="Q85" s="594"/>
      <c r="R85" s="1184" cm="1">
        <f t="array" ref="R85">(P85*'Policy assumptions and formulae'!AT24)*VLOOKUP($E$38,'Policy assumptions and formulae'!$A$10:$D$109,4,FALSE)</f>
        <v>197098.19814723852</v>
      </c>
      <c r="S85" s="1185"/>
      <c r="T85" s="571"/>
      <c r="U85" s="522"/>
      <c r="V85" s="57"/>
      <c r="W85" s="57"/>
      <c r="X85" s="58"/>
    </row>
    <row r="86" spans="1:24" ht="18.75" customHeight="1">
      <c r="A86" s="522"/>
      <c r="B86" s="1188" t="s">
        <v>150</v>
      </c>
      <c r="C86" s="1189"/>
      <c r="D86" s="590" cm="1">
        <f t="array" ref="D86">'PF calculator'!D86</f>
        <v>1</v>
      </c>
      <c r="E86" s="590" cm="1">
        <f t="array" ref="E86">'PF calculator'!E86</f>
        <v>0</v>
      </c>
      <c r="F86" s="590" cm="1">
        <f t="array" ref="F86">'PF calculator'!F86</f>
        <v>0</v>
      </c>
      <c r="G86" s="1193"/>
      <c r="H86" s="590" cm="1">
        <f t="array" ref="H86">'PF calculator'!H86</f>
        <v>0</v>
      </c>
      <c r="I86" s="590" cm="1">
        <f t="array" ref="I86">'PF calculator'!I86</f>
        <v>0</v>
      </c>
      <c r="J86" s="590" cm="1">
        <f t="array" ref="J86">'PF calculator'!J86</f>
        <v>1</v>
      </c>
      <c r="K86" s="1194"/>
      <c r="L86" s="1314" cm="1">
        <f t="array" ref="L86">(((H86-D86)*'Policy assumptions and formulae'!AR15)+((I86-E86)*'Policy assumptions and formulae'!AS15)+((J86-F86)*'Policy assumptions and formulae'!AT15))*VLOOKUP($E$38,'Policy assumptions and formulae'!$A$10:$D$109,4,FALSE)</f>
        <v>81825.615594459625</v>
      </c>
      <c r="M86" s="1315"/>
      <c r="N86" s="1195" t="s">
        <v>151</v>
      </c>
      <c r="O86" s="1196"/>
      <c r="P86" s="593" cm="1">
        <f t="array" ref="P86">'PF calculator'!P86</f>
        <v>1</v>
      </c>
      <c r="Q86" s="594"/>
      <c r="R86" s="1184" cm="1">
        <f t="array" ref="R86">(P86*'Policy assumptions and formulae'!AT25)*VLOOKUP($E$38,'Policy assumptions and formulae'!$A$10:$D$109,4,FALSE)</f>
        <v>98549.099073619262</v>
      </c>
      <c r="S86" s="1185"/>
      <c r="T86" s="571"/>
      <c r="U86" s="522"/>
      <c r="V86" s="57"/>
      <c r="W86" s="57"/>
      <c r="X86" s="58"/>
    </row>
    <row r="87" spans="1:24" ht="18.75" customHeight="1">
      <c r="A87" s="522"/>
      <c r="B87" s="1188" t="s">
        <v>152</v>
      </c>
      <c r="C87" s="1189"/>
      <c r="D87" s="590" cm="1">
        <f t="array" ref="D87">'PF calculator'!D87</f>
        <v>1</v>
      </c>
      <c r="E87" s="590" cm="1">
        <f t="array" ref="E87">'PF calculator'!E87</f>
        <v>0</v>
      </c>
      <c r="F87" s="590" cm="1">
        <f t="array" ref="F87">'PF calculator'!F87</f>
        <v>0</v>
      </c>
      <c r="G87" s="1193"/>
      <c r="H87" s="590" cm="1">
        <f t="array" ref="H87">'PF calculator'!H87</f>
        <v>0</v>
      </c>
      <c r="I87" s="590" cm="1">
        <f t="array" ref="I87">'PF calculator'!I87</f>
        <v>0</v>
      </c>
      <c r="J87" s="590" cm="1">
        <f t="array" ref="J87">'PF calculator'!J87</f>
        <v>1</v>
      </c>
      <c r="K87" s="1194"/>
      <c r="L87" s="1314" cm="1">
        <f t="array" ref="L87">(((H87-D87)*'Policy assumptions and formulae'!AR16)+((I87-E87)*'Policy assumptions and formulae'!AS16)+((J87-F87)*'Policy assumptions and formulae'!AT16))*VLOOKUP($E$38,'Policy assumptions and formulae'!$A$10:$D$109,4,FALSE)</f>
        <v>12841.246242926147</v>
      </c>
      <c r="M87" s="1315"/>
      <c r="N87" s="1197"/>
      <c r="O87" s="1198"/>
      <c r="P87" s="595"/>
      <c r="Q87" s="559"/>
      <c r="R87" s="596"/>
      <c r="S87" s="596"/>
      <c r="T87" s="523"/>
      <c r="U87" s="522"/>
      <c r="V87" s="57"/>
      <c r="W87" s="57"/>
      <c r="X87" s="58"/>
    </row>
    <row r="88" spans="1:24" ht="18.75" customHeight="1">
      <c r="A88" s="522"/>
      <c r="B88" s="1188" t="s">
        <v>153</v>
      </c>
      <c r="C88" s="1189"/>
      <c r="D88" s="590" cm="1">
        <f t="array" ref="D88">'PF calculator'!D88</f>
        <v>1</v>
      </c>
      <c r="E88" s="590" cm="1">
        <f t="array" ref="E88">'PF calculator'!E88</f>
        <v>0</v>
      </c>
      <c r="F88" s="590" cm="1">
        <f t="array" ref="F88">'PF calculator'!F88</f>
        <v>0</v>
      </c>
      <c r="G88" s="1193"/>
      <c r="H88" s="590" cm="1">
        <f t="array" ref="H88">'PF calculator'!H88</f>
        <v>0</v>
      </c>
      <c r="I88" s="590" cm="1">
        <f t="array" ref="I88">'PF calculator'!I88</f>
        <v>0</v>
      </c>
      <c r="J88" s="590" cm="1">
        <f t="array" ref="J88">'PF calculator'!J88</f>
        <v>1</v>
      </c>
      <c r="K88" s="1194"/>
      <c r="L88" s="1314" cm="1">
        <f t="array" ref="L88">(((H88-D88)*'Policy assumptions and formulae'!AR17)+((I88-E88)*'Policy assumptions and formulae'!AS17)+((J88-F88)*'Policy assumptions and formulae'!AT17))*VLOOKUP($E$38,'Policy assumptions and formulae'!$A$10:$D$109,4,FALSE)</f>
        <v>78540.645625338992</v>
      </c>
      <c r="M88" s="1315"/>
      <c r="N88" s="591"/>
      <c r="O88" s="529"/>
      <c r="P88" s="529"/>
      <c r="Q88" s="529"/>
      <c r="R88" s="529"/>
      <c r="S88" s="529"/>
      <c r="T88" s="523"/>
      <c r="U88" s="522"/>
      <c r="V88" s="57"/>
      <c r="W88" s="57"/>
      <c r="X88" s="58"/>
    </row>
    <row r="89" spans="1:24" ht="18.75" customHeight="1">
      <c r="A89" s="522"/>
      <c r="B89" s="1188" t="s">
        <v>154</v>
      </c>
      <c r="C89" s="1189"/>
      <c r="D89" s="590" cm="1">
        <f t="array" ref="D89">'PF calculator'!D89</f>
        <v>1</v>
      </c>
      <c r="E89" s="590" cm="1">
        <f t="array" ref="E89">'PF calculator'!E89</f>
        <v>0</v>
      </c>
      <c r="F89" s="590" cm="1">
        <f t="array" ref="F89">'PF calculator'!F89</f>
        <v>0</v>
      </c>
      <c r="G89" s="1193"/>
      <c r="H89" s="590" cm="1">
        <f t="array" ref="H89">'PF calculator'!H89</f>
        <v>0</v>
      </c>
      <c r="I89" s="590" cm="1">
        <f t="array" ref="I89">'PF calculator'!I89</f>
        <v>0</v>
      </c>
      <c r="J89" s="590" cm="1">
        <f t="array" ref="J89">'PF calculator'!J89</f>
        <v>1</v>
      </c>
      <c r="K89" s="1194"/>
      <c r="L89" s="1314" cm="1">
        <f t="array" ref="L89">(((H89-D89)*'Policy assumptions and formulae'!AR18)+((I89-E89)*'Policy assumptions and formulae'!AS18)+((J89-F89)*'Policy assumptions and formulae'!AT18))*VLOOKUP($E$38,'Policy assumptions and formulae'!$A$10:$D$109,4,FALSE)</f>
        <v>81825.615594459625</v>
      </c>
      <c r="M89" s="1315"/>
      <c r="N89" s="597"/>
      <c r="O89" s="598"/>
      <c r="P89" s="599"/>
      <c r="Q89" s="559"/>
      <c r="R89" s="600"/>
      <c r="S89" s="600"/>
      <c r="T89" s="523"/>
      <c r="U89" s="522"/>
      <c r="V89" s="57"/>
      <c r="W89" s="57"/>
      <c r="X89" s="58"/>
    </row>
    <row r="90" spans="1:24" ht="18.75" customHeight="1">
      <c r="A90" s="522"/>
      <c r="B90" s="1188" t="s">
        <v>155</v>
      </c>
      <c r="C90" s="1189"/>
      <c r="D90" s="590" cm="1">
        <f t="array" ref="D90">'PF calculator'!D90</f>
        <v>1</v>
      </c>
      <c r="E90" s="590" cm="1">
        <f t="array" ref="E90">'PF calculator'!E90</f>
        <v>0</v>
      </c>
      <c r="F90" s="590" cm="1">
        <f t="array" ref="F90">'PF calculator'!F90</f>
        <v>0</v>
      </c>
      <c r="G90" s="1193"/>
      <c r="H90" s="590" cm="1">
        <f t="array" ref="H90">'PF calculator'!H90</f>
        <v>0</v>
      </c>
      <c r="I90" s="590" cm="1">
        <f t="array" ref="I90">'PF calculator'!I90</f>
        <v>0</v>
      </c>
      <c r="J90" s="590" cm="1">
        <f t="array" ref="J90">'PF calculator'!J90</f>
        <v>1</v>
      </c>
      <c r="K90" s="1194"/>
      <c r="L90" s="1314" cm="1">
        <f t="array" ref="L90">(((H90-D90)*'Policy assumptions and formulae'!AR19)+((I90-E90)*'Policy assumptions and formulae'!AS19)+((J90-F90)*'Policy assumptions and formulae'!AT19))*VLOOKUP($E$38,'Policy assumptions and formulae'!$A$10:$D$109,4,FALSE)</f>
        <v>895.90090066926598</v>
      </c>
      <c r="M90" s="1315"/>
      <c r="N90" s="591"/>
      <c r="O90" s="529"/>
      <c r="P90" s="529"/>
      <c r="Q90" s="529"/>
      <c r="R90" s="529"/>
      <c r="S90" s="529"/>
      <c r="T90" s="523"/>
      <c r="U90" s="522"/>
      <c r="V90" s="57"/>
      <c r="W90" s="57"/>
      <c r="X90" s="58"/>
    </row>
    <row r="91" spans="1:24" ht="8" customHeight="1">
      <c r="A91" s="522"/>
      <c r="B91" s="549"/>
      <c r="C91" s="549"/>
      <c r="D91" s="601"/>
      <c r="E91" s="601"/>
      <c r="F91" s="601"/>
      <c r="G91" s="549"/>
      <c r="H91" s="601"/>
      <c r="I91" s="601"/>
      <c r="J91" s="601"/>
      <c r="K91" s="549"/>
      <c r="L91" s="558"/>
      <c r="M91" s="558"/>
      <c r="N91" s="549"/>
      <c r="O91" s="549"/>
      <c r="P91" s="549"/>
      <c r="Q91" s="549"/>
      <c r="R91" s="549"/>
      <c r="S91" s="549"/>
      <c r="T91" s="523"/>
      <c r="U91" s="522"/>
      <c r="V91" s="57"/>
      <c r="W91" s="57"/>
      <c r="X91" s="58"/>
    </row>
    <row r="92" spans="1:24" ht="18.75" customHeight="1">
      <c r="A92" s="522"/>
      <c r="B92" s="1190" t="e" cm="1" vm="7">
        <f t="array" aca="1" ref="B92" ca="1">'PF calculator'!B92:J92</f>
        <v>#VALUE!</v>
      </c>
      <c r="C92" s="1190"/>
      <c r="D92" s="1190"/>
      <c r="E92" s="1190"/>
      <c r="F92" s="1190"/>
      <c r="G92" s="1190"/>
      <c r="H92" s="1190"/>
      <c r="I92" s="1190"/>
      <c r="J92" s="1190"/>
      <c r="K92" s="1190"/>
      <c r="L92" s="1190"/>
      <c r="M92" s="1190"/>
      <c r="N92" s="1190"/>
      <c r="O92" s="1190"/>
      <c r="P92" s="1190"/>
      <c r="Q92" s="1190"/>
      <c r="R92" s="1190"/>
      <c r="S92" s="1190"/>
      <c r="T92" s="523"/>
      <c r="U92" s="522"/>
      <c r="V92" s="57"/>
      <c r="W92" s="57"/>
      <c r="X92" s="58"/>
    </row>
    <row r="93" spans="1:24" ht="8" customHeight="1">
      <c r="A93" s="522"/>
      <c r="B93" s="529"/>
      <c r="C93" s="529"/>
      <c r="D93" s="529"/>
      <c r="E93" s="529"/>
      <c r="F93" s="529"/>
      <c r="G93" s="529"/>
      <c r="H93" s="529"/>
      <c r="I93" s="529"/>
      <c r="J93" s="529"/>
      <c r="K93" s="529"/>
      <c r="L93" s="529"/>
      <c r="M93" s="529"/>
      <c r="N93" s="529"/>
      <c r="O93" s="529"/>
      <c r="P93" s="529"/>
      <c r="Q93" s="529"/>
      <c r="R93" s="529"/>
      <c r="S93" s="529"/>
      <c r="T93" s="523"/>
      <c r="U93" s="522"/>
      <c r="V93" s="57"/>
      <c r="W93" s="57"/>
      <c r="X93" s="58"/>
    </row>
    <row r="94" spans="1:24" ht="18.75" customHeight="1">
      <c r="A94" s="522"/>
      <c r="B94" s="602" t="s">
        <v>161</v>
      </c>
      <c r="C94" s="602" t="s">
        <v>162</v>
      </c>
      <c r="D94" s="1191" t="s">
        <v>163</v>
      </c>
      <c r="E94" s="1192"/>
      <c r="F94" s="1191" t="s">
        <v>160</v>
      </c>
      <c r="G94" s="1192"/>
      <c r="H94" s="1191" t="s">
        <v>164</v>
      </c>
      <c r="I94" s="1192"/>
      <c r="J94" s="529"/>
      <c r="K94" s="529"/>
      <c r="L94" s="529"/>
      <c r="M94" s="529"/>
      <c r="N94" s="529"/>
      <c r="O94" s="529"/>
      <c r="P94" s="529"/>
      <c r="Q94" s="529"/>
      <c r="R94" s="529"/>
      <c r="S94" s="529"/>
      <c r="T94" s="523"/>
      <c r="U94" s="522"/>
      <c r="V94" s="57"/>
      <c r="W94" s="57"/>
      <c r="X94" s="58"/>
    </row>
    <row r="95" spans="1:24" ht="18.75" customHeight="1">
      <c r="A95" s="522"/>
      <c r="B95" s="603" t="s">
        <v>473</v>
      </c>
      <c r="C95" s="604" t="s">
        <v>169</v>
      </c>
      <c r="D95" s="1175"/>
      <c r="E95" s="1176"/>
      <c r="F95" s="1177" cm="1">
        <f t="array" ref="F95">'PF calculator'!G95</f>
        <v>6</v>
      </c>
      <c r="G95" s="1178"/>
      <c r="H95" s="1175" cm="1">
        <f t="array" ref="H95">IF(D95="Ltd by high OM1b,2,3,4 values",0,D95*(F95/100))</f>
        <v>0</v>
      </c>
      <c r="I95" s="1175"/>
      <c r="J95" s="576"/>
      <c r="K95" s="529"/>
      <c r="L95" s="529"/>
      <c r="M95" s="529"/>
      <c r="N95" s="529"/>
      <c r="O95" s="529"/>
      <c r="P95" s="529"/>
      <c r="Q95" s="529"/>
      <c r="R95" s="529"/>
      <c r="S95" s="529"/>
      <c r="T95" s="523"/>
      <c r="U95" s="522"/>
      <c r="V95" s="57"/>
      <c r="W95" s="57"/>
      <c r="X95" s="58"/>
    </row>
    <row r="96" spans="1:24" ht="18.75" customHeight="1">
      <c r="A96" s="522"/>
      <c r="B96" s="605"/>
      <c r="C96" s="606" t="s">
        <v>172</v>
      </c>
      <c r="D96" s="1186" cm="1">
        <f t="array" ref="D96">E41</f>
        <v>1000000</v>
      </c>
      <c r="E96" s="1187"/>
      <c r="F96" s="1177" cm="1">
        <f t="array" ref="F96">'PF calculator'!G96</f>
        <v>20</v>
      </c>
      <c r="G96" s="1178"/>
      <c r="H96" s="1175" cm="1">
        <f t="array" ref="H96">D96*(F96/100)</f>
        <v>200000</v>
      </c>
      <c r="I96" s="1175"/>
      <c r="J96" s="576"/>
      <c r="K96" s="529"/>
      <c r="L96" s="529"/>
      <c r="M96" s="529"/>
      <c r="N96" s="529"/>
      <c r="O96" s="529"/>
      <c r="P96" s="529"/>
      <c r="Q96" s="529"/>
      <c r="R96" s="529"/>
      <c r="S96" s="529"/>
      <c r="T96" s="523"/>
      <c r="U96" s="522"/>
      <c r="V96" s="57"/>
      <c r="W96" s="57"/>
      <c r="X96" s="58"/>
    </row>
    <row r="97" spans="1:24" ht="18.75" customHeight="1">
      <c r="A97" s="522"/>
      <c r="B97" s="1311" t="s">
        <v>174</v>
      </c>
      <c r="C97" s="607" t="s">
        <v>175</v>
      </c>
      <c r="D97" s="1175" cm="1">
        <f t="array" ref="D97">IF(R61="Ltd by DoB",R46,R46+R61)</f>
        <v>3908614.4715996296</v>
      </c>
      <c r="E97" s="1176"/>
      <c r="F97" s="1177" cm="1">
        <f t="array" ref="F97">'PF calculator'!G97</f>
        <v>45</v>
      </c>
      <c r="G97" s="1178"/>
      <c r="H97" s="1175" cm="1">
        <f t="array" ref="H97">D97*(F97/100)</f>
        <v>1758876.5122198334</v>
      </c>
      <c r="I97" s="1175"/>
      <c r="J97" s="576"/>
      <c r="K97" s="529"/>
      <c r="L97" s="529"/>
      <c r="M97" s="529"/>
      <c r="N97" s="529"/>
      <c r="O97" s="529"/>
      <c r="P97" s="529"/>
      <c r="Q97" s="529"/>
      <c r="R97" s="529"/>
      <c r="S97" s="529"/>
      <c r="T97" s="523"/>
      <c r="U97" s="522"/>
      <c r="V97" s="57"/>
      <c r="W97" s="57"/>
      <c r="X97" s="58"/>
    </row>
    <row r="98" spans="1:24" ht="18.75" customHeight="1">
      <c r="A98" s="522"/>
      <c r="B98" s="1312"/>
      <c r="C98" s="607" t="s">
        <v>177</v>
      </c>
      <c r="D98" s="1175" cm="1">
        <f t="array" ref="D98">IF(R62="Ltd by DoB",R47,R47+R62)</f>
        <v>14934170.291434068</v>
      </c>
      <c r="E98" s="1176"/>
      <c r="F98" s="1177" cm="1">
        <f t="array" ref="F98">'PF calculator'!G98</f>
        <v>30</v>
      </c>
      <c r="G98" s="1178"/>
      <c r="H98" s="1175" cm="1">
        <f t="array" ref="H98">D98*(F98/100)</f>
        <v>4480251.0874302201</v>
      </c>
      <c r="I98" s="1175"/>
      <c r="J98" s="576"/>
      <c r="K98" s="529"/>
      <c r="L98" s="529"/>
      <c r="M98" s="529"/>
      <c r="N98" s="529"/>
      <c r="O98" s="529"/>
      <c r="P98" s="529"/>
      <c r="Q98" s="529"/>
      <c r="R98" s="529"/>
      <c r="S98" s="529"/>
      <c r="T98" s="523"/>
      <c r="U98" s="522"/>
      <c r="V98" s="57"/>
      <c r="W98" s="57"/>
      <c r="X98" s="58"/>
    </row>
    <row r="99" spans="1:24" ht="18.75" customHeight="1">
      <c r="A99" s="522"/>
      <c r="B99" s="1312"/>
      <c r="C99" s="607" t="s">
        <v>179</v>
      </c>
      <c r="D99" s="1175" cm="1">
        <f t="array" ref="D99">IF(R63="Ltd by DoB",R48,R48+R63)</f>
        <v>0</v>
      </c>
      <c r="E99" s="1176"/>
      <c r="F99" s="1177" cm="1">
        <f t="array" ref="F99">'PF calculator'!G99</f>
        <v>20</v>
      </c>
      <c r="G99" s="1178"/>
      <c r="H99" s="1175" cm="1">
        <f t="array" ref="H99">D99*(F99/100)</f>
        <v>0</v>
      </c>
      <c r="I99" s="1175"/>
      <c r="J99" s="576"/>
      <c r="K99" s="529"/>
      <c r="L99" s="529"/>
      <c r="M99" s="529"/>
      <c r="N99" s="529"/>
      <c r="O99" s="529"/>
      <c r="P99" s="529"/>
      <c r="Q99" s="529"/>
      <c r="R99" s="529"/>
      <c r="S99" s="529"/>
      <c r="T99" s="523"/>
      <c r="U99" s="522"/>
      <c r="V99" s="57"/>
      <c r="W99" s="57"/>
      <c r="X99" s="58"/>
    </row>
    <row r="100" spans="1:24" ht="18.75" customHeight="1">
      <c r="A100" s="522"/>
      <c r="B100" s="1311" t="s">
        <v>181</v>
      </c>
      <c r="C100" s="607" t="s">
        <v>175</v>
      </c>
      <c r="D100" s="1175" cm="1">
        <f t="array" ref="D100">R74</f>
        <v>0</v>
      </c>
      <c r="E100" s="1176"/>
      <c r="F100" s="1177" cm="1">
        <f t="array" ref="F100">'PF calculator'!G100</f>
        <v>45</v>
      </c>
      <c r="G100" s="1178"/>
      <c r="H100" s="1175" cm="1">
        <f t="array" ref="H100">D100*(F100/100)</f>
        <v>0</v>
      </c>
      <c r="I100" s="1175"/>
      <c r="J100" s="576"/>
      <c r="K100" s="529"/>
      <c r="L100" s="529"/>
      <c r="M100" s="529"/>
      <c r="N100" s="529"/>
      <c r="O100" s="529"/>
      <c r="P100" s="529"/>
      <c r="Q100" s="529"/>
      <c r="R100" s="529"/>
      <c r="S100" s="529"/>
      <c r="T100" s="523"/>
      <c r="U100" s="522"/>
      <c r="V100" s="57"/>
      <c r="W100" s="57"/>
      <c r="X100" s="58"/>
    </row>
    <row r="101" spans="1:24" ht="18.75" customHeight="1">
      <c r="A101" s="522"/>
      <c r="B101" s="1312"/>
      <c r="C101" s="607" t="s">
        <v>177</v>
      </c>
      <c r="D101" s="1175" cm="1">
        <f t="array" ref="D101">R75</f>
        <v>0</v>
      </c>
      <c r="E101" s="1176"/>
      <c r="F101" s="1177" cm="1">
        <f t="array" ref="F101">'PF calculator'!G101</f>
        <v>30</v>
      </c>
      <c r="G101" s="1178"/>
      <c r="H101" s="1175" cm="1">
        <f t="array" ref="H101">D101*(F101/100)</f>
        <v>0</v>
      </c>
      <c r="I101" s="1175"/>
      <c r="J101" s="576"/>
      <c r="K101" s="529"/>
      <c r="L101" s="529"/>
      <c r="M101" s="529"/>
      <c r="N101" s="529"/>
      <c r="O101" s="529"/>
      <c r="P101" s="529"/>
      <c r="Q101" s="529"/>
      <c r="R101" s="529"/>
      <c r="S101" s="529"/>
      <c r="T101" s="523"/>
      <c r="U101" s="522"/>
      <c r="V101" s="57"/>
      <c r="W101" s="57"/>
      <c r="X101" s="58"/>
    </row>
    <row r="102" spans="1:24" ht="18.75" customHeight="1">
      <c r="A102" s="522"/>
      <c r="B102" s="1312"/>
      <c r="C102" s="607" t="s">
        <v>179</v>
      </c>
      <c r="D102" s="1175" cm="1">
        <f t="array" ref="D102">R76</f>
        <v>0</v>
      </c>
      <c r="E102" s="1176"/>
      <c r="F102" s="1177" cm="1">
        <f t="array" ref="F102">'PF calculator'!G102</f>
        <v>20</v>
      </c>
      <c r="G102" s="1178"/>
      <c r="H102" s="1175" cm="1">
        <f t="array" ref="H102">D102*(F102/100)</f>
        <v>0</v>
      </c>
      <c r="I102" s="1175"/>
      <c r="J102" s="576"/>
      <c r="K102" s="529"/>
      <c r="L102" s="529"/>
      <c r="M102" s="529"/>
      <c r="N102" s="529"/>
      <c r="O102" s="529"/>
      <c r="P102" s="529"/>
      <c r="Q102" s="529"/>
      <c r="R102" s="529"/>
      <c r="S102" s="529"/>
      <c r="T102" s="523"/>
      <c r="U102" s="522"/>
      <c r="V102" s="57"/>
      <c r="W102" s="57"/>
      <c r="X102" s="58"/>
    </row>
    <row r="103" spans="1:24" ht="18.75" customHeight="1">
      <c r="A103" s="522"/>
      <c r="B103" s="1164" t="s">
        <v>185</v>
      </c>
      <c r="C103" s="608" t="s">
        <v>186</v>
      </c>
      <c r="D103" s="1175" cm="1">
        <f t="array" ref="D103">IF(SUM(L83:M90)&lt;0,"Ltd by negative OM4 values",SUM(L83:M90))</f>
        <v>847522.25203312549</v>
      </c>
      <c r="E103" s="1175"/>
      <c r="F103" s="1177" cm="1">
        <f t="array" ref="F103">'PF calculator'!G103</f>
        <v>20</v>
      </c>
      <c r="G103" s="1178"/>
      <c r="H103" s="1175" cm="1">
        <f t="array" ref="H103">IF(D103="Ltd by negative OM4 values",0,D103*(F103/100))</f>
        <v>169504.45040662511</v>
      </c>
      <c r="I103" s="1175"/>
      <c r="J103" s="576"/>
      <c r="K103" s="529"/>
      <c r="L103" s="529"/>
      <c r="M103" s="529"/>
      <c r="N103" s="529"/>
      <c r="O103" s="529"/>
      <c r="P103" s="529"/>
      <c r="Q103" s="529"/>
      <c r="R103" s="529"/>
      <c r="S103" s="529"/>
      <c r="T103" s="523"/>
      <c r="U103" s="522"/>
      <c r="V103" s="57"/>
      <c r="W103" s="57"/>
      <c r="X103" s="58"/>
    </row>
    <row r="104" spans="1:24" ht="18.75" customHeight="1">
      <c r="A104" s="522"/>
      <c r="B104" s="1181"/>
      <c r="C104" s="606" t="s">
        <v>187</v>
      </c>
      <c r="D104" s="1166" cm="1">
        <f t="array" ref="D104">SUM(R84:S86)</f>
        <v>689843.69351533486</v>
      </c>
      <c r="E104" s="1167"/>
      <c r="F104" s="1177" cm="1">
        <f t="array" ref="F104">'PF calculator'!G104</f>
        <v>20</v>
      </c>
      <c r="G104" s="1178"/>
      <c r="H104" s="1310" cm="1">
        <f t="array" ref="H104">D104*(F104/100)</f>
        <v>137968.73870306698</v>
      </c>
      <c r="I104" s="1310"/>
      <c r="J104" s="576"/>
      <c r="K104" s="529"/>
      <c r="L104" s="529"/>
      <c r="M104" s="529"/>
      <c r="N104" s="529"/>
      <c r="O104" s="529"/>
      <c r="P104" s="529"/>
      <c r="Q104" s="529"/>
      <c r="R104" s="529"/>
      <c r="S104" s="529"/>
      <c r="T104" s="523"/>
      <c r="U104" s="522"/>
      <c r="V104" s="57"/>
      <c r="W104" s="57"/>
      <c r="X104" s="58"/>
    </row>
    <row r="105" spans="1:24" ht="18.75" customHeight="1">
      <c r="A105" s="522"/>
      <c r="B105" s="1164" t="s">
        <v>188</v>
      </c>
      <c r="C105" s="1165"/>
      <c r="D105" s="1175" cm="1">
        <f t="array" ref="D105">SUM(D95:E104)</f>
        <v>21380150.708582155</v>
      </c>
      <c r="E105" s="1175"/>
      <c r="F105" s="1306" t="e" cm="1" vm="5">
        <f t="array" aca="1" ref="F105" ca="1">'PF calculator'!F105:G105</f>
        <v>#VALUE!</v>
      </c>
      <c r="G105" s="1307"/>
      <c r="H105" s="1308" cm="1">
        <f t="array" ref="H105">SUM(H95:I104)</f>
        <v>6746600.7887597457</v>
      </c>
      <c r="I105" s="1309"/>
      <c r="J105" s="591"/>
      <c r="K105" s="529"/>
      <c r="L105" s="529"/>
      <c r="M105" s="529"/>
      <c r="N105" s="529"/>
      <c r="O105" s="529"/>
      <c r="P105" s="529"/>
      <c r="Q105" s="529"/>
      <c r="R105" s="529"/>
      <c r="S105" s="529"/>
      <c r="T105" s="523"/>
      <c r="U105" s="522"/>
      <c r="V105" s="57"/>
      <c r="W105" s="57"/>
      <c r="X105" s="58"/>
    </row>
    <row r="106" spans="1:24" ht="8" customHeight="1">
      <c r="A106" s="522"/>
      <c r="B106" s="549"/>
      <c r="C106" s="549"/>
      <c r="D106" s="601"/>
      <c r="E106" s="601"/>
      <c r="F106" s="549"/>
      <c r="G106" s="549"/>
      <c r="H106" s="558"/>
      <c r="I106" s="558"/>
      <c r="J106" s="549"/>
      <c r="K106" s="549"/>
      <c r="L106" s="549"/>
      <c r="M106" s="549"/>
      <c r="N106" s="549"/>
      <c r="O106" s="549"/>
      <c r="P106" s="549"/>
      <c r="Q106" s="549"/>
      <c r="R106" s="549"/>
      <c r="S106" s="549"/>
      <c r="T106" s="523"/>
      <c r="U106" s="522"/>
      <c r="V106" s="57"/>
      <c r="W106" s="57"/>
      <c r="X106" s="58"/>
    </row>
    <row r="107" spans="1:24" ht="15.75" customHeight="1">
      <c r="A107" s="609"/>
      <c r="B107" s="1179" t="s">
        <v>190</v>
      </c>
      <c r="C107" s="1180"/>
      <c r="D107" s="1180"/>
      <c r="E107" s="1180"/>
      <c r="F107" s="1180"/>
      <c r="G107" s="1180"/>
      <c r="H107" s="1180"/>
      <c r="I107" s="1180"/>
      <c r="J107" s="1180"/>
      <c r="K107" s="1180"/>
      <c r="L107" s="1180"/>
      <c r="M107" s="1180"/>
      <c r="N107" s="1180"/>
      <c r="O107" s="1180"/>
      <c r="P107" s="1180"/>
      <c r="Q107" s="1180"/>
      <c r="R107" s="1180"/>
      <c r="S107" s="1180"/>
      <c r="T107" s="610"/>
      <c r="U107" s="611"/>
      <c r="V107" s="179"/>
      <c r="W107" s="179"/>
      <c r="X107" s="180"/>
    </row>
  </sheetData>
  <mergeCells count="219">
    <mergeCell ref="B1:S1"/>
    <mergeCell ref="B2:S2"/>
    <mergeCell ref="B3:S3"/>
    <mergeCell ref="B4:P4"/>
    <mergeCell ref="R4:S4"/>
    <mergeCell ref="R5:S5"/>
    <mergeCell ref="B7:C7"/>
    <mergeCell ref="D7:I7"/>
    <mergeCell ref="K7:L7"/>
    <mergeCell ref="M7:N7"/>
    <mergeCell ref="R6:S7"/>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9:D19"/>
    <mergeCell ref="E19:F19"/>
    <mergeCell ref="H19:J19"/>
    <mergeCell ref="K19:L19"/>
    <mergeCell ref="B21:D21"/>
    <mergeCell ref="E21:F21"/>
    <mergeCell ref="H21:J21"/>
    <mergeCell ref="K21:L21"/>
    <mergeCell ref="B25:S25"/>
    <mergeCell ref="K26:L27"/>
    <mergeCell ref="M26:N27"/>
    <mergeCell ref="O26:P27"/>
    <mergeCell ref="B27:D27"/>
    <mergeCell ref="E27:F27"/>
    <mergeCell ref="H27:J27"/>
    <mergeCell ref="B23:D23"/>
    <mergeCell ref="E23:F23"/>
    <mergeCell ref="H23:J23"/>
    <mergeCell ref="K23:L23"/>
    <mergeCell ref="M23:P23"/>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B37:D37"/>
    <mergeCell ref="E37:F37"/>
    <mergeCell ref="L37:S37"/>
    <mergeCell ref="B38:D38"/>
    <mergeCell ref="E38:F38"/>
    <mergeCell ref="B39:D39"/>
    <mergeCell ref="E39:F39"/>
    <mergeCell ref="B33:D33"/>
    <mergeCell ref="E33:F33"/>
    <mergeCell ref="H33:J33"/>
    <mergeCell ref="K33:L33"/>
    <mergeCell ref="M33:S33"/>
    <mergeCell ref="B35:S35"/>
    <mergeCell ref="B46:E46"/>
    <mergeCell ref="R46:S46"/>
    <mergeCell ref="B47:E47"/>
    <mergeCell ref="R47:S47"/>
    <mergeCell ref="B48:E48"/>
    <mergeCell ref="R48:S48"/>
    <mergeCell ref="B41:D42"/>
    <mergeCell ref="E41:F41"/>
    <mergeCell ref="B43:S43"/>
    <mergeCell ref="B45:E45"/>
    <mergeCell ref="F45:J45"/>
    <mergeCell ref="L45:P45"/>
    <mergeCell ref="R45:S45"/>
    <mergeCell ref="B56:S56"/>
    <mergeCell ref="B58:D58"/>
    <mergeCell ref="E58:F58"/>
    <mergeCell ref="B60:E60"/>
    <mergeCell ref="F60:J60"/>
    <mergeCell ref="L60:P60"/>
    <mergeCell ref="R60:S60"/>
    <mergeCell ref="B50:E50"/>
    <mergeCell ref="F50:J50"/>
    <mergeCell ref="L50:P51"/>
    <mergeCell ref="B51:E51"/>
    <mergeCell ref="B52:E52"/>
    <mergeCell ref="B53:E53"/>
    <mergeCell ref="B65:E65"/>
    <mergeCell ref="F65:J65"/>
    <mergeCell ref="L65:P66"/>
    <mergeCell ref="B66:E66"/>
    <mergeCell ref="B67:E67"/>
    <mergeCell ref="B68:E68"/>
    <mergeCell ref="B61:E61"/>
    <mergeCell ref="R61:S61"/>
    <mergeCell ref="B62:E62"/>
    <mergeCell ref="R62:S62"/>
    <mergeCell ref="B63:E63"/>
    <mergeCell ref="R63:S63"/>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s>
  <conditionalFormatting sqref="L46:P48 L61:P63">
    <cfRule type="cellIs" dxfId="3" priority="1" stopIfTrue="1" operator="lessThan">
      <formula>0</formula>
    </cfRule>
  </conditionalFormatting>
  <pageMargins left="0.7" right="0.7" top="0.75" bottom="0.75" header="0.3" footer="0.3"/>
  <pageSetup scale="37"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07"/>
  <sheetViews>
    <sheetView showGridLines="0" workbookViewId="0"/>
  </sheetViews>
  <sheetFormatPr defaultColWidth="8.84375" defaultRowHeight="15" customHeight="1"/>
  <cols>
    <col min="1" max="1" width="1.15234375" style="5" customWidth="1"/>
    <col min="2" max="19" width="10.84375" style="5" customWidth="1"/>
    <col min="20" max="20" width="1.15234375" style="5" customWidth="1"/>
    <col min="21" max="25" width="8.84375" style="5" customWidth="1"/>
    <col min="26" max="16384" width="8.84375" style="5"/>
  </cols>
  <sheetData>
    <row r="1" spans="1:24" ht="17.149999999999999" customHeight="1">
      <c r="A1" s="519"/>
      <c r="B1" s="1287"/>
      <c r="C1" s="1287"/>
      <c r="D1" s="1287"/>
      <c r="E1" s="1287"/>
      <c r="F1" s="1287"/>
      <c r="G1" s="1287"/>
      <c r="H1" s="1287"/>
      <c r="I1" s="1287"/>
      <c r="J1" s="1287"/>
      <c r="K1" s="1287"/>
      <c r="L1" s="1287"/>
      <c r="M1" s="1287"/>
      <c r="N1" s="1287"/>
      <c r="O1" s="1287"/>
      <c r="P1" s="1287"/>
      <c r="Q1" s="1287"/>
      <c r="R1" s="1287"/>
      <c r="S1" s="1287"/>
      <c r="T1" s="520"/>
      <c r="U1" s="521"/>
      <c r="V1" s="52"/>
      <c r="W1" s="52"/>
      <c r="X1" s="53"/>
    </row>
    <row r="2" spans="1:24" ht="33.75" customHeight="1">
      <c r="A2" s="522"/>
      <c r="B2" s="1288" t="s">
        <v>45</v>
      </c>
      <c r="C2" s="1289"/>
      <c r="D2" s="1289"/>
      <c r="E2" s="1289"/>
      <c r="F2" s="1289"/>
      <c r="G2" s="1289"/>
      <c r="H2" s="1289"/>
      <c r="I2" s="1289"/>
      <c r="J2" s="1289"/>
      <c r="K2" s="1289"/>
      <c r="L2" s="1289"/>
      <c r="M2" s="1289"/>
      <c r="N2" s="1289"/>
      <c r="O2" s="1289"/>
      <c r="P2" s="1289"/>
      <c r="Q2" s="1289"/>
      <c r="R2" s="1289"/>
      <c r="S2" s="1289"/>
      <c r="T2" s="523"/>
      <c r="U2" s="522"/>
      <c r="V2" s="57"/>
      <c r="W2" s="57"/>
      <c r="X2" s="58"/>
    </row>
    <row r="3" spans="1:24" ht="23.25" customHeight="1">
      <c r="A3" s="522"/>
      <c r="B3" s="1290" t="s">
        <v>460</v>
      </c>
      <c r="C3" s="1291"/>
      <c r="D3" s="1291"/>
      <c r="E3" s="1291"/>
      <c r="F3" s="1291"/>
      <c r="G3" s="1291"/>
      <c r="H3" s="1291"/>
      <c r="I3" s="1291"/>
      <c r="J3" s="1291"/>
      <c r="K3" s="1291"/>
      <c r="L3" s="1291"/>
      <c r="M3" s="1291"/>
      <c r="N3" s="1291"/>
      <c r="O3" s="1291"/>
      <c r="P3" s="1291"/>
      <c r="Q3" s="1291"/>
      <c r="R3" s="1292"/>
      <c r="S3" s="1292"/>
      <c r="T3" s="523"/>
      <c r="U3" s="522"/>
      <c r="V3" s="57"/>
      <c r="W3" s="57"/>
      <c r="X3" s="58"/>
    </row>
    <row r="4" spans="1:24" ht="19.5" customHeight="1">
      <c r="A4" s="522"/>
      <c r="B4" s="1293" t="e" cm="1" vm="2">
        <f t="array" aca="1" ref="B4" ca="1">'PF calculator'!B4:P4</f>
        <v>#VALUE!</v>
      </c>
      <c r="C4" s="1293"/>
      <c r="D4" s="1293"/>
      <c r="E4" s="1293"/>
      <c r="F4" s="1293"/>
      <c r="G4" s="1293"/>
      <c r="H4" s="1293"/>
      <c r="I4" s="1293"/>
      <c r="J4" s="1293"/>
      <c r="K4" s="1293"/>
      <c r="L4" s="1293"/>
      <c r="M4" s="1293"/>
      <c r="N4" s="1293"/>
      <c r="O4" s="1293"/>
      <c r="P4" s="1293"/>
      <c r="Q4" s="524" t="s">
        <v>48</v>
      </c>
      <c r="R4" s="1294" t="s">
        <v>395</v>
      </c>
      <c r="S4" s="1295"/>
      <c r="T4" s="525"/>
      <c r="U4" s="522"/>
      <c r="V4" s="67"/>
      <c r="W4" s="57"/>
      <c r="X4" s="58"/>
    </row>
    <row r="5" spans="1:24" ht="19.5" customHeight="1">
      <c r="A5" s="522"/>
      <c r="B5" s="526" t="str" cm="1">
        <f t="array" ref="B5">'PF calculator'!B5</f>
        <v>SECTION 1: Project details</v>
      </c>
      <c r="C5" s="527"/>
      <c r="D5" s="527"/>
      <c r="E5" s="527"/>
      <c r="F5" s="527"/>
      <c r="G5" s="527"/>
      <c r="H5" s="527"/>
      <c r="I5" s="527"/>
      <c r="J5" s="527"/>
      <c r="K5" s="527"/>
      <c r="L5" s="527"/>
      <c r="M5" s="527"/>
      <c r="N5" s="527"/>
      <c r="O5" s="527"/>
      <c r="P5" s="527"/>
      <c r="Q5" s="528"/>
      <c r="R5" s="1296" t="s">
        <v>52</v>
      </c>
      <c r="S5" s="1297"/>
      <c r="T5" s="525"/>
      <c r="U5" s="522"/>
      <c r="V5" s="57"/>
      <c r="W5" s="57"/>
      <c r="X5" s="58"/>
    </row>
    <row r="6" spans="1:24" ht="8" customHeight="1">
      <c r="A6" s="522"/>
      <c r="B6" s="529"/>
      <c r="C6" s="529"/>
      <c r="D6" s="530"/>
      <c r="E6" s="530"/>
      <c r="F6" s="530"/>
      <c r="G6" s="530"/>
      <c r="H6" s="530"/>
      <c r="I6" s="530"/>
      <c r="J6" s="529"/>
      <c r="K6" s="529"/>
      <c r="L6" s="529"/>
      <c r="M6" s="530"/>
      <c r="N6" s="530"/>
      <c r="O6" s="529"/>
      <c r="P6" s="529"/>
      <c r="Q6" s="531"/>
      <c r="R6" s="1301" t="s">
        <v>53</v>
      </c>
      <c r="S6" s="1302"/>
      <c r="T6" s="523"/>
      <c r="U6" s="522"/>
      <c r="V6" s="57"/>
      <c r="W6" s="57"/>
      <c r="X6" s="58"/>
    </row>
    <row r="7" spans="1:24" ht="18.75" customHeight="1">
      <c r="A7" s="522"/>
      <c r="B7" s="1209" t="s">
        <v>54</v>
      </c>
      <c r="C7" s="1229"/>
      <c r="D7" s="1298" t="str" cm="1">
        <f t="array" ref="D7">"Sensitivity Analysis: "&amp;'PF calculator'!L100</f>
        <v>Sensitivity Analysis: SA5: Duration of benefits - Option choice is optimistic</v>
      </c>
      <c r="E7" s="1299"/>
      <c r="F7" s="1299"/>
      <c r="G7" s="1299"/>
      <c r="H7" s="1299"/>
      <c r="I7" s="1300"/>
      <c r="J7" s="532"/>
      <c r="K7" s="1209" t="s">
        <v>56</v>
      </c>
      <c r="L7" s="1229"/>
      <c r="M7" s="1268" t="str" cm="1">
        <f t="array" ref="M7">'PF calculator'!M7</f>
        <v>Pre-SOC</v>
      </c>
      <c r="N7" s="1270"/>
      <c r="O7" s="533"/>
      <c r="P7" s="534"/>
      <c r="Q7" s="534"/>
      <c r="R7" s="1303"/>
      <c r="S7" s="1303"/>
      <c r="T7" s="523"/>
      <c r="U7" s="522"/>
      <c r="V7" s="57"/>
      <c r="W7" s="57"/>
      <c r="X7" s="58"/>
    </row>
    <row r="8" spans="1:24" ht="18.75" customHeight="1">
      <c r="A8" s="522"/>
      <c r="B8" s="1209" t="s">
        <v>461</v>
      </c>
      <c r="C8" s="1229"/>
      <c r="D8" s="1268" t="str" cm="1">
        <f t="array" ref="D8">'PF calculator'!D8</f>
        <v>YOC501E/000A/533A</v>
      </c>
      <c r="E8" s="1269"/>
      <c r="F8" s="1270"/>
      <c r="G8" s="535"/>
      <c r="H8" s="536"/>
      <c r="I8" s="536"/>
      <c r="J8" s="534"/>
      <c r="K8" s="1209" t="s">
        <v>60</v>
      </c>
      <c r="L8" s="1229"/>
      <c r="M8" s="1271" cm="1">
        <f t="array" ref="M8">'PF calculator'!M8</f>
        <v>0</v>
      </c>
      <c r="N8" s="1270"/>
      <c r="O8" s="1272" t="e" cm="1" vm="3">
        <f t="array" aca="1" ref="O8" ca="1">'PF calculator'!O8:Q8</f>
        <v>#VALUE!</v>
      </c>
      <c r="P8" s="1273"/>
      <c r="Q8" s="1274"/>
      <c r="R8" s="538" t="e" cm="1" vm="1">
        <f t="array" aca="1" ref="R8" ca="1">$E$39/$E$33</f>
        <v>#VALUE!</v>
      </c>
      <c r="S8" s="539" t="s">
        <v>62</v>
      </c>
      <c r="T8" s="525"/>
      <c r="U8" s="522"/>
      <c r="V8" s="57"/>
      <c r="W8" s="57"/>
      <c r="X8" s="58"/>
    </row>
    <row r="9" spans="1:24" ht="18.75" customHeight="1">
      <c r="A9" s="522"/>
      <c r="B9" s="1209" t="s">
        <v>462</v>
      </c>
      <c r="C9" s="1229"/>
      <c r="D9" s="1277" cm="1">
        <f t="array" ref="D9">'PF calculator'!D9</f>
        <v>45265</v>
      </c>
      <c r="E9" s="1278"/>
      <c r="F9" s="1279"/>
      <c r="G9" s="540"/>
      <c r="H9" s="541"/>
      <c r="I9" s="541"/>
      <c r="J9" s="534"/>
      <c r="K9" s="534"/>
      <c r="L9" s="534"/>
      <c r="M9" s="536"/>
      <c r="N9" s="536"/>
      <c r="O9" s="1280" t="s">
        <v>64</v>
      </c>
      <c r="P9" s="1281"/>
      <c r="Q9" s="1282"/>
      <c r="R9" s="542" t="str" cm="1">
        <f t="array" aca="1" ref="R9" ca="1">IFERROR(($E$39/MIN(($K$21+$K$23),$E$33)),"n/a")</f>
        <v>n/a</v>
      </c>
      <c r="S9" s="539" t="s">
        <v>62</v>
      </c>
      <c r="T9" s="525"/>
      <c r="U9" s="522"/>
      <c r="V9" s="57"/>
      <c r="W9" s="57"/>
      <c r="X9" s="58"/>
    </row>
    <row r="10" spans="1:24" ht="18.75" customHeight="1">
      <c r="A10" s="522"/>
      <c r="B10" s="1209" t="s">
        <v>65</v>
      </c>
      <c r="C10" s="1229"/>
      <c r="D10" s="1283" t="str" cm="1">
        <f t="array" ref="D10">'PF calculator'!D10</f>
        <v>City of Doncaster Council</v>
      </c>
      <c r="E10" s="1284"/>
      <c r="F10" s="1284"/>
      <c r="G10" s="1284"/>
      <c r="H10" s="1284"/>
      <c r="I10" s="1285"/>
      <c r="J10" s="533"/>
      <c r="K10" s="534"/>
      <c r="L10" s="534"/>
      <c r="M10" s="534"/>
      <c r="N10" s="534"/>
      <c r="O10" s="1280" t="s">
        <v>67</v>
      </c>
      <c r="P10" s="1281"/>
      <c r="Q10" s="1282"/>
      <c r="R10" s="538" t="e" cm="1" vm="1">
        <f t="array" aca="1" ref="R10" ca="1">IF($K$33&gt;0,$E$39/$K$33,"n/a")</f>
        <v>#VALUE!</v>
      </c>
      <c r="S10" s="539" t="s">
        <v>62</v>
      </c>
      <c r="T10" s="525"/>
      <c r="U10" s="522"/>
      <c r="V10" s="57"/>
      <c r="W10" s="57"/>
      <c r="X10" s="58"/>
    </row>
    <row r="11" spans="1:24" ht="18.75" customHeight="1">
      <c r="A11" s="522"/>
      <c r="B11" s="1209" t="s">
        <v>68</v>
      </c>
      <c r="C11" s="1229"/>
      <c r="D11" s="1283" t="str" cm="1">
        <f t="array" ref="D11">'PF calculator'!D11</f>
        <v>Local Authority</v>
      </c>
      <c r="E11" s="1284"/>
      <c r="F11" s="1285"/>
      <c r="G11" s="543"/>
      <c r="H11" s="544"/>
      <c r="I11" s="544"/>
      <c r="J11" s="534"/>
      <c r="K11" s="534"/>
      <c r="L11" s="534"/>
      <c r="M11" s="534"/>
      <c r="N11" s="534"/>
      <c r="O11" s="534"/>
      <c r="P11" s="534"/>
      <c r="Q11" s="537"/>
      <c r="R11" s="545"/>
      <c r="S11" s="546"/>
      <c r="T11" s="523"/>
      <c r="U11" s="522"/>
      <c r="V11" s="57"/>
      <c r="W11" s="57"/>
      <c r="X11" s="58"/>
    </row>
    <row r="12" spans="1:24" ht="18.75" customHeight="1">
      <c r="A12" s="522"/>
      <c r="B12" s="547" t="s">
        <v>70</v>
      </c>
      <c r="C12" s="534"/>
      <c r="D12" s="536"/>
      <c r="E12" s="536"/>
      <c r="F12" s="536"/>
      <c r="G12" s="534"/>
      <c r="H12" s="534"/>
      <c r="I12" s="534"/>
      <c r="J12" s="534"/>
      <c r="K12" s="534"/>
      <c r="L12" s="534"/>
      <c r="M12" s="534"/>
      <c r="N12" s="534"/>
      <c r="O12" s="534"/>
      <c r="P12" s="1286"/>
      <c r="Q12" s="1286"/>
      <c r="R12" s="1286"/>
      <c r="S12" s="1286"/>
      <c r="T12" s="523"/>
      <c r="U12" s="522"/>
      <c r="V12" s="57"/>
      <c r="W12" s="57"/>
      <c r="X12" s="58"/>
    </row>
    <row r="13" spans="1:24" ht="18.75" customHeight="1">
      <c r="A13" s="522"/>
      <c r="B13" s="548" t="s">
        <v>463</v>
      </c>
      <c r="C13" s="534"/>
      <c r="D13" s="534"/>
      <c r="E13" s="534"/>
      <c r="F13" s="534"/>
      <c r="G13" s="534"/>
      <c r="H13" s="534"/>
      <c r="I13" s="534"/>
      <c r="J13" s="534"/>
      <c r="K13" s="534"/>
      <c r="L13" s="534"/>
      <c r="M13" s="534"/>
      <c r="N13" s="534"/>
      <c r="O13" s="534"/>
      <c r="P13" s="1286"/>
      <c r="Q13" s="1286"/>
      <c r="R13" s="1286"/>
      <c r="S13" s="1286"/>
      <c r="T13" s="523"/>
      <c r="U13" s="522"/>
      <c r="V13" s="57"/>
      <c r="W13" s="57"/>
      <c r="X13" s="58"/>
    </row>
    <row r="14" spans="1:24" ht="8" customHeight="1">
      <c r="A14" s="522"/>
      <c r="B14" s="549"/>
      <c r="C14" s="549"/>
      <c r="D14" s="549"/>
      <c r="E14" s="549"/>
      <c r="F14" s="549"/>
      <c r="G14" s="549"/>
      <c r="H14" s="549"/>
      <c r="I14" s="549"/>
      <c r="J14" s="549"/>
      <c r="K14" s="549"/>
      <c r="L14" s="549"/>
      <c r="M14" s="549"/>
      <c r="N14" s="549"/>
      <c r="O14" s="549"/>
      <c r="P14" s="549"/>
      <c r="Q14" s="549"/>
      <c r="R14" s="549"/>
      <c r="S14" s="549"/>
      <c r="T14" s="523"/>
      <c r="U14" s="522"/>
      <c r="V14" s="57"/>
      <c r="W14" s="57"/>
      <c r="X14" s="58"/>
    </row>
    <row r="15" spans="1:24" ht="18.75" customHeight="1">
      <c r="A15" s="522"/>
      <c r="B15" s="1190" t="e" cm="1" vm="4">
        <f t="array" aca="1" ref="B15" ca="1">'PF calculator'!B15:S15</f>
        <v>#VALUE!</v>
      </c>
      <c r="C15" s="1190"/>
      <c r="D15" s="1190"/>
      <c r="E15" s="1190"/>
      <c r="F15" s="1190"/>
      <c r="G15" s="1190"/>
      <c r="H15" s="1190"/>
      <c r="I15" s="1190"/>
      <c r="J15" s="1190"/>
      <c r="K15" s="1190"/>
      <c r="L15" s="1190"/>
      <c r="M15" s="1190"/>
      <c r="N15" s="1190"/>
      <c r="O15" s="1190"/>
      <c r="P15" s="1190"/>
      <c r="Q15" s="1190"/>
      <c r="R15" s="1190"/>
      <c r="S15" s="1190"/>
      <c r="T15" s="523"/>
      <c r="U15" s="522"/>
      <c r="V15" s="57"/>
      <c r="W15" s="57"/>
      <c r="X15" s="58"/>
    </row>
    <row r="16" spans="1:24" ht="8" customHeight="1">
      <c r="A16" s="522"/>
      <c r="B16" s="550"/>
      <c r="C16" s="529"/>
      <c r="D16" s="529"/>
      <c r="E16" s="530"/>
      <c r="F16" s="530"/>
      <c r="G16" s="529"/>
      <c r="H16" s="529"/>
      <c r="I16" s="529"/>
      <c r="J16" s="529"/>
      <c r="K16" s="529"/>
      <c r="L16" s="529"/>
      <c r="M16" s="529"/>
      <c r="N16" s="529"/>
      <c r="O16" s="529"/>
      <c r="P16" s="529"/>
      <c r="Q16" s="529"/>
      <c r="R16" s="529"/>
      <c r="S16" s="529"/>
      <c r="T16" s="523"/>
      <c r="U16" s="522"/>
      <c r="V16" s="57"/>
      <c r="W16" s="57"/>
      <c r="X16" s="58"/>
    </row>
    <row r="17" spans="1:24" ht="18.75" customHeight="1">
      <c r="A17" s="522"/>
      <c r="B17" s="1217" t="s">
        <v>73</v>
      </c>
      <c r="C17" s="1218"/>
      <c r="D17" s="1227"/>
      <c r="E17" s="1275" t="str" cm="1">
        <f t="array" ref="E17">'PF calculator'!E17</f>
        <v>Yes</v>
      </c>
      <c r="F17" s="1276"/>
      <c r="G17" s="551"/>
      <c r="H17" s="534"/>
      <c r="I17" s="534"/>
      <c r="J17" s="534"/>
      <c r="K17" s="534"/>
      <c r="L17" s="534"/>
      <c r="M17" s="534"/>
      <c r="N17" s="534"/>
      <c r="O17" s="534"/>
      <c r="P17" s="534"/>
      <c r="Q17" s="534"/>
      <c r="R17" s="534"/>
      <c r="S17" s="534"/>
      <c r="T17" s="523"/>
      <c r="U17" s="522"/>
      <c r="V17" s="57"/>
      <c r="W17" s="57"/>
      <c r="X17" s="58"/>
    </row>
    <row r="18" spans="1:24" ht="18.75" customHeight="1">
      <c r="A18" s="522"/>
      <c r="B18" s="534"/>
      <c r="C18" s="534"/>
      <c r="D18" s="534"/>
      <c r="E18" s="552"/>
      <c r="F18" s="552"/>
      <c r="G18" s="534"/>
      <c r="H18" s="534"/>
      <c r="I18" s="534"/>
      <c r="J18" s="534"/>
      <c r="K18" s="541"/>
      <c r="L18" s="541"/>
      <c r="M18" s="534"/>
      <c r="N18" s="534"/>
      <c r="O18" s="534"/>
      <c r="P18" s="534"/>
      <c r="Q18" s="534"/>
      <c r="R18" s="534"/>
      <c r="S18" s="534"/>
      <c r="T18" s="523"/>
      <c r="U18" s="522"/>
      <c r="V18" s="57"/>
      <c r="W18" s="57"/>
      <c r="X18" s="58"/>
    </row>
    <row r="19" spans="1:24" ht="18.75" customHeight="1">
      <c r="A19" s="522"/>
      <c r="B19" s="1217" t="s">
        <v>75</v>
      </c>
      <c r="C19" s="1218"/>
      <c r="D19" s="1227"/>
      <c r="E19" s="1266" t="e" cm="1" vm="1">
        <f t="array" aca="1" ref="E19" ca="1">IF(E23="low BCR","n/a",IF(E17="Yes",$E$23/MAX($E$33,$E$31),0.45*$E$23/MAX($E$33,$E$31)))</f>
        <v>#VALUE!</v>
      </c>
      <c r="F19" s="1267"/>
      <c r="G19" s="533"/>
      <c r="H19" s="1217" t="s">
        <v>76</v>
      </c>
      <c r="I19" s="1218"/>
      <c r="J19" s="1227"/>
      <c r="K19" s="1266" t="e" cm="1" vm="1">
        <f t="array" aca="1" ref="K19" ca="1">IF(E23="low BCR","n/a",IF(E17="Yes",IF(D11="Environment Agency",E23/MAX(MAX(E33,E31)-K33,1),E19+K33/E31),IF(D11="Environment Agency",E23*0.45/MAX(MAX(E33,E31)-K33,1),E19+K33/E31)))</f>
        <v>#VALUE!</v>
      </c>
      <c r="L19" s="1267"/>
      <c r="M19" s="533"/>
      <c r="N19" s="534"/>
      <c r="O19" s="534"/>
      <c r="P19" s="534"/>
      <c r="Q19" s="534"/>
      <c r="R19" s="534"/>
      <c r="S19" s="534"/>
      <c r="T19" s="523"/>
      <c r="U19" s="522"/>
      <c r="V19" s="57"/>
      <c r="W19" s="57"/>
      <c r="X19" s="58"/>
    </row>
    <row r="20" spans="1:24" ht="18.75" customHeight="1">
      <c r="A20" s="522"/>
      <c r="B20" s="534"/>
      <c r="C20" s="534"/>
      <c r="D20" s="534"/>
      <c r="E20" s="553"/>
      <c r="F20" s="553"/>
      <c r="G20" s="534"/>
      <c r="H20" s="534"/>
      <c r="I20" s="534"/>
      <c r="J20" s="534"/>
      <c r="K20" s="552"/>
      <c r="L20" s="552"/>
      <c r="M20" s="534"/>
      <c r="N20" s="534"/>
      <c r="O20" s="534"/>
      <c r="P20" s="534"/>
      <c r="Q20" s="534"/>
      <c r="R20" s="534"/>
      <c r="S20" s="534"/>
      <c r="T20" s="523"/>
      <c r="U20" s="522"/>
      <c r="V20" s="57"/>
      <c r="W20" s="57"/>
      <c r="X20" s="58"/>
    </row>
    <row r="21" spans="1:24" ht="18.75" customHeight="1">
      <c r="A21" s="522"/>
      <c r="B21" s="1209" t="s">
        <v>77</v>
      </c>
      <c r="C21" s="1210"/>
      <c r="D21" s="1229"/>
      <c r="E21" s="1230" t="e" cm="1" vm="1">
        <f t="array" aca="1" ref="E21" ca="1">IF(E23="low BCR","n/a",IF(E23=0,0,(IF(E17="Yes",MAX(IF(D11="Environment Agency",MAX(E33,E31)-MIN(E23,E33),E31*(1-(E19))),0),IF(D11="Environment Agency",MAX(E33,E31)-MIN(E23*0.45,E33),E31*(1-(E19)))))))</f>
        <v>#VALUE!</v>
      </c>
      <c r="F21" s="1231"/>
      <c r="G21" s="533"/>
      <c r="H21" s="1209" t="s">
        <v>78</v>
      </c>
      <c r="I21" s="1210"/>
      <c r="J21" s="1229"/>
      <c r="K21" s="1263" t="e" cm="1" vm="1">
        <f t="array" aca="1" ref="K21" ca="1">IF(E23="low BCR","n/a",IF(ROUNDUP(K19,4)&lt;100%,"-",IF(K32+M32&gt;E31,"N/A",E31-(K32+M32))))</f>
        <v>#VALUE!</v>
      </c>
      <c r="L21" s="1264"/>
      <c r="M21" s="533"/>
      <c r="N21" s="534"/>
      <c r="O21" s="534"/>
      <c r="P21" s="534"/>
      <c r="Q21" s="534"/>
      <c r="R21" s="534"/>
      <c r="S21" s="534"/>
      <c r="T21" s="523"/>
      <c r="U21" s="522"/>
      <c r="V21" s="555"/>
      <c r="W21" s="57"/>
      <c r="X21" s="556"/>
    </row>
    <row r="22" spans="1:24" ht="18.75" customHeight="1">
      <c r="A22" s="522"/>
      <c r="B22" s="534"/>
      <c r="C22" s="534"/>
      <c r="D22" s="534"/>
      <c r="E22" s="552"/>
      <c r="F22" s="552"/>
      <c r="G22" s="534"/>
      <c r="H22" s="534"/>
      <c r="I22" s="534"/>
      <c r="J22" s="534"/>
      <c r="K22" s="552"/>
      <c r="L22" s="552"/>
      <c r="M22" s="534"/>
      <c r="N22" s="534"/>
      <c r="O22" s="534"/>
      <c r="P22" s="534"/>
      <c r="Q22" s="534"/>
      <c r="R22" s="534"/>
      <c r="S22" s="534"/>
      <c r="T22" s="523"/>
      <c r="U22" s="522"/>
      <c r="V22" s="57"/>
      <c r="W22" s="57"/>
      <c r="X22" s="58"/>
    </row>
    <row r="23" spans="1:24" ht="18.75" customHeight="1">
      <c r="A23" s="522"/>
      <c r="B23" s="1217" t="s">
        <v>79</v>
      </c>
      <c r="C23" s="1218"/>
      <c r="D23" s="1227"/>
      <c r="E23" s="1238" t="e" cm="1" vm="1">
        <f t="array" aca="1" ref="E23" ca="1">IF(R8&lt;1,"low BCR",IF(OR(M7="Pre-SOC",M7="SOC",M7="Change (before OBC)"),H105,IF('Economic summary'!H12&lt;4,0,H105)))</f>
        <v>#VALUE!</v>
      </c>
      <c r="F23" s="1239"/>
      <c r="G23" s="533"/>
      <c r="H23" s="1209" t="s">
        <v>80</v>
      </c>
      <c r="I23" s="1210"/>
      <c r="J23" s="1229"/>
      <c r="K23" s="1263" t="e" cm="1" vm="1">
        <f t="array" aca="1" ref="K23" ca="1">IF(E23="low BCR","n/a",IF(D11="Environment Agency",(IF(ROUNDUP(K19,4)&lt;100%,"-",IF(O32&gt;E32,"N/A",E32-O32))),0))</f>
        <v>#VALUE!</v>
      </c>
      <c r="L23" s="1264"/>
      <c r="M23" s="1265"/>
      <c r="N23" s="1235"/>
      <c r="O23" s="1235"/>
      <c r="P23" s="1235"/>
      <c r="Q23" s="557"/>
      <c r="R23" s="557"/>
      <c r="S23" s="557"/>
      <c r="T23" s="523"/>
      <c r="U23" s="522"/>
      <c r="V23" s="555"/>
      <c r="W23" s="57"/>
      <c r="X23" s="58"/>
    </row>
    <row r="24" spans="1:24" ht="8" customHeight="1">
      <c r="A24" s="522"/>
      <c r="B24" s="549"/>
      <c r="C24" s="549"/>
      <c r="D24" s="549"/>
      <c r="E24" s="558"/>
      <c r="F24" s="558"/>
      <c r="G24" s="549"/>
      <c r="H24" s="549"/>
      <c r="I24" s="549"/>
      <c r="J24" s="549"/>
      <c r="K24" s="558"/>
      <c r="L24" s="558"/>
      <c r="M24" s="549"/>
      <c r="N24" s="549"/>
      <c r="O24" s="549"/>
      <c r="P24" s="549"/>
      <c r="Q24" s="549"/>
      <c r="R24" s="549"/>
      <c r="S24" s="549"/>
      <c r="T24" s="523"/>
      <c r="U24" s="522"/>
      <c r="V24" s="57"/>
      <c r="W24" s="57"/>
      <c r="X24" s="58"/>
    </row>
    <row r="25" spans="1:24" ht="18.75" customHeight="1">
      <c r="A25" s="522"/>
      <c r="B25" s="1190" t="e" cm="1" vm="4">
        <f t="array" aca="1" ref="B25" ca="1">'PF calculator'!B25:S25</f>
        <v>#VALUE!</v>
      </c>
      <c r="C25" s="1190"/>
      <c r="D25" s="1190"/>
      <c r="E25" s="1190"/>
      <c r="F25" s="1190"/>
      <c r="G25" s="1190"/>
      <c r="H25" s="1190"/>
      <c r="I25" s="1190"/>
      <c r="J25" s="1190"/>
      <c r="K25" s="1190"/>
      <c r="L25" s="1190"/>
      <c r="M25" s="1190"/>
      <c r="N25" s="1190"/>
      <c r="O25" s="1190"/>
      <c r="P25" s="1190"/>
      <c r="Q25" s="1190"/>
      <c r="R25" s="1190"/>
      <c r="S25" s="1190"/>
      <c r="T25" s="523"/>
      <c r="U25" s="522"/>
      <c r="V25" s="57"/>
      <c r="W25" s="57"/>
      <c r="X25" s="58"/>
    </row>
    <row r="26" spans="1:24" ht="8" customHeight="1">
      <c r="A26" s="522"/>
      <c r="B26" s="529"/>
      <c r="C26" s="529"/>
      <c r="D26" s="529"/>
      <c r="E26" s="529"/>
      <c r="F26" s="529"/>
      <c r="G26" s="529"/>
      <c r="H26" s="559"/>
      <c r="I26" s="529"/>
      <c r="J26" s="529"/>
      <c r="K26" s="1256" t="s">
        <v>81</v>
      </c>
      <c r="L26" s="1257"/>
      <c r="M26" s="1256" t="s">
        <v>82</v>
      </c>
      <c r="N26" s="1257"/>
      <c r="O26" s="1256" t="s">
        <v>83</v>
      </c>
      <c r="P26" s="1257"/>
      <c r="Q26" s="529"/>
      <c r="R26" s="529"/>
      <c r="S26" s="529"/>
      <c r="T26" s="523"/>
      <c r="U26" s="522"/>
      <c r="V26" s="57"/>
      <c r="W26" s="57"/>
      <c r="X26" s="58"/>
    </row>
    <row r="27" spans="1:24" ht="18.75" customHeight="1">
      <c r="A27" s="522"/>
      <c r="B27" s="1259" t="str" cm="1">
        <f t="array" ref="B27">IF(M7="Pre-SOC","Estimated project costs",IF(M7="SOC","Estimated project costs","Project costs"))</f>
        <v>Estimated project costs</v>
      </c>
      <c r="C27" s="1259"/>
      <c r="D27" s="1259"/>
      <c r="E27" s="1260" t="s">
        <v>84</v>
      </c>
      <c r="F27" s="1261"/>
      <c r="G27" s="529"/>
      <c r="H27" s="1262" t="str" cm="1">
        <f t="array" ref="H27">IF(M7="Pre-SOC","Estimated contributions",IF(M7="SOC","Estimated contributions","Contributions secured to date"))</f>
        <v>Estimated contributions</v>
      </c>
      <c r="I27" s="1262"/>
      <c r="J27" s="1262"/>
      <c r="K27" s="1258"/>
      <c r="L27" s="1258"/>
      <c r="M27" s="1258"/>
      <c r="N27" s="1258"/>
      <c r="O27" s="1258"/>
      <c r="P27" s="1258"/>
      <c r="Q27" s="529"/>
      <c r="R27" s="529"/>
      <c r="S27" s="529"/>
      <c r="T27" s="523"/>
      <c r="U27" s="522"/>
      <c r="V27" s="57"/>
      <c r="W27" s="57"/>
      <c r="X27" s="58"/>
    </row>
    <row r="28" spans="1:24" ht="18.75" customHeight="1">
      <c r="A28" s="522"/>
      <c r="B28" s="1209" t="s">
        <v>85</v>
      </c>
      <c r="C28" s="1210"/>
      <c r="D28" s="1229"/>
      <c r="E28" s="1212" cm="1">
        <f t="array" ref="E28">'PF calculator'!E28</f>
        <v>400000</v>
      </c>
      <c r="F28" s="1213"/>
      <c r="G28" s="533"/>
      <c r="H28" s="1209" t="s">
        <v>86</v>
      </c>
      <c r="I28" s="1210"/>
      <c r="J28" s="1211"/>
      <c r="K28" s="1252" cm="1">
        <f t="array" ref="K28">'PF calculator'!K28</f>
        <v>50000</v>
      </c>
      <c r="L28" s="1253"/>
      <c r="M28" s="1252" cm="1">
        <f t="array" ref="M28">'PF calculator'!M28</f>
        <v>200000</v>
      </c>
      <c r="N28" s="1253"/>
      <c r="O28" s="1252" cm="1">
        <f t="array" ref="O28">'PF calculator'!O28</f>
        <v>0</v>
      </c>
      <c r="P28" s="1253"/>
      <c r="Q28" s="1313" t="s">
        <v>477</v>
      </c>
      <c r="R28" s="1255"/>
      <c r="S28" s="1255"/>
      <c r="T28" s="523"/>
      <c r="U28" s="522"/>
      <c r="V28" s="57"/>
      <c r="W28" s="57"/>
      <c r="X28" s="58"/>
    </row>
    <row r="29" spans="1:24" ht="18.75" customHeight="1">
      <c r="A29" s="522"/>
      <c r="B29" s="1209" t="s">
        <v>88</v>
      </c>
      <c r="C29" s="1210"/>
      <c r="D29" s="1229"/>
      <c r="E29" s="1212" cm="1">
        <f t="array" ref="E29">'PF calculator'!E29</f>
        <v>6000000</v>
      </c>
      <c r="F29" s="1213"/>
      <c r="G29" s="533"/>
      <c r="H29" s="1209" t="s">
        <v>89</v>
      </c>
      <c r="I29" s="1210"/>
      <c r="J29" s="1211"/>
      <c r="K29" s="1252" cm="1">
        <f t="array" ref="K29">'PF calculator'!K29</f>
        <v>0</v>
      </c>
      <c r="L29" s="1253"/>
      <c r="M29" s="1252" cm="1">
        <f t="array" ref="M29">'PF calculator'!M29</f>
        <v>0</v>
      </c>
      <c r="N29" s="1253"/>
      <c r="O29" s="1252" cm="1">
        <f t="array" ref="O29">'PF calculator'!O29</f>
        <v>0</v>
      </c>
      <c r="P29" s="1253"/>
      <c r="Q29" s="1247" cm="1">
        <f t="array" ref="Q29">'PF calculator'!Q29</f>
        <v>0</v>
      </c>
      <c r="R29" s="1248"/>
      <c r="S29" s="1249"/>
      <c r="T29" s="525"/>
      <c r="U29" s="522"/>
      <c r="V29" s="57"/>
      <c r="W29" s="57"/>
      <c r="X29" s="58"/>
    </row>
    <row r="30" spans="1:24" ht="18.75" customHeight="1">
      <c r="A30" s="522"/>
      <c r="B30" s="1209" t="s">
        <v>90</v>
      </c>
      <c r="C30" s="1210"/>
      <c r="D30" s="1229"/>
      <c r="E30" s="1212" cm="1">
        <f t="array" ref="E30">'PF calculator'!E30</f>
        <v>100000</v>
      </c>
      <c r="F30" s="1213"/>
      <c r="G30" s="533"/>
      <c r="H30" s="1209" t="s">
        <v>91</v>
      </c>
      <c r="I30" s="1210"/>
      <c r="J30" s="1211"/>
      <c r="K30" s="1252" cm="1">
        <f t="array" ref="K30">'PF calculator'!K30</f>
        <v>50000</v>
      </c>
      <c r="L30" s="1253"/>
      <c r="M30" s="1252" cm="1">
        <f t="array" ref="M30">'PF calculator'!M30</f>
        <v>300000</v>
      </c>
      <c r="N30" s="1253"/>
      <c r="O30" s="1252" cm="1">
        <f t="array" ref="O30">'PF calculator'!O30</f>
        <v>0</v>
      </c>
      <c r="P30" s="1253"/>
      <c r="Q30" s="1247" cm="1">
        <f t="array" ref="Q30">'PF calculator'!Q30</f>
        <v>0</v>
      </c>
      <c r="R30" s="1248"/>
      <c r="S30" s="1249"/>
      <c r="T30" s="525"/>
      <c r="U30" s="522"/>
      <c r="V30" s="57"/>
      <c r="W30" s="57"/>
      <c r="X30" s="58"/>
    </row>
    <row r="31" spans="1:24" ht="18.75" customHeight="1">
      <c r="A31" s="522"/>
      <c r="B31" s="1209" t="s">
        <v>92</v>
      </c>
      <c r="C31" s="1210"/>
      <c r="D31" s="1229"/>
      <c r="E31" s="1230" cm="1">
        <f t="array" ref="E31">SUM(E28:E30)</f>
        <v>6500000</v>
      </c>
      <c r="F31" s="1231"/>
      <c r="G31" s="533"/>
      <c r="H31" s="1209" t="s">
        <v>93</v>
      </c>
      <c r="I31" s="1210"/>
      <c r="J31" s="1211"/>
      <c r="K31" s="1250" cm="1">
        <f t="array" ref="K31">'PF calculator'!K31</f>
        <v>0</v>
      </c>
      <c r="L31" s="1251"/>
      <c r="M31" s="1250" cm="1">
        <f t="array" ref="M31">'PF calculator'!M31</f>
        <v>0</v>
      </c>
      <c r="N31" s="1251"/>
      <c r="O31" s="1250" cm="1">
        <f t="array" ref="O31">'PF calculator'!O31</f>
        <v>0</v>
      </c>
      <c r="P31" s="1251"/>
      <c r="Q31" s="1247" cm="1">
        <f t="array" ref="Q31">'PF calculator'!Q31</f>
        <v>0</v>
      </c>
      <c r="R31" s="1248"/>
      <c r="S31" s="1249"/>
      <c r="T31" s="525"/>
      <c r="U31" s="522"/>
      <c r="V31" s="57"/>
      <c r="W31" s="57"/>
      <c r="X31" s="58"/>
    </row>
    <row r="32" spans="1:24" ht="18.75" customHeight="1">
      <c r="A32" s="522"/>
      <c r="B32" s="1209" t="s">
        <v>94</v>
      </c>
      <c r="C32" s="1210"/>
      <c r="D32" s="1229"/>
      <c r="E32" s="1212" cm="1">
        <f t="array" ref="E32">'PF calculator'!E32</f>
        <v>2000000</v>
      </c>
      <c r="F32" s="1213"/>
      <c r="G32" s="533"/>
      <c r="H32" s="1217" t="s">
        <v>95</v>
      </c>
      <c r="I32" s="1218"/>
      <c r="J32" s="1227"/>
      <c r="K32" s="1245" cm="1">
        <f t="array" ref="K32">SUM(K28:L31)</f>
        <v>100000</v>
      </c>
      <c r="L32" s="1246"/>
      <c r="M32" s="1245" cm="1">
        <f t="array" ref="M32">SUM(M28:N31)</f>
        <v>500000</v>
      </c>
      <c r="N32" s="1246"/>
      <c r="O32" s="1245" cm="1">
        <f t="array" ref="O32">SUM(O28:P31)</f>
        <v>0</v>
      </c>
      <c r="P32" s="1246"/>
      <c r="Q32" s="560"/>
      <c r="R32" s="546"/>
      <c r="S32" s="546"/>
      <c r="T32" s="523"/>
      <c r="U32" s="522"/>
      <c r="V32" s="57"/>
      <c r="W32" s="57"/>
      <c r="X32" s="58"/>
    </row>
    <row r="33" spans="1:24" ht="18.75" customHeight="1">
      <c r="A33" s="522"/>
      <c r="B33" s="1209" t="s">
        <v>96</v>
      </c>
      <c r="C33" s="1210"/>
      <c r="D33" s="1229"/>
      <c r="E33" s="1230" cm="1">
        <f t="array" ref="E33">SUM(E31:F32)</f>
        <v>8500000</v>
      </c>
      <c r="F33" s="1231"/>
      <c r="G33" s="533"/>
      <c r="H33" s="1209" t="s">
        <v>97</v>
      </c>
      <c r="I33" s="1210"/>
      <c r="J33" s="1229"/>
      <c r="K33" s="1238" cm="1">
        <f t="array" ref="K33">IF(D11="Environment Agency",K32+M32+O32,K32+M32)</f>
        <v>600000</v>
      </c>
      <c r="L33" s="1239"/>
      <c r="M33" s="1240"/>
      <c r="N33" s="1241"/>
      <c r="O33" s="1241"/>
      <c r="P33" s="1241"/>
      <c r="Q33" s="1242"/>
      <c r="R33" s="1242"/>
      <c r="S33" s="1242"/>
      <c r="T33" s="523"/>
      <c r="U33" s="522"/>
      <c r="V33" s="57"/>
      <c r="W33" s="57"/>
      <c r="X33" s="58"/>
    </row>
    <row r="34" spans="1:24" ht="8" customHeight="1">
      <c r="A34" s="522"/>
      <c r="B34" s="549"/>
      <c r="C34" s="549"/>
      <c r="D34" s="549"/>
      <c r="E34" s="558"/>
      <c r="F34" s="558"/>
      <c r="G34" s="561"/>
      <c r="H34" s="561"/>
      <c r="I34" s="561"/>
      <c r="J34" s="549"/>
      <c r="K34" s="558"/>
      <c r="L34" s="558"/>
      <c r="M34" s="549"/>
      <c r="N34" s="561"/>
      <c r="O34" s="561"/>
      <c r="P34" s="561"/>
      <c r="Q34" s="549"/>
      <c r="R34" s="549"/>
      <c r="S34" s="549"/>
      <c r="T34" s="523"/>
      <c r="U34" s="522"/>
      <c r="V34" s="57"/>
      <c r="W34" s="57"/>
      <c r="X34" s="58"/>
    </row>
    <row r="35" spans="1:24" ht="18.75" customHeight="1">
      <c r="A35" s="522"/>
      <c r="B35" s="1190" t="e" cm="1" vm="4">
        <f t="array" aca="1" ref="B35" ca="1">'PF calculator'!B35:S35</f>
        <v>#VALUE!</v>
      </c>
      <c r="C35" s="1190"/>
      <c r="D35" s="1190"/>
      <c r="E35" s="1190"/>
      <c r="F35" s="1190"/>
      <c r="G35" s="1190"/>
      <c r="H35" s="1190"/>
      <c r="I35" s="1190"/>
      <c r="J35" s="1190"/>
      <c r="K35" s="1190"/>
      <c r="L35" s="1190"/>
      <c r="M35" s="1190"/>
      <c r="N35" s="1190"/>
      <c r="O35" s="1190"/>
      <c r="P35" s="1190"/>
      <c r="Q35" s="1190"/>
      <c r="R35" s="1190"/>
      <c r="S35" s="1190"/>
      <c r="T35" s="523"/>
      <c r="U35" s="522"/>
      <c r="V35" s="57"/>
      <c r="W35" s="57"/>
      <c r="X35" s="58"/>
    </row>
    <row r="36" spans="1:24" ht="8" customHeight="1">
      <c r="A36" s="522"/>
      <c r="B36" s="529"/>
      <c r="C36" s="529"/>
      <c r="D36" s="529"/>
      <c r="E36" s="530"/>
      <c r="F36" s="530"/>
      <c r="G36" s="529"/>
      <c r="H36" s="529"/>
      <c r="I36" s="529"/>
      <c r="J36" s="529"/>
      <c r="K36" s="534"/>
      <c r="L36" s="529"/>
      <c r="M36" s="529"/>
      <c r="N36" s="529"/>
      <c r="O36" s="529"/>
      <c r="P36" s="529"/>
      <c r="Q36" s="529"/>
      <c r="R36" s="529"/>
      <c r="S36" s="529"/>
      <c r="T36" s="523"/>
      <c r="U36" s="522"/>
      <c r="V36" s="57"/>
      <c r="W36" s="57"/>
      <c r="X36" s="58"/>
    </row>
    <row r="37" spans="1:24" ht="18.75" customHeight="1">
      <c r="A37" s="522"/>
      <c r="B37" s="1209" t="s">
        <v>100</v>
      </c>
      <c r="C37" s="1210"/>
      <c r="D37" s="1229"/>
      <c r="E37" s="1212" cm="1">
        <f t="array" ref="E37">'PF calculator'!E37</f>
        <v>4000000</v>
      </c>
      <c r="F37" s="1213"/>
      <c r="G37" s="533"/>
      <c r="H37" s="534"/>
      <c r="I37" s="534"/>
      <c r="J37" s="534"/>
      <c r="K37" s="534"/>
      <c r="L37" s="1235"/>
      <c r="M37" s="1235"/>
      <c r="N37" s="1235"/>
      <c r="O37" s="1235"/>
      <c r="P37" s="1235"/>
      <c r="Q37" s="1235"/>
      <c r="R37" s="1235"/>
      <c r="S37" s="1235"/>
      <c r="T37" s="523"/>
      <c r="U37" s="522"/>
      <c r="V37" s="57"/>
      <c r="W37" s="57"/>
      <c r="X37" s="58"/>
    </row>
    <row r="38" spans="1:24" ht="18.75" customHeight="1">
      <c r="A38" s="522"/>
      <c r="B38" s="1210" t="e" cm="1" vm="3">
        <f t="array" aca="1" ref="B38" ca="1">'PF calculator'!B38:D38</f>
        <v>#VALUE!</v>
      </c>
      <c r="C38" s="1210"/>
      <c r="D38" s="1229"/>
      <c r="E38" s="1316" cm="1">
        <f t="array" ref="E38">INT('PF calculator'!E38*0.75)</f>
        <v>75</v>
      </c>
      <c r="F38" s="1318"/>
      <c r="G38" s="615"/>
      <c r="H38" s="534"/>
      <c r="I38" s="534"/>
      <c r="J38" s="534"/>
      <c r="K38" s="534"/>
      <c r="L38" s="1235"/>
      <c r="M38" s="1235"/>
      <c r="N38" s="1235"/>
      <c r="O38" s="1235"/>
      <c r="P38" s="1235"/>
      <c r="Q38" s="1235"/>
      <c r="R38" s="1235"/>
      <c r="S38" s="1235"/>
      <c r="T38" s="523"/>
      <c r="U38" s="522"/>
      <c r="V38" s="57"/>
      <c r="W38" s="57"/>
      <c r="X38" s="58"/>
    </row>
    <row r="39" spans="1:24" ht="18.75" customHeight="1">
      <c r="A39" s="522"/>
      <c r="B39" s="1210" t="e" cm="1" vm="3">
        <f t="array" aca="1" ref="B39" ca="1">'PF calculator'!B39:D39</f>
        <v>#VALUE!</v>
      </c>
      <c r="C39" s="1210"/>
      <c r="D39" s="1229"/>
      <c r="E39" s="1230" t="e" cm="1" vm="5">
        <f t="array" aca="1" ref="E39" ca="1">'PF calculator'!E39:F39</f>
        <v>#VALUE!</v>
      </c>
      <c r="F39" s="1231"/>
      <c r="G39" s="533"/>
      <c r="H39" s="534"/>
      <c r="I39" s="534"/>
      <c r="J39" s="534"/>
      <c r="K39" s="534"/>
      <c r="L39" s="534"/>
      <c r="M39" s="534"/>
      <c r="N39" s="534"/>
      <c r="O39" s="534"/>
      <c r="P39" s="534"/>
      <c r="Q39" s="534"/>
      <c r="R39" s="534"/>
      <c r="S39" s="534"/>
      <c r="T39" s="523"/>
      <c r="U39" s="522"/>
      <c r="V39" s="57"/>
      <c r="W39" s="57"/>
      <c r="X39" s="58"/>
    </row>
    <row r="40" spans="1:24" ht="8" customHeight="1">
      <c r="A40" s="522"/>
      <c r="B40" s="554"/>
      <c r="C40" s="554"/>
      <c r="D40" s="554"/>
      <c r="E40" s="562"/>
      <c r="F40" s="562"/>
      <c r="G40" s="554"/>
      <c r="H40" s="554"/>
      <c r="I40" s="534"/>
      <c r="J40" s="534"/>
      <c r="K40" s="534"/>
      <c r="L40" s="534"/>
      <c r="M40" s="534"/>
      <c r="N40" s="534"/>
      <c r="O40" s="534"/>
      <c r="P40" s="534"/>
      <c r="Q40" s="534"/>
      <c r="R40" s="534"/>
      <c r="S40" s="534"/>
      <c r="T40" s="523"/>
      <c r="U40" s="522"/>
      <c r="V40" s="57"/>
      <c r="W40" s="57"/>
      <c r="X40" s="58"/>
    </row>
    <row r="41" spans="1:24" ht="18.75" customHeight="1">
      <c r="A41" s="522"/>
      <c r="B41" s="1232" t="e" cm="1" vm="6">
        <f t="array" aca="1" ref="B41" ca="1">'PF calculator'!B41:D42</f>
        <v>#VALUE!</v>
      </c>
      <c r="C41" s="1232"/>
      <c r="D41" s="1233"/>
      <c r="E41" s="1230" cm="1">
        <f t="array" ref="E41">'PF calculator'!E41</f>
        <v>1000000</v>
      </c>
      <c r="F41" s="1231"/>
      <c r="G41" s="533"/>
      <c r="H41" s="534"/>
      <c r="I41" s="534"/>
      <c r="J41" s="534"/>
      <c r="K41" s="534"/>
      <c r="L41" s="534"/>
      <c r="M41" s="534"/>
      <c r="N41" s="534"/>
      <c r="O41" s="534"/>
      <c r="P41" s="534"/>
      <c r="Q41" s="534"/>
      <c r="R41" s="534"/>
      <c r="S41" s="534"/>
      <c r="T41" s="523"/>
      <c r="U41" s="522"/>
      <c r="V41" s="57"/>
      <c r="W41" s="57"/>
      <c r="X41" s="58"/>
    </row>
    <row r="42" spans="1:24" ht="13.5" customHeight="1">
      <c r="A42" s="522"/>
      <c r="B42" s="1234"/>
      <c r="C42" s="1234"/>
      <c r="D42" s="1234"/>
      <c r="E42" s="563"/>
      <c r="F42" s="563"/>
      <c r="G42" s="564"/>
      <c r="H42" s="564"/>
      <c r="I42" s="564"/>
      <c r="J42" s="564"/>
      <c r="K42" s="564"/>
      <c r="L42" s="564"/>
      <c r="M42" s="564"/>
      <c r="N42" s="564"/>
      <c r="O42" s="564"/>
      <c r="P42" s="564"/>
      <c r="Q42" s="564"/>
      <c r="R42" s="564"/>
      <c r="S42" s="564"/>
      <c r="T42" s="523"/>
      <c r="U42" s="522"/>
      <c r="V42" s="57"/>
      <c r="W42" s="57"/>
      <c r="X42" s="58"/>
    </row>
    <row r="43" spans="1:24" ht="18.75" customHeight="1">
      <c r="A43" s="522"/>
      <c r="B43" s="1190" t="e" cm="1" vm="4">
        <f t="array" aca="1" ref="B43" ca="1">'PF calculator'!B43:S43</f>
        <v>#VALUE!</v>
      </c>
      <c r="C43" s="1190"/>
      <c r="D43" s="1190"/>
      <c r="E43" s="1190"/>
      <c r="F43" s="1190"/>
      <c r="G43" s="1190"/>
      <c r="H43" s="1190"/>
      <c r="I43" s="1190"/>
      <c r="J43" s="1190"/>
      <c r="K43" s="1190"/>
      <c r="L43" s="1190"/>
      <c r="M43" s="1190"/>
      <c r="N43" s="1190"/>
      <c r="O43" s="1190"/>
      <c r="P43" s="1190"/>
      <c r="Q43" s="1190"/>
      <c r="R43" s="1190"/>
      <c r="S43" s="1190"/>
      <c r="T43" s="523"/>
      <c r="U43" s="522"/>
      <c r="V43" s="57"/>
      <c r="W43" s="57"/>
      <c r="X43" s="58"/>
    </row>
    <row r="44" spans="1:24" ht="8" customHeight="1">
      <c r="A44" s="522"/>
      <c r="B44" s="565"/>
      <c r="C44" s="529"/>
      <c r="D44" s="529"/>
      <c r="E44" s="529"/>
      <c r="F44" s="529"/>
      <c r="G44" s="529"/>
      <c r="H44" s="529"/>
      <c r="I44" s="529"/>
      <c r="J44" s="529"/>
      <c r="K44" s="529"/>
      <c r="L44" s="529"/>
      <c r="M44" s="529"/>
      <c r="N44" s="529"/>
      <c r="O44" s="529"/>
      <c r="P44" s="529"/>
      <c r="Q44" s="529"/>
      <c r="R44" s="529"/>
      <c r="S44" s="529"/>
      <c r="T44" s="523"/>
      <c r="U44" s="522"/>
      <c r="V44" s="57"/>
      <c r="W44" s="57"/>
      <c r="X44" s="58"/>
    </row>
    <row r="45" spans="1:24" ht="18.75" customHeight="1">
      <c r="A45" s="566"/>
      <c r="B45" s="1217" t="s">
        <v>107</v>
      </c>
      <c r="C45" s="1218"/>
      <c r="D45" s="1218"/>
      <c r="E45" s="1218"/>
      <c r="F45" s="1219" t="s">
        <v>108</v>
      </c>
      <c r="G45" s="1220"/>
      <c r="H45" s="1220"/>
      <c r="I45" s="1220"/>
      <c r="J45" s="1220"/>
      <c r="K45" s="534"/>
      <c r="L45" s="1219" t="s">
        <v>109</v>
      </c>
      <c r="M45" s="1220"/>
      <c r="N45" s="1220"/>
      <c r="O45" s="1220"/>
      <c r="P45" s="1220"/>
      <c r="Q45" s="534"/>
      <c r="R45" s="1221" t="s">
        <v>110</v>
      </c>
      <c r="S45" s="1222"/>
      <c r="T45" s="523"/>
      <c r="U45" s="522"/>
      <c r="V45" s="57"/>
      <c r="W45" s="57"/>
      <c r="X45" s="58"/>
    </row>
    <row r="46" spans="1:24" ht="18.75" customHeight="1">
      <c r="A46" s="566"/>
      <c r="B46" s="1209" t="s">
        <v>111</v>
      </c>
      <c r="C46" s="1210"/>
      <c r="D46" s="1210"/>
      <c r="E46" s="1211"/>
      <c r="F46" s="122"/>
      <c r="G46" s="567" cm="1">
        <f t="array" ref="G46">'PF calculator'!G46</f>
        <v>0</v>
      </c>
      <c r="H46" s="567" cm="1">
        <f t="array" ref="H46">'PF calculator'!H46</f>
        <v>0</v>
      </c>
      <c r="I46" s="567" cm="1">
        <f t="array" ref="I46">'PF calculator'!I46</f>
        <v>123</v>
      </c>
      <c r="J46" s="567" cm="1">
        <f t="array" ref="J46">'PF calculator'!J46</f>
        <v>0</v>
      </c>
      <c r="K46" s="568"/>
      <c r="L46" s="569" cm="1">
        <f t="array" ref="L46">IF(SUM(G46:J46)&lt;SUM(F51:J51),"n/a",F51)</f>
        <v>123</v>
      </c>
      <c r="M46" s="569" cm="1">
        <f t="array" ref="M46">IF(SUM(G46:J46)&lt;SUM(F51:J51),"n/a",G51-G46)</f>
        <v>0</v>
      </c>
      <c r="N46" s="569" cm="1">
        <f t="array" ref="N46">IF(SUM(G46:J46)&lt;SUM(F51:J51),"n/a",H51-H46)</f>
        <v>0</v>
      </c>
      <c r="O46" s="569" cm="1">
        <f t="array" ref="O46">IF(SUM(G46:J46)&lt;SUM(F51:J51),"n/a",I51-I46)</f>
        <v>-123</v>
      </c>
      <c r="P46" s="569" cm="1">
        <f t="array" ref="P46">IF(SUM(G46:J46)&lt;SUM(F51:J51),"n/a",J51-J46)</f>
        <v>0</v>
      </c>
      <c r="Q46" s="570"/>
      <c r="R46" s="1212" cm="1">
        <f t="array" ref="R46">-(SUMPRODUCT($M$46:$P$46,$M$52:$P$52))*(VLOOKUP($E$38,'Policy assumptions and formulae'!A10:D109,4,FALSE))</f>
        <v>3460263.2159362212</v>
      </c>
      <c r="S46" s="1226"/>
      <c r="T46" s="571"/>
      <c r="U46" s="522"/>
      <c r="V46" s="57"/>
      <c r="W46" s="57"/>
      <c r="X46" s="58"/>
    </row>
    <row r="47" spans="1:24" ht="18.75" customHeight="1">
      <c r="A47" s="566"/>
      <c r="B47" s="1209" t="s">
        <v>112</v>
      </c>
      <c r="C47" s="1210"/>
      <c r="D47" s="1210"/>
      <c r="E47" s="1211"/>
      <c r="F47" s="122"/>
      <c r="G47" s="567" cm="1">
        <f t="array" ref="G47">'PF calculator'!G47</f>
        <v>0</v>
      </c>
      <c r="H47" s="567" cm="1">
        <f t="array" ref="H47">'PF calculator'!H47</f>
        <v>0</v>
      </c>
      <c r="I47" s="567" cm="1">
        <f t="array" ref="I47">'PF calculator'!I47</f>
        <v>500</v>
      </c>
      <c r="J47" s="567" cm="1">
        <f t="array" ref="J47">'PF calculator'!J47</f>
        <v>0</v>
      </c>
      <c r="K47" s="568"/>
      <c r="L47" s="569" cm="1">
        <f t="array" ref="L47">IF(SUM(G47:J47)&lt;SUM(F52:J52),"n/a",F52)</f>
        <v>500</v>
      </c>
      <c r="M47" s="569" cm="1">
        <f t="array" ref="M47">IF(SUM(G47:J47)&lt;SUM(F52:J52),"n/a",G52-G47)</f>
        <v>0</v>
      </c>
      <c r="N47" s="569" cm="1">
        <f t="array" ref="N47">IF(SUM(G47:J47)&lt;SUM(F52:J52),"n/a",H52-H47)</f>
        <v>0</v>
      </c>
      <c r="O47" s="569" cm="1">
        <f t="array" ref="O47">IF(SUM(G47:J47)&lt;SUM(F52:J52),"n/a",I52-I47)</f>
        <v>-500</v>
      </c>
      <c r="P47" s="569" cm="1">
        <f t="array" ref="P47">IF(SUM(G47:J47)&lt;SUM(F52:J52),"n/a",J52-J47)</f>
        <v>0</v>
      </c>
      <c r="Q47" s="570"/>
      <c r="R47" s="1212" cm="1">
        <f t="array" ref="R47">-(SUMPRODUCT($M$47:$P$47,$M$52:$P$52))*(VLOOKUP($E$38,'Policy assumptions and formulae'!A10:D109,4,FALSE))</f>
        <v>14066110.633887077</v>
      </c>
      <c r="S47" s="1226"/>
      <c r="T47" s="571"/>
      <c r="U47" s="522"/>
      <c r="V47" s="57"/>
      <c r="W47" s="57"/>
      <c r="X47" s="58"/>
    </row>
    <row r="48" spans="1:24" ht="18.75" customHeight="1">
      <c r="A48" s="566"/>
      <c r="B48" s="1209" t="s">
        <v>113</v>
      </c>
      <c r="C48" s="1210"/>
      <c r="D48" s="1210"/>
      <c r="E48" s="1211"/>
      <c r="F48" s="122"/>
      <c r="G48" s="567" cm="1">
        <f t="array" ref="G48">'PF calculator'!G48</f>
        <v>0</v>
      </c>
      <c r="H48" s="567" cm="1">
        <f t="array" ref="H48">'PF calculator'!H48</f>
        <v>0</v>
      </c>
      <c r="I48" s="567" cm="1">
        <f t="array" ref="I48">'PF calculator'!I48</f>
        <v>0</v>
      </c>
      <c r="J48" s="567" cm="1">
        <f t="array" ref="J48">'PF calculator'!J48</f>
        <v>0</v>
      </c>
      <c r="K48" s="568"/>
      <c r="L48" s="569" cm="1">
        <f t="array" ref="L48">IF(SUM(G48:J48)&lt;SUM(F53:J53),"n/a",F53)</f>
        <v>0</v>
      </c>
      <c r="M48" s="569" cm="1">
        <f t="array" ref="M48">IF(SUM(G48:J48)&lt;SUM(F53:J53),"n/a",G53-G48)</f>
        <v>0</v>
      </c>
      <c r="N48" s="569" cm="1">
        <f t="array" ref="N48">IF(SUM(G48:J48)&lt;SUM(F53:J53),"n/a",H53-H48)</f>
        <v>0</v>
      </c>
      <c r="O48" s="569" cm="1">
        <f t="array" ref="O48">IF(SUM(G48:J48)&lt;SUM(F53:J53),"n/a",I53-I48)</f>
        <v>0</v>
      </c>
      <c r="P48" s="569" cm="1">
        <f t="array" ref="P48">IF(SUM(G48:J48)&lt;SUM(F53:J53),"n/a",J53-J48)</f>
        <v>0</v>
      </c>
      <c r="Q48" s="570"/>
      <c r="R48" s="1212" cm="1">
        <f t="array" ref="R48">-(SUMPRODUCT($M$48:$P$48,$M$52:$P$52))*(VLOOKUP($E$38,'Policy assumptions and formulae'!A10:D109,4,FALSE))</f>
        <v>0</v>
      </c>
      <c r="S48" s="1226"/>
      <c r="T48" s="571"/>
      <c r="U48" s="522"/>
      <c r="V48" s="57"/>
      <c r="W48" s="57"/>
      <c r="X48" s="58"/>
    </row>
    <row r="49" spans="1:24" ht="29.25" customHeight="1">
      <c r="A49" s="522"/>
      <c r="B49" s="529"/>
      <c r="C49" s="529"/>
      <c r="D49" s="529"/>
      <c r="E49" s="529"/>
      <c r="F49" s="572" t="s">
        <v>464</v>
      </c>
      <c r="G49" s="572" t="s">
        <v>114</v>
      </c>
      <c r="H49" s="572" t="s">
        <v>115</v>
      </c>
      <c r="I49" s="572" t="s">
        <v>117</v>
      </c>
      <c r="J49" s="572" t="s">
        <v>118</v>
      </c>
      <c r="K49" s="529"/>
      <c r="L49" s="572" t="s">
        <v>464</v>
      </c>
      <c r="M49" s="572" t="s">
        <v>114</v>
      </c>
      <c r="N49" s="572" t="s">
        <v>115</v>
      </c>
      <c r="O49" s="572" t="s">
        <v>117</v>
      </c>
      <c r="P49" s="572" t="s">
        <v>118</v>
      </c>
      <c r="Q49" s="529"/>
      <c r="R49" s="573"/>
      <c r="S49" s="573"/>
      <c r="T49" s="523"/>
      <c r="U49" s="522"/>
      <c r="V49" s="57"/>
      <c r="W49" s="57"/>
      <c r="X49" s="58"/>
    </row>
    <row r="50" spans="1:24" ht="18.75" customHeight="1">
      <c r="A50" s="522"/>
      <c r="B50" s="1217" t="s">
        <v>107</v>
      </c>
      <c r="C50" s="1218"/>
      <c r="D50" s="1218"/>
      <c r="E50" s="1218"/>
      <c r="F50" s="1219" t="s">
        <v>465</v>
      </c>
      <c r="G50" s="1220"/>
      <c r="H50" s="1220"/>
      <c r="I50" s="1220"/>
      <c r="J50" s="1220"/>
      <c r="K50" s="534"/>
      <c r="L50" s="1223" t="s">
        <v>120</v>
      </c>
      <c r="M50" s="1224"/>
      <c r="N50" s="1224"/>
      <c r="O50" s="1224"/>
      <c r="P50" s="1224"/>
      <c r="Q50" s="529"/>
      <c r="R50" s="529"/>
      <c r="S50" s="529"/>
      <c r="T50" s="523"/>
      <c r="U50" s="522"/>
      <c r="V50" s="57"/>
      <c r="W50" s="57"/>
      <c r="X50" s="58"/>
    </row>
    <row r="51" spans="1:24" ht="18.75" customHeight="1">
      <c r="A51" s="522"/>
      <c r="B51" s="1209" t="s">
        <v>111</v>
      </c>
      <c r="C51" s="1210"/>
      <c r="D51" s="1210"/>
      <c r="E51" s="1211"/>
      <c r="F51" s="567" cm="1">
        <f t="array" ref="F51">'PF calculator'!F51</f>
        <v>123</v>
      </c>
      <c r="G51" s="567" cm="1">
        <f t="array" ref="G51">'PF calculator'!G51</f>
        <v>0</v>
      </c>
      <c r="H51" s="567" cm="1">
        <f t="array" ref="H51">'PF calculator'!H51</f>
        <v>0</v>
      </c>
      <c r="I51" s="567" cm="1">
        <f t="array" ref="I51">'PF calculator'!I51</f>
        <v>0</v>
      </c>
      <c r="J51" s="567" cm="1">
        <f t="array" ref="J51">'PF calculator'!J51</f>
        <v>0</v>
      </c>
      <c r="K51" s="574"/>
      <c r="L51" s="1225"/>
      <c r="M51" s="1225"/>
      <c r="N51" s="1225"/>
      <c r="O51" s="1225"/>
      <c r="P51" s="1225"/>
      <c r="Q51" s="529"/>
      <c r="R51" s="529"/>
      <c r="S51" s="529"/>
      <c r="T51" s="523"/>
      <c r="U51" s="522"/>
      <c r="V51" s="57"/>
      <c r="W51" s="57"/>
      <c r="X51" s="58"/>
    </row>
    <row r="52" spans="1:24" ht="18.75" customHeight="1">
      <c r="A52" s="522"/>
      <c r="B52" s="1209" t="s">
        <v>112</v>
      </c>
      <c r="C52" s="1210"/>
      <c r="D52" s="1210"/>
      <c r="E52" s="1211"/>
      <c r="F52" s="567" cm="1">
        <f t="array" ref="F52">'PF calculator'!F52</f>
        <v>500</v>
      </c>
      <c r="G52" s="567" cm="1">
        <f t="array" ref="G52">'PF calculator'!G52</f>
        <v>0</v>
      </c>
      <c r="H52" s="567" cm="1">
        <f t="array" ref="H52">'PF calculator'!H52</f>
        <v>0</v>
      </c>
      <c r="I52" s="567" cm="1">
        <f t="array" ref="I52">'PF calculator'!I52</f>
        <v>0</v>
      </c>
      <c r="J52" s="567" cm="1">
        <f t="array" ref="J52">'PF calculator'!J52</f>
        <v>0</v>
      </c>
      <c r="K52" s="568"/>
      <c r="L52" s="575" cm="1">
        <f t="array" ref="L52">'Policy assumptions and formulae'!$AD$56</f>
        <v>0</v>
      </c>
      <c r="M52" s="575" cm="1">
        <f t="array" ref="M52">'Policy assumptions and formulae'!$AD$55</f>
        <v>58.833333333333343</v>
      </c>
      <c r="N52" s="575" cm="1">
        <f t="array" ref="N52">'Policy assumptions and formulae'!$AD$54</f>
        <v>294.16666666666674</v>
      </c>
      <c r="O52" s="575" cm="1">
        <f t="array" ref="O52">'Policy assumptions and formulae'!$AD$53</f>
        <v>1000.1666666666665</v>
      </c>
      <c r="P52" s="575" cm="1">
        <f t="array" ref="P52">'Policy assumptions and formulae'!$AD$52</f>
        <v>1588.5000000000002</v>
      </c>
      <c r="Q52" s="576"/>
      <c r="R52" s="529"/>
      <c r="S52" s="529"/>
      <c r="T52" s="523"/>
      <c r="U52" s="522"/>
      <c r="V52" s="57"/>
      <c r="W52" s="57"/>
      <c r="X52" s="58"/>
    </row>
    <row r="53" spans="1:24" ht="18.75" customHeight="1">
      <c r="A53" s="522"/>
      <c r="B53" s="1209" t="s">
        <v>121</v>
      </c>
      <c r="C53" s="1210"/>
      <c r="D53" s="1210"/>
      <c r="E53" s="1211"/>
      <c r="F53" s="567" cm="1">
        <f t="array" ref="F53">'PF calculator'!F53</f>
        <v>0</v>
      </c>
      <c r="G53" s="567" cm="1">
        <f t="array" ref="G53">'PF calculator'!G53</f>
        <v>0</v>
      </c>
      <c r="H53" s="567" cm="1">
        <f t="array" ref="H53">'PF calculator'!H53</f>
        <v>0</v>
      </c>
      <c r="I53" s="567" cm="1">
        <f t="array" ref="I53">'PF calculator'!I53</f>
        <v>0</v>
      </c>
      <c r="J53" s="567" cm="1">
        <f t="array" ref="J53">'PF calculator'!J53</f>
        <v>0</v>
      </c>
      <c r="K53" s="574"/>
      <c r="L53" s="577"/>
      <c r="M53" s="546"/>
      <c r="N53" s="546"/>
      <c r="O53" s="546"/>
      <c r="P53" s="546"/>
      <c r="Q53" s="529"/>
      <c r="R53" s="529"/>
      <c r="S53" s="529"/>
      <c r="T53" s="523"/>
      <c r="U53" s="522"/>
      <c r="V53" s="57"/>
      <c r="W53" s="57"/>
      <c r="X53" s="58"/>
    </row>
    <row r="54" spans="1:24" ht="28.5" customHeight="1">
      <c r="A54" s="522"/>
      <c r="B54" s="529"/>
      <c r="C54" s="529"/>
      <c r="D54" s="529"/>
      <c r="E54" s="529"/>
      <c r="F54" s="572" t="s">
        <v>464</v>
      </c>
      <c r="G54" s="572" t="s">
        <v>114</v>
      </c>
      <c r="H54" s="572" t="s">
        <v>115</v>
      </c>
      <c r="I54" s="572" t="s">
        <v>117</v>
      </c>
      <c r="J54" s="572" t="s">
        <v>118</v>
      </c>
      <c r="K54" s="529"/>
      <c r="L54" s="529"/>
      <c r="M54" s="529"/>
      <c r="N54" s="529"/>
      <c r="O54" s="529"/>
      <c r="P54" s="529"/>
      <c r="Q54" s="529"/>
      <c r="R54" s="529"/>
      <c r="S54" s="529"/>
      <c r="T54" s="523"/>
      <c r="U54" s="522"/>
      <c r="V54" s="57"/>
      <c r="W54" s="57"/>
      <c r="X54" s="58"/>
    </row>
    <row r="55" spans="1:24" ht="8" customHeight="1">
      <c r="A55" s="522"/>
      <c r="B55" s="549"/>
      <c r="C55" s="549"/>
      <c r="D55" s="549"/>
      <c r="E55" s="549"/>
      <c r="F55" s="549"/>
      <c r="G55" s="549"/>
      <c r="H55" s="549"/>
      <c r="I55" s="549"/>
      <c r="J55" s="549"/>
      <c r="K55" s="549"/>
      <c r="L55" s="549"/>
      <c r="M55" s="549"/>
      <c r="N55" s="549"/>
      <c r="O55" s="549"/>
      <c r="P55" s="549"/>
      <c r="Q55" s="549"/>
      <c r="R55" s="549"/>
      <c r="S55" s="549"/>
      <c r="T55" s="523"/>
      <c r="U55" s="522"/>
      <c r="V55" s="57"/>
      <c r="W55" s="57"/>
      <c r="X55" s="58"/>
    </row>
    <row r="56" spans="1:24" ht="18.75" customHeight="1">
      <c r="A56" s="522"/>
      <c r="B56" s="1190" t="e" cm="1" vm="4">
        <f t="array" aca="1" ref="B56" ca="1">'PF calculator'!B56:S56</f>
        <v>#VALUE!</v>
      </c>
      <c r="C56" s="1190"/>
      <c r="D56" s="1190"/>
      <c r="E56" s="1190"/>
      <c r="F56" s="1190"/>
      <c r="G56" s="1190"/>
      <c r="H56" s="1190"/>
      <c r="I56" s="1190"/>
      <c r="J56" s="1190"/>
      <c r="K56" s="1190"/>
      <c r="L56" s="1190"/>
      <c r="M56" s="1190"/>
      <c r="N56" s="1190"/>
      <c r="O56" s="1190"/>
      <c r="P56" s="1190"/>
      <c r="Q56" s="1190"/>
      <c r="R56" s="1190"/>
      <c r="S56" s="1190"/>
      <c r="T56" s="523"/>
      <c r="U56" s="522"/>
      <c r="V56" s="57"/>
      <c r="W56" s="57"/>
      <c r="X56" s="58"/>
    </row>
    <row r="57" spans="1:24" ht="8" customHeight="1">
      <c r="A57" s="522"/>
      <c r="B57" s="529"/>
      <c r="C57" s="529"/>
      <c r="D57" s="529"/>
      <c r="E57" s="530"/>
      <c r="F57" s="530"/>
      <c r="G57" s="529"/>
      <c r="H57" s="529"/>
      <c r="I57" s="529"/>
      <c r="J57" s="529"/>
      <c r="K57" s="529"/>
      <c r="L57" s="529"/>
      <c r="M57" s="529"/>
      <c r="N57" s="529"/>
      <c r="O57" s="529"/>
      <c r="P57" s="529"/>
      <c r="Q57" s="529"/>
      <c r="R57" s="529"/>
      <c r="S57" s="529"/>
      <c r="T57" s="523"/>
      <c r="U57" s="522"/>
      <c r="V57" s="57"/>
      <c r="W57" s="57"/>
      <c r="X57" s="58"/>
    </row>
    <row r="58" spans="1:24" ht="18.75" customHeight="1">
      <c r="A58" s="522"/>
      <c r="B58" s="1217" t="s">
        <v>478</v>
      </c>
      <c r="C58" s="1218"/>
      <c r="D58" s="1227"/>
      <c r="E58" s="1228" cm="1">
        <f t="array" ref="E58">'PF calculator'!E58</f>
        <v>2024</v>
      </c>
      <c r="F58" s="1226"/>
      <c r="G58" s="533"/>
      <c r="H58" s="534"/>
      <c r="I58" s="534"/>
      <c r="J58" s="534"/>
      <c r="K58" s="534"/>
      <c r="L58" s="534"/>
      <c r="M58" s="534"/>
      <c r="N58" s="534"/>
      <c r="O58" s="534"/>
      <c r="P58" s="534"/>
      <c r="Q58" s="534"/>
      <c r="R58" s="534"/>
      <c r="S58" s="534"/>
      <c r="T58" s="523"/>
      <c r="U58" s="522"/>
      <c r="V58" s="57"/>
      <c r="W58" s="57"/>
      <c r="X58" s="58"/>
    </row>
    <row r="59" spans="1:24" ht="8" customHeight="1">
      <c r="A59" s="522"/>
      <c r="B59" s="534"/>
      <c r="C59" s="534"/>
      <c r="D59" s="534"/>
      <c r="E59" s="536"/>
      <c r="F59" s="536"/>
      <c r="G59" s="534"/>
      <c r="H59" s="534"/>
      <c r="I59" s="534"/>
      <c r="J59" s="534"/>
      <c r="K59" s="534"/>
      <c r="L59" s="534"/>
      <c r="M59" s="534"/>
      <c r="N59" s="534"/>
      <c r="O59" s="534"/>
      <c r="P59" s="534"/>
      <c r="Q59" s="534"/>
      <c r="R59" s="534"/>
      <c r="S59" s="534"/>
      <c r="T59" s="523"/>
      <c r="U59" s="522"/>
      <c r="V59" s="57"/>
      <c r="W59" s="57"/>
      <c r="X59" s="58"/>
    </row>
    <row r="60" spans="1:24" ht="18.75" customHeight="1">
      <c r="A60" s="522"/>
      <c r="B60" s="1217" t="s">
        <v>107</v>
      </c>
      <c r="C60" s="1218"/>
      <c r="D60" s="1218"/>
      <c r="E60" s="1218"/>
      <c r="F60" s="1219" t="s">
        <v>125</v>
      </c>
      <c r="G60" s="1220"/>
      <c r="H60" s="1220"/>
      <c r="I60" s="1220"/>
      <c r="J60" s="1220"/>
      <c r="K60" s="534"/>
      <c r="L60" s="1219" t="s">
        <v>109</v>
      </c>
      <c r="M60" s="1220"/>
      <c r="N60" s="1220"/>
      <c r="O60" s="1220"/>
      <c r="P60" s="1220"/>
      <c r="Q60" s="534"/>
      <c r="R60" s="1221" t="s">
        <v>110</v>
      </c>
      <c r="S60" s="1222"/>
      <c r="T60" s="523"/>
      <c r="U60" s="522"/>
      <c r="V60" s="57"/>
      <c r="W60" s="57"/>
      <c r="X60" s="58"/>
    </row>
    <row r="61" spans="1:24" ht="18.75" customHeight="1">
      <c r="A61" s="522"/>
      <c r="B61" s="1209" t="s">
        <v>111</v>
      </c>
      <c r="C61" s="1210"/>
      <c r="D61" s="1210"/>
      <c r="E61" s="1211"/>
      <c r="F61" s="122"/>
      <c r="G61" s="567" cm="1">
        <f t="array" ref="G61">'PF calculator'!G61</f>
        <v>0</v>
      </c>
      <c r="H61" s="567" cm="1">
        <f t="array" ref="H61">'PF calculator'!H61</f>
        <v>0</v>
      </c>
      <c r="I61" s="567" cm="1">
        <f t="array" ref="I61">'PF calculator'!I61</f>
        <v>14</v>
      </c>
      <c r="J61" s="567" cm="1">
        <f t="array" ref="J61">'PF calculator'!J61</f>
        <v>0</v>
      </c>
      <c r="K61" s="568"/>
      <c r="L61" s="569" cm="1">
        <f t="array" ref="L61">IF(SUM(G61:J61)&lt;SUM(F66:J66),"n/a",F66)</f>
        <v>14</v>
      </c>
      <c r="M61" s="569" cm="1">
        <f t="array" ref="M61">IF(SUM(G61:J61)&lt;SUM(F66:J66),"n/a",G66-G61)</f>
        <v>0</v>
      </c>
      <c r="N61" s="569" cm="1">
        <f t="array" ref="N61">IF(SUM(G61:J61)&lt;SUM(F66:J66),"n/a",H66-H61)</f>
        <v>0</v>
      </c>
      <c r="O61" s="569" cm="1">
        <f t="array" ref="O61">IF(SUM(G61:J61)&lt;SUM(F66:J66),"n/a",I66-I61)</f>
        <v>-14</v>
      </c>
      <c r="P61" s="569" cm="1">
        <f t="array" ref="P61">IF(SUM(G61:J61)&lt;SUM(F66:J66),"n/a",J66-J61)</f>
        <v>0</v>
      </c>
      <c r="Q61" s="570"/>
      <c r="R61" s="1212" cm="1">
        <f t="array" ref="R61">IF($E$58+$E$38&lt;2041,"Ltd by DoB",(-SUMPRODUCT($M$61:$P$61,$M$67:$P$67)*VLOOKUP($E$38,'Policy assumptions and formulae'!$A$10:$D$109,4,FALSE))-(-SUMPRODUCT($M$61:$P$61,$M$67:$P$67)*VLOOKUP((2040-$E$58),'Policy assumptions and formulae'!$A$10:$D$109,4,FALSE)))</f>
        <v>210502.90949553318</v>
      </c>
      <c r="S61" s="1226"/>
      <c r="T61" s="571"/>
      <c r="U61" s="522"/>
      <c r="V61" s="57"/>
      <c r="W61" s="57"/>
      <c r="X61" s="58"/>
    </row>
    <row r="62" spans="1:24" ht="18.75" customHeight="1">
      <c r="A62" s="522"/>
      <c r="B62" s="1209" t="s">
        <v>112</v>
      </c>
      <c r="C62" s="1210"/>
      <c r="D62" s="1210"/>
      <c r="E62" s="1211"/>
      <c r="F62" s="122"/>
      <c r="G62" s="567" cm="1">
        <f t="array" ref="G62">'PF calculator'!G62</f>
        <v>0</v>
      </c>
      <c r="H62" s="567" cm="1">
        <f t="array" ref="H62">'PF calculator'!H62</f>
        <v>0</v>
      </c>
      <c r="I62" s="567" cm="1">
        <f t="array" ref="I62">'PF calculator'!I62</f>
        <v>0</v>
      </c>
      <c r="J62" s="567" cm="1">
        <f t="array" ref="J62">'PF calculator'!J62</f>
        <v>0</v>
      </c>
      <c r="K62" s="568"/>
      <c r="L62" s="569" cm="1">
        <f t="array" ref="L62">IF(SUM(G62:J62)&lt;SUM(F67:J67),"n/a",F67)</f>
        <v>0</v>
      </c>
      <c r="M62" s="569" cm="1">
        <f t="array" ref="M62">IF(SUM(G62:J62)&lt;SUM(F67:J67),"n/a",G67-G62)</f>
        <v>0</v>
      </c>
      <c r="N62" s="569" cm="1">
        <f t="array" ref="N62">IF(SUM(G62:J62)&lt;SUM(F67:J67),"n/a",H67-H62)</f>
        <v>0</v>
      </c>
      <c r="O62" s="569" cm="1">
        <f t="array" ref="O62">IF(SUM(G62:J62)&lt;SUM(F67:J67),"n/a",I67-I62)</f>
        <v>0</v>
      </c>
      <c r="P62" s="569" cm="1">
        <f t="array" ref="P62">IF(SUM(G62:J62)&lt;SUM(F67:J67),"n/a",J67-J62)</f>
        <v>0</v>
      </c>
      <c r="Q62" s="570"/>
      <c r="R62" s="1212" cm="1">
        <f t="array" ref="R62">IF($E$58+$E$38&lt;2041,"Ltd by DoB",(-SUMPRODUCT($M$62:$P$62,$M$67:$P$67)*VLOOKUP($E$38,'Policy assumptions and formulae'!$A$10:$D$109,4,FALSE))-(-SUMPRODUCT($M$62:$P$62,$M$67:$P$67)*VLOOKUP((2040-$E$58),'Policy assumptions and formulae'!$A$10:$D$109,4,FALSE)))</f>
        <v>0</v>
      </c>
      <c r="S62" s="1226"/>
      <c r="T62" s="571"/>
      <c r="U62" s="522"/>
      <c r="V62" s="57"/>
      <c r="W62" s="57"/>
      <c r="X62" s="58"/>
    </row>
    <row r="63" spans="1:24" ht="18.75" customHeight="1">
      <c r="A63" s="522"/>
      <c r="B63" s="1209" t="s">
        <v>113</v>
      </c>
      <c r="C63" s="1210"/>
      <c r="D63" s="1210"/>
      <c r="E63" s="1211"/>
      <c r="F63" s="122"/>
      <c r="G63" s="567" cm="1">
        <f t="array" ref="G63">'PF calculator'!G63</f>
        <v>0</v>
      </c>
      <c r="H63" s="567" cm="1">
        <f t="array" ref="H63">'PF calculator'!H63</f>
        <v>0</v>
      </c>
      <c r="I63" s="567" cm="1">
        <f t="array" ref="I63">'PF calculator'!I63</f>
        <v>0</v>
      </c>
      <c r="J63" s="567" cm="1">
        <f t="array" ref="J63">'PF calculator'!J63</f>
        <v>0</v>
      </c>
      <c r="K63" s="568"/>
      <c r="L63" s="569" cm="1">
        <f t="array" ref="L63">IF(SUM(G63:J63)&lt;SUM(F68:J68),"n/a",F68)</f>
        <v>0</v>
      </c>
      <c r="M63" s="569" cm="1">
        <f t="array" ref="M63">IF(SUM(G63:J63)&lt;SUM(F68:J68),"n/a",G68-G63)</f>
        <v>0</v>
      </c>
      <c r="N63" s="569" cm="1">
        <f t="array" ref="N63">IF(SUM(G63:J63)&lt;SUM(F68:J68),"n/a",H68-H63)</f>
        <v>0</v>
      </c>
      <c r="O63" s="569" cm="1">
        <f t="array" ref="O63">IF(SUM(G63:J63)&lt;SUM(F68:J68),"n/a",I68-I63)</f>
        <v>0</v>
      </c>
      <c r="P63" s="569" cm="1">
        <f t="array" ref="P63">IF(SUM(G63:J63)&lt;SUM(F68:J68),"n/a",J68-J63)</f>
        <v>0</v>
      </c>
      <c r="Q63" s="570"/>
      <c r="R63" s="1212" cm="1">
        <f t="array" ref="R63">IF($E$58+$E$38&lt;2041,"Ltd by DoB",(-SUMPRODUCT($M$63:$P$63,$M$67:$P$67)*VLOOKUP($E$38,'Policy assumptions and formulae'!$A$10:$D$109,4,FALSE))-(-SUMPRODUCT($M$63:$P$63,$M$67:$P$67)*VLOOKUP((2040-$E$58),'Policy assumptions and formulae'!$A$10:$D$109,4,FALSE)))</f>
        <v>0</v>
      </c>
      <c r="S63" s="1226"/>
      <c r="T63" s="571"/>
      <c r="U63" s="522"/>
      <c r="V63" s="57"/>
      <c r="W63" s="57"/>
      <c r="X63" s="58"/>
    </row>
    <row r="64" spans="1:24" ht="28.5" customHeight="1">
      <c r="A64" s="522"/>
      <c r="B64" s="529"/>
      <c r="C64" s="529"/>
      <c r="D64" s="529"/>
      <c r="E64" s="529"/>
      <c r="F64" s="572" t="s">
        <v>464</v>
      </c>
      <c r="G64" s="572" t="s">
        <v>114</v>
      </c>
      <c r="H64" s="572" t="s">
        <v>115</v>
      </c>
      <c r="I64" s="572" t="s">
        <v>117</v>
      </c>
      <c r="J64" s="572" t="s">
        <v>118</v>
      </c>
      <c r="K64" s="579"/>
      <c r="L64" s="572" t="s">
        <v>467</v>
      </c>
      <c r="M64" s="572" t="s">
        <v>114</v>
      </c>
      <c r="N64" s="572" t="s">
        <v>115</v>
      </c>
      <c r="O64" s="572" t="s">
        <v>117</v>
      </c>
      <c r="P64" s="572" t="s">
        <v>118</v>
      </c>
      <c r="Q64" s="529"/>
      <c r="R64" s="573"/>
      <c r="S64" s="573"/>
      <c r="T64" s="523"/>
      <c r="U64" s="522"/>
      <c r="V64" s="57"/>
      <c r="W64" s="57"/>
      <c r="X64" s="58"/>
    </row>
    <row r="65" spans="1:24" ht="18.75" customHeight="1">
      <c r="A65" s="522"/>
      <c r="B65" s="1217" t="s">
        <v>107</v>
      </c>
      <c r="C65" s="1218"/>
      <c r="D65" s="1218"/>
      <c r="E65" s="1218"/>
      <c r="F65" s="1219" t="s">
        <v>465</v>
      </c>
      <c r="G65" s="1220"/>
      <c r="H65" s="1220"/>
      <c r="I65" s="1220"/>
      <c r="J65" s="1220"/>
      <c r="K65" s="534"/>
      <c r="L65" s="1223" t="s">
        <v>120</v>
      </c>
      <c r="M65" s="1224"/>
      <c r="N65" s="1224"/>
      <c r="O65" s="1224"/>
      <c r="P65" s="1224"/>
      <c r="Q65" s="534"/>
      <c r="R65" s="534"/>
      <c r="S65" s="534"/>
      <c r="T65" s="523"/>
      <c r="U65" s="522"/>
      <c r="V65" s="57"/>
      <c r="W65" s="57"/>
      <c r="X65" s="58"/>
    </row>
    <row r="66" spans="1:24" ht="18.75" customHeight="1">
      <c r="A66" s="522"/>
      <c r="B66" s="1209" t="s">
        <v>111</v>
      </c>
      <c r="C66" s="1210"/>
      <c r="D66" s="1210"/>
      <c r="E66" s="1211"/>
      <c r="F66" s="567" cm="1">
        <f t="array" ref="F66">'PF calculator'!F66</f>
        <v>14</v>
      </c>
      <c r="G66" s="567" cm="1">
        <f t="array" ref="G66">'PF calculator'!G66</f>
        <v>0</v>
      </c>
      <c r="H66" s="567" cm="1">
        <f t="array" ref="H66">'PF calculator'!H66</f>
        <v>0</v>
      </c>
      <c r="I66" s="567" cm="1">
        <f t="array" ref="I66">'PF calculator'!I66</f>
        <v>0</v>
      </c>
      <c r="J66" s="567" cm="1">
        <f t="array" ref="J66">'PF calculator'!J66</f>
        <v>0</v>
      </c>
      <c r="K66" s="574"/>
      <c r="L66" s="1225"/>
      <c r="M66" s="1225"/>
      <c r="N66" s="1225"/>
      <c r="O66" s="1225"/>
      <c r="P66" s="1225"/>
      <c r="Q66" s="534"/>
      <c r="R66" s="534"/>
      <c r="S66" s="534"/>
      <c r="T66" s="523"/>
      <c r="U66" s="522"/>
      <c r="V66" s="57"/>
      <c r="W66" s="57"/>
      <c r="X66" s="58"/>
    </row>
    <row r="67" spans="1:24" ht="18.75" customHeight="1">
      <c r="A67" s="522"/>
      <c r="B67" s="1209" t="s">
        <v>112</v>
      </c>
      <c r="C67" s="1210"/>
      <c r="D67" s="1210"/>
      <c r="E67" s="1211"/>
      <c r="F67" s="567" cm="1">
        <f t="array" ref="F67">'PF calculator'!F67</f>
        <v>0</v>
      </c>
      <c r="G67" s="567" cm="1">
        <f t="array" ref="G67">'PF calculator'!G67</f>
        <v>0</v>
      </c>
      <c r="H67" s="567" cm="1">
        <f t="array" ref="H67">'PF calculator'!H67</f>
        <v>0</v>
      </c>
      <c r="I67" s="567" cm="1">
        <f t="array" ref="I67">'PF calculator'!I67</f>
        <v>0</v>
      </c>
      <c r="J67" s="567" cm="1">
        <f t="array" ref="J67">'PF calculator'!J67</f>
        <v>0</v>
      </c>
      <c r="K67" s="568"/>
      <c r="L67" s="575" cm="1">
        <f t="array" ref="L67">'Policy assumptions and formulae'!$AD$56</f>
        <v>0</v>
      </c>
      <c r="M67" s="575" cm="1">
        <f t="array" ref="M67">'Policy assumptions and formulae'!$AD$55</f>
        <v>58.833333333333343</v>
      </c>
      <c r="N67" s="575" cm="1">
        <f t="array" ref="N67">'Policy assumptions and formulae'!$AD$54</f>
        <v>294.16666666666674</v>
      </c>
      <c r="O67" s="575" cm="1">
        <f t="array" ref="O67">'Policy assumptions and formulae'!$AD$53</f>
        <v>1000.1666666666665</v>
      </c>
      <c r="P67" s="575" cm="1">
        <f t="array" ref="P67">'Policy assumptions and formulae'!$AD$52</f>
        <v>1588.5000000000002</v>
      </c>
      <c r="Q67" s="574"/>
      <c r="R67" s="534"/>
      <c r="S67" s="534"/>
      <c r="T67" s="523"/>
      <c r="U67" s="522"/>
      <c r="V67" s="57"/>
      <c r="W67" s="57"/>
      <c r="X67" s="58"/>
    </row>
    <row r="68" spans="1:24" ht="18.75" customHeight="1">
      <c r="A68" s="522"/>
      <c r="B68" s="1209" t="s">
        <v>113</v>
      </c>
      <c r="C68" s="1210"/>
      <c r="D68" s="1210"/>
      <c r="E68" s="1211"/>
      <c r="F68" s="567" cm="1">
        <f t="array" ref="F68">'PF calculator'!F68</f>
        <v>0</v>
      </c>
      <c r="G68" s="567" cm="1">
        <f t="array" ref="G68">'PF calculator'!G68</f>
        <v>0</v>
      </c>
      <c r="H68" s="567" cm="1">
        <f t="array" ref="H68">'PF calculator'!H68</f>
        <v>0</v>
      </c>
      <c r="I68" s="567" cm="1">
        <f t="array" ref="I68">'PF calculator'!I68</f>
        <v>0</v>
      </c>
      <c r="J68" s="567" cm="1">
        <f t="array" ref="J68">'PF calculator'!J68</f>
        <v>0</v>
      </c>
      <c r="K68" s="574"/>
      <c r="L68" s="577"/>
      <c r="M68" s="546"/>
      <c r="N68" s="546"/>
      <c r="O68" s="546"/>
      <c r="P68" s="546"/>
      <c r="Q68" s="534"/>
      <c r="R68" s="534"/>
      <c r="S68" s="534"/>
      <c r="T68" s="523"/>
      <c r="U68" s="522"/>
      <c r="V68" s="57"/>
      <c r="W68" s="57"/>
      <c r="X68" s="58"/>
    </row>
    <row r="69" spans="1:24" ht="28.5" customHeight="1">
      <c r="A69" s="522"/>
      <c r="B69" s="529"/>
      <c r="C69" s="529"/>
      <c r="D69" s="529"/>
      <c r="E69" s="529"/>
      <c r="F69" s="572" t="s">
        <v>464</v>
      </c>
      <c r="G69" s="572" t="s">
        <v>114</v>
      </c>
      <c r="H69" s="572" t="s">
        <v>115</v>
      </c>
      <c r="I69" s="572" t="s">
        <v>117</v>
      </c>
      <c r="J69" s="572" t="s">
        <v>118</v>
      </c>
      <c r="K69" s="529"/>
      <c r="L69" s="529"/>
      <c r="M69" s="529"/>
      <c r="N69" s="529"/>
      <c r="O69" s="529"/>
      <c r="P69" s="529"/>
      <c r="Q69" s="529"/>
      <c r="R69" s="529"/>
      <c r="S69" s="529"/>
      <c r="T69" s="523"/>
      <c r="U69" s="522"/>
      <c r="V69" s="57"/>
      <c r="W69" s="57"/>
      <c r="X69" s="58"/>
    </row>
    <row r="70" spans="1:24" ht="8" customHeight="1">
      <c r="A70" s="522"/>
      <c r="B70" s="549"/>
      <c r="C70" s="549"/>
      <c r="D70" s="549"/>
      <c r="E70" s="549"/>
      <c r="F70" s="549"/>
      <c r="G70" s="549"/>
      <c r="H70" s="549"/>
      <c r="I70" s="549"/>
      <c r="J70" s="549"/>
      <c r="K70" s="549"/>
      <c r="L70" s="549"/>
      <c r="M70" s="549"/>
      <c r="N70" s="549"/>
      <c r="O70" s="549"/>
      <c r="P70" s="549"/>
      <c r="Q70" s="549"/>
      <c r="R70" s="549"/>
      <c r="S70" s="549"/>
      <c r="T70" s="523"/>
      <c r="U70" s="522"/>
      <c r="V70" s="57"/>
      <c r="W70" s="57"/>
      <c r="X70" s="58"/>
    </row>
    <row r="71" spans="1:24" ht="18.75" customHeight="1">
      <c r="A71" s="522"/>
      <c r="B71" s="1190" t="e" cm="1" vm="4">
        <f t="array" aca="1" ref="B71" ca="1">'PF calculator'!B71:S71</f>
        <v>#VALUE!</v>
      </c>
      <c r="C71" s="1190"/>
      <c r="D71" s="1190"/>
      <c r="E71" s="1190"/>
      <c r="F71" s="1190"/>
      <c r="G71" s="1190"/>
      <c r="H71" s="1190"/>
      <c r="I71" s="1190"/>
      <c r="J71" s="1190"/>
      <c r="K71" s="1190"/>
      <c r="L71" s="1190"/>
      <c r="M71" s="1190"/>
      <c r="N71" s="1190"/>
      <c r="O71" s="1190"/>
      <c r="P71" s="1190"/>
      <c r="Q71" s="1190"/>
      <c r="R71" s="1190"/>
      <c r="S71" s="1190"/>
      <c r="T71" s="523"/>
      <c r="U71" s="522"/>
      <c r="V71" s="57"/>
      <c r="W71" s="57"/>
      <c r="X71" s="58"/>
    </row>
    <row r="72" spans="1:24" ht="8" customHeight="1">
      <c r="A72" s="522"/>
      <c r="B72" s="529"/>
      <c r="C72" s="529"/>
      <c r="D72" s="529"/>
      <c r="E72" s="529"/>
      <c r="F72" s="529"/>
      <c r="G72" s="529"/>
      <c r="H72" s="529"/>
      <c r="I72" s="529"/>
      <c r="J72" s="529"/>
      <c r="K72" s="529"/>
      <c r="L72" s="529"/>
      <c r="M72" s="529"/>
      <c r="N72" s="529"/>
      <c r="O72" s="529"/>
      <c r="P72" s="529"/>
      <c r="Q72" s="529"/>
      <c r="R72" s="529"/>
      <c r="S72" s="529"/>
      <c r="T72" s="523"/>
      <c r="U72" s="522"/>
      <c r="V72" s="57"/>
      <c r="W72" s="57"/>
      <c r="X72" s="58"/>
    </row>
    <row r="73" spans="1:24" ht="18.75" customHeight="1">
      <c r="A73" s="522"/>
      <c r="B73" s="1217" t="s">
        <v>107</v>
      </c>
      <c r="C73" s="1218"/>
      <c r="D73" s="1218"/>
      <c r="E73" s="1218"/>
      <c r="F73" s="1219" t="s">
        <v>108</v>
      </c>
      <c r="G73" s="1220"/>
      <c r="H73" s="534"/>
      <c r="I73" s="534"/>
      <c r="J73" s="1217" t="s">
        <v>127</v>
      </c>
      <c r="K73" s="1218"/>
      <c r="L73" s="1218"/>
      <c r="M73" s="1218"/>
      <c r="N73" s="564"/>
      <c r="O73" s="564"/>
      <c r="P73" s="534"/>
      <c r="Q73" s="534"/>
      <c r="R73" s="1221" t="s">
        <v>110</v>
      </c>
      <c r="S73" s="1222"/>
      <c r="T73" s="523"/>
      <c r="U73" s="522"/>
      <c r="V73" s="57"/>
      <c r="W73" s="57"/>
      <c r="X73" s="58"/>
    </row>
    <row r="74" spans="1:24" ht="18.75" customHeight="1">
      <c r="A74" s="522"/>
      <c r="B74" s="1209" t="s">
        <v>111</v>
      </c>
      <c r="C74" s="1210"/>
      <c r="D74" s="1210"/>
      <c r="E74" s="1211"/>
      <c r="F74" s="567" cm="1">
        <f t="array" ref="F74">'PF calculator'!F74</f>
        <v>0</v>
      </c>
      <c r="G74" s="567" cm="1">
        <f t="array" ref="G74">'PF calculator'!G74</f>
        <v>0</v>
      </c>
      <c r="H74" s="574"/>
      <c r="I74" s="534"/>
      <c r="J74" s="1209" t="s">
        <v>128</v>
      </c>
      <c r="K74" s="1210"/>
      <c r="L74" s="1210"/>
      <c r="M74" s="1211"/>
      <c r="N74" s="580" cm="1">
        <f t="array" ref="N74">'Policy assumptions and formulae'!$AJ$7</f>
        <v>6800</v>
      </c>
      <c r="O74" s="580" cm="1">
        <f t="array" ref="O74">'Policy assumptions and formulae'!$AJ$7</f>
        <v>6800</v>
      </c>
      <c r="P74" s="581"/>
      <c r="Q74" s="582"/>
      <c r="R74" s="1212" cm="1">
        <f t="array" ref="R74">SUMPRODUCT($N$76:$O$76,$F$74:$G$74)*VLOOKUP($E$38,'Policy assumptions and formulae'!$A$10:$D$109,4,FALSE)</f>
        <v>0</v>
      </c>
      <c r="S74" s="1213"/>
      <c r="T74" s="571"/>
      <c r="U74" s="522"/>
      <c r="V74" s="57"/>
      <c r="W74" s="57"/>
      <c r="X74" s="58"/>
    </row>
    <row r="75" spans="1:24" ht="18.75" customHeight="1">
      <c r="A75" s="522"/>
      <c r="B75" s="1209" t="s">
        <v>112</v>
      </c>
      <c r="C75" s="1210"/>
      <c r="D75" s="1210"/>
      <c r="E75" s="1211"/>
      <c r="F75" s="567" cm="1">
        <f t="array" ref="F75">'PF calculator'!F75</f>
        <v>0</v>
      </c>
      <c r="G75" s="567" cm="1">
        <f t="array" ref="G75">'PF calculator'!G75</f>
        <v>0</v>
      </c>
      <c r="H75" s="574"/>
      <c r="I75" s="534"/>
      <c r="J75" s="1209" t="s">
        <v>129</v>
      </c>
      <c r="K75" s="1210"/>
      <c r="L75" s="1210"/>
      <c r="M75" s="1211"/>
      <c r="N75" s="583" cm="1">
        <f t="array" ref="N75">'Policy assumptions and formulae'!AJ28</f>
        <v>50</v>
      </c>
      <c r="O75" s="583" cm="1">
        <f t="array" ref="O75">'Policy assumptions and formulae'!AJ26</f>
        <v>20</v>
      </c>
      <c r="P75" s="584" t="s">
        <v>130</v>
      </c>
      <c r="Q75" s="582"/>
      <c r="R75" s="1212" cm="1">
        <f t="array" ref="R75">SUMPRODUCT($N$76:$O$76,$F$75:$G$75)*VLOOKUP($E$38,'Policy assumptions and formulae'!$A$10:$D$109,4,FALSE)</f>
        <v>0</v>
      </c>
      <c r="S75" s="1213"/>
      <c r="T75" s="571"/>
      <c r="U75" s="522"/>
      <c r="V75" s="57"/>
      <c r="W75" s="57"/>
      <c r="X75" s="58"/>
    </row>
    <row r="76" spans="1:24" ht="18.75" customHeight="1">
      <c r="A76" s="522"/>
      <c r="B76" s="1209" t="s">
        <v>113</v>
      </c>
      <c r="C76" s="1210"/>
      <c r="D76" s="1210"/>
      <c r="E76" s="1211"/>
      <c r="F76" s="567" cm="1">
        <f t="array" ref="F76">'PF calculator'!F76</f>
        <v>0</v>
      </c>
      <c r="G76" s="567" cm="1">
        <f t="array" ref="G76">'PF calculator'!G76</f>
        <v>0</v>
      </c>
      <c r="H76" s="574"/>
      <c r="I76" s="534"/>
      <c r="J76" s="1214" t="s">
        <v>131</v>
      </c>
      <c r="K76" s="1215"/>
      <c r="L76" s="1215"/>
      <c r="M76" s="1216"/>
      <c r="N76" s="580" cm="1">
        <f t="array" ref="N76">'Policy assumptions and formulae'!$AM$28</f>
        <v>1341.3864802956584</v>
      </c>
      <c r="O76" s="580" cm="1">
        <f t="array" ref="O76">'Policy assumptions and formulae'!$AM$26</f>
        <v>3417.4480141353633</v>
      </c>
      <c r="P76" s="585"/>
      <c r="Q76" s="582"/>
      <c r="R76" s="1212" cm="1">
        <f t="array" ref="R76">SUMPRODUCT($N$76:$O$76,$F$76:$G$76)*VLOOKUP($E$38,'Policy assumptions and formulae'!$A$10:$D$109,4,FALSE)</f>
        <v>0</v>
      </c>
      <c r="S76" s="1213"/>
      <c r="T76" s="571"/>
      <c r="U76" s="522"/>
      <c r="V76" s="57"/>
      <c r="W76" s="57"/>
      <c r="X76" s="58"/>
    </row>
    <row r="77" spans="1:24" ht="18.75" customHeight="1">
      <c r="A77" s="522"/>
      <c r="B77" s="534"/>
      <c r="C77" s="534"/>
      <c r="D77" s="534"/>
      <c r="E77" s="534"/>
      <c r="F77" s="572" t="s">
        <v>468</v>
      </c>
      <c r="G77" s="572" t="s">
        <v>133</v>
      </c>
      <c r="H77" s="534"/>
      <c r="I77" s="534"/>
      <c r="J77" s="1215"/>
      <c r="K77" s="1215"/>
      <c r="L77" s="1215"/>
      <c r="M77" s="1215"/>
      <c r="N77" s="572" t="s">
        <v>134</v>
      </c>
      <c r="O77" s="572" t="s">
        <v>135</v>
      </c>
      <c r="P77" s="586"/>
      <c r="Q77" s="534"/>
      <c r="R77" s="536"/>
      <c r="S77" s="536"/>
      <c r="T77" s="523"/>
      <c r="U77" s="522"/>
      <c r="V77" s="57"/>
      <c r="W77" s="57"/>
      <c r="X77" s="58"/>
    </row>
    <row r="78" spans="1:24" ht="8" customHeight="1">
      <c r="A78" s="522"/>
      <c r="B78" s="549"/>
      <c r="C78" s="549"/>
      <c r="D78" s="549"/>
      <c r="E78" s="549"/>
      <c r="F78" s="549"/>
      <c r="G78" s="549"/>
      <c r="H78" s="549"/>
      <c r="I78" s="549"/>
      <c r="J78" s="549"/>
      <c r="K78" s="549"/>
      <c r="L78" s="549"/>
      <c r="M78" s="549"/>
      <c r="N78" s="549"/>
      <c r="O78" s="549"/>
      <c r="P78" s="549"/>
      <c r="Q78" s="549"/>
      <c r="R78" s="549"/>
      <c r="S78" s="549"/>
      <c r="T78" s="523"/>
      <c r="U78" s="522"/>
      <c r="V78" s="57"/>
      <c r="W78" s="57"/>
      <c r="X78" s="58"/>
    </row>
    <row r="79" spans="1:24" ht="18.75" customHeight="1">
      <c r="A79" s="522"/>
      <c r="B79" s="1190" t="e" cm="1" vm="4">
        <f t="array" aca="1" ref="B79" ca="1">'PF calculator'!B79:S79</f>
        <v>#VALUE!</v>
      </c>
      <c r="C79" s="1190"/>
      <c r="D79" s="1190"/>
      <c r="E79" s="1190"/>
      <c r="F79" s="1190"/>
      <c r="G79" s="1190"/>
      <c r="H79" s="1190"/>
      <c r="I79" s="1190"/>
      <c r="J79" s="1190"/>
      <c r="K79" s="1190"/>
      <c r="L79" s="1190"/>
      <c r="M79" s="1190"/>
      <c r="N79" s="1190"/>
      <c r="O79" s="1190"/>
      <c r="P79" s="1190"/>
      <c r="Q79" s="1190"/>
      <c r="R79" s="1190"/>
      <c r="S79" s="1190"/>
      <c r="T79" s="523"/>
      <c r="U79" s="522"/>
      <c r="V79" s="57"/>
      <c r="W79" s="57"/>
      <c r="X79" s="58"/>
    </row>
    <row r="80" spans="1:24" ht="8" customHeight="1">
      <c r="A80" s="522"/>
      <c r="B80" s="550"/>
      <c r="C80" s="529"/>
      <c r="D80" s="529"/>
      <c r="E80" s="529"/>
      <c r="F80" s="529"/>
      <c r="G80" s="529"/>
      <c r="H80" s="529"/>
      <c r="I80" s="529"/>
      <c r="J80" s="529"/>
      <c r="K80" s="529"/>
      <c r="L80" s="529"/>
      <c r="M80" s="529"/>
      <c r="N80" s="529"/>
      <c r="O80" s="529"/>
      <c r="P80" s="529"/>
      <c r="Q80" s="529"/>
      <c r="R80" s="529"/>
      <c r="S80" s="529"/>
      <c r="T80" s="523"/>
      <c r="U80" s="522"/>
      <c r="V80" s="57"/>
      <c r="W80" s="57"/>
      <c r="X80" s="58"/>
    </row>
    <row r="81" spans="1:24" ht="18.75" customHeight="1">
      <c r="A81" s="522"/>
      <c r="B81" s="587"/>
      <c r="C81" s="559"/>
      <c r="D81" s="1199" t="s">
        <v>469</v>
      </c>
      <c r="E81" s="1200"/>
      <c r="F81" s="1200"/>
      <c r="G81" s="1199" t="s">
        <v>470</v>
      </c>
      <c r="H81" s="1200"/>
      <c r="I81" s="1200"/>
      <c r="J81" s="1200"/>
      <c r="K81" s="1200"/>
      <c r="L81" s="529"/>
      <c r="M81" s="529"/>
      <c r="N81" s="529"/>
      <c r="O81" s="529"/>
      <c r="P81" s="529"/>
      <c r="Q81" s="529"/>
      <c r="R81" s="529"/>
      <c r="S81" s="529"/>
      <c r="T81" s="523"/>
      <c r="U81" s="522"/>
      <c r="V81" s="57"/>
      <c r="W81" s="57"/>
      <c r="X81" s="58"/>
    </row>
    <row r="82" spans="1:24" ht="18.75" customHeight="1">
      <c r="A82" s="522"/>
      <c r="B82" s="1201" t="s">
        <v>471</v>
      </c>
      <c r="C82" s="1202"/>
      <c r="D82" s="588" t="s">
        <v>140</v>
      </c>
      <c r="E82" s="588" t="s">
        <v>141</v>
      </c>
      <c r="F82" s="588" t="s">
        <v>142</v>
      </c>
      <c r="G82" s="559"/>
      <c r="H82" s="588" t="s">
        <v>140</v>
      </c>
      <c r="I82" s="588" t="s">
        <v>141</v>
      </c>
      <c r="J82" s="588" t="s">
        <v>142</v>
      </c>
      <c r="K82" s="529"/>
      <c r="L82" s="1205" t="s">
        <v>110</v>
      </c>
      <c r="M82" s="1206"/>
      <c r="N82" s="529"/>
      <c r="O82" s="589" t="s">
        <v>472</v>
      </c>
      <c r="P82" s="529"/>
      <c r="Q82" s="529"/>
      <c r="R82" s="529"/>
      <c r="S82" s="529"/>
      <c r="T82" s="523"/>
      <c r="U82" s="522"/>
      <c r="V82" s="57"/>
      <c r="W82" s="57"/>
      <c r="X82" s="58"/>
    </row>
    <row r="83" spans="1:24" ht="18.75" customHeight="1">
      <c r="A83" s="522"/>
      <c r="B83" s="1188" t="s">
        <v>144</v>
      </c>
      <c r="C83" s="1189"/>
      <c r="D83" s="590" cm="1">
        <f t="array" ref="D83">'PF calculator'!D83</f>
        <v>1</v>
      </c>
      <c r="E83" s="590" cm="1">
        <f t="array" ref="E83">'PF calculator'!E83</f>
        <v>0</v>
      </c>
      <c r="F83" s="590" cm="1">
        <f t="array" ref="F83">'PF calculator'!F83</f>
        <v>0</v>
      </c>
      <c r="G83" s="1193"/>
      <c r="H83" s="590" cm="1">
        <f t="array" ref="H83">'PF calculator'!H83</f>
        <v>0</v>
      </c>
      <c r="I83" s="590" cm="1">
        <f t="array" ref="I83">'PF calculator'!I83</f>
        <v>0</v>
      </c>
      <c r="J83" s="590" cm="1">
        <f t="array" ref="J83">'PF calculator'!J83</f>
        <v>1</v>
      </c>
      <c r="K83" s="1194" t="str" cm="1">
        <f t="array" ref="K83">IF(SUM(D83:F90)&lt;&gt;SUM(H83:J90),"Error in net change habitat","")</f>
        <v/>
      </c>
      <c r="L83" s="1162" cm="1">
        <f t="array" ref="L83">(((H83-D83)*'Policy assumptions and formulae'!AR12)+((I83-E83)*'Policy assumptions and formulae'!AS12)+((J83-F83)*'Policy assumptions and formulae'!AT12))*VLOOKUP($E$38,'Policy assumptions and formulae'!$A$10:$D$109,4,FALSE)</f>
        <v>256241.82877795957</v>
      </c>
      <c r="M83" s="1163"/>
      <c r="N83" s="591"/>
      <c r="O83" s="587"/>
      <c r="P83" s="592" t="s">
        <v>145</v>
      </c>
      <c r="Q83" s="559"/>
      <c r="R83" s="1203" t="s">
        <v>110</v>
      </c>
      <c r="S83" s="1204"/>
      <c r="T83" s="523"/>
      <c r="U83" s="522"/>
      <c r="V83" s="57"/>
      <c r="W83" s="57"/>
      <c r="X83" s="58"/>
    </row>
    <row r="84" spans="1:24" ht="18.75" customHeight="1">
      <c r="A84" s="522"/>
      <c r="B84" s="1188" t="s">
        <v>146</v>
      </c>
      <c r="C84" s="1189"/>
      <c r="D84" s="590" cm="1">
        <f t="array" ref="D84">'PF calculator'!D84</f>
        <v>1</v>
      </c>
      <c r="E84" s="590" cm="1">
        <f t="array" ref="E84">'PF calculator'!E84</f>
        <v>0</v>
      </c>
      <c r="F84" s="590" cm="1">
        <f t="array" ref="F84">'PF calculator'!F84</f>
        <v>0</v>
      </c>
      <c r="G84" s="1193"/>
      <c r="H84" s="590" cm="1">
        <f t="array" ref="H84">'PF calculator'!H84</f>
        <v>0</v>
      </c>
      <c r="I84" s="590" cm="1">
        <f t="array" ref="I84">'PF calculator'!I84</f>
        <v>0</v>
      </c>
      <c r="J84" s="590" cm="1">
        <f t="array" ref="J84">'PF calculator'!J84</f>
        <v>1</v>
      </c>
      <c r="K84" s="1194"/>
      <c r="L84" s="1162" cm="1">
        <f t="array" ref="L84">(((H84-D84)*'Policy assumptions and formulae'!AR13)+((I84-E84)*'Policy assumptions and formulae'!AS13)+((J84-F84)*'Policy assumptions and formulae'!AT13))*VLOOKUP($E$38,'Policy assumptions and formulae'!$A$10:$D$109,4,FALSE)</f>
        <v>150482.30339869196</v>
      </c>
      <c r="M84" s="1163"/>
      <c r="N84" s="1207" t="s">
        <v>147</v>
      </c>
      <c r="O84" s="1208"/>
      <c r="P84" s="593" cm="1">
        <f t="array" ref="P84">'PF calculator'!P84</f>
        <v>1</v>
      </c>
      <c r="Q84" s="594"/>
      <c r="R84" s="1184" cm="1">
        <f t="array" ref="R84">(P84*'Policy assumptions and formulae'!AT23)*VLOOKUP($E$38,'Policy assumptions and formulae'!$A$10:$D$109,4,FALSE)</f>
        <v>371283.44016125868</v>
      </c>
      <c r="S84" s="1185"/>
      <c r="T84" s="571"/>
      <c r="U84" s="522"/>
      <c r="V84" s="57"/>
      <c r="W84" s="57"/>
      <c r="X84" s="58"/>
    </row>
    <row r="85" spans="1:24" ht="18.75" customHeight="1">
      <c r="A85" s="522"/>
      <c r="B85" s="1188" t="s">
        <v>148</v>
      </c>
      <c r="C85" s="1189"/>
      <c r="D85" s="590" cm="1">
        <f t="array" ref="D85">'PF calculator'!D85</f>
        <v>1</v>
      </c>
      <c r="E85" s="590" cm="1">
        <f t="array" ref="E85">'PF calculator'!E85</f>
        <v>0</v>
      </c>
      <c r="F85" s="590" cm="1">
        <f t="array" ref="F85">'PF calculator'!F85</f>
        <v>0</v>
      </c>
      <c r="G85" s="1193"/>
      <c r="H85" s="590" cm="1">
        <f t="array" ref="H85">'PF calculator'!H85</f>
        <v>0</v>
      </c>
      <c r="I85" s="590" cm="1">
        <f t="array" ref="I85">'PF calculator'!I85</f>
        <v>0</v>
      </c>
      <c r="J85" s="590" cm="1">
        <f t="array" ref="J85">'PF calculator'!J85</f>
        <v>1</v>
      </c>
      <c r="K85" s="1194"/>
      <c r="L85" s="1162" cm="1">
        <f t="array" ref="L85">(((H85-D85)*'Policy assumptions and formulae'!AR14)+((I85-E85)*'Policy assumptions and formulae'!AS14)+((J85-F85)*'Policy assumptions and formulae'!AT14))*VLOOKUP($E$38,'Policy assumptions and formulae'!$A$10:$D$109,4,FALSE)</f>
        <v>150482.30339869196</v>
      </c>
      <c r="M85" s="1163"/>
      <c r="N85" s="1207" t="s">
        <v>149</v>
      </c>
      <c r="O85" s="1208"/>
      <c r="P85" s="593" cm="1">
        <f t="array" ref="P85">'PF calculator'!P85</f>
        <v>1</v>
      </c>
      <c r="Q85" s="594"/>
      <c r="R85" s="1184" cm="1">
        <f t="array" ref="R85">(P85*'Policy assumptions and formulae'!AT24)*VLOOKUP($E$38,'Policy assumptions and formulae'!$A$10:$D$109,4,FALSE)</f>
        <v>185641.72008062934</v>
      </c>
      <c r="S85" s="1185"/>
      <c r="T85" s="571"/>
      <c r="U85" s="522"/>
      <c r="V85" s="57"/>
      <c r="W85" s="57"/>
      <c r="X85" s="58"/>
    </row>
    <row r="86" spans="1:24" ht="18.75" customHeight="1">
      <c r="A86" s="522"/>
      <c r="B86" s="1188" t="s">
        <v>150</v>
      </c>
      <c r="C86" s="1189"/>
      <c r="D86" s="590" cm="1">
        <f t="array" ref="D86">'PF calculator'!D86</f>
        <v>1</v>
      </c>
      <c r="E86" s="590" cm="1">
        <f t="array" ref="E86">'PF calculator'!E86</f>
        <v>0</v>
      </c>
      <c r="F86" s="590" cm="1">
        <f t="array" ref="F86">'PF calculator'!F86</f>
        <v>0</v>
      </c>
      <c r="G86" s="1193"/>
      <c r="H86" s="590" cm="1">
        <f t="array" ref="H86">'PF calculator'!H86</f>
        <v>0</v>
      </c>
      <c r="I86" s="590" cm="1">
        <f t="array" ref="I86">'PF calculator'!I86</f>
        <v>0</v>
      </c>
      <c r="J86" s="590" cm="1">
        <f t="array" ref="J86">'PF calculator'!J86</f>
        <v>1</v>
      </c>
      <c r="K86" s="1194"/>
      <c r="L86" s="1162" cm="1">
        <f t="array" ref="L86">(((H86-D86)*'Policy assumptions and formulae'!AR15)+((I86-E86)*'Policy assumptions and formulae'!AS15)+((J86-F86)*'Policy assumptions and formulae'!AT15))*VLOOKUP($E$38,'Policy assumptions and formulae'!$A$10:$D$109,4,FALSE)</f>
        <v>77069.441366806728</v>
      </c>
      <c r="M86" s="1163"/>
      <c r="N86" s="1195" t="s">
        <v>151</v>
      </c>
      <c r="O86" s="1196"/>
      <c r="P86" s="593" cm="1">
        <f t="array" ref="P86">'PF calculator'!P86</f>
        <v>1</v>
      </c>
      <c r="Q86" s="594"/>
      <c r="R86" s="1184" cm="1">
        <f t="array" ref="R86">(P86*'Policy assumptions and formulae'!AT25)*VLOOKUP($E$38,'Policy assumptions and formulae'!$A$10:$D$109,4,FALSE)</f>
        <v>92820.86004031467</v>
      </c>
      <c r="S86" s="1185"/>
      <c r="T86" s="571"/>
      <c r="U86" s="522"/>
      <c r="V86" s="57"/>
      <c r="W86" s="57"/>
      <c r="X86" s="58"/>
    </row>
    <row r="87" spans="1:24" ht="18.75" customHeight="1">
      <c r="A87" s="522"/>
      <c r="B87" s="1188" t="s">
        <v>152</v>
      </c>
      <c r="C87" s="1189"/>
      <c r="D87" s="590" cm="1">
        <f t="array" ref="D87">'PF calculator'!D87</f>
        <v>1</v>
      </c>
      <c r="E87" s="590" cm="1">
        <f t="array" ref="E87">'PF calculator'!E87</f>
        <v>0</v>
      </c>
      <c r="F87" s="590" cm="1">
        <f t="array" ref="F87">'PF calculator'!F87</f>
        <v>0</v>
      </c>
      <c r="G87" s="1193"/>
      <c r="H87" s="590" cm="1">
        <f t="array" ref="H87">'PF calculator'!H87</f>
        <v>0</v>
      </c>
      <c r="I87" s="590" cm="1">
        <f t="array" ref="I87">'PF calculator'!I87</f>
        <v>0</v>
      </c>
      <c r="J87" s="590" cm="1">
        <f t="array" ref="J87">'PF calculator'!J87</f>
        <v>1</v>
      </c>
      <c r="K87" s="1194"/>
      <c r="L87" s="1162" cm="1">
        <f t="array" ref="L87">(((H87-D87)*'Policy assumptions and formulae'!AR16)+((I87-E87)*'Policy assumptions and formulae'!AS16)+((J87-F87)*'Policy assumptions and formulae'!AT16))*VLOOKUP($E$38,'Policy assumptions and formulae'!$A$10:$D$109,4,FALSE)</f>
        <v>12094.839338586457</v>
      </c>
      <c r="M87" s="1163"/>
      <c r="N87" s="1197"/>
      <c r="O87" s="1198"/>
      <c r="P87" s="595"/>
      <c r="Q87" s="559"/>
      <c r="R87" s="596"/>
      <c r="S87" s="596"/>
      <c r="T87" s="523"/>
      <c r="U87" s="522"/>
      <c r="V87" s="57"/>
      <c r="W87" s="57"/>
      <c r="X87" s="58"/>
    </row>
    <row r="88" spans="1:24" ht="18.75" customHeight="1">
      <c r="A88" s="522"/>
      <c r="B88" s="1188" t="s">
        <v>153</v>
      </c>
      <c r="C88" s="1189"/>
      <c r="D88" s="590" cm="1">
        <f t="array" ref="D88">'PF calculator'!D88</f>
        <v>1</v>
      </c>
      <c r="E88" s="590" cm="1">
        <f t="array" ref="E88">'PF calculator'!E88</f>
        <v>0</v>
      </c>
      <c r="F88" s="590" cm="1">
        <f t="array" ref="F88">'PF calculator'!F88</f>
        <v>0</v>
      </c>
      <c r="G88" s="1193"/>
      <c r="H88" s="590" cm="1">
        <f t="array" ref="H88">'PF calculator'!H88</f>
        <v>0</v>
      </c>
      <c r="I88" s="590" cm="1">
        <f t="array" ref="I88">'PF calculator'!I88</f>
        <v>0</v>
      </c>
      <c r="J88" s="590" cm="1">
        <f t="array" ref="J88">'PF calculator'!J88</f>
        <v>1</v>
      </c>
      <c r="K88" s="1194"/>
      <c r="L88" s="1162" cm="1">
        <f t="array" ref="L88">(((H88-D88)*'Policy assumptions and formulae'!AR17)+((I88-E88)*'Policy assumptions and formulae'!AS17)+((J88-F88)*'Policy assumptions and formulae'!AT17))*VLOOKUP($E$38,'Policy assumptions and formulae'!$A$10:$D$109,4,FALSE)</f>
        <v>73975.412698796237</v>
      </c>
      <c r="M88" s="1163"/>
      <c r="N88" s="591"/>
      <c r="O88" s="529"/>
      <c r="P88" s="529"/>
      <c r="Q88" s="529"/>
      <c r="R88" s="529"/>
      <c r="S88" s="529"/>
      <c r="T88" s="523"/>
      <c r="U88" s="522"/>
      <c r="V88" s="57"/>
      <c r="W88" s="57"/>
      <c r="X88" s="58"/>
    </row>
    <row r="89" spans="1:24" ht="18.75" customHeight="1">
      <c r="A89" s="522"/>
      <c r="B89" s="1188" t="s">
        <v>154</v>
      </c>
      <c r="C89" s="1189"/>
      <c r="D89" s="590" cm="1">
        <f t="array" ref="D89">'PF calculator'!D89</f>
        <v>1</v>
      </c>
      <c r="E89" s="590" cm="1">
        <f t="array" ref="E89">'PF calculator'!E89</f>
        <v>0</v>
      </c>
      <c r="F89" s="590" cm="1">
        <f t="array" ref="F89">'PF calculator'!F89</f>
        <v>0</v>
      </c>
      <c r="G89" s="1193"/>
      <c r="H89" s="590" cm="1">
        <f t="array" ref="H89">'PF calculator'!H89</f>
        <v>0</v>
      </c>
      <c r="I89" s="590" cm="1">
        <f t="array" ref="I89">'PF calculator'!I89</f>
        <v>0</v>
      </c>
      <c r="J89" s="590" cm="1">
        <f t="array" ref="J89">'PF calculator'!J89</f>
        <v>1</v>
      </c>
      <c r="K89" s="1194"/>
      <c r="L89" s="1162" cm="1">
        <f t="array" ref="L89">(((H89-D89)*'Policy assumptions and formulae'!AR18)+((I89-E89)*'Policy assumptions and formulae'!AS18)+((J89-F89)*'Policy assumptions and formulae'!AT18))*VLOOKUP($E$38,'Policy assumptions and formulae'!$A$10:$D$109,4,FALSE)</f>
        <v>77069.441366806728</v>
      </c>
      <c r="M89" s="1163"/>
      <c r="N89" s="597"/>
      <c r="O89" s="598"/>
      <c r="P89" s="599"/>
      <c r="Q89" s="559"/>
      <c r="R89" s="600"/>
      <c r="S89" s="600"/>
      <c r="T89" s="523"/>
      <c r="U89" s="522"/>
      <c r="V89" s="57"/>
      <c r="W89" s="57"/>
      <c r="X89" s="58"/>
    </row>
    <row r="90" spans="1:24" ht="18.75" customHeight="1">
      <c r="A90" s="522"/>
      <c r="B90" s="1188" t="s">
        <v>155</v>
      </c>
      <c r="C90" s="1189"/>
      <c r="D90" s="590" cm="1">
        <f t="array" ref="D90">'PF calculator'!D90</f>
        <v>1</v>
      </c>
      <c r="E90" s="590" cm="1">
        <f t="array" ref="E90">'PF calculator'!E90</f>
        <v>0</v>
      </c>
      <c r="F90" s="590" cm="1">
        <f t="array" ref="F90">'PF calculator'!F90</f>
        <v>0</v>
      </c>
      <c r="G90" s="1193"/>
      <c r="H90" s="590" cm="1">
        <f t="array" ref="H90">'PF calculator'!H90</f>
        <v>0</v>
      </c>
      <c r="I90" s="590" cm="1">
        <f t="array" ref="I90">'PF calculator'!I90</f>
        <v>0</v>
      </c>
      <c r="J90" s="590" cm="1">
        <f t="array" ref="J90">'PF calculator'!J90</f>
        <v>1</v>
      </c>
      <c r="K90" s="1194"/>
      <c r="L90" s="1162" cm="1">
        <f t="array" ref="L90">(((H90-D90)*'Policy assumptions and formulae'!AR19)+((I90-E90)*'Policy assumptions and formulae'!AS19)+((J90-F90)*'Policy assumptions and formulae'!AT19))*VLOOKUP($E$38,'Policy assumptions and formulae'!$A$10:$D$109,4,FALSE)</f>
        <v>843.82600036649694</v>
      </c>
      <c r="M90" s="1163"/>
      <c r="N90" s="591"/>
      <c r="O90" s="529"/>
      <c r="P90" s="529"/>
      <c r="Q90" s="529"/>
      <c r="R90" s="529"/>
      <c r="S90" s="529"/>
      <c r="T90" s="523"/>
      <c r="U90" s="522"/>
      <c r="V90" s="57"/>
      <c r="W90" s="57"/>
      <c r="X90" s="58"/>
    </row>
    <row r="91" spans="1:24" ht="8" customHeight="1">
      <c r="A91" s="522"/>
      <c r="B91" s="549"/>
      <c r="C91" s="549"/>
      <c r="D91" s="601"/>
      <c r="E91" s="601"/>
      <c r="F91" s="601"/>
      <c r="G91" s="549"/>
      <c r="H91" s="601"/>
      <c r="I91" s="601"/>
      <c r="J91" s="601"/>
      <c r="K91" s="549"/>
      <c r="L91" s="558"/>
      <c r="M91" s="558"/>
      <c r="N91" s="549"/>
      <c r="O91" s="549"/>
      <c r="P91" s="549"/>
      <c r="Q91" s="549"/>
      <c r="R91" s="549"/>
      <c r="S91" s="549"/>
      <c r="T91" s="523"/>
      <c r="U91" s="522"/>
      <c r="V91" s="57"/>
      <c r="W91" s="57"/>
      <c r="X91" s="58"/>
    </row>
    <row r="92" spans="1:24" ht="18.75" customHeight="1">
      <c r="A92" s="522"/>
      <c r="B92" s="1190" t="e" cm="1" vm="7">
        <f t="array" aca="1" ref="B92" ca="1">'PF calculator'!B92:J92</f>
        <v>#VALUE!</v>
      </c>
      <c r="C92" s="1190"/>
      <c r="D92" s="1190"/>
      <c r="E92" s="1190"/>
      <c r="F92" s="1190"/>
      <c r="G92" s="1190"/>
      <c r="H92" s="1190"/>
      <c r="I92" s="1190"/>
      <c r="J92" s="1190"/>
      <c r="K92" s="1190"/>
      <c r="L92" s="1190"/>
      <c r="M92" s="1190"/>
      <c r="N92" s="1190"/>
      <c r="O92" s="1190"/>
      <c r="P92" s="1190"/>
      <c r="Q92" s="1190"/>
      <c r="R92" s="1190"/>
      <c r="S92" s="1190"/>
      <c r="T92" s="523"/>
      <c r="U92" s="522"/>
      <c r="V92" s="57"/>
      <c r="W92" s="57"/>
      <c r="X92" s="58"/>
    </row>
    <row r="93" spans="1:24" ht="8" customHeight="1">
      <c r="A93" s="522"/>
      <c r="B93" s="529"/>
      <c r="C93" s="529"/>
      <c r="D93" s="529"/>
      <c r="E93" s="529"/>
      <c r="F93" s="529"/>
      <c r="G93" s="529"/>
      <c r="H93" s="529"/>
      <c r="I93" s="529"/>
      <c r="J93" s="529"/>
      <c r="K93" s="529"/>
      <c r="L93" s="529"/>
      <c r="M93" s="529"/>
      <c r="N93" s="529"/>
      <c r="O93" s="529"/>
      <c r="P93" s="529"/>
      <c r="Q93" s="529"/>
      <c r="R93" s="529"/>
      <c r="S93" s="529"/>
      <c r="T93" s="523"/>
      <c r="U93" s="522"/>
      <c r="V93" s="57"/>
      <c r="W93" s="57"/>
      <c r="X93" s="58"/>
    </row>
    <row r="94" spans="1:24" ht="18.75" customHeight="1">
      <c r="A94" s="522"/>
      <c r="B94" s="602" t="s">
        <v>161</v>
      </c>
      <c r="C94" s="602" t="s">
        <v>162</v>
      </c>
      <c r="D94" s="1191" t="s">
        <v>163</v>
      </c>
      <c r="E94" s="1192"/>
      <c r="F94" s="1191" t="s">
        <v>160</v>
      </c>
      <c r="G94" s="1192"/>
      <c r="H94" s="1191" t="s">
        <v>164</v>
      </c>
      <c r="I94" s="1192"/>
      <c r="J94" s="529"/>
      <c r="K94" s="529"/>
      <c r="L94" s="529"/>
      <c r="M94" s="529"/>
      <c r="N94" s="529"/>
      <c r="O94" s="529"/>
      <c r="P94" s="529"/>
      <c r="Q94" s="529"/>
      <c r="R94" s="529"/>
      <c r="S94" s="529"/>
      <c r="T94" s="523"/>
      <c r="U94" s="522"/>
      <c r="V94" s="57"/>
      <c r="W94" s="57"/>
      <c r="X94" s="58"/>
    </row>
    <row r="95" spans="1:24" ht="18.75" customHeight="1">
      <c r="A95" s="522"/>
      <c r="B95" s="603" t="s">
        <v>473</v>
      </c>
      <c r="C95" s="604" t="s">
        <v>169</v>
      </c>
      <c r="D95" s="1175"/>
      <c r="E95" s="1176"/>
      <c r="F95" s="1177" cm="1">
        <f t="array" ref="F95">'PF calculator'!G95</f>
        <v>6</v>
      </c>
      <c r="G95" s="1178"/>
      <c r="H95" s="1175" cm="1">
        <f t="array" ref="H95">IF(D95="Ltd by high OM1b,2,3,4 values",0,D95*(F95/100))</f>
        <v>0</v>
      </c>
      <c r="I95" s="1175"/>
      <c r="J95" s="576"/>
      <c r="K95" s="529"/>
      <c r="L95" s="529"/>
      <c r="M95" s="529"/>
      <c r="N95" s="529"/>
      <c r="O95" s="529"/>
      <c r="P95" s="529"/>
      <c r="Q95" s="529"/>
      <c r="R95" s="529"/>
      <c r="S95" s="529"/>
      <c r="T95" s="523"/>
      <c r="U95" s="522"/>
      <c r="V95" s="57"/>
      <c r="W95" s="57"/>
      <c r="X95" s="58"/>
    </row>
    <row r="96" spans="1:24" ht="18.75" customHeight="1">
      <c r="A96" s="522"/>
      <c r="B96" s="605"/>
      <c r="C96" s="606" t="s">
        <v>172</v>
      </c>
      <c r="D96" s="1186" cm="1">
        <f t="array" ref="D96">E41</f>
        <v>1000000</v>
      </c>
      <c r="E96" s="1187"/>
      <c r="F96" s="1177" cm="1">
        <f t="array" ref="F96">'PF calculator'!G96</f>
        <v>20</v>
      </c>
      <c r="G96" s="1178"/>
      <c r="H96" s="1175" cm="1">
        <f t="array" ref="H96">D96*(F96/100)</f>
        <v>200000</v>
      </c>
      <c r="I96" s="1175"/>
      <c r="J96" s="576"/>
      <c r="K96" s="529"/>
      <c r="L96" s="529"/>
      <c r="M96" s="529"/>
      <c r="N96" s="529"/>
      <c r="O96" s="529"/>
      <c r="P96" s="529"/>
      <c r="Q96" s="529"/>
      <c r="R96" s="529"/>
      <c r="S96" s="529"/>
      <c r="T96" s="523"/>
      <c r="U96" s="522"/>
      <c r="V96" s="57"/>
      <c r="W96" s="57"/>
      <c r="X96" s="58"/>
    </row>
    <row r="97" spans="1:24" ht="18.75" customHeight="1">
      <c r="A97" s="522"/>
      <c r="B97" s="1311" t="s">
        <v>174</v>
      </c>
      <c r="C97" s="607" t="s">
        <v>175</v>
      </c>
      <c r="D97" s="1175" cm="1">
        <f t="array" ref="D97">IF(R61="Ltd by DoB",R46,R46+R61)</f>
        <v>3670766.1254317542</v>
      </c>
      <c r="E97" s="1176"/>
      <c r="F97" s="1177" cm="1">
        <f t="array" ref="F97">'PF calculator'!G97</f>
        <v>45</v>
      </c>
      <c r="G97" s="1178"/>
      <c r="H97" s="1175" cm="1">
        <f t="array" ref="H97">D97*(F97/100)</f>
        <v>1651844.7564442893</v>
      </c>
      <c r="I97" s="1175"/>
      <c r="J97" s="576"/>
      <c r="K97" s="529"/>
      <c r="L97" s="529"/>
      <c r="M97" s="529"/>
      <c r="N97" s="529"/>
      <c r="O97" s="529"/>
      <c r="P97" s="529"/>
      <c r="Q97" s="529"/>
      <c r="R97" s="529"/>
      <c r="S97" s="529"/>
      <c r="T97" s="523"/>
      <c r="U97" s="522"/>
      <c r="V97" s="57"/>
      <c r="W97" s="57"/>
      <c r="X97" s="58"/>
    </row>
    <row r="98" spans="1:24" ht="18.75" customHeight="1">
      <c r="A98" s="522"/>
      <c r="B98" s="1312"/>
      <c r="C98" s="607" t="s">
        <v>177</v>
      </c>
      <c r="D98" s="1175" cm="1">
        <f t="array" ref="D98">IF(R62="Ltd by DoB",R47,R47+R62)</f>
        <v>14066110.633887077</v>
      </c>
      <c r="E98" s="1176"/>
      <c r="F98" s="1177" cm="1">
        <f t="array" ref="F98">'PF calculator'!G98</f>
        <v>30</v>
      </c>
      <c r="G98" s="1178"/>
      <c r="H98" s="1175" cm="1">
        <f t="array" ref="H98">D98*(F98/100)</f>
        <v>4219833.1901661232</v>
      </c>
      <c r="I98" s="1175"/>
      <c r="J98" s="576"/>
      <c r="K98" s="529"/>
      <c r="L98" s="529"/>
      <c r="M98" s="529"/>
      <c r="N98" s="529"/>
      <c r="O98" s="529"/>
      <c r="P98" s="529"/>
      <c r="Q98" s="529"/>
      <c r="R98" s="529"/>
      <c r="S98" s="529"/>
      <c r="T98" s="523"/>
      <c r="U98" s="522"/>
      <c r="V98" s="57"/>
      <c r="W98" s="57"/>
      <c r="X98" s="58"/>
    </row>
    <row r="99" spans="1:24" ht="18.75" customHeight="1">
      <c r="A99" s="522"/>
      <c r="B99" s="1312"/>
      <c r="C99" s="607" t="s">
        <v>179</v>
      </c>
      <c r="D99" s="1175" cm="1">
        <f t="array" ref="D99">IF(R63="Ltd by DoB",R48,R48+R63)</f>
        <v>0</v>
      </c>
      <c r="E99" s="1176"/>
      <c r="F99" s="1177" cm="1">
        <f t="array" ref="F99">'PF calculator'!G99</f>
        <v>20</v>
      </c>
      <c r="G99" s="1178"/>
      <c r="H99" s="1175" cm="1">
        <f t="array" ref="H99">D99*(F99/100)</f>
        <v>0</v>
      </c>
      <c r="I99" s="1175"/>
      <c r="J99" s="576"/>
      <c r="K99" s="529"/>
      <c r="L99" s="529"/>
      <c r="M99" s="529"/>
      <c r="N99" s="529"/>
      <c r="O99" s="529"/>
      <c r="P99" s="529"/>
      <c r="Q99" s="529"/>
      <c r="R99" s="529"/>
      <c r="S99" s="529"/>
      <c r="T99" s="523"/>
      <c r="U99" s="522"/>
      <c r="V99" s="57"/>
      <c r="W99" s="57"/>
      <c r="X99" s="58"/>
    </row>
    <row r="100" spans="1:24" ht="18.75" customHeight="1">
      <c r="A100" s="522"/>
      <c r="B100" s="1311" t="s">
        <v>181</v>
      </c>
      <c r="C100" s="607" t="s">
        <v>175</v>
      </c>
      <c r="D100" s="1175" cm="1">
        <f t="array" ref="D100">R74</f>
        <v>0</v>
      </c>
      <c r="E100" s="1176"/>
      <c r="F100" s="1177" cm="1">
        <f t="array" ref="F100">'PF calculator'!G100</f>
        <v>45</v>
      </c>
      <c r="G100" s="1178"/>
      <c r="H100" s="1175" cm="1">
        <f t="array" ref="H100">D100*(F100/100)</f>
        <v>0</v>
      </c>
      <c r="I100" s="1175"/>
      <c r="J100" s="576"/>
      <c r="K100" s="529"/>
      <c r="L100" s="529"/>
      <c r="M100" s="529"/>
      <c r="N100" s="529"/>
      <c r="O100" s="529"/>
      <c r="P100" s="529"/>
      <c r="Q100" s="529"/>
      <c r="R100" s="529"/>
      <c r="S100" s="529"/>
      <c r="T100" s="523"/>
      <c r="U100" s="522"/>
      <c r="V100" s="57"/>
      <c r="W100" s="57"/>
      <c r="X100" s="58"/>
    </row>
    <row r="101" spans="1:24" ht="18.75" customHeight="1">
      <c r="A101" s="522"/>
      <c r="B101" s="1312"/>
      <c r="C101" s="607" t="s">
        <v>177</v>
      </c>
      <c r="D101" s="1175" cm="1">
        <f t="array" ref="D101">R75</f>
        <v>0</v>
      </c>
      <c r="E101" s="1176"/>
      <c r="F101" s="1177" cm="1">
        <f t="array" ref="F101">'PF calculator'!G101</f>
        <v>30</v>
      </c>
      <c r="G101" s="1178"/>
      <c r="H101" s="1175" cm="1">
        <f t="array" ref="H101">D101*(F101/100)</f>
        <v>0</v>
      </c>
      <c r="I101" s="1175"/>
      <c r="J101" s="576"/>
      <c r="K101" s="529"/>
      <c r="L101" s="529"/>
      <c r="M101" s="529"/>
      <c r="N101" s="529"/>
      <c r="O101" s="529"/>
      <c r="P101" s="529"/>
      <c r="Q101" s="529"/>
      <c r="R101" s="529"/>
      <c r="S101" s="529"/>
      <c r="T101" s="523"/>
      <c r="U101" s="522"/>
      <c r="V101" s="57"/>
      <c r="W101" s="57"/>
      <c r="X101" s="58"/>
    </row>
    <row r="102" spans="1:24" ht="18.75" customHeight="1">
      <c r="A102" s="522"/>
      <c r="B102" s="1312"/>
      <c r="C102" s="607" t="s">
        <v>179</v>
      </c>
      <c r="D102" s="1175" cm="1">
        <f t="array" ref="D102">R76</f>
        <v>0</v>
      </c>
      <c r="E102" s="1176"/>
      <c r="F102" s="1177" cm="1">
        <f t="array" ref="F102">'PF calculator'!G102</f>
        <v>20</v>
      </c>
      <c r="G102" s="1178"/>
      <c r="H102" s="1175" cm="1">
        <f t="array" ref="H102">D102*(F102/100)</f>
        <v>0</v>
      </c>
      <c r="I102" s="1175"/>
      <c r="J102" s="576"/>
      <c r="K102" s="529"/>
      <c r="L102" s="529"/>
      <c r="M102" s="529"/>
      <c r="N102" s="529"/>
      <c r="O102" s="529"/>
      <c r="P102" s="529"/>
      <c r="Q102" s="529"/>
      <c r="R102" s="529"/>
      <c r="S102" s="529"/>
      <c r="T102" s="523"/>
      <c r="U102" s="522"/>
      <c r="V102" s="57"/>
      <c r="W102" s="57"/>
      <c r="X102" s="58"/>
    </row>
    <row r="103" spans="1:24" ht="18.75" customHeight="1">
      <c r="A103" s="522"/>
      <c r="B103" s="1164" t="s">
        <v>185</v>
      </c>
      <c r="C103" s="608" t="s">
        <v>186</v>
      </c>
      <c r="D103" s="1175" cm="1">
        <f t="array" ref="D103">IF(SUM(L83:M90)&lt;0,"Ltd by negative OM4 values",SUM(L83:M90))</f>
        <v>798259.39634670608</v>
      </c>
      <c r="E103" s="1175"/>
      <c r="F103" s="1177" cm="1">
        <f t="array" ref="F103">'PF calculator'!G103</f>
        <v>20</v>
      </c>
      <c r="G103" s="1178"/>
      <c r="H103" s="1175" cm="1">
        <f t="array" ref="H103">IF(D103="Ltd by negative OM4 values",0,D103*(F103/100))</f>
        <v>159651.87926934124</v>
      </c>
      <c r="I103" s="1175"/>
      <c r="J103" s="576"/>
      <c r="K103" s="529"/>
      <c r="L103" s="529"/>
      <c r="M103" s="529"/>
      <c r="N103" s="529"/>
      <c r="O103" s="529"/>
      <c r="P103" s="529"/>
      <c r="Q103" s="529"/>
      <c r="R103" s="529"/>
      <c r="S103" s="529"/>
      <c r="T103" s="523"/>
      <c r="U103" s="522"/>
      <c r="V103" s="57"/>
      <c r="W103" s="57"/>
      <c r="X103" s="58"/>
    </row>
    <row r="104" spans="1:24" ht="18.75" customHeight="1">
      <c r="A104" s="522"/>
      <c r="B104" s="1181"/>
      <c r="C104" s="606" t="s">
        <v>187</v>
      </c>
      <c r="D104" s="1166" cm="1">
        <f t="array" ref="D104">SUM(R84:S86)</f>
        <v>649746.02028220263</v>
      </c>
      <c r="E104" s="1167"/>
      <c r="F104" s="1177" cm="1">
        <f t="array" ref="F104">'PF calculator'!G104</f>
        <v>20</v>
      </c>
      <c r="G104" s="1178"/>
      <c r="H104" s="1310" cm="1">
        <f t="array" ref="H104">D104*(F104/100)</f>
        <v>129949.20405644053</v>
      </c>
      <c r="I104" s="1310"/>
      <c r="J104" s="576"/>
      <c r="K104" s="529"/>
      <c r="L104" s="529"/>
      <c r="M104" s="529"/>
      <c r="N104" s="529"/>
      <c r="O104" s="529"/>
      <c r="P104" s="529"/>
      <c r="Q104" s="529"/>
      <c r="R104" s="529"/>
      <c r="S104" s="529"/>
      <c r="T104" s="523"/>
      <c r="U104" s="522"/>
      <c r="V104" s="57"/>
      <c r="W104" s="57"/>
      <c r="X104" s="58"/>
    </row>
    <row r="105" spans="1:24" ht="18.75" customHeight="1">
      <c r="A105" s="522"/>
      <c r="B105" s="1164" t="s">
        <v>188</v>
      </c>
      <c r="C105" s="1165"/>
      <c r="D105" s="1175" cm="1">
        <f t="array" ref="D105">SUM(D95:E104)</f>
        <v>20184882.175947737</v>
      </c>
      <c r="E105" s="1175"/>
      <c r="F105" s="1306" t="e" cm="1" vm="5">
        <f t="array" aca="1" ref="F105" ca="1">'PF calculator'!F105:G105</f>
        <v>#VALUE!</v>
      </c>
      <c r="G105" s="1307"/>
      <c r="H105" s="1308" cm="1">
        <f t="array" ref="H105">SUM(H95:I104)</f>
        <v>6361279.0299361944</v>
      </c>
      <c r="I105" s="1309"/>
      <c r="J105" s="591"/>
      <c r="K105" s="529"/>
      <c r="L105" s="529"/>
      <c r="M105" s="529"/>
      <c r="N105" s="529"/>
      <c r="O105" s="529"/>
      <c r="P105" s="529"/>
      <c r="Q105" s="529"/>
      <c r="R105" s="529"/>
      <c r="S105" s="529"/>
      <c r="T105" s="523"/>
      <c r="U105" s="522"/>
      <c r="V105" s="57"/>
      <c r="W105" s="57"/>
      <c r="X105" s="58"/>
    </row>
    <row r="106" spans="1:24" ht="8" customHeight="1">
      <c r="A106" s="522"/>
      <c r="B106" s="549"/>
      <c r="C106" s="549"/>
      <c r="D106" s="601"/>
      <c r="E106" s="601"/>
      <c r="F106" s="549"/>
      <c r="G106" s="549"/>
      <c r="H106" s="558"/>
      <c r="I106" s="558"/>
      <c r="J106" s="549"/>
      <c r="K106" s="549"/>
      <c r="L106" s="549"/>
      <c r="M106" s="549"/>
      <c r="N106" s="549"/>
      <c r="O106" s="549"/>
      <c r="P106" s="549"/>
      <c r="Q106" s="549"/>
      <c r="R106" s="549"/>
      <c r="S106" s="549"/>
      <c r="T106" s="523"/>
      <c r="U106" s="522"/>
      <c r="V106" s="57"/>
      <c r="W106" s="57"/>
      <c r="X106" s="58"/>
    </row>
    <row r="107" spans="1:24" ht="15.75" customHeight="1">
      <c r="A107" s="609"/>
      <c r="B107" s="1179" t="s">
        <v>190</v>
      </c>
      <c r="C107" s="1180"/>
      <c r="D107" s="1180"/>
      <c r="E107" s="1180"/>
      <c r="F107" s="1180"/>
      <c r="G107" s="1180"/>
      <c r="H107" s="1180"/>
      <c r="I107" s="1180"/>
      <c r="J107" s="1180"/>
      <c r="K107" s="1180"/>
      <c r="L107" s="1180"/>
      <c r="M107" s="1180"/>
      <c r="N107" s="1180"/>
      <c r="O107" s="1180"/>
      <c r="P107" s="1180"/>
      <c r="Q107" s="1180"/>
      <c r="R107" s="1180"/>
      <c r="S107" s="1180"/>
      <c r="T107" s="610"/>
      <c r="U107" s="611"/>
      <c r="V107" s="179"/>
      <c r="W107" s="179"/>
      <c r="X107" s="180"/>
    </row>
  </sheetData>
  <mergeCells count="220">
    <mergeCell ref="B1:S1"/>
    <mergeCell ref="B2:S2"/>
    <mergeCell ref="B3:S3"/>
    <mergeCell ref="B4:P4"/>
    <mergeCell ref="R4:S4"/>
    <mergeCell ref="R5:S5"/>
    <mergeCell ref="B7:C7"/>
    <mergeCell ref="D7:I7"/>
    <mergeCell ref="K7:L7"/>
    <mergeCell ref="M7:N7"/>
    <mergeCell ref="R6:S7"/>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9:D19"/>
    <mergeCell ref="E19:F19"/>
    <mergeCell ref="H19:J19"/>
    <mergeCell ref="K19:L19"/>
    <mergeCell ref="B21:D21"/>
    <mergeCell ref="E21:F21"/>
    <mergeCell ref="H21:J21"/>
    <mergeCell ref="K21:L21"/>
    <mergeCell ref="B25:S25"/>
    <mergeCell ref="K26:L27"/>
    <mergeCell ref="M26:N27"/>
    <mergeCell ref="O26:P27"/>
    <mergeCell ref="B27:D27"/>
    <mergeCell ref="E27:F27"/>
    <mergeCell ref="H27:J27"/>
    <mergeCell ref="B23:D23"/>
    <mergeCell ref="E23:F23"/>
    <mergeCell ref="H23:J23"/>
    <mergeCell ref="K23:L23"/>
    <mergeCell ref="M23:P23"/>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B37:D37"/>
    <mergeCell ref="E37:F37"/>
    <mergeCell ref="L37:S37"/>
    <mergeCell ref="B38:D38"/>
    <mergeCell ref="E38:F38"/>
    <mergeCell ref="B39:D39"/>
    <mergeCell ref="E39:F39"/>
    <mergeCell ref="L38:S38"/>
    <mergeCell ref="B33:D33"/>
    <mergeCell ref="E33:F33"/>
    <mergeCell ref="H33:J33"/>
    <mergeCell ref="K33:L33"/>
    <mergeCell ref="M33:S33"/>
    <mergeCell ref="B35:S35"/>
    <mergeCell ref="B46:E46"/>
    <mergeCell ref="R46:S46"/>
    <mergeCell ref="B47:E47"/>
    <mergeCell ref="R47:S47"/>
    <mergeCell ref="B48:E48"/>
    <mergeCell ref="R48:S48"/>
    <mergeCell ref="B41:D42"/>
    <mergeCell ref="E41:F41"/>
    <mergeCell ref="B43:S43"/>
    <mergeCell ref="B45:E45"/>
    <mergeCell ref="F45:J45"/>
    <mergeCell ref="L45:P45"/>
    <mergeCell ref="R45:S45"/>
    <mergeCell ref="B56:S56"/>
    <mergeCell ref="B58:D58"/>
    <mergeCell ref="E58:F58"/>
    <mergeCell ref="B60:E60"/>
    <mergeCell ref="F60:J60"/>
    <mergeCell ref="L60:P60"/>
    <mergeCell ref="R60:S60"/>
    <mergeCell ref="B50:E50"/>
    <mergeCell ref="F50:J50"/>
    <mergeCell ref="L50:P51"/>
    <mergeCell ref="B51:E51"/>
    <mergeCell ref="B52:E52"/>
    <mergeCell ref="B53:E53"/>
    <mergeCell ref="B65:E65"/>
    <mergeCell ref="F65:J65"/>
    <mergeCell ref="L65:P66"/>
    <mergeCell ref="B66:E66"/>
    <mergeCell ref="B67:E67"/>
    <mergeCell ref="B68:E68"/>
    <mergeCell ref="B61:E61"/>
    <mergeCell ref="R61:S61"/>
    <mergeCell ref="B62:E62"/>
    <mergeCell ref="R62:S62"/>
    <mergeCell ref="B63:E63"/>
    <mergeCell ref="R63:S63"/>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s>
  <conditionalFormatting sqref="L46:P48 L61:P63">
    <cfRule type="cellIs" dxfId="2" priority="1" stopIfTrue="1" operator="lessThan">
      <formula>0</formula>
    </cfRule>
  </conditionalFormatting>
  <pageMargins left="0.7" right="0.7" top="0.75" bottom="0.75" header="0.3" footer="0.3"/>
  <pageSetup scale="37"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107"/>
  <sheetViews>
    <sheetView showGridLines="0" workbookViewId="0"/>
  </sheetViews>
  <sheetFormatPr defaultColWidth="8.84375" defaultRowHeight="15" customHeight="1"/>
  <cols>
    <col min="1" max="1" width="1.15234375" style="5" customWidth="1"/>
    <col min="2" max="19" width="10.84375" style="5" customWidth="1"/>
    <col min="20" max="20" width="1.15234375" style="5" customWidth="1"/>
    <col min="21" max="25" width="8.84375" style="5" customWidth="1"/>
    <col min="26" max="16384" width="8.84375" style="5"/>
  </cols>
  <sheetData>
    <row r="1" spans="1:24" ht="17.149999999999999" customHeight="1">
      <c r="A1" s="519"/>
      <c r="B1" s="1287"/>
      <c r="C1" s="1287"/>
      <c r="D1" s="1287"/>
      <c r="E1" s="1287"/>
      <c r="F1" s="1287"/>
      <c r="G1" s="1287"/>
      <c r="H1" s="1287"/>
      <c r="I1" s="1287"/>
      <c r="J1" s="1287"/>
      <c r="K1" s="1287"/>
      <c r="L1" s="1287"/>
      <c r="M1" s="1287"/>
      <c r="N1" s="1287"/>
      <c r="O1" s="1287"/>
      <c r="P1" s="1287"/>
      <c r="Q1" s="1287"/>
      <c r="R1" s="1287"/>
      <c r="S1" s="1287"/>
      <c r="T1" s="520"/>
      <c r="U1" s="521"/>
      <c r="V1" s="52"/>
      <c r="W1" s="52"/>
      <c r="X1" s="53"/>
    </row>
    <row r="2" spans="1:24" ht="33.75" customHeight="1">
      <c r="A2" s="522"/>
      <c r="B2" s="1288" t="s">
        <v>45</v>
      </c>
      <c r="C2" s="1289"/>
      <c r="D2" s="1289"/>
      <c r="E2" s="1289"/>
      <c r="F2" s="1289"/>
      <c r="G2" s="1289"/>
      <c r="H2" s="1289"/>
      <c r="I2" s="1289"/>
      <c r="J2" s="1289"/>
      <c r="K2" s="1289"/>
      <c r="L2" s="1289"/>
      <c r="M2" s="1289"/>
      <c r="N2" s="1289"/>
      <c r="O2" s="1289"/>
      <c r="P2" s="1289"/>
      <c r="Q2" s="1289"/>
      <c r="R2" s="1289"/>
      <c r="S2" s="1289"/>
      <c r="T2" s="523"/>
      <c r="U2" s="522"/>
      <c r="V2" s="57"/>
      <c r="W2" s="57"/>
      <c r="X2" s="58"/>
    </row>
    <row r="3" spans="1:24" ht="23.25" customHeight="1">
      <c r="A3" s="522"/>
      <c r="B3" s="1290" t="s">
        <v>460</v>
      </c>
      <c r="C3" s="1291"/>
      <c r="D3" s="1291"/>
      <c r="E3" s="1291"/>
      <c r="F3" s="1291"/>
      <c r="G3" s="1291"/>
      <c r="H3" s="1291"/>
      <c r="I3" s="1291"/>
      <c r="J3" s="1291"/>
      <c r="K3" s="1291"/>
      <c r="L3" s="1291"/>
      <c r="M3" s="1291"/>
      <c r="N3" s="1291"/>
      <c r="O3" s="1291"/>
      <c r="P3" s="1291"/>
      <c r="Q3" s="1291"/>
      <c r="R3" s="1292"/>
      <c r="S3" s="1292"/>
      <c r="T3" s="523"/>
      <c r="U3" s="522"/>
      <c r="V3" s="57"/>
      <c r="W3" s="57"/>
      <c r="X3" s="58"/>
    </row>
    <row r="4" spans="1:24" ht="19.5" customHeight="1">
      <c r="A4" s="522"/>
      <c r="B4" s="1293" t="e" cm="1" vm="2">
        <f t="array" aca="1" ref="B4" ca="1">'PF calculator'!B4:P4</f>
        <v>#VALUE!</v>
      </c>
      <c r="C4" s="1293"/>
      <c r="D4" s="1293"/>
      <c r="E4" s="1293"/>
      <c r="F4" s="1293"/>
      <c r="G4" s="1293"/>
      <c r="H4" s="1293"/>
      <c r="I4" s="1293"/>
      <c r="J4" s="1293"/>
      <c r="K4" s="1293"/>
      <c r="L4" s="1293"/>
      <c r="M4" s="1293"/>
      <c r="N4" s="1293"/>
      <c r="O4" s="1293"/>
      <c r="P4" s="1293"/>
      <c r="Q4" s="524" t="s">
        <v>48</v>
      </c>
      <c r="R4" s="1294" t="s">
        <v>395</v>
      </c>
      <c r="S4" s="1295"/>
      <c r="T4" s="525"/>
      <c r="U4" s="522"/>
      <c r="V4" s="67"/>
      <c r="W4" s="57"/>
      <c r="X4" s="58"/>
    </row>
    <row r="5" spans="1:24" ht="19.5" customHeight="1">
      <c r="A5" s="522"/>
      <c r="B5" s="526" t="str" cm="1">
        <f t="array" ref="B5">'PF calculator'!B5</f>
        <v>SECTION 1: Project details</v>
      </c>
      <c r="C5" s="527"/>
      <c r="D5" s="527"/>
      <c r="E5" s="527"/>
      <c r="F5" s="527"/>
      <c r="G5" s="527"/>
      <c r="H5" s="527"/>
      <c r="I5" s="527"/>
      <c r="J5" s="527"/>
      <c r="K5" s="527"/>
      <c r="L5" s="527"/>
      <c r="M5" s="527"/>
      <c r="N5" s="527"/>
      <c r="O5" s="527"/>
      <c r="P5" s="527"/>
      <c r="Q5" s="528"/>
      <c r="R5" s="1296" t="s">
        <v>52</v>
      </c>
      <c r="S5" s="1297"/>
      <c r="T5" s="525"/>
      <c r="U5" s="522"/>
      <c r="V5" s="57"/>
      <c r="W5" s="57"/>
      <c r="X5" s="58"/>
    </row>
    <row r="6" spans="1:24" ht="8" customHeight="1">
      <c r="A6" s="522"/>
      <c r="B6" s="529"/>
      <c r="C6" s="529"/>
      <c r="D6" s="530"/>
      <c r="E6" s="530"/>
      <c r="F6" s="530"/>
      <c r="G6" s="530"/>
      <c r="H6" s="530"/>
      <c r="I6" s="530"/>
      <c r="J6" s="529"/>
      <c r="K6" s="529"/>
      <c r="L6" s="529"/>
      <c r="M6" s="530"/>
      <c r="N6" s="530"/>
      <c r="O6" s="529"/>
      <c r="P6" s="529"/>
      <c r="Q6" s="531"/>
      <c r="R6" s="1301" t="s">
        <v>53</v>
      </c>
      <c r="S6" s="1302"/>
      <c r="T6" s="523"/>
      <c r="U6" s="522"/>
      <c r="V6" s="57"/>
      <c r="W6" s="57"/>
      <c r="X6" s="58"/>
    </row>
    <row r="7" spans="1:24" ht="18.75" customHeight="1">
      <c r="A7" s="522"/>
      <c r="B7" s="1209" t="s">
        <v>54</v>
      </c>
      <c r="C7" s="1229"/>
      <c r="D7" s="1298" t="str" cm="1">
        <f t="array" ref="D7">"Sensitivity Analysis: "&amp;'PF calculator'!L101</f>
        <v>Sensitivity Analysis: SA6: Strategic considerations not demonstrated</v>
      </c>
      <c r="E7" s="1299"/>
      <c r="F7" s="1299"/>
      <c r="G7" s="1299"/>
      <c r="H7" s="1299"/>
      <c r="I7" s="1300"/>
      <c r="J7" s="532"/>
      <c r="K7" s="1209" t="s">
        <v>56</v>
      </c>
      <c r="L7" s="1229"/>
      <c r="M7" s="1268" t="str" cm="1">
        <f t="array" ref="M7">'PF calculator'!M7</f>
        <v>Pre-SOC</v>
      </c>
      <c r="N7" s="1270"/>
      <c r="O7" s="533"/>
      <c r="P7" s="534"/>
      <c r="Q7" s="534"/>
      <c r="R7" s="1303"/>
      <c r="S7" s="1303"/>
      <c r="T7" s="523"/>
      <c r="U7" s="522"/>
      <c r="V7" s="57"/>
      <c r="W7" s="57"/>
      <c r="X7" s="58"/>
    </row>
    <row r="8" spans="1:24" ht="18.75" customHeight="1">
      <c r="A8" s="522"/>
      <c r="B8" s="1209" t="s">
        <v>461</v>
      </c>
      <c r="C8" s="1229"/>
      <c r="D8" s="1268" t="str" cm="1">
        <f t="array" ref="D8">'PF calculator'!D8</f>
        <v>YOC501E/000A/533A</v>
      </c>
      <c r="E8" s="1269"/>
      <c r="F8" s="1270"/>
      <c r="G8" s="535"/>
      <c r="H8" s="536"/>
      <c r="I8" s="536"/>
      <c r="J8" s="534"/>
      <c r="K8" s="1209" t="s">
        <v>60</v>
      </c>
      <c r="L8" s="1229"/>
      <c r="M8" s="1271" cm="1">
        <f t="array" ref="M8">'PF calculator'!M8</f>
        <v>0</v>
      </c>
      <c r="N8" s="1270"/>
      <c r="O8" s="1272" t="e" cm="1" vm="3">
        <f t="array" aca="1" ref="O8" ca="1">'PF calculator'!O8:Q8</f>
        <v>#VALUE!</v>
      </c>
      <c r="P8" s="1273"/>
      <c r="Q8" s="1274"/>
      <c r="R8" s="538" t="e" cm="1" vm="1">
        <f t="array" aca="1" ref="R8" ca="1">$E$39/$E$33</f>
        <v>#VALUE!</v>
      </c>
      <c r="S8" s="539" t="s">
        <v>62</v>
      </c>
      <c r="T8" s="525"/>
      <c r="U8" s="522"/>
      <c r="V8" s="57"/>
      <c r="W8" s="57"/>
      <c r="X8" s="58"/>
    </row>
    <row r="9" spans="1:24" ht="18.75" customHeight="1">
      <c r="A9" s="522"/>
      <c r="B9" s="1209" t="s">
        <v>462</v>
      </c>
      <c r="C9" s="1229"/>
      <c r="D9" s="1277" cm="1">
        <f t="array" ref="D9">'PF calculator'!D9</f>
        <v>45265</v>
      </c>
      <c r="E9" s="1278"/>
      <c r="F9" s="1279"/>
      <c r="G9" s="540"/>
      <c r="H9" s="541"/>
      <c r="I9" s="541"/>
      <c r="J9" s="534"/>
      <c r="K9" s="534"/>
      <c r="L9" s="534"/>
      <c r="M9" s="536"/>
      <c r="N9" s="536"/>
      <c r="O9" s="1280" t="s">
        <v>64</v>
      </c>
      <c r="P9" s="1281"/>
      <c r="Q9" s="1282"/>
      <c r="R9" s="542" t="str" cm="1">
        <f t="array" ref="R9">IFERROR(($E$41/MIN(($K$22+$K$24),$E$34)),"n/a")</f>
        <v>n/a</v>
      </c>
      <c r="S9" s="539" t="s">
        <v>62</v>
      </c>
      <c r="T9" s="525"/>
      <c r="U9" s="522"/>
      <c r="V9" s="57"/>
      <c r="W9" s="57"/>
      <c r="X9" s="58"/>
    </row>
    <row r="10" spans="1:24" ht="18.75" customHeight="1">
      <c r="A10" s="522"/>
      <c r="B10" s="1209" t="s">
        <v>65</v>
      </c>
      <c r="C10" s="1229"/>
      <c r="D10" s="1283" t="str" cm="1">
        <f t="array" ref="D10">'PF calculator'!D10</f>
        <v>City of Doncaster Council</v>
      </c>
      <c r="E10" s="1284"/>
      <c r="F10" s="1284"/>
      <c r="G10" s="1284"/>
      <c r="H10" s="1284"/>
      <c r="I10" s="1285"/>
      <c r="J10" s="533"/>
      <c r="K10" s="534"/>
      <c r="L10" s="534"/>
      <c r="M10" s="534"/>
      <c r="N10" s="534"/>
      <c r="O10" s="1280" t="s">
        <v>67</v>
      </c>
      <c r="P10" s="1281"/>
      <c r="Q10" s="1282"/>
      <c r="R10" s="538" t="e" cm="1" vm="1">
        <f t="array" aca="1" ref="R10" ca="1">IF($K$33&gt;0,$E$39/$K$33,"n/a")</f>
        <v>#VALUE!</v>
      </c>
      <c r="S10" s="539" t="s">
        <v>62</v>
      </c>
      <c r="T10" s="525"/>
      <c r="U10" s="522"/>
      <c r="V10" s="57"/>
      <c r="W10" s="57"/>
      <c r="X10" s="58"/>
    </row>
    <row r="11" spans="1:24" ht="18.75" customHeight="1">
      <c r="A11" s="522"/>
      <c r="B11" s="1209" t="s">
        <v>68</v>
      </c>
      <c r="C11" s="1229"/>
      <c r="D11" s="1283" t="str" cm="1">
        <f t="array" ref="D11">'PF calculator'!D11</f>
        <v>Local Authority</v>
      </c>
      <c r="E11" s="1284"/>
      <c r="F11" s="1285"/>
      <c r="G11" s="543"/>
      <c r="H11" s="544"/>
      <c r="I11" s="544"/>
      <c r="J11" s="534"/>
      <c r="K11" s="534"/>
      <c r="L11" s="534"/>
      <c r="M11" s="534"/>
      <c r="N11" s="534"/>
      <c r="O11" s="534"/>
      <c r="P11" s="534"/>
      <c r="Q11" s="537"/>
      <c r="R11" s="545"/>
      <c r="S11" s="546"/>
      <c r="T11" s="523"/>
      <c r="U11" s="522"/>
      <c r="V11" s="57"/>
      <c r="W11" s="57"/>
      <c r="X11" s="58"/>
    </row>
    <row r="12" spans="1:24" ht="18.75" customHeight="1">
      <c r="A12" s="522"/>
      <c r="B12" s="547" t="s">
        <v>70</v>
      </c>
      <c r="C12" s="534"/>
      <c r="D12" s="536"/>
      <c r="E12" s="536"/>
      <c r="F12" s="536"/>
      <c r="G12" s="534"/>
      <c r="H12" s="534"/>
      <c r="I12" s="534"/>
      <c r="J12" s="534"/>
      <c r="K12" s="534"/>
      <c r="L12" s="534"/>
      <c r="M12" s="534"/>
      <c r="N12" s="534"/>
      <c r="O12" s="534"/>
      <c r="P12" s="1286"/>
      <c r="Q12" s="1286"/>
      <c r="R12" s="1286"/>
      <c r="S12" s="1286"/>
      <c r="T12" s="523"/>
      <c r="U12" s="522"/>
      <c r="V12" s="57"/>
      <c r="W12" s="57"/>
      <c r="X12" s="58"/>
    </row>
    <row r="13" spans="1:24" ht="18.75" customHeight="1">
      <c r="A13" s="522"/>
      <c r="B13" s="548" t="s">
        <v>463</v>
      </c>
      <c r="C13" s="534"/>
      <c r="D13" s="534"/>
      <c r="E13" s="534"/>
      <c r="F13" s="534"/>
      <c r="G13" s="534"/>
      <c r="H13" s="534"/>
      <c r="I13" s="534"/>
      <c r="J13" s="534"/>
      <c r="K13" s="534"/>
      <c r="L13" s="534"/>
      <c r="M13" s="534"/>
      <c r="N13" s="534"/>
      <c r="O13" s="534"/>
      <c r="P13" s="1286"/>
      <c r="Q13" s="1286"/>
      <c r="R13" s="1286"/>
      <c r="S13" s="1286"/>
      <c r="T13" s="523"/>
      <c r="U13" s="522"/>
      <c r="V13" s="57"/>
      <c r="W13" s="57"/>
      <c r="X13" s="58"/>
    </row>
    <row r="14" spans="1:24" ht="8" customHeight="1">
      <c r="A14" s="522"/>
      <c r="B14" s="549"/>
      <c r="C14" s="549"/>
      <c r="D14" s="549"/>
      <c r="E14" s="549"/>
      <c r="F14" s="549"/>
      <c r="G14" s="549"/>
      <c r="H14" s="549"/>
      <c r="I14" s="549"/>
      <c r="J14" s="549"/>
      <c r="K14" s="549"/>
      <c r="L14" s="549"/>
      <c r="M14" s="549"/>
      <c r="N14" s="549"/>
      <c r="O14" s="549"/>
      <c r="P14" s="549"/>
      <c r="Q14" s="549"/>
      <c r="R14" s="549"/>
      <c r="S14" s="549"/>
      <c r="T14" s="523"/>
      <c r="U14" s="522"/>
      <c r="V14" s="57"/>
      <c r="W14" s="57"/>
      <c r="X14" s="58"/>
    </row>
    <row r="15" spans="1:24" ht="18.75" customHeight="1">
      <c r="A15" s="522"/>
      <c r="B15" s="1190" t="e" cm="1" vm="4">
        <f t="array" aca="1" ref="B15" ca="1">'PF calculator'!B15:S15</f>
        <v>#VALUE!</v>
      </c>
      <c r="C15" s="1190"/>
      <c r="D15" s="1190"/>
      <c r="E15" s="1190"/>
      <c r="F15" s="1190"/>
      <c r="G15" s="1190"/>
      <c r="H15" s="1190"/>
      <c r="I15" s="1190"/>
      <c r="J15" s="1190"/>
      <c r="K15" s="1190"/>
      <c r="L15" s="1190"/>
      <c r="M15" s="1190"/>
      <c r="N15" s="1190"/>
      <c r="O15" s="1190"/>
      <c r="P15" s="1190"/>
      <c r="Q15" s="1190"/>
      <c r="R15" s="1190"/>
      <c r="S15" s="1190"/>
      <c r="T15" s="523"/>
      <c r="U15" s="522"/>
      <c r="V15" s="57"/>
      <c r="W15" s="57"/>
      <c r="X15" s="58"/>
    </row>
    <row r="16" spans="1:24" ht="8" customHeight="1">
      <c r="A16" s="522"/>
      <c r="B16" s="550"/>
      <c r="C16" s="529"/>
      <c r="D16" s="529"/>
      <c r="E16" s="530"/>
      <c r="F16" s="530"/>
      <c r="G16" s="529"/>
      <c r="H16" s="529"/>
      <c r="I16" s="529"/>
      <c r="J16" s="529"/>
      <c r="K16" s="529"/>
      <c r="L16" s="529"/>
      <c r="M16" s="529"/>
      <c r="N16" s="529"/>
      <c r="O16" s="529"/>
      <c r="P16" s="529"/>
      <c r="Q16" s="529"/>
      <c r="R16" s="529"/>
      <c r="S16" s="529"/>
      <c r="T16" s="523"/>
      <c r="U16" s="522"/>
      <c r="V16" s="57"/>
      <c r="W16" s="57"/>
      <c r="X16" s="58"/>
    </row>
    <row r="17" spans="1:24" ht="18.75" customHeight="1">
      <c r="A17" s="522"/>
      <c r="B17" s="1217" t="s">
        <v>73</v>
      </c>
      <c r="C17" s="1218"/>
      <c r="D17" s="1227"/>
      <c r="E17" s="1319" t="s">
        <v>482</v>
      </c>
      <c r="F17" s="1320"/>
      <c r="G17" s="551"/>
      <c r="H17" s="534"/>
      <c r="I17" s="534"/>
      <c r="J17" s="534"/>
      <c r="K17" s="534"/>
      <c r="L17" s="534"/>
      <c r="M17" s="534"/>
      <c r="N17" s="534"/>
      <c r="O17" s="534"/>
      <c r="P17" s="534"/>
      <c r="Q17" s="534"/>
      <c r="R17" s="534"/>
      <c r="S17" s="534"/>
      <c r="T17" s="523"/>
      <c r="U17" s="522"/>
      <c r="V17" s="57"/>
      <c r="W17" s="57"/>
      <c r="X17" s="58"/>
    </row>
    <row r="18" spans="1:24" ht="18.75" customHeight="1">
      <c r="A18" s="522"/>
      <c r="B18" s="534"/>
      <c r="C18" s="534"/>
      <c r="D18" s="534"/>
      <c r="E18" s="552"/>
      <c r="F18" s="552"/>
      <c r="G18" s="534"/>
      <c r="H18" s="534"/>
      <c r="I18" s="534"/>
      <c r="J18" s="534"/>
      <c r="K18" s="541"/>
      <c r="L18" s="541"/>
      <c r="M18" s="534"/>
      <c r="N18" s="534"/>
      <c r="O18" s="534"/>
      <c r="P18" s="534"/>
      <c r="Q18" s="534"/>
      <c r="R18" s="534"/>
      <c r="S18" s="534"/>
      <c r="T18" s="523"/>
      <c r="U18" s="522"/>
      <c r="V18" s="57"/>
      <c r="W18" s="57"/>
      <c r="X18" s="58"/>
    </row>
    <row r="19" spans="1:24" ht="18.75" customHeight="1">
      <c r="A19" s="522"/>
      <c r="B19" s="1217" t="s">
        <v>75</v>
      </c>
      <c r="C19" s="1218"/>
      <c r="D19" s="1227"/>
      <c r="E19" s="1266" t="e" cm="1" vm="1">
        <f t="array" aca="1" ref="E19" ca="1">IF(E23="low BCR","n/a",0.45*$E$23/MAX($E$33,$E$31))</f>
        <v>#VALUE!</v>
      </c>
      <c r="F19" s="1267"/>
      <c r="G19" s="533"/>
      <c r="H19" s="1217" t="s">
        <v>76</v>
      </c>
      <c r="I19" s="1218"/>
      <c r="J19" s="1227"/>
      <c r="K19" s="1266" t="e" cm="1" vm="1">
        <f t="array" aca="1" ref="K19" ca="1">IF(E23="low BCR","n/a",IF(E17="Yes",IF(D11="Environment Agency",E23/MAX(MAX(E33,E31)-K33,1),E19+K33/E31),IF(D11="Environment Agency",E23*0.45/MAX(MAX(E33,E31)-K33,1),E19+K33/E31)))</f>
        <v>#VALUE!</v>
      </c>
      <c r="L19" s="1267"/>
      <c r="M19" s="533"/>
      <c r="N19" s="534"/>
      <c r="O19" s="534"/>
      <c r="P19" s="534"/>
      <c r="Q19" s="534"/>
      <c r="R19" s="534"/>
      <c r="S19" s="534"/>
      <c r="T19" s="523"/>
      <c r="U19" s="522"/>
      <c r="V19" s="57"/>
      <c r="W19" s="57"/>
      <c r="X19" s="58"/>
    </row>
    <row r="20" spans="1:24" ht="18.75" customHeight="1">
      <c r="A20" s="522"/>
      <c r="B20" s="534"/>
      <c r="C20" s="534"/>
      <c r="D20" s="534"/>
      <c r="E20" s="553"/>
      <c r="F20" s="553"/>
      <c r="G20" s="534"/>
      <c r="H20" s="534"/>
      <c r="I20" s="534"/>
      <c r="J20" s="534"/>
      <c r="K20" s="552"/>
      <c r="L20" s="552"/>
      <c r="M20" s="534"/>
      <c r="N20" s="534"/>
      <c r="O20" s="534"/>
      <c r="P20" s="534"/>
      <c r="Q20" s="534"/>
      <c r="R20" s="534"/>
      <c r="S20" s="534"/>
      <c r="T20" s="523"/>
      <c r="U20" s="522"/>
      <c r="V20" s="57"/>
      <c r="W20" s="57"/>
      <c r="X20" s="58"/>
    </row>
    <row r="21" spans="1:24" ht="18.75" customHeight="1">
      <c r="A21" s="522"/>
      <c r="B21" s="1209" t="s">
        <v>77</v>
      </c>
      <c r="C21" s="1210"/>
      <c r="D21" s="1229"/>
      <c r="E21" s="1230" t="e" cm="1" vm="1">
        <f t="array" aca="1" ref="E21" ca="1">IF(E23="low BCR","n/a",IF(E23=0,0,(IF(E17="Yes",MAX(IF(D11="Environment Agency",MAX(E33,E31)-MIN(E23,E33),E31*(1-(E19))),0),IF(D11="Environment Agency",MAX(E33,E31)-MIN(E23*0.45,E33),E31*(1-(E19)))))))</f>
        <v>#VALUE!</v>
      </c>
      <c r="F21" s="1231"/>
      <c r="G21" s="533"/>
      <c r="H21" s="1209" t="s">
        <v>78</v>
      </c>
      <c r="I21" s="1210"/>
      <c r="J21" s="1229"/>
      <c r="K21" s="1263" t="e" cm="1" vm="1">
        <f t="array" aca="1" ref="K21" ca="1">IF(E23="low BCR","n/a",IF(ROUNDUP(K19,4)&lt;100%,"-",IF(K32+M32&gt;E31,"N/A",E31-(K32+M32))))</f>
        <v>#VALUE!</v>
      </c>
      <c r="L21" s="1264"/>
      <c r="M21" s="533"/>
      <c r="N21" s="534"/>
      <c r="O21" s="534"/>
      <c r="P21" s="534"/>
      <c r="Q21" s="534"/>
      <c r="R21" s="534"/>
      <c r="S21" s="534"/>
      <c r="T21" s="523"/>
      <c r="U21" s="522"/>
      <c r="V21" s="555"/>
      <c r="W21" s="57"/>
      <c r="X21" s="556"/>
    </row>
    <row r="22" spans="1:24" ht="18.75" customHeight="1">
      <c r="A22" s="522"/>
      <c r="B22" s="534"/>
      <c r="C22" s="534"/>
      <c r="D22" s="534"/>
      <c r="E22" s="552"/>
      <c r="F22" s="552"/>
      <c r="G22" s="534"/>
      <c r="H22" s="534"/>
      <c r="I22" s="534"/>
      <c r="J22" s="534"/>
      <c r="K22" s="552"/>
      <c r="L22" s="552"/>
      <c r="M22" s="534"/>
      <c r="N22" s="534"/>
      <c r="O22" s="534"/>
      <c r="P22" s="534"/>
      <c r="Q22" s="534"/>
      <c r="R22" s="534"/>
      <c r="S22" s="534"/>
      <c r="T22" s="523"/>
      <c r="U22" s="522"/>
      <c r="V22" s="57"/>
      <c r="W22" s="57"/>
      <c r="X22" s="58"/>
    </row>
    <row r="23" spans="1:24" ht="18.75" customHeight="1">
      <c r="A23" s="522"/>
      <c r="B23" s="1217" t="s">
        <v>79</v>
      </c>
      <c r="C23" s="1218"/>
      <c r="D23" s="1227"/>
      <c r="E23" s="1238" t="e" cm="1" vm="1">
        <f t="array" aca="1" ref="E23" ca="1">IF(R8&lt;1,"low BCR",IF(OR(M7="Pre-SOC",M7="SOC",M7="Change (before OBC)"),H105,IF('Economic summary'!H12&lt;4,0,H105)))</f>
        <v>#VALUE!</v>
      </c>
      <c r="F23" s="1239"/>
      <c r="G23" s="533"/>
      <c r="H23" s="1209" t="s">
        <v>80</v>
      </c>
      <c r="I23" s="1210"/>
      <c r="J23" s="1229"/>
      <c r="K23" s="1263" t="e" cm="1" vm="1">
        <f t="array" aca="1" ref="K23" ca="1">IF(E23="low BCR","n/a",IF(D11="Environment Agency",(IF(ROUNDUP(K19,4)&lt;100%,"-",IF(O32&gt;E32,"N/A",E32-O32))),0))</f>
        <v>#VALUE!</v>
      </c>
      <c r="L23" s="1264"/>
      <c r="M23" s="1265"/>
      <c r="N23" s="1235"/>
      <c r="O23" s="1235"/>
      <c r="P23" s="1235"/>
      <c r="Q23" s="557"/>
      <c r="R23" s="557"/>
      <c r="S23" s="557"/>
      <c r="T23" s="523"/>
      <c r="U23" s="522"/>
      <c r="V23" s="555"/>
      <c r="W23" s="57"/>
      <c r="X23" s="58"/>
    </row>
    <row r="24" spans="1:24" ht="8" customHeight="1">
      <c r="A24" s="522"/>
      <c r="B24" s="549"/>
      <c r="C24" s="549"/>
      <c r="D24" s="549"/>
      <c r="E24" s="558"/>
      <c r="F24" s="558"/>
      <c r="G24" s="549"/>
      <c r="H24" s="549"/>
      <c r="I24" s="549"/>
      <c r="J24" s="549"/>
      <c r="K24" s="558"/>
      <c r="L24" s="558"/>
      <c r="M24" s="549"/>
      <c r="N24" s="549"/>
      <c r="O24" s="549"/>
      <c r="P24" s="549"/>
      <c r="Q24" s="549"/>
      <c r="R24" s="549"/>
      <c r="S24" s="549"/>
      <c r="T24" s="523"/>
      <c r="U24" s="522"/>
      <c r="V24" s="57"/>
      <c r="W24" s="57"/>
      <c r="X24" s="58"/>
    </row>
    <row r="25" spans="1:24" ht="18.75" customHeight="1">
      <c r="A25" s="522"/>
      <c r="B25" s="1190" t="e" cm="1" vm="4">
        <f t="array" aca="1" ref="B25" ca="1">'PF calculator'!B25:S25</f>
        <v>#VALUE!</v>
      </c>
      <c r="C25" s="1190"/>
      <c r="D25" s="1190"/>
      <c r="E25" s="1190"/>
      <c r="F25" s="1190"/>
      <c r="G25" s="1190"/>
      <c r="H25" s="1190"/>
      <c r="I25" s="1190"/>
      <c r="J25" s="1190"/>
      <c r="K25" s="1190"/>
      <c r="L25" s="1190"/>
      <c r="M25" s="1190"/>
      <c r="N25" s="1190"/>
      <c r="O25" s="1190"/>
      <c r="P25" s="1190"/>
      <c r="Q25" s="1190"/>
      <c r="R25" s="1190"/>
      <c r="S25" s="1190"/>
      <c r="T25" s="523"/>
      <c r="U25" s="522"/>
      <c r="V25" s="57"/>
      <c r="W25" s="57"/>
      <c r="X25" s="58"/>
    </row>
    <row r="26" spans="1:24" ht="8" customHeight="1">
      <c r="A26" s="522"/>
      <c r="B26" s="529"/>
      <c r="C26" s="529"/>
      <c r="D26" s="529"/>
      <c r="E26" s="529"/>
      <c r="F26" s="529"/>
      <c r="G26" s="529"/>
      <c r="H26" s="559"/>
      <c r="I26" s="529"/>
      <c r="J26" s="529"/>
      <c r="K26" s="1256" t="s">
        <v>81</v>
      </c>
      <c r="L26" s="1257"/>
      <c r="M26" s="1256" t="s">
        <v>82</v>
      </c>
      <c r="N26" s="1257"/>
      <c r="O26" s="1256" t="s">
        <v>83</v>
      </c>
      <c r="P26" s="1257"/>
      <c r="Q26" s="529"/>
      <c r="R26" s="529"/>
      <c r="S26" s="529"/>
      <c r="T26" s="523"/>
      <c r="U26" s="522"/>
      <c r="V26" s="57"/>
      <c r="W26" s="57"/>
      <c r="X26" s="58"/>
    </row>
    <row r="27" spans="1:24" ht="18.75" customHeight="1">
      <c r="A27" s="522"/>
      <c r="B27" s="1259" t="str" cm="1">
        <f t="array" ref="B27">IF(M7="Pre-SOC","Estimated project costs",IF(M7="SOC","Estimated project costs","Project costs"))</f>
        <v>Estimated project costs</v>
      </c>
      <c r="C27" s="1259"/>
      <c r="D27" s="1259"/>
      <c r="E27" s="1260" t="s">
        <v>84</v>
      </c>
      <c r="F27" s="1261"/>
      <c r="G27" s="529"/>
      <c r="H27" s="1262" t="str" cm="1">
        <f t="array" ref="H27">IF(M7="Pre-SOC","Estimated contributions",IF(M7="SOC","Estimated contributions","Contributions secured to date"))</f>
        <v>Estimated contributions</v>
      </c>
      <c r="I27" s="1262"/>
      <c r="J27" s="1262"/>
      <c r="K27" s="1258"/>
      <c r="L27" s="1258"/>
      <c r="M27" s="1258"/>
      <c r="N27" s="1258"/>
      <c r="O27" s="1258"/>
      <c r="P27" s="1258"/>
      <c r="Q27" s="529"/>
      <c r="R27" s="529"/>
      <c r="S27" s="529"/>
      <c r="T27" s="523"/>
      <c r="U27" s="522"/>
      <c r="V27" s="57"/>
      <c r="W27" s="57"/>
      <c r="X27" s="58"/>
    </row>
    <row r="28" spans="1:24" ht="18.75" customHeight="1">
      <c r="A28" s="522"/>
      <c r="B28" s="1209" t="s">
        <v>85</v>
      </c>
      <c r="C28" s="1210"/>
      <c r="D28" s="1229"/>
      <c r="E28" s="1212" cm="1">
        <f t="array" ref="E28">'PF calculator'!E28</f>
        <v>400000</v>
      </c>
      <c r="F28" s="1213"/>
      <c r="G28" s="533"/>
      <c r="H28" s="1209" t="s">
        <v>86</v>
      </c>
      <c r="I28" s="1210"/>
      <c r="J28" s="1211"/>
      <c r="K28" s="1252" cm="1">
        <f t="array" ref="K28">'PF calculator'!K28</f>
        <v>50000</v>
      </c>
      <c r="L28" s="1253"/>
      <c r="M28" s="1252" cm="1">
        <f t="array" ref="M28">'PF calculator'!M28</f>
        <v>200000</v>
      </c>
      <c r="N28" s="1253"/>
      <c r="O28" s="1252" cm="1">
        <f t="array" ref="O28">'PF calculator'!O28</f>
        <v>0</v>
      </c>
      <c r="P28" s="1253"/>
      <c r="Q28" s="1313" t="s">
        <v>477</v>
      </c>
      <c r="R28" s="1255"/>
      <c r="S28" s="1255"/>
      <c r="T28" s="523"/>
      <c r="U28" s="522"/>
      <c r="V28" s="57"/>
      <c r="W28" s="57"/>
      <c r="X28" s="58"/>
    </row>
    <row r="29" spans="1:24" ht="18.75" customHeight="1">
      <c r="A29" s="522"/>
      <c r="B29" s="1209" t="s">
        <v>88</v>
      </c>
      <c r="C29" s="1210"/>
      <c r="D29" s="1229"/>
      <c r="E29" s="1212" cm="1">
        <f t="array" ref="E29">'PF calculator'!E29</f>
        <v>6000000</v>
      </c>
      <c r="F29" s="1213"/>
      <c r="G29" s="533"/>
      <c r="H29" s="1209" t="s">
        <v>89</v>
      </c>
      <c r="I29" s="1210"/>
      <c r="J29" s="1211"/>
      <c r="K29" s="1252" cm="1">
        <f t="array" ref="K29">'PF calculator'!K29</f>
        <v>0</v>
      </c>
      <c r="L29" s="1253"/>
      <c r="M29" s="1252" cm="1">
        <f t="array" ref="M29">'PF calculator'!M29</f>
        <v>0</v>
      </c>
      <c r="N29" s="1253"/>
      <c r="O29" s="1252" cm="1">
        <f t="array" ref="O29">'PF calculator'!O29</f>
        <v>0</v>
      </c>
      <c r="P29" s="1253"/>
      <c r="Q29" s="1247" cm="1">
        <f t="array" ref="Q29">'PF calculator'!Q29</f>
        <v>0</v>
      </c>
      <c r="R29" s="1248"/>
      <c r="S29" s="1249"/>
      <c r="T29" s="525"/>
      <c r="U29" s="522"/>
      <c r="V29" s="57"/>
      <c r="W29" s="57"/>
      <c r="X29" s="58"/>
    </row>
    <row r="30" spans="1:24" ht="18.75" customHeight="1">
      <c r="A30" s="522"/>
      <c r="B30" s="1209" t="s">
        <v>90</v>
      </c>
      <c r="C30" s="1210"/>
      <c r="D30" s="1229"/>
      <c r="E30" s="1212" cm="1">
        <f t="array" ref="E30">'PF calculator'!E30</f>
        <v>100000</v>
      </c>
      <c r="F30" s="1213"/>
      <c r="G30" s="533"/>
      <c r="H30" s="1209" t="s">
        <v>91</v>
      </c>
      <c r="I30" s="1210"/>
      <c r="J30" s="1211"/>
      <c r="K30" s="1252" cm="1">
        <f t="array" ref="K30">'PF calculator'!K30</f>
        <v>50000</v>
      </c>
      <c r="L30" s="1253"/>
      <c r="M30" s="1252" cm="1">
        <f t="array" ref="M30">'PF calculator'!M30</f>
        <v>300000</v>
      </c>
      <c r="N30" s="1253"/>
      <c r="O30" s="1252" cm="1">
        <f t="array" ref="O30">'PF calculator'!O30</f>
        <v>0</v>
      </c>
      <c r="P30" s="1253"/>
      <c r="Q30" s="1247" cm="1">
        <f t="array" ref="Q30">'PF calculator'!Q30</f>
        <v>0</v>
      </c>
      <c r="R30" s="1248"/>
      <c r="S30" s="1249"/>
      <c r="T30" s="525"/>
      <c r="U30" s="522"/>
      <c r="V30" s="57"/>
      <c r="W30" s="57"/>
      <c r="X30" s="58"/>
    </row>
    <row r="31" spans="1:24" ht="18.75" customHeight="1">
      <c r="A31" s="522"/>
      <c r="B31" s="1209" t="s">
        <v>92</v>
      </c>
      <c r="C31" s="1210"/>
      <c r="D31" s="1229"/>
      <c r="E31" s="1230" cm="1">
        <f t="array" ref="E31">SUM(E28:E30)</f>
        <v>6500000</v>
      </c>
      <c r="F31" s="1231"/>
      <c r="G31" s="533"/>
      <c r="H31" s="1209" t="s">
        <v>93</v>
      </c>
      <c r="I31" s="1210"/>
      <c r="J31" s="1211"/>
      <c r="K31" s="1250" cm="1">
        <f t="array" ref="K31">'PF calculator'!K31</f>
        <v>0</v>
      </c>
      <c r="L31" s="1251"/>
      <c r="M31" s="1250" cm="1">
        <f t="array" ref="M31">'PF calculator'!M31</f>
        <v>0</v>
      </c>
      <c r="N31" s="1251"/>
      <c r="O31" s="1250" cm="1">
        <f t="array" ref="O31">'PF calculator'!O31</f>
        <v>0</v>
      </c>
      <c r="P31" s="1251"/>
      <c r="Q31" s="1247" cm="1">
        <f t="array" ref="Q31">'PF calculator'!Q31</f>
        <v>0</v>
      </c>
      <c r="R31" s="1248"/>
      <c r="S31" s="1249"/>
      <c r="T31" s="525"/>
      <c r="U31" s="522"/>
      <c r="V31" s="57"/>
      <c r="W31" s="57"/>
      <c r="X31" s="58"/>
    </row>
    <row r="32" spans="1:24" ht="18.75" customHeight="1">
      <c r="A32" s="522"/>
      <c r="B32" s="1209" t="s">
        <v>94</v>
      </c>
      <c r="C32" s="1210"/>
      <c r="D32" s="1229"/>
      <c r="E32" s="1212" cm="1">
        <f t="array" ref="E32">'PF calculator'!E32</f>
        <v>2000000</v>
      </c>
      <c r="F32" s="1213"/>
      <c r="G32" s="533"/>
      <c r="H32" s="1217" t="s">
        <v>95</v>
      </c>
      <c r="I32" s="1218"/>
      <c r="J32" s="1227"/>
      <c r="K32" s="1245" cm="1">
        <f t="array" ref="K32">SUM(K28:L31)</f>
        <v>100000</v>
      </c>
      <c r="L32" s="1246"/>
      <c r="M32" s="1245" cm="1">
        <f t="array" ref="M32">SUM(M28:N31)</f>
        <v>500000</v>
      </c>
      <c r="N32" s="1246"/>
      <c r="O32" s="1245" cm="1">
        <f t="array" ref="O32">SUM(O28:P31)</f>
        <v>0</v>
      </c>
      <c r="P32" s="1246"/>
      <c r="Q32" s="560"/>
      <c r="R32" s="546"/>
      <c r="S32" s="546"/>
      <c r="T32" s="523"/>
      <c r="U32" s="522"/>
      <c r="V32" s="57"/>
      <c r="W32" s="57"/>
      <c r="X32" s="58"/>
    </row>
    <row r="33" spans="1:24" ht="18.75" customHeight="1">
      <c r="A33" s="522"/>
      <c r="B33" s="1209" t="s">
        <v>96</v>
      </c>
      <c r="C33" s="1210"/>
      <c r="D33" s="1229"/>
      <c r="E33" s="1230" cm="1">
        <f t="array" ref="E33">SUM(E31:F32)</f>
        <v>8500000</v>
      </c>
      <c r="F33" s="1231"/>
      <c r="G33" s="533"/>
      <c r="H33" s="1209" t="s">
        <v>97</v>
      </c>
      <c r="I33" s="1210"/>
      <c r="J33" s="1229"/>
      <c r="K33" s="1238" cm="1">
        <f t="array" ref="K33">IF(D11="Environment Agency",K32+M32+O32,K32+M32)</f>
        <v>600000</v>
      </c>
      <c r="L33" s="1239"/>
      <c r="M33" s="1240"/>
      <c r="N33" s="1241"/>
      <c r="O33" s="1241"/>
      <c r="P33" s="1241"/>
      <c r="Q33" s="1242"/>
      <c r="R33" s="1242"/>
      <c r="S33" s="1242"/>
      <c r="T33" s="523"/>
      <c r="U33" s="522"/>
      <c r="V33" s="57"/>
      <c r="W33" s="57"/>
      <c r="X33" s="58"/>
    </row>
    <row r="34" spans="1:24" ht="8" customHeight="1">
      <c r="A34" s="522"/>
      <c r="B34" s="549"/>
      <c r="C34" s="549"/>
      <c r="D34" s="549"/>
      <c r="E34" s="558"/>
      <c r="F34" s="558"/>
      <c r="G34" s="561"/>
      <c r="H34" s="561"/>
      <c r="I34" s="561"/>
      <c r="J34" s="549"/>
      <c r="K34" s="558"/>
      <c r="L34" s="558"/>
      <c r="M34" s="549"/>
      <c r="N34" s="561"/>
      <c r="O34" s="561"/>
      <c r="P34" s="561"/>
      <c r="Q34" s="549"/>
      <c r="R34" s="549"/>
      <c r="S34" s="549"/>
      <c r="T34" s="523"/>
      <c r="U34" s="522"/>
      <c r="V34" s="57"/>
      <c r="W34" s="57"/>
      <c r="X34" s="58"/>
    </row>
    <row r="35" spans="1:24" ht="18.75" customHeight="1">
      <c r="A35" s="522"/>
      <c r="B35" s="1190" t="e" cm="1" vm="4">
        <f t="array" aca="1" ref="B35" ca="1">'PF calculator'!B35:S35</f>
        <v>#VALUE!</v>
      </c>
      <c r="C35" s="1190"/>
      <c r="D35" s="1190"/>
      <c r="E35" s="1190"/>
      <c r="F35" s="1190"/>
      <c r="G35" s="1190"/>
      <c r="H35" s="1190"/>
      <c r="I35" s="1190"/>
      <c r="J35" s="1190"/>
      <c r="K35" s="1190"/>
      <c r="L35" s="1190"/>
      <c r="M35" s="1190"/>
      <c r="N35" s="1190"/>
      <c r="O35" s="1190"/>
      <c r="P35" s="1190"/>
      <c r="Q35" s="1190"/>
      <c r="R35" s="1190"/>
      <c r="S35" s="1190"/>
      <c r="T35" s="523"/>
      <c r="U35" s="522"/>
      <c r="V35" s="57"/>
      <c r="W35" s="57"/>
      <c r="X35" s="58"/>
    </row>
    <row r="36" spans="1:24" ht="8" customHeight="1">
      <c r="A36" s="522"/>
      <c r="B36" s="529"/>
      <c r="C36" s="529"/>
      <c r="D36" s="529"/>
      <c r="E36" s="530"/>
      <c r="F36" s="530"/>
      <c r="G36" s="529"/>
      <c r="H36" s="529"/>
      <c r="I36" s="529"/>
      <c r="J36" s="529"/>
      <c r="K36" s="529"/>
      <c r="L36" s="529"/>
      <c r="M36" s="529"/>
      <c r="N36" s="529"/>
      <c r="O36" s="529"/>
      <c r="P36" s="529"/>
      <c r="Q36" s="529"/>
      <c r="R36" s="529"/>
      <c r="S36" s="529"/>
      <c r="T36" s="523"/>
      <c r="U36" s="522"/>
      <c r="V36" s="57"/>
      <c r="W36" s="57"/>
      <c r="X36" s="58"/>
    </row>
    <row r="37" spans="1:24" ht="18.75" customHeight="1">
      <c r="A37" s="522"/>
      <c r="B37" s="1209" t="s">
        <v>100</v>
      </c>
      <c r="C37" s="1210"/>
      <c r="D37" s="1229"/>
      <c r="E37" s="1212" cm="1">
        <f t="array" ref="E37">'PF calculator'!E37</f>
        <v>4000000</v>
      </c>
      <c r="F37" s="1213"/>
      <c r="G37" s="533"/>
      <c r="H37" s="534"/>
      <c r="I37" s="534"/>
      <c r="J37" s="534"/>
      <c r="K37" s="534"/>
      <c r="L37" s="1235"/>
      <c r="M37" s="1235"/>
      <c r="N37" s="1235"/>
      <c r="O37" s="1235"/>
      <c r="P37" s="1235"/>
      <c r="Q37" s="1235"/>
      <c r="R37" s="1235"/>
      <c r="S37" s="1235"/>
      <c r="T37" s="523"/>
      <c r="U37" s="522"/>
      <c r="V37" s="57"/>
      <c r="W37" s="57"/>
      <c r="X37" s="58"/>
    </row>
    <row r="38" spans="1:24" ht="18.75" customHeight="1">
      <c r="A38" s="522"/>
      <c r="B38" s="1210" t="e" cm="1" vm="3">
        <f t="array" aca="1" ref="B38" ca="1">'PF calculator'!B38:D38</f>
        <v>#VALUE!</v>
      </c>
      <c r="C38" s="1210"/>
      <c r="D38" s="1229"/>
      <c r="E38" s="1236" cm="1">
        <f t="array" ref="E38">'PF calculator'!E38</f>
        <v>100</v>
      </c>
      <c r="F38" s="1237"/>
      <c r="G38" s="533"/>
      <c r="H38" s="534"/>
      <c r="I38" s="534"/>
      <c r="J38" s="534"/>
      <c r="K38" s="534"/>
      <c r="L38" s="534"/>
      <c r="M38" s="534"/>
      <c r="N38" s="534"/>
      <c r="O38" s="534"/>
      <c r="P38" s="534"/>
      <c r="Q38" s="534"/>
      <c r="R38" s="534"/>
      <c r="S38" s="534"/>
      <c r="T38" s="523"/>
      <c r="U38" s="522"/>
      <c r="V38" s="57"/>
      <c r="W38" s="57"/>
      <c r="X38" s="58"/>
    </row>
    <row r="39" spans="1:24" ht="18.75" customHeight="1">
      <c r="A39" s="522"/>
      <c r="B39" s="1210" t="e" cm="1" vm="3">
        <f t="array" aca="1" ref="B39" ca="1">'PF calculator'!B39:D39</f>
        <v>#VALUE!</v>
      </c>
      <c r="C39" s="1210"/>
      <c r="D39" s="1229"/>
      <c r="E39" s="1230" t="e" cm="1" vm="5">
        <f t="array" aca="1" ref="E39" ca="1">'PF calculator'!E39:F39</f>
        <v>#VALUE!</v>
      </c>
      <c r="F39" s="1231"/>
      <c r="G39" s="533"/>
      <c r="H39" s="534"/>
      <c r="I39" s="534"/>
      <c r="J39" s="534"/>
      <c r="K39" s="534"/>
      <c r="L39" s="534"/>
      <c r="M39" s="534"/>
      <c r="N39" s="534"/>
      <c r="O39" s="534"/>
      <c r="P39" s="534"/>
      <c r="Q39" s="534"/>
      <c r="R39" s="534"/>
      <c r="S39" s="534"/>
      <c r="T39" s="523"/>
      <c r="U39" s="522"/>
      <c r="V39" s="57"/>
      <c r="W39" s="57"/>
      <c r="X39" s="58"/>
    </row>
    <row r="40" spans="1:24" ht="8" customHeight="1">
      <c r="A40" s="522"/>
      <c r="B40" s="554"/>
      <c r="C40" s="554"/>
      <c r="D40" s="554"/>
      <c r="E40" s="562"/>
      <c r="F40" s="562"/>
      <c r="G40" s="554"/>
      <c r="H40" s="534"/>
      <c r="I40" s="534"/>
      <c r="J40" s="534"/>
      <c r="K40" s="534"/>
      <c r="L40" s="534"/>
      <c r="M40" s="534"/>
      <c r="N40" s="534"/>
      <c r="O40" s="534"/>
      <c r="P40" s="534"/>
      <c r="Q40" s="534"/>
      <c r="R40" s="534"/>
      <c r="S40" s="534"/>
      <c r="T40" s="523"/>
      <c r="U40" s="522"/>
      <c r="V40" s="57"/>
      <c r="W40" s="57"/>
      <c r="X40" s="58"/>
    </row>
    <row r="41" spans="1:24" ht="18.75" customHeight="1">
      <c r="A41" s="522"/>
      <c r="B41" s="1232" t="e" cm="1" vm="6">
        <f t="array" aca="1" ref="B41" ca="1">'PF calculator'!B41:D42</f>
        <v>#VALUE!</v>
      </c>
      <c r="C41" s="1232"/>
      <c r="D41" s="1233"/>
      <c r="E41" s="1230" cm="1">
        <f t="array" ref="E41">'PF calculator'!E41</f>
        <v>1000000</v>
      </c>
      <c r="F41" s="1231"/>
      <c r="G41" s="533"/>
      <c r="H41" s="534"/>
      <c r="I41" s="534"/>
      <c r="J41" s="534"/>
      <c r="K41" s="534"/>
      <c r="L41" s="534"/>
      <c r="M41" s="534"/>
      <c r="N41" s="534"/>
      <c r="O41" s="534"/>
      <c r="P41" s="534"/>
      <c r="Q41" s="534"/>
      <c r="R41" s="534"/>
      <c r="S41" s="534"/>
      <c r="T41" s="523"/>
      <c r="U41" s="522"/>
      <c r="V41" s="57"/>
      <c r="W41" s="57"/>
      <c r="X41" s="58"/>
    </row>
    <row r="42" spans="1:24" ht="13.5" customHeight="1">
      <c r="A42" s="522"/>
      <c r="B42" s="1234"/>
      <c r="C42" s="1234"/>
      <c r="D42" s="1234"/>
      <c r="E42" s="563"/>
      <c r="F42" s="563"/>
      <c r="G42" s="564"/>
      <c r="H42" s="564"/>
      <c r="I42" s="564"/>
      <c r="J42" s="564"/>
      <c r="K42" s="564"/>
      <c r="L42" s="564"/>
      <c r="M42" s="564"/>
      <c r="N42" s="564"/>
      <c r="O42" s="564"/>
      <c r="P42" s="564"/>
      <c r="Q42" s="564"/>
      <c r="R42" s="564"/>
      <c r="S42" s="564"/>
      <c r="T42" s="523"/>
      <c r="U42" s="522"/>
      <c r="V42" s="57"/>
      <c r="W42" s="57"/>
      <c r="X42" s="58"/>
    </row>
    <row r="43" spans="1:24" ht="18.75" customHeight="1">
      <c r="A43" s="522"/>
      <c r="B43" s="1190" t="e" cm="1" vm="4">
        <f t="array" aca="1" ref="B43" ca="1">'PF calculator'!B43:S43</f>
        <v>#VALUE!</v>
      </c>
      <c r="C43" s="1190"/>
      <c r="D43" s="1190"/>
      <c r="E43" s="1190"/>
      <c r="F43" s="1190"/>
      <c r="G43" s="1190"/>
      <c r="H43" s="1190"/>
      <c r="I43" s="1190"/>
      <c r="J43" s="1190"/>
      <c r="K43" s="1190"/>
      <c r="L43" s="1190"/>
      <c r="M43" s="1190"/>
      <c r="N43" s="1190"/>
      <c r="O43" s="1190"/>
      <c r="P43" s="1190"/>
      <c r="Q43" s="1190"/>
      <c r="R43" s="1190"/>
      <c r="S43" s="1190"/>
      <c r="T43" s="523"/>
      <c r="U43" s="522"/>
      <c r="V43" s="57"/>
      <c r="W43" s="57"/>
      <c r="X43" s="58"/>
    </row>
    <row r="44" spans="1:24" ht="8" customHeight="1">
      <c r="A44" s="522"/>
      <c r="B44" s="565"/>
      <c r="C44" s="529"/>
      <c r="D44" s="529"/>
      <c r="E44" s="529"/>
      <c r="F44" s="529"/>
      <c r="G44" s="529"/>
      <c r="H44" s="529"/>
      <c r="I44" s="529"/>
      <c r="J44" s="529"/>
      <c r="K44" s="529"/>
      <c r="L44" s="529"/>
      <c r="M44" s="529"/>
      <c r="N44" s="529"/>
      <c r="O44" s="529"/>
      <c r="P44" s="529"/>
      <c r="Q44" s="529"/>
      <c r="R44" s="529"/>
      <c r="S44" s="529"/>
      <c r="T44" s="523"/>
      <c r="U44" s="522"/>
      <c r="V44" s="57"/>
      <c r="W44" s="57"/>
      <c r="X44" s="58"/>
    </row>
    <row r="45" spans="1:24" ht="18.75" customHeight="1">
      <c r="A45" s="566"/>
      <c r="B45" s="1217" t="s">
        <v>107</v>
      </c>
      <c r="C45" s="1218"/>
      <c r="D45" s="1218"/>
      <c r="E45" s="1218"/>
      <c r="F45" s="1219" t="s">
        <v>108</v>
      </c>
      <c r="G45" s="1220"/>
      <c r="H45" s="1220"/>
      <c r="I45" s="1220"/>
      <c r="J45" s="1220"/>
      <c r="K45" s="534"/>
      <c r="L45" s="1219" t="s">
        <v>109</v>
      </c>
      <c r="M45" s="1220"/>
      <c r="N45" s="1220"/>
      <c r="O45" s="1220"/>
      <c r="P45" s="1220"/>
      <c r="Q45" s="534"/>
      <c r="R45" s="1221" t="s">
        <v>110</v>
      </c>
      <c r="S45" s="1222"/>
      <c r="T45" s="523"/>
      <c r="U45" s="522"/>
      <c r="V45" s="57"/>
      <c r="W45" s="57"/>
      <c r="X45" s="58"/>
    </row>
    <row r="46" spans="1:24" ht="18.75" customHeight="1">
      <c r="A46" s="566"/>
      <c r="B46" s="1209" t="s">
        <v>111</v>
      </c>
      <c r="C46" s="1210"/>
      <c r="D46" s="1210"/>
      <c r="E46" s="1211"/>
      <c r="F46" s="122"/>
      <c r="G46" s="567" cm="1">
        <f t="array" ref="G46">'PF calculator'!G46</f>
        <v>0</v>
      </c>
      <c r="H46" s="567" cm="1">
        <f t="array" ref="H46">'PF calculator'!H46</f>
        <v>0</v>
      </c>
      <c r="I46" s="567" cm="1">
        <f t="array" ref="I46">'PF calculator'!I46</f>
        <v>123</v>
      </c>
      <c r="J46" s="567" cm="1">
        <f t="array" ref="J46">'PF calculator'!J46</f>
        <v>0</v>
      </c>
      <c r="K46" s="568"/>
      <c r="L46" s="569" cm="1">
        <f t="array" ref="L46">IF(SUM(G46:J46)&lt;SUM(F51:J51),"n/a",F51)</f>
        <v>123</v>
      </c>
      <c r="M46" s="569" cm="1">
        <f t="array" ref="M46">IF(SUM(G46:J46)&lt;SUM(F51:J51),"n/a",G51-G46)</f>
        <v>0</v>
      </c>
      <c r="N46" s="569" cm="1">
        <f t="array" ref="N46">IF(SUM(G46:J46)&lt;SUM(F51:J51),"n/a",H51-H46)</f>
        <v>0</v>
      </c>
      <c r="O46" s="569" cm="1">
        <f t="array" ref="O46">IF(SUM(G46:J46)&lt;SUM(F51:J51),"n/a",I51-I46)</f>
        <v>-123</v>
      </c>
      <c r="P46" s="569" cm="1">
        <f t="array" ref="P46">IF(SUM(G46:J46)&lt;SUM(F51:J51),"n/a",J51-J46)</f>
        <v>0</v>
      </c>
      <c r="Q46" s="570"/>
      <c r="R46" s="1212" cm="1">
        <f t="array" ref="R46">-(SUMPRODUCT($M$46:$P$46,$M$52:$P$52))*(VLOOKUP($E$38,'Policy assumptions and formulae'!A10:D109,4,FALSE))</f>
        <v>3673805.8916927809</v>
      </c>
      <c r="S46" s="1226"/>
      <c r="T46" s="571"/>
      <c r="U46" s="522"/>
      <c r="V46" s="57"/>
      <c r="W46" s="57"/>
      <c r="X46" s="58"/>
    </row>
    <row r="47" spans="1:24" ht="18.75" customHeight="1">
      <c r="A47" s="566"/>
      <c r="B47" s="1209" t="s">
        <v>112</v>
      </c>
      <c r="C47" s="1210"/>
      <c r="D47" s="1210"/>
      <c r="E47" s="1211"/>
      <c r="F47" s="122"/>
      <c r="G47" s="567" cm="1">
        <f t="array" ref="G47">'PF calculator'!G47</f>
        <v>0</v>
      </c>
      <c r="H47" s="567" cm="1">
        <f t="array" ref="H47">'PF calculator'!H47</f>
        <v>0</v>
      </c>
      <c r="I47" s="567" cm="1">
        <f t="array" ref="I47">'PF calculator'!I47</f>
        <v>500</v>
      </c>
      <c r="J47" s="567" cm="1">
        <f t="array" ref="J47">'PF calculator'!J47</f>
        <v>0</v>
      </c>
      <c r="K47" s="568"/>
      <c r="L47" s="569" cm="1">
        <f t="array" ref="L47">IF(SUM(G47:J47)&lt;SUM(F52:J52),"n/a",F52)</f>
        <v>500</v>
      </c>
      <c r="M47" s="569" cm="1">
        <f t="array" ref="M47">IF(SUM(G47:J47)&lt;SUM(F52:J52),"n/a",G52-G47)</f>
        <v>0</v>
      </c>
      <c r="N47" s="569" cm="1">
        <f t="array" ref="N47">IF(SUM(G47:J47)&lt;SUM(F52:J52),"n/a",H52-H47)</f>
        <v>0</v>
      </c>
      <c r="O47" s="569" cm="1">
        <f t="array" ref="O47">IF(SUM(G47:J47)&lt;SUM(F52:J52),"n/a",I52-I47)</f>
        <v>-500</v>
      </c>
      <c r="P47" s="569" cm="1">
        <f t="array" ref="P47">IF(SUM(G47:J47)&lt;SUM(F52:J52),"n/a",J52-J47)</f>
        <v>0</v>
      </c>
      <c r="Q47" s="570"/>
      <c r="R47" s="1212" cm="1">
        <f t="array" ref="R47">-(SUMPRODUCT($M$47:$P$47,$M$52:$P$52))*(VLOOKUP($E$38,'Policy assumptions and formulae'!A10:D109,4,FALSE))</f>
        <v>14934170.291434068</v>
      </c>
      <c r="S47" s="1226"/>
      <c r="T47" s="571"/>
      <c r="U47" s="522"/>
      <c r="V47" s="57"/>
      <c r="W47" s="57"/>
      <c r="X47" s="58"/>
    </row>
    <row r="48" spans="1:24" ht="18.75" customHeight="1">
      <c r="A48" s="566"/>
      <c r="B48" s="1209" t="s">
        <v>113</v>
      </c>
      <c r="C48" s="1210"/>
      <c r="D48" s="1210"/>
      <c r="E48" s="1211"/>
      <c r="F48" s="122"/>
      <c r="G48" s="567" cm="1">
        <f t="array" ref="G48">'PF calculator'!G48</f>
        <v>0</v>
      </c>
      <c r="H48" s="567" cm="1">
        <f t="array" ref="H48">'PF calculator'!H48</f>
        <v>0</v>
      </c>
      <c r="I48" s="567" cm="1">
        <f t="array" ref="I48">'PF calculator'!I48</f>
        <v>0</v>
      </c>
      <c r="J48" s="567" cm="1">
        <f t="array" ref="J48">'PF calculator'!J48</f>
        <v>0</v>
      </c>
      <c r="K48" s="568"/>
      <c r="L48" s="569" cm="1">
        <f t="array" ref="L48">IF(SUM(G48:J48)&lt;SUM(F53:J53),"n/a",F53)</f>
        <v>0</v>
      </c>
      <c r="M48" s="569" cm="1">
        <f t="array" ref="M48">IF(SUM(G48:J48)&lt;SUM(F53:J53),"n/a",G53-G48)</f>
        <v>0</v>
      </c>
      <c r="N48" s="569" cm="1">
        <f t="array" ref="N48">IF(SUM(G48:J48)&lt;SUM(F53:J53),"n/a",H53-H48)</f>
        <v>0</v>
      </c>
      <c r="O48" s="569" cm="1">
        <f t="array" ref="O48">IF(SUM(G48:J48)&lt;SUM(F53:J53),"n/a",I53-I48)</f>
        <v>0</v>
      </c>
      <c r="P48" s="569" cm="1">
        <f t="array" ref="P48">IF(SUM(G48:J48)&lt;SUM(F53:J53),"n/a",J53-J48)</f>
        <v>0</v>
      </c>
      <c r="Q48" s="570"/>
      <c r="R48" s="1212" cm="1">
        <f t="array" ref="R48">-(SUMPRODUCT($M$48:$P$48,$M$52:$P$52))*(VLOOKUP($E$38,'Policy assumptions and formulae'!A10:D109,4,FALSE))</f>
        <v>0</v>
      </c>
      <c r="S48" s="1226"/>
      <c r="T48" s="571"/>
      <c r="U48" s="522"/>
      <c r="V48" s="57"/>
      <c r="W48" s="57"/>
      <c r="X48" s="58"/>
    </row>
    <row r="49" spans="1:24" ht="29.25" customHeight="1">
      <c r="A49" s="522"/>
      <c r="B49" s="529"/>
      <c r="C49" s="529"/>
      <c r="D49" s="529"/>
      <c r="E49" s="529"/>
      <c r="F49" s="572" t="s">
        <v>464</v>
      </c>
      <c r="G49" s="572" t="s">
        <v>114</v>
      </c>
      <c r="H49" s="572" t="s">
        <v>115</v>
      </c>
      <c r="I49" s="572" t="s">
        <v>117</v>
      </c>
      <c r="J49" s="572" t="s">
        <v>118</v>
      </c>
      <c r="K49" s="529"/>
      <c r="L49" s="572" t="s">
        <v>464</v>
      </c>
      <c r="M49" s="572" t="s">
        <v>114</v>
      </c>
      <c r="N49" s="572" t="s">
        <v>115</v>
      </c>
      <c r="O49" s="572" t="s">
        <v>117</v>
      </c>
      <c r="P49" s="572" t="s">
        <v>118</v>
      </c>
      <c r="Q49" s="529"/>
      <c r="R49" s="573"/>
      <c r="S49" s="573"/>
      <c r="T49" s="523"/>
      <c r="U49" s="522"/>
      <c r="V49" s="57"/>
      <c r="W49" s="57"/>
      <c r="X49" s="58"/>
    </row>
    <row r="50" spans="1:24" ht="18.75" customHeight="1">
      <c r="A50" s="522"/>
      <c r="B50" s="1217" t="s">
        <v>107</v>
      </c>
      <c r="C50" s="1218"/>
      <c r="D50" s="1218"/>
      <c r="E50" s="1218"/>
      <c r="F50" s="1219" t="s">
        <v>465</v>
      </c>
      <c r="G50" s="1220"/>
      <c r="H50" s="1220"/>
      <c r="I50" s="1220"/>
      <c r="J50" s="1220"/>
      <c r="K50" s="534"/>
      <c r="L50" s="1223" t="s">
        <v>120</v>
      </c>
      <c r="M50" s="1224"/>
      <c r="N50" s="1224"/>
      <c r="O50" s="1224"/>
      <c r="P50" s="1224"/>
      <c r="Q50" s="529"/>
      <c r="R50" s="529"/>
      <c r="S50" s="529"/>
      <c r="T50" s="523"/>
      <c r="U50" s="522"/>
      <c r="V50" s="57"/>
      <c r="W50" s="57"/>
      <c r="X50" s="58"/>
    </row>
    <row r="51" spans="1:24" ht="18.75" customHeight="1">
      <c r="A51" s="522"/>
      <c r="B51" s="1209" t="s">
        <v>111</v>
      </c>
      <c r="C51" s="1210"/>
      <c r="D51" s="1210"/>
      <c r="E51" s="1211"/>
      <c r="F51" s="567" cm="1">
        <f t="array" ref="F51">'PF calculator'!F51</f>
        <v>123</v>
      </c>
      <c r="G51" s="567" cm="1">
        <f t="array" ref="G51">'PF calculator'!G51</f>
        <v>0</v>
      </c>
      <c r="H51" s="567" cm="1">
        <f t="array" ref="H51">'PF calculator'!H51</f>
        <v>0</v>
      </c>
      <c r="I51" s="567" cm="1">
        <f t="array" ref="I51">'PF calculator'!I51</f>
        <v>0</v>
      </c>
      <c r="J51" s="567" cm="1">
        <f t="array" ref="J51">'PF calculator'!J51</f>
        <v>0</v>
      </c>
      <c r="K51" s="574"/>
      <c r="L51" s="1225"/>
      <c r="M51" s="1225"/>
      <c r="N51" s="1225"/>
      <c r="O51" s="1225"/>
      <c r="P51" s="1225"/>
      <c r="Q51" s="529"/>
      <c r="R51" s="529"/>
      <c r="S51" s="529"/>
      <c r="T51" s="523"/>
      <c r="U51" s="522"/>
      <c r="V51" s="57"/>
      <c r="W51" s="57"/>
      <c r="X51" s="58"/>
    </row>
    <row r="52" spans="1:24" ht="18.75" customHeight="1">
      <c r="A52" s="522"/>
      <c r="B52" s="1209" t="s">
        <v>112</v>
      </c>
      <c r="C52" s="1210"/>
      <c r="D52" s="1210"/>
      <c r="E52" s="1211"/>
      <c r="F52" s="567" cm="1">
        <f t="array" ref="F52">'PF calculator'!F52</f>
        <v>500</v>
      </c>
      <c r="G52" s="567" cm="1">
        <f t="array" ref="G52">'PF calculator'!G52</f>
        <v>0</v>
      </c>
      <c r="H52" s="567" cm="1">
        <f t="array" ref="H52">'PF calculator'!H52</f>
        <v>0</v>
      </c>
      <c r="I52" s="567" cm="1">
        <f t="array" ref="I52">'PF calculator'!I52</f>
        <v>0</v>
      </c>
      <c r="J52" s="567" cm="1">
        <f t="array" ref="J52">'PF calculator'!J52</f>
        <v>0</v>
      </c>
      <c r="K52" s="568"/>
      <c r="L52" s="575" cm="1">
        <f t="array" ref="L52">'Policy assumptions and formulae'!$AD$56</f>
        <v>0</v>
      </c>
      <c r="M52" s="575" cm="1">
        <f t="array" ref="M52">'Policy assumptions and formulae'!$AD$55</f>
        <v>58.833333333333343</v>
      </c>
      <c r="N52" s="575" cm="1">
        <f t="array" ref="N52">'Policy assumptions and formulae'!$AD$54</f>
        <v>294.16666666666674</v>
      </c>
      <c r="O52" s="575" cm="1">
        <f t="array" ref="O52">'Policy assumptions and formulae'!$AD$53</f>
        <v>1000.1666666666665</v>
      </c>
      <c r="P52" s="575" cm="1">
        <f t="array" ref="P52">'Policy assumptions and formulae'!$AD$52</f>
        <v>1588.5000000000002</v>
      </c>
      <c r="Q52" s="576"/>
      <c r="R52" s="529"/>
      <c r="S52" s="529"/>
      <c r="T52" s="523"/>
      <c r="U52" s="522"/>
      <c r="V52" s="57"/>
      <c r="W52" s="57"/>
      <c r="X52" s="58"/>
    </row>
    <row r="53" spans="1:24" ht="18.75" customHeight="1">
      <c r="A53" s="522"/>
      <c r="B53" s="1209" t="s">
        <v>121</v>
      </c>
      <c r="C53" s="1210"/>
      <c r="D53" s="1210"/>
      <c r="E53" s="1211"/>
      <c r="F53" s="567" cm="1">
        <f t="array" ref="F53">'PF calculator'!F53</f>
        <v>0</v>
      </c>
      <c r="G53" s="567" cm="1">
        <f t="array" ref="G53">'PF calculator'!G53</f>
        <v>0</v>
      </c>
      <c r="H53" s="567" cm="1">
        <f t="array" ref="H53">'PF calculator'!H53</f>
        <v>0</v>
      </c>
      <c r="I53" s="567" cm="1">
        <f t="array" ref="I53">'PF calculator'!I53</f>
        <v>0</v>
      </c>
      <c r="J53" s="567" cm="1">
        <f t="array" ref="J53">'PF calculator'!J53</f>
        <v>0</v>
      </c>
      <c r="K53" s="574"/>
      <c r="L53" s="577"/>
      <c r="M53" s="546"/>
      <c r="N53" s="546"/>
      <c r="O53" s="546"/>
      <c r="P53" s="546"/>
      <c r="Q53" s="529"/>
      <c r="R53" s="529"/>
      <c r="S53" s="529"/>
      <c r="T53" s="523"/>
      <c r="U53" s="522"/>
      <c r="V53" s="57"/>
      <c r="W53" s="57"/>
      <c r="X53" s="58"/>
    </row>
    <row r="54" spans="1:24" ht="28.5" customHeight="1">
      <c r="A54" s="522"/>
      <c r="B54" s="529"/>
      <c r="C54" s="529"/>
      <c r="D54" s="529"/>
      <c r="E54" s="529"/>
      <c r="F54" s="572" t="s">
        <v>464</v>
      </c>
      <c r="G54" s="572" t="s">
        <v>114</v>
      </c>
      <c r="H54" s="572" t="s">
        <v>115</v>
      </c>
      <c r="I54" s="572" t="s">
        <v>117</v>
      </c>
      <c r="J54" s="572" t="s">
        <v>118</v>
      </c>
      <c r="K54" s="529"/>
      <c r="L54" s="529"/>
      <c r="M54" s="529"/>
      <c r="N54" s="529"/>
      <c r="O54" s="529"/>
      <c r="P54" s="529"/>
      <c r="Q54" s="529"/>
      <c r="R54" s="529"/>
      <c r="S54" s="529"/>
      <c r="T54" s="523"/>
      <c r="U54" s="522"/>
      <c r="V54" s="57"/>
      <c r="W54" s="57"/>
      <c r="X54" s="58"/>
    </row>
    <row r="55" spans="1:24" ht="8" customHeight="1">
      <c r="A55" s="522"/>
      <c r="B55" s="549"/>
      <c r="C55" s="549"/>
      <c r="D55" s="549"/>
      <c r="E55" s="549"/>
      <c r="F55" s="549"/>
      <c r="G55" s="549"/>
      <c r="H55" s="549"/>
      <c r="I55" s="549"/>
      <c r="J55" s="549"/>
      <c r="K55" s="549"/>
      <c r="L55" s="549"/>
      <c r="M55" s="549"/>
      <c r="N55" s="549"/>
      <c r="O55" s="549"/>
      <c r="P55" s="549"/>
      <c r="Q55" s="549"/>
      <c r="R55" s="549"/>
      <c r="S55" s="549"/>
      <c r="T55" s="523"/>
      <c r="U55" s="522"/>
      <c r="V55" s="57"/>
      <c r="W55" s="57"/>
      <c r="X55" s="58"/>
    </row>
    <row r="56" spans="1:24" ht="18.75" customHeight="1">
      <c r="A56" s="522"/>
      <c r="B56" s="1190" t="e" cm="1" vm="4">
        <f t="array" aca="1" ref="B56" ca="1">'PF calculator'!B56:S56</f>
        <v>#VALUE!</v>
      </c>
      <c r="C56" s="1190"/>
      <c r="D56" s="1190"/>
      <c r="E56" s="1190"/>
      <c r="F56" s="1190"/>
      <c r="G56" s="1190"/>
      <c r="H56" s="1190"/>
      <c r="I56" s="1190"/>
      <c r="J56" s="1190"/>
      <c r="K56" s="1190"/>
      <c r="L56" s="1190"/>
      <c r="M56" s="1190"/>
      <c r="N56" s="1190"/>
      <c r="O56" s="1190"/>
      <c r="P56" s="1190"/>
      <c r="Q56" s="1190"/>
      <c r="R56" s="1190"/>
      <c r="S56" s="1190"/>
      <c r="T56" s="523"/>
      <c r="U56" s="522"/>
      <c r="V56" s="57"/>
      <c r="W56" s="57"/>
      <c r="X56" s="58"/>
    </row>
    <row r="57" spans="1:24" ht="8" customHeight="1">
      <c r="A57" s="522"/>
      <c r="B57" s="529"/>
      <c r="C57" s="529"/>
      <c r="D57" s="529"/>
      <c r="E57" s="530"/>
      <c r="F57" s="530"/>
      <c r="G57" s="529"/>
      <c r="H57" s="529"/>
      <c r="I57" s="529"/>
      <c r="J57" s="529"/>
      <c r="K57" s="529"/>
      <c r="L57" s="529"/>
      <c r="M57" s="529"/>
      <c r="N57" s="529"/>
      <c r="O57" s="529"/>
      <c r="P57" s="529"/>
      <c r="Q57" s="529"/>
      <c r="R57" s="529"/>
      <c r="S57" s="529"/>
      <c r="T57" s="523"/>
      <c r="U57" s="522"/>
      <c r="V57" s="57"/>
      <c r="W57" s="57"/>
      <c r="X57" s="58"/>
    </row>
    <row r="58" spans="1:24" ht="18.75" customHeight="1">
      <c r="A58" s="522"/>
      <c r="B58" s="1217" t="s">
        <v>478</v>
      </c>
      <c r="C58" s="1218"/>
      <c r="D58" s="1227"/>
      <c r="E58" s="1228" cm="1">
        <f t="array" ref="E58">'PF calculator'!E58</f>
        <v>2024</v>
      </c>
      <c r="F58" s="1226"/>
      <c r="G58" s="533"/>
      <c r="H58" s="534"/>
      <c r="I58" s="534"/>
      <c r="J58" s="534"/>
      <c r="K58" s="534"/>
      <c r="L58" s="534"/>
      <c r="M58" s="534"/>
      <c r="N58" s="534"/>
      <c r="O58" s="534"/>
      <c r="P58" s="534"/>
      <c r="Q58" s="534"/>
      <c r="R58" s="534"/>
      <c r="S58" s="534"/>
      <c r="T58" s="523"/>
      <c r="U58" s="522"/>
      <c r="V58" s="57"/>
      <c r="W58" s="57"/>
      <c r="X58" s="58"/>
    </row>
    <row r="59" spans="1:24" ht="8" customHeight="1">
      <c r="A59" s="522"/>
      <c r="B59" s="534"/>
      <c r="C59" s="534"/>
      <c r="D59" s="534"/>
      <c r="E59" s="536"/>
      <c r="F59" s="536"/>
      <c r="G59" s="534"/>
      <c r="H59" s="534"/>
      <c r="I59" s="534"/>
      <c r="J59" s="534"/>
      <c r="K59" s="534"/>
      <c r="L59" s="534"/>
      <c r="M59" s="534"/>
      <c r="N59" s="534"/>
      <c r="O59" s="534"/>
      <c r="P59" s="534"/>
      <c r="Q59" s="534"/>
      <c r="R59" s="534"/>
      <c r="S59" s="534"/>
      <c r="T59" s="523"/>
      <c r="U59" s="522"/>
      <c r="V59" s="57"/>
      <c r="W59" s="57"/>
      <c r="X59" s="58"/>
    </row>
    <row r="60" spans="1:24" ht="18.75" customHeight="1">
      <c r="A60" s="522"/>
      <c r="B60" s="1217" t="s">
        <v>107</v>
      </c>
      <c r="C60" s="1218"/>
      <c r="D60" s="1218"/>
      <c r="E60" s="1218"/>
      <c r="F60" s="1219" t="s">
        <v>125</v>
      </c>
      <c r="G60" s="1220"/>
      <c r="H60" s="1220"/>
      <c r="I60" s="1220"/>
      <c r="J60" s="1220"/>
      <c r="K60" s="534"/>
      <c r="L60" s="1219" t="s">
        <v>109</v>
      </c>
      <c r="M60" s="1220"/>
      <c r="N60" s="1220"/>
      <c r="O60" s="1220"/>
      <c r="P60" s="1220"/>
      <c r="Q60" s="534"/>
      <c r="R60" s="1221" t="s">
        <v>110</v>
      </c>
      <c r="S60" s="1222"/>
      <c r="T60" s="523"/>
      <c r="U60" s="522"/>
      <c r="V60" s="57"/>
      <c r="W60" s="57"/>
      <c r="X60" s="58"/>
    </row>
    <row r="61" spans="1:24" ht="18.75" customHeight="1">
      <c r="A61" s="522"/>
      <c r="B61" s="1209" t="s">
        <v>111</v>
      </c>
      <c r="C61" s="1210"/>
      <c r="D61" s="1210"/>
      <c r="E61" s="1211"/>
      <c r="F61" s="122"/>
      <c r="G61" s="567" cm="1">
        <f t="array" ref="G61">'PF calculator'!G61</f>
        <v>0</v>
      </c>
      <c r="H61" s="567" cm="1">
        <f t="array" ref="H61">'PF calculator'!H61</f>
        <v>0</v>
      </c>
      <c r="I61" s="567" cm="1">
        <f t="array" ref="I61">'PF calculator'!I61</f>
        <v>14</v>
      </c>
      <c r="J61" s="567" cm="1">
        <f t="array" ref="J61">'PF calculator'!J61</f>
        <v>0</v>
      </c>
      <c r="K61" s="568"/>
      <c r="L61" s="569" cm="1">
        <f t="array" ref="L61">IF(SUM(G61:J61)&lt;SUM(F66:J66),"n/a",F66)</f>
        <v>14</v>
      </c>
      <c r="M61" s="569" cm="1">
        <f t="array" ref="M61">IF(SUM(G61:J61)&lt;SUM(F66:J66),"n/a",G66-G61)</f>
        <v>0</v>
      </c>
      <c r="N61" s="569" cm="1">
        <f t="array" ref="N61">IF(SUM(G61:J61)&lt;SUM(F66:J66),"n/a",H66-H61)</f>
        <v>0</v>
      </c>
      <c r="O61" s="569" cm="1">
        <f t="array" ref="O61">IF(SUM(G61:J61)&lt;SUM(F66:J66),"n/a",I66-I61)</f>
        <v>-14</v>
      </c>
      <c r="P61" s="569" cm="1">
        <f t="array" ref="P61">IF(SUM(G61:J61)&lt;SUM(F66:J66),"n/a",J66-J61)</f>
        <v>0</v>
      </c>
      <c r="Q61" s="570"/>
      <c r="R61" s="1212" cm="1">
        <f t="array" ref="R61">IF($E$58+$E$38&lt;2041,"Ltd by DoB",(-SUMPRODUCT($M$61:$P$61,$M$67:$P$67)*VLOOKUP($E$38,'Policy assumptions and formulae'!$A$10:$D$109,4,FALSE))-(-SUMPRODUCT($M$61:$P$61,$M$67:$P$67)*VLOOKUP((2040-$E$58),'Policy assumptions and formulae'!$A$10:$D$109,4,FALSE)))</f>
        <v>234808.57990684893</v>
      </c>
      <c r="S61" s="1226"/>
      <c r="T61" s="571"/>
      <c r="U61" s="522"/>
      <c r="V61" s="57"/>
      <c r="W61" s="57"/>
      <c r="X61" s="58"/>
    </row>
    <row r="62" spans="1:24" ht="18.75" customHeight="1">
      <c r="A62" s="522"/>
      <c r="B62" s="1209" t="s">
        <v>112</v>
      </c>
      <c r="C62" s="1210"/>
      <c r="D62" s="1210"/>
      <c r="E62" s="1211"/>
      <c r="F62" s="122"/>
      <c r="G62" s="567" cm="1">
        <f t="array" ref="G62">'PF calculator'!G62</f>
        <v>0</v>
      </c>
      <c r="H62" s="567" cm="1">
        <f t="array" ref="H62">'PF calculator'!H62</f>
        <v>0</v>
      </c>
      <c r="I62" s="567" cm="1">
        <f t="array" ref="I62">'PF calculator'!I62</f>
        <v>0</v>
      </c>
      <c r="J62" s="567" cm="1">
        <f t="array" ref="J62">'PF calculator'!J62</f>
        <v>0</v>
      </c>
      <c r="K62" s="568"/>
      <c r="L62" s="569" cm="1">
        <f t="array" ref="L62">IF(SUM(G62:J62)&lt;SUM(F67:J67),"n/a",F67)</f>
        <v>0</v>
      </c>
      <c r="M62" s="569" cm="1">
        <f t="array" ref="M62">IF(SUM(G62:J62)&lt;SUM(F67:J67),"n/a",G67-G62)</f>
        <v>0</v>
      </c>
      <c r="N62" s="569" cm="1">
        <f t="array" ref="N62">IF(SUM(G62:J62)&lt;SUM(F67:J67),"n/a",H67-H62)</f>
        <v>0</v>
      </c>
      <c r="O62" s="569" cm="1">
        <f t="array" ref="O62">IF(SUM(G62:J62)&lt;SUM(F67:J67),"n/a",I67-I62)</f>
        <v>0</v>
      </c>
      <c r="P62" s="569" cm="1">
        <f t="array" ref="P62">IF(SUM(G62:J62)&lt;SUM(F67:J67),"n/a",J67-J62)</f>
        <v>0</v>
      </c>
      <c r="Q62" s="570"/>
      <c r="R62" s="1212" cm="1">
        <f t="array" ref="R62">IF($E$58+$E$38&lt;2041,"Ltd by DoB",(-SUMPRODUCT($M$62:$P$62,$M$67:$P$67)*VLOOKUP($E$38,'Policy assumptions and formulae'!$A$10:$D$109,4,FALSE))-(-SUMPRODUCT($M$62:$P$62,$M$67:$P$67)*VLOOKUP((2040-$E$58),'Policy assumptions and formulae'!$A$10:$D$109,4,FALSE)))</f>
        <v>0</v>
      </c>
      <c r="S62" s="1226"/>
      <c r="T62" s="571"/>
      <c r="U62" s="522"/>
      <c r="V62" s="57"/>
      <c r="W62" s="57"/>
      <c r="X62" s="58"/>
    </row>
    <row r="63" spans="1:24" ht="18.75" customHeight="1">
      <c r="A63" s="522"/>
      <c r="B63" s="1209" t="s">
        <v>113</v>
      </c>
      <c r="C63" s="1210"/>
      <c r="D63" s="1210"/>
      <c r="E63" s="1211"/>
      <c r="F63" s="122"/>
      <c r="G63" s="567" cm="1">
        <f t="array" ref="G63">'PF calculator'!G63</f>
        <v>0</v>
      </c>
      <c r="H63" s="567" cm="1">
        <f t="array" ref="H63">'PF calculator'!H63</f>
        <v>0</v>
      </c>
      <c r="I63" s="567" cm="1">
        <f t="array" ref="I63">'PF calculator'!I63</f>
        <v>0</v>
      </c>
      <c r="J63" s="567" cm="1">
        <f t="array" ref="J63">'PF calculator'!J63</f>
        <v>0</v>
      </c>
      <c r="K63" s="568"/>
      <c r="L63" s="569" cm="1">
        <f t="array" ref="L63">IF(SUM(G63:J63)&lt;SUM(F68:J68),"n/a",F68)</f>
        <v>0</v>
      </c>
      <c r="M63" s="569" cm="1">
        <f t="array" ref="M63">IF(SUM(G63:J63)&lt;SUM(F68:J68),"n/a",G68-G63)</f>
        <v>0</v>
      </c>
      <c r="N63" s="569" cm="1">
        <f t="array" ref="N63">IF(SUM(G63:J63)&lt;SUM(F68:J68),"n/a",H68-H63)</f>
        <v>0</v>
      </c>
      <c r="O63" s="569" cm="1">
        <f t="array" ref="O63">IF(SUM(G63:J63)&lt;SUM(F68:J68),"n/a",I68-I63)</f>
        <v>0</v>
      </c>
      <c r="P63" s="569" cm="1">
        <f t="array" ref="P63">IF(SUM(G63:J63)&lt;SUM(F68:J68),"n/a",J68-J63)</f>
        <v>0</v>
      </c>
      <c r="Q63" s="570"/>
      <c r="R63" s="1212" cm="1">
        <f t="array" ref="R63">IF($E$58+$E$38&lt;2041,"Ltd by DoB",(-SUMPRODUCT($M$63:$P$63,$M$67:$P$67)*VLOOKUP($E$38,'Policy assumptions and formulae'!$A$10:$D$109,4,FALSE))-(-SUMPRODUCT($M$63:$P$63,$M$67:$P$67)*VLOOKUP((2040-$E$58),'Policy assumptions and formulae'!$A$10:$D$109,4,FALSE)))</f>
        <v>0</v>
      </c>
      <c r="S63" s="1226"/>
      <c r="T63" s="571"/>
      <c r="U63" s="522"/>
      <c r="V63" s="57"/>
      <c r="W63" s="57"/>
      <c r="X63" s="58"/>
    </row>
    <row r="64" spans="1:24" ht="28.5" customHeight="1">
      <c r="A64" s="522"/>
      <c r="B64" s="529"/>
      <c r="C64" s="529"/>
      <c r="D64" s="529"/>
      <c r="E64" s="529"/>
      <c r="F64" s="572" t="s">
        <v>464</v>
      </c>
      <c r="G64" s="572" t="s">
        <v>114</v>
      </c>
      <c r="H64" s="572" t="s">
        <v>115</v>
      </c>
      <c r="I64" s="572" t="s">
        <v>117</v>
      </c>
      <c r="J64" s="572" t="s">
        <v>118</v>
      </c>
      <c r="K64" s="579"/>
      <c r="L64" s="572" t="s">
        <v>467</v>
      </c>
      <c r="M64" s="572" t="s">
        <v>114</v>
      </c>
      <c r="N64" s="572" t="s">
        <v>115</v>
      </c>
      <c r="O64" s="572" t="s">
        <v>117</v>
      </c>
      <c r="P64" s="572" t="s">
        <v>118</v>
      </c>
      <c r="Q64" s="529"/>
      <c r="R64" s="573"/>
      <c r="S64" s="573"/>
      <c r="T64" s="523"/>
      <c r="U64" s="522"/>
      <c r="V64" s="57"/>
      <c r="W64" s="57"/>
      <c r="X64" s="58"/>
    </row>
    <row r="65" spans="1:24" ht="18.75" customHeight="1">
      <c r="A65" s="522"/>
      <c r="B65" s="1217" t="s">
        <v>107</v>
      </c>
      <c r="C65" s="1218"/>
      <c r="D65" s="1218"/>
      <c r="E65" s="1218"/>
      <c r="F65" s="1219" t="s">
        <v>465</v>
      </c>
      <c r="G65" s="1220"/>
      <c r="H65" s="1220"/>
      <c r="I65" s="1220"/>
      <c r="J65" s="1220"/>
      <c r="K65" s="534"/>
      <c r="L65" s="1223" t="s">
        <v>120</v>
      </c>
      <c r="M65" s="1224"/>
      <c r="N65" s="1224"/>
      <c r="O65" s="1224"/>
      <c r="P65" s="1224"/>
      <c r="Q65" s="534"/>
      <c r="R65" s="534"/>
      <c r="S65" s="534"/>
      <c r="T65" s="523"/>
      <c r="U65" s="522"/>
      <c r="V65" s="57"/>
      <c r="W65" s="57"/>
      <c r="X65" s="58"/>
    </row>
    <row r="66" spans="1:24" ht="18.75" customHeight="1">
      <c r="A66" s="522"/>
      <c r="B66" s="1209" t="s">
        <v>111</v>
      </c>
      <c r="C66" s="1210"/>
      <c r="D66" s="1210"/>
      <c r="E66" s="1211"/>
      <c r="F66" s="567" cm="1">
        <f t="array" ref="F66">'PF calculator'!F66</f>
        <v>14</v>
      </c>
      <c r="G66" s="567" cm="1">
        <f t="array" ref="G66">'PF calculator'!G66</f>
        <v>0</v>
      </c>
      <c r="H66" s="567" cm="1">
        <f t="array" ref="H66">'PF calculator'!H66</f>
        <v>0</v>
      </c>
      <c r="I66" s="567" cm="1">
        <f t="array" ref="I66">'PF calculator'!I66</f>
        <v>0</v>
      </c>
      <c r="J66" s="567" cm="1">
        <f t="array" ref="J66">'PF calculator'!J66</f>
        <v>0</v>
      </c>
      <c r="K66" s="574"/>
      <c r="L66" s="1225"/>
      <c r="M66" s="1225"/>
      <c r="N66" s="1225"/>
      <c r="O66" s="1225"/>
      <c r="P66" s="1225"/>
      <c r="Q66" s="534"/>
      <c r="R66" s="534"/>
      <c r="S66" s="534"/>
      <c r="T66" s="523"/>
      <c r="U66" s="522"/>
      <c r="V66" s="57"/>
      <c r="W66" s="57"/>
      <c r="X66" s="58"/>
    </row>
    <row r="67" spans="1:24" ht="18.75" customHeight="1">
      <c r="A67" s="522"/>
      <c r="B67" s="1209" t="s">
        <v>112</v>
      </c>
      <c r="C67" s="1210"/>
      <c r="D67" s="1210"/>
      <c r="E67" s="1211"/>
      <c r="F67" s="567" cm="1">
        <f t="array" ref="F67">'PF calculator'!F67</f>
        <v>0</v>
      </c>
      <c r="G67" s="567" cm="1">
        <f t="array" ref="G67">'PF calculator'!G67</f>
        <v>0</v>
      </c>
      <c r="H67" s="567" cm="1">
        <f t="array" ref="H67">'PF calculator'!H67</f>
        <v>0</v>
      </c>
      <c r="I67" s="567" cm="1">
        <f t="array" ref="I67">'PF calculator'!I67</f>
        <v>0</v>
      </c>
      <c r="J67" s="567" cm="1">
        <f t="array" ref="J67">'PF calculator'!J67</f>
        <v>0</v>
      </c>
      <c r="K67" s="568"/>
      <c r="L67" s="575" cm="1">
        <f t="array" ref="L67">'Policy assumptions and formulae'!$AD$56</f>
        <v>0</v>
      </c>
      <c r="M67" s="575" cm="1">
        <f t="array" ref="M67">'Policy assumptions and formulae'!$AD$55</f>
        <v>58.833333333333343</v>
      </c>
      <c r="N67" s="575" cm="1">
        <f t="array" ref="N67">'Policy assumptions and formulae'!$AD$54</f>
        <v>294.16666666666674</v>
      </c>
      <c r="O67" s="575" cm="1">
        <f t="array" ref="O67">'Policy assumptions and formulae'!$AD$53</f>
        <v>1000.1666666666665</v>
      </c>
      <c r="P67" s="575" cm="1">
        <f t="array" ref="P67">'Policy assumptions and formulae'!$AD$52</f>
        <v>1588.5000000000002</v>
      </c>
      <c r="Q67" s="574"/>
      <c r="R67" s="534"/>
      <c r="S67" s="534"/>
      <c r="T67" s="523"/>
      <c r="U67" s="522"/>
      <c r="V67" s="57"/>
      <c r="W67" s="57"/>
      <c r="X67" s="58"/>
    </row>
    <row r="68" spans="1:24" ht="18.75" customHeight="1">
      <c r="A68" s="522"/>
      <c r="B68" s="1209" t="s">
        <v>113</v>
      </c>
      <c r="C68" s="1210"/>
      <c r="D68" s="1210"/>
      <c r="E68" s="1211"/>
      <c r="F68" s="567" cm="1">
        <f t="array" ref="F68">'PF calculator'!F68</f>
        <v>0</v>
      </c>
      <c r="G68" s="567" cm="1">
        <f t="array" ref="G68">'PF calculator'!G68</f>
        <v>0</v>
      </c>
      <c r="H68" s="567" cm="1">
        <f t="array" ref="H68">'PF calculator'!H68</f>
        <v>0</v>
      </c>
      <c r="I68" s="567" cm="1">
        <f t="array" ref="I68">'PF calculator'!I68</f>
        <v>0</v>
      </c>
      <c r="J68" s="567" cm="1">
        <f t="array" ref="J68">'PF calculator'!J68</f>
        <v>0</v>
      </c>
      <c r="K68" s="574"/>
      <c r="L68" s="577"/>
      <c r="M68" s="546"/>
      <c r="N68" s="546"/>
      <c r="O68" s="546"/>
      <c r="P68" s="546"/>
      <c r="Q68" s="534"/>
      <c r="R68" s="534"/>
      <c r="S68" s="534"/>
      <c r="T68" s="523"/>
      <c r="U68" s="522"/>
      <c r="V68" s="57"/>
      <c r="W68" s="57"/>
      <c r="X68" s="58"/>
    </row>
    <row r="69" spans="1:24" ht="28.5" customHeight="1">
      <c r="A69" s="522"/>
      <c r="B69" s="529"/>
      <c r="C69" s="529"/>
      <c r="D69" s="529"/>
      <c r="E69" s="529"/>
      <c r="F69" s="572" t="s">
        <v>464</v>
      </c>
      <c r="G69" s="572" t="s">
        <v>114</v>
      </c>
      <c r="H69" s="572" t="s">
        <v>115</v>
      </c>
      <c r="I69" s="572" t="s">
        <v>117</v>
      </c>
      <c r="J69" s="572" t="s">
        <v>118</v>
      </c>
      <c r="K69" s="529"/>
      <c r="L69" s="529"/>
      <c r="M69" s="529"/>
      <c r="N69" s="529"/>
      <c r="O69" s="529"/>
      <c r="P69" s="529"/>
      <c r="Q69" s="529"/>
      <c r="R69" s="529"/>
      <c r="S69" s="529"/>
      <c r="T69" s="523"/>
      <c r="U69" s="522"/>
      <c r="V69" s="57"/>
      <c r="W69" s="57"/>
      <c r="X69" s="58"/>
    </row>
    <row r="70" spans="1:24" ht="8" customHeight="1">
      <c r="A70" s="522"/>
      <c r="B70" s="549"/>
      <c r="C70" s="549"/>
      <c r="D70" s="549"/>
      <c r="E70" s="549"/>
      <c r="F70" s="549"/>
      <c r="G70" s="549"/>
      <c r="H70" s="549"/>
      <c r="I70" s="549"/>
      <c r="J70" s="549"/>
      <c r="K70" s="549"/>
      <c r="L70" s="549"/>
      <c r="M70" s="549"/>
      <c r="N70" s="549"/>
      <c r="O70" s="549"/>
      <c r="P70" s="549"/>
      <c r="Q70" s="549"/>
      <c r="R70" s="549"/>
      <c r="S70" s="549"/>
      <c r="T70" s="523"/>
      <c r="U70" s="522"/>
      <c r="V70" s="57"/>
      <c r="W70" s="57"/>
      <c r="X70" s="58"/>
    </row>
    <row r="71" spans="1:24" ht="18.75" customHeight="1">
      <c r="A71" s="522"/>
      <c r="B71" s="1190" t="e" cm="1" vm="4">
        <f t="array" aca="1" ref="B71" ca="1">'PF calculator'!B71:S71</f>
        <v>#VALUE!</v>
      </c>
      <c r="C71" s="1190"/>
      <c r="D71" s="1190"/>
      <c r="E71" s="1190"/>
      <c r="F71" s="1190"/>
      <c r="G71" s="1190"/>
      <c r="H71" s="1190"/>
      <c r="I71" s="1190"/>
      <c r="J71" s="1190"/>
      <c r="K71" s="1190"/>
      <c r="L71" s="1190"/>
      <c r="M71" s="1190"/>
      <c r="N71" s="1190"/>
      <c r="O71" s="1190"/>
      <c r="P71" s="1190"/>
      <c r="Q71" s="1190"/>
      <c r="R71" s="1190"/>
      <c r="S71" s="1190"/>
      <c r="T71" s="523"/>
      <c r="U71" s="522"/>
      <c r="V71" s="57"/>
      <c r="W71" s="57"/>
      <c r="X71" s="58"/>
    </row>
    <row r="72" spans="1:24" ht="8" customHeight="1">
      <c r="A72" s="522"/>
      <c r="B72" s="529"/>
      <c r="C72" s="529"/>
      <c r="D72" s="529"/>
      <c r="E72" s="529"/>
      <c r="F72" s="529"/>
      <c r="G72" s="529"/>
      <c r="H72" s="529"/>
      <c r="I72" s="529"/>
      <c r="J72" s="529"/>
      <c r="K72" s="529"/>
      <c r="L72" s="529"/>
      <c r="M72" s="529"/>
      <c r="N72" s="529"/>
      <c r="O72" s="529"/>
      <c r="P72" s="529"/>
      <c r="Q72" s="529"/>
      <c r="R72" s="529"/>
      <c r="S72" s="529"/>
      <c r="T72" s="523"/>
      <c r="U72" s="522"/>
      <c r="V72" s="57"/>
      <c r="W72" s="57"/>
      <c r="X72" s="58"/>
    </row>
    <row r="73" spans="1:24" ht="18.75" customHeight="1">
      <c r="A73" s="522"/>
      <c r="B73" s="1217" t="s">
        <v>107</v>
      </c>
      <c r="C73" s="1218"/>
      <c r="D73" s="1218"/>
      <c r="E73" s="1218"/>
      <c r="F73" s="1219" t="s">
        <v>108</v>
      </c>
      <c r="G73" s="1220"/>
      <c r="H73" s="534"/>
      <c r="I73" s="534"/>
      <c r="J73" s="1217" t="s">
        <v>127</v>
      </c>
      <c r="K73" s="1218"/>
      <c r="L73" s="1218"/>
      <c r="M73" s="1218"/>
      <c r="N73" s="564"/>
      <c r="O73" s="564"/>
      <c r="P73" s="534"/>
      <c r="Q73" s="534"/>
      <c r="R73" s="1221" t="s">
        <v>110</v>
      </c>
      <c r="S73" s="1222"/>
      <c r="T73" s="523"/>
      <c r="U73" s="522"/>
      <c r="V73" s="57"/>
      <c r="W73" s="57"/>
      <c r="X73" s="58"/>
    </row>
    <row r="74" spans="1:24" ht="18.75" customHeight="1">
      <c r="A74" s="522"/>
      <c r="B74" s="1209" t="s">
        <v>111</v>
      </c>
      <c r="C74" s="1210"/>
      <c r="D74" s="1210"/>
      <c r="E74" s="1211"/>
      <c r="F74" s="567" cm="1">
        <f t="array" ref="F74">'PF calculator'!F74</f>
        <v>0</v>
      </c>
      <c r="G74" s="567" cm="1">
        <f t="array" ref="G74">'PF calculator'!G74</f>
        <v>0</v>
      </c>
      <c r="H74" s="574"/>
      <c r="I74" s="534"/>
      <c r="J74" s="1209" t="s">
        <v>128</v>
      </c>
      <c r="K74" s="1210"/>
      <c r="L74" s="1210"/>
      <c r="M74" s="1211"/>
      <c r="N74" s="580" cm="1">
        <f t="array" ref="N74">'Policy assumptions and formulae'!$AJ$7</f>
        <v>6800</v>
      </c>
      <c r="O74" s="580" cm="1">
        <f t="array" ref="O74">'Policy assumptions and formulae'!$AJ$7</f>
        <v>6800</v>
      </c>
      <c r="P74" s="581"/>
      <c r="Q74" s="582"/>
      <c r="R74" s="1212" cm="1">
        <f t="array" ref="R74">SUMPRODUCT($N$76:$O$76,$F$74:$G$74)*VLOOKUP($E$38,'Policy assumptions and formulae'!$A$10:$D$109,4,FALSE)</f>
        <v>0</v>
      </c>
      <c r="S74" s="1213"/>
      <c r="T74" s="571"/>
      <c r="U74" s="522"/>
      <c r="V74" s="57"/>
      <c r="W74" s="57"/>
      <c r="X74" s="58"/>
    </row>
    <row r="75" spans="1:24" ht="18.75" customHeight="1">
      <c r="A75" s="522"/>
      <c r="B75" s="1209" t="s">
        <v>112</v>
      </c>
      <c r="C75" s="1210"/>
      <c r="D75" s="1210"/>
      <c r="E75" s="1211"/>
      <c r="F75" s="567" cm="1">
        <f t="array" ref="F75">'PF calculator'!F75</f>
        <v>0</v>
      </c>
      <c r="G75" s="567" cm="1">
        <f t="array" ref="G75">'PF calculator'!G75</f>
        <v>0</v>
      </c>
      <c r="H75" s="574"/>
      <c r="I75" s="534"/>
      <c r="J75" s="1209" t="s">
        <v>129</v>
      </c>
      <c r="K75" s="1210"/>
      <c r="L75" s="1210"/>
      <c r="M75" s="1211"/>
      <c r="N75" s="583" cm="1">
        <f t="array" ref="N75">'Policy assumptions and formulae'!AJ28</f>
        <v>50</v>
      </c>
      <c r="O75" s="583" cm="1">
        <f t="array" ref="O75">'Policy assumptions and formulae'!AJ26</f>
        <v>20</v>
      </c>
      <c r="P75" s="584" t="s">
        <v>130</v>
      </c>
      <c r="Q75" s="582"/>
      <c r="R75" s="1212" cm="1">
        <f t="array" ref="R75">SUMPRODUCT($N$76:$O$76,$F$75:$G$75)*VLOOKUP($E$38,'Policy assumptions and formulae'!$A$10:$D$109,4,FALSE)</f>
        <v>0</v>
      </c>
      <c r="S75" s="1213"/>
      <c r="T75" s="571"/>
      <c r="U75" s="522"/>
      <c r="V75" s="57"/>
      <c r="W75" s="57"/>
      <c r="X75" s="58"/>
    </row>
    <row r="76" spans="1:24" ht="18.75" customHeight="1">
      <c r="A76" s="522"/>
      <c r="B76" s="1209" t="s">
        <v>113</v>
      </c>
      <c r="C76" s="1210"/>
      <c r="D76" s="1210"/>
      <c r="E76" s="1211"/>
      <c r="F76" s="567" cm="1">
        <f t="array" ref="F76">'PF calculator'!F76</f>
        <v>0</v>
      </c>
      <c r="G76" s="567" cm="1">
        <f t="array" ref="G76">'PF calculator'!G76</f>
        <v>0</v>
      </c>
      <c r="H76" s="574"/>
      <c r="I76" s="534"/>
      <c r="J76" s="1214" t="s">
        <v>131</v>
      </c>
      <c r="K76" s="1215"/>
      <c r="L76" s="1215"/>
      <c r="M76" s="1216"/>
      <c r="N76" s="580" cm="1">
        <f t="array" ref="N76">'Policy assumptions and formulae'!$AM$28</f>
        <v>1341.3864802956584</v>
      </c>
      <c r="O76" s="580" cm="1">
        <f t="array" ref="O76">'Policy assumptions and formulae'!$AM$26</f>
        <v>3417.4480141353633</v>
      </c>
      <c r="P76" s="585"/>
      <c r="Q76" s="582"/>
      <c r="R76" s="1212" cm="1">
        <f t="array" ref="R76">SUMPRODUCT($N$76:$O$76,$F$76:$G$76)*VLOOKUP($E$38,'Policy assumptions and formulae'!$A$10:$D$109,4,FALSE)</f>
        <v>0</v>
      </c>
      <c r="S76" s="1213"/>
      <c r="T76" s="571"/>
      <c r="U76" s="522"/>
      <c r="V76" s="57"/>
      <c r="W76" s="57"/>
      <c r="X76" s="58"/>
    </row>
    <row r="77" spans="1:24" ht="18.75" customHeight="1">
      <c r="A77" s="522"/>
      <c r="B77" s="534"/>
      <c r="C77" s="534"/>
      <c r="D77" s="534"/>
      <c r="E77" s="534"/>
      <c r="F77" s="572" t="s">
        <v>468</v>
      </c>
      <c r="G77" s="572" t="s">
        <v>133</v>
      </c>
      <c r="H77" s="534"/>
      <c r="I77" s="534"/>
      <c r="J77" s="1215"/>
      <c r="K77" s="1215"/>
      <c r="L77" s="1215"/>
      <c r="M77" s="1215"/>
      <c r="N77" s="572" t="s">
        <v>134</v>
      </c>
      <c r="O77" s="572" t="s">
        <v>135</v>
      </c>
      <c r="P77" s="586"/>
      <c r="Q77" s="534"/>
      <c r="R77" s="536"/>
      <c r="S77" s="536"/>
      <c r="T77" s="523"/>
      <c r="U77" s="522"/>
      <c r="V77" s="57"/>
      <c r="W77" s="57"/>
      <c r="X77" s="58"/>
    </row>
    <row r="78" spans="1:24" ht="8" customHeight="1">
      <c r="A78" s="522"/>
      <c r="B78" s="549"/>
      <c r="C78" s="549"/>
      <c r="D78" s="549"/>
      <c r="E78" s="549"/>
      <c r="F78" s="549"/>
      <c r="G78" s="549"/>
      <c r="H78" s="549"/>
      <c r="I78" s="549"/>
      <c r="J78" s="549"/>
      <c r="K78" s="549"/>
      <c r="L78" s="549"/>
      <c r="M78" s="549"/>
      <c r="N78" s="549"/>
      <c r="O78" s="549"/>
      <c r="P78" s="549"/>
      <c r="Q78" s="549"/>
      <c r="R78" s="549"/>
      <c r="S78" s="549"/>
      <c r="T78" s="523"/>
      <c r="U78" s="522"/>
      <c r="V78" s="57"/>
      <c r="W78" s="57"/>
      <c r="X78" s="58"/>
    </row>
    <row r="79" spans="1:24" ht="18.75" customHeight="1">
      <c r="A79" s="522"/>
      <c r="B79" s="1190" t="e" cm="1" vm="4">
        <f t="array" aca="1" ref="B79" ca="1">'PF calculator'!B79:S79</f>
        <v>#VALUE!</v>
      </c>
      <c r="C79" s="1190"/>
      <c r="D79" s="1190"/>
      <c r="E79" s="1190"/>
      <c r="F79" s="1190"/>
      <c r="G79" s="1190"/>
      <c r="H79" s="1190"/>
      <c r="I79" s="1190"/>
      <c r="J79" s="1190"/>
      <c r="K79" s="1190"/>
      <c r="L79" s="1190"/>
      <c r="M79" s="1190"/>
      <c r="N79" s="1190"/>
      <c r="O79" s="1190"/>
      <c r="P79" s="1190"/>
      <c r="Q79" s="1190"/>
      <c r="R79" s="1190"/>
      <c r="S79" s="1190"/>
      <c r="T79" s="523"/>
      <c r="U79" s="522"/>
      <c r="V79" s="57"/>
      <c r="W79" s="57"/>
      <c r="X79" s="58"/>
    </row>
    <row r="80" spans="1:24" ht="8" customHeight="1">
      <c r="A80" s="522"/>
      <c r="B80" s="550"/>
      <c r="C80" s="529"/>
      <c r="D80" s="529"/>
      <c r="E80" s="529"/>
      <c r="F80" s="529"/>
      <c r="G80" s="529"/>
      <c r="H80" s="529"/>
      <c r="I80" s="529"/>
      <c r="J80" s="529"/>
      <c r="K80" s="529"/>
      <c r="L80" s="529"/>
      <c r="M80" s="529"/>
      <c r="N80" s="529"/>
      <c r="O80" s="529"/>
      <c r="P80" s="529"/>
      <c r="Q80" s="529"/>
      <c r="R80" s="529"/>
      <c r="S80" s="529"/>
      <c r="T80" s="523"/>
      <c r="U80" s="522"/>
      <c r="V80" s="57"/>
      <c r="W80" s="57"/>
      <c r="X80" s="58"/>
    </row>
    <row r="81" spans="1:24" ht="18.75" customHeight="1">
      <c r="A81" s="522"/>
      <c r="B81" s="587"/>
      <c r="C81" s="559"/>
      <c r="D81" s="1199" t="s">
        <v>469</v>
      </c>
      <c r="E81" s="1200"/>
      <c r="F81" s="1200"/>
      <c r="G81" s="1199" t="s">
        <v>470</v>
      </c>
      <c r="H81" s="1200"/>
      <c r="I81" s="1200"/>
      <c r="J81" s="1200"/>
      <c r="K81" s="1200"/>
      <c r="L81" s="529"/>
      <c r="M81" s="529"/>
      <c r="N81" s="529"/>
      <c r="O81" s="529"/>
      <c r="P81" s="529"/>
      <c r="Q81" s="529"/>
      <c r="R81" s="529"/>
      <c r="S81" s="529"/>
      <c r="T81" s="523"/>
      <c r="U81" s="522"/>
      <c r="V81" s="57"/>
      <c r="W81" s="57"/>
      <c r="X81" s="58"/>
    </row>
    <row r="82" spans="1:24" ht="18.75" customHeight="1">
      <c r="A82" s="522"/>
      <c r="B82" s="1201" t="s">
        <v>471</v>
      </c>
      <c r="C82" s="1202"/>
      <c r="D82" s="588" t="s">
        <v>140</v>
      </c>
      <c r="E82" s="588" t="s">
        <v>141</v>
      </c>
      <c r="F82" s="588" t="s">
        <v>142</v>
      </c>
      <c r="G82" s="559"/>
      <c r="H82" s="588" t="s">
        <v>140</v>
      </c>
      <c r="I82" s="588" t="s">
        <v>141</v>
      </c>
      <c r="J82" s="588" t="s">
        <v>142</v>
      </c>
      <c r="K82" s="529"/>
      <c r="L82" s="1205" t="s">
        <v>110</v>
      </c>
      <c r="M82" s="1206"/>
      <c r="N82" s="529"/>
      <c r="O82" s="589" t="s">
        <v>472</v>
      </c>
      <c r="P82" s="529"/>
      <c r="Q82" s="529"/>
      <c r="R82" s="529"/>
      <c r="S82" s="529"/>
      <c r="T82" s="523"/>
      <c r="U82" s="522"/>
      <c r="V82" s="57"/>
      <c r="W82" s="57"/>
      <c r="X82" s="58"/>
    </row>
    <row r="83" spans="1:24" ht="18.75" customHeight="1">
      <c r="A83" s="522"/>
      <c r="B83" s="1188" t="s">
        <v>144</v>
      </c>
      <c r="C83" s="1189"/>
      <c r="D83" s="590" cm="1">
        <f t="array" ref="D83">'PF calculator'!D83</f>
        <v>1</v>
      </c>
      <c r="E83" s="590" cm="1">
        <f t="array" ref="E83">'PF calculator'!E83</f>
        <v>0</v>
      </c>
      <c r="F83" s="590" cm="1">
        <f t="array" ref="F83">'PF calculator'!F83</f>
        <v>0</v>
      </c>
      <c r="G83" s="1193"/>
      <c r="H83" s="590" cm="1">
        <f t="array" ref="H83">'PF calculator'!H83</f>
        <v>0</v>
      </c>
      <c r="I83" s="590" cm="1">
        <f t="array" ref="I83">'PF calculator'!I83</f>
        <v>0</v>
      </c>
      <c r="J83" s="590" cm="1">
        <f t="array" ref="J83">'PF calculator'!J83</f>
        <v>1</v>
      </c>
      <c r="K83" s="1194" t="str" cm="1">
        <f t="array" ref="K83">IF(SUM(D83:F90)&lt;&gt;SUM(H83:J90),"Error in net change habitat","")</f>
        <v/>
      </c>
      <c r="L83" s="1162" cm="1">
        <f t="array" ref="L83">(((H83-D83)*'Policy assumptions and formulae'!AR12)+((I83-E83)*'Policy assumptions and formulae'!AS12)+((J83-F83)*'Policy assumptions and formulae'!AT12))*VLOOKUP($E$38,'Policy assumptions and formulae'!$A$10:$D$109,4,FALSE)</f>
        <v>272055.24016990041</v>
      </c>
      <c r="M83" s="1163"/>
      <c r="N83" s="591"/>
      <c r="O83" s="587"/>
      <c r="P83" s="592" t="s">
        <v>145</v>
      </c>
      <c r="Q83" s="559"/>
      <c r="R83" s="1203" t="s">
        <v>110</v>
      </c>
      <c r="S83" s="1204"/>
      <c r="T83" s="523"/>
      <c r="U83" s="522"/>
      <c r="V83" s="57"/>
      <c r="W83" s="57"/>
      <c r="X83" s="58"/>
    </row>
    <row r="84" spans="1:24" ht="18.75" customHeight="1">
      <c r="A84" s="522"/>
      <c r="B84" s="1188" t="s">
        <v>146</v>
      </c>
      <c r="C84" s="1189"/>
      <c r="D84" s="590" cm="1">
        <f t="array" ref="D84">'PF calculator'!D84</f>
        <v>1</v>
      </c>
      <c r="E84" s="590" cm="1">
        <f t="array" ref="E84">'PF calculator'!E84</f>
        <v>0</v>
      </c>
      <c r="F84" s="590" cm="1">
        <f t="array" ref="F84">'PF calculator'!F84</f>
        <v>0</v>
      </c>
      <c r="G84" s="1193"/>
      <c r="H84" s="590" cm="1">
        <f t="array" ref="H84">'PF calculator'!H84</f>
        <v>0</v>
      </c>
      <c r="I84" s="590" cm="1">
        <f t="array" ref="I84">'PF calculator'!I84</f>
        <v>0</v>
      </c>
      <c r="J84" s="590" cm="1">
        <f t="array" ref="J84">'PF calculator'!J84</f>
        <v>1</v>
      </c>
      <c r="K84" s="1194"/>
      <c r="L84" s="1162" cm="1">
        <f t="array" ref="L84">(((H84-D84)*'Policy assumptions and formulae'!AR13)+((I84-E84)*'Policy assumptions and formulae'!AS13)+((J84-F84)*'Policy assumptions and formulae'!AT13))*VLOOKUP($E$38,'Policy assumptions and formulae'!$A$10:$D$109,4,FALSE)</f>
        <v>159768.99395268576</v>
      </c>
      <c r="M84" s="1163"/>
      <c r="N84" s="1207" t="s">
        <v>147</v>
      </c>
      <c r="O84" s="1208"/>
      <c r="P84" s="593" cm="1">
        <f t="array" ref="P84">'PF calculator'!P84</f>
        <v>1</v>
      </c>
      <c r="Q84" s="594"/>
      <c r="R84" s="1184" cm="1">
        <f t="array" ref="R84">(P84*'Policy assumptions and formulae'!AT23)*VLOOKUP($E$38,'Policy assumptions and formulae'!$A$10:$D$109,4,FALSE)</f>
        <v>394196.39629447705</v>
      </c>
      <c r="S84" s="1185"/>
      <c r="T84" s="571"/>
      <c r="U84" s="522"/>
      <c r="V84" s="57"/>
      <c r="W84" s="57"/>
      <c r="X84" s="58"/>
    </row>
    <row r="85" spans="1:24" ht="18.75" customHeight="1">
      <c r="A85" s="522"/>
      <c r="B85" s="1188" t="s">
        <v>148</v>
      </c>
      <c r="C85" s="1189"/>
      <c r="D85" s="590" cm="1">
        <f t="array" ref="D85">'PF calculator'!D85</f>
        <v>1</v>
      </c>
      <c r="E85" s="590" cm="1">
        <f t="array" ref="E85">'PF calculator'!E85</f>
        <v>0</v>
      </c>
      <c r="F85" s="590" cm="1">
        <f t="array" ref="F85">'PF calculator'!F85</f>
        <v>0</v>
      </c>
      <c r="G85" s="1193"/>
      <c r="H85" s="590" cm="1">
        <f t="array" ref="H85">'PF calculator'!H85</f>
        <v>0</v>
      </c>
      <c r="I85" s="590" cm="1">
        <f t="array" ref="I85">'PF calculator'!I85</f>
        <v>0</v>
      </c>
      <c r="J85" s="590" cm="1">
        <f t="array" ref="J85">'PF calculator'!J85</f>
        <v>1</v>
      </c>
      <c r="K85" s="1194"/>
      <c r="L85" s="1162" cm="1">
        <f t="array" ref="L85">(((H85-D85)*'Policy assumptions and formulae'!AR14)+((I85-E85)*'Policy assumptions and formulae'!AS14)+((J85-F85)*'Policy assumptions and formulae'!AT14))*VLOOKUP($E$38,'Policy assumptions and formulae'!$A$10:$D$109,4,FALSE)</f>
        <v>159768.99395268576</v>
      </c>
      <c r="M85" s="1163"/>
      <c r="N85" s="1207" t="s">
        <v>149</v>
      </c>
      <c r="O85" s="1208"/>
      <c r="P85" s="593" cm="1">
        <f t="array" ref="P85">'PF calculator'!P85</f>
        <v>1</v>
      </c>
      <c r="Q85" s="594"/>
      <c r="R85" s="1184" cm="1">
        <f t="array" ref="R85">(P85*'Policy assumptions and formulae'!AT24)*VLOOKUP($E$38,'Policy assumptions and formulae'!$A$10:$D$109,4,FALSE)</f>
        <v>197098.19814723852</v>
      </c>
      <c r="S85" s="1185"/>
      <c r="T85" s="571"/>
      <c r="U85" s="522"/>
      <c r="V85" s="57"/>
      <c r="W85" s="57"/>
      <c r="X85" s="58"/>
    </row>
    <row r="86" spans="1:24" ht="18.75" customHeight="1">
      <c r="A86" s="522"/>
      <c r="B86" s="1188" t="s">
        <v>150</v>
      </c>
      <c r="C86" s="1189"/>
      <c r="D86" s="590" cm="1">
        <f t="array" ref="D86">'PF calculator'!D86</f>
        <v>1</v>
      </c>
      <c r="E86" s="590" cm="1">
        <f t="array" ref="E86">'PF calculator'!E86</f>
        <v>0</v>
      </c>
      <c r="F86" s="590" cm="1">
        <f t="array" ref="F86">'PF calculator'!F86</f>
        <v>0</v>
      </c>
      <c r="G86" s="1193"/>
      <c r="H86" s="590" cm="1">
        <f t="array" ref="H86">'PF calculator'!H86</f>
        <v>0</v>
      </c>
      <c r="I86" s="590" cm="1">
        <f t="array" ref="I86">'PF calculator'!I86</f>
        <v>0</v>
      </c>
      <c r="J86" s="590" cm="1">
        <f t="array" ref="J86">'PF calculator'!J86</f>
        <v>1</v>
      </c>
      <c r="K86" s="1194"/>
      <c r="L86" s="1162" cm="1">
        <f t="array" ref="L86">(((H86-D86)*'Policy assumptions and formulae'!AR15)+((I86-E86)*'Policy assumptions and formulae'!AS15)+((J86-F86)*'Policy assumptions and formulae'!AT15))*VLOOKUP($E$38,'Policy assumptions and formulae'!$A$10:$D$109,4,FALSE)</f>
        <v>81825.615594459625</v>
      </c>
      <c r="M86" s="1163"/>
      <c r="N86" s="1195" t="s">
        <v>151</v>
      </c>
      <c r="O86" s="1196"/>
      <c r="P86" s="593" cm="1">
        <f t="array" ref="P86">'PF calculator'!P86</f>
        <v>1</v>
      </c>
      <c r="Q86" s="594"/>
      <c r="R86" s="1184" cm="1">
        <f t="array" ref="R86">(P86*'Policy assumptions and formulae'!AT25)*VLOOKUP($E$38,'Policy assumptions and formulae'!$A$10:$D$109,4,FALSE)</f>
        <v>98549.099073619262</v>
      </c>
      <c r="S86" s="1185"/>
      <c r="T86" s="571"/>
      <c r="U86" s="522"/>
      <c r="V86" s="57"/>
      <c r="W86" s="57"/>
      <c r="X86" s="58"/>
    </row>
    <row r="87" spans="1:24" ht="18.75" customHeight="1">
      <c r="A87" s="522"/>
      <c r="B87" s="1188" t="s">
        <v>152</v>
      </c>
      <c r="C87" s="1189"/>
      <c r="D87" s="590" cm="1">
        <f t="array" ref="D87">'PF calculator'!D87</f>
        <v>1</v>
      </c>
      <c r="E87" s="590" cm="1">
        <f t="array" ref="E87">'PF calculator'!E87</f>
        <v>0</v>
      </c>
      <c r="F87" s="590" cm="1">
        <f t="array" ref="F87">'PF calculator'!F87</f>
        <v>0</v>
      </c>
      <c r="G87" s="1193"/>
      <c r="H87" s="590" cm="1">
        <f t="array" ref="H87">'PF calculator'!H87</f>
        <v>0</v>
      </c>
      <c r="I87" s="590" cm="1">
        <f t="array" ref="I87">'PF calculator'!I87</f>
        <v>0</v>
      </c>
      <c r="J87" s="590" cm="1">
        <f t="array" ref="J87">'PF calculator'!J87</f>
        <v>1</v>
      </c>
      <c r="K87" s="1194"/>
      <c r="L87" s="1162" cm="1">
        <f t="array" ref="L87">(((H87-D87)*'Policy assumptions and formulae'!AR16)+((I87-E87)*'Policy assumptions and formulae'!AS16)+((J87-F87)*'Policy assumptions and formulae'!AT16))*VLOOKUP($E$38,'Policy assumptions and formulae'!$A$10:$D$109,4,FALSE)</f>
        <v>12841.246242926147</v>
      </c>
      <c r="M87" s="1163"/>
      <c r="N87" s="1197"/>
      <c r="O87" s="1198"/>
      <c r="P87" s="595"/>
      <c r="Q87" s="559"/>
      <c r="R87" s="596"/>
      <c r="S87" s="596"/>
      <c r="T87" s="523"/>
      <c r="U87" s="522"/>
      <c r="V87" s="57"/>
      <c r="W87" s="57"/>
      <c r="X87" s="58"/>
    </row>
    <row r="88" spans="1:24" ht="18.75" customHeight="1">
      <c r="A88" s="522"/>
      <c r="B88" s="1188" t="s">
        <v>153</v>
      </c>
      <c r="C88" s="1189"/>
      <c r="D88" s="590" cm="1">
        <f t="array" ref="D88">'PF calculator'!D88</f>
        <v>1</v>
      </c>
      <c r="E88" s="590" cm="1">
        <f t="array" ref="E88">'PF calculator'!E88</f>
        <v>0</v>
      </c>
      <c r="F88" s="590" cm="1">
        <f t="array" ref="F88">'PF calculator'!F88</f>
        <v>0</v>
      </c>
      <c r="G88" s="1193"/>
      <c r="H88" s="590" cm="1">
        <f t="array" ref="H88">'PF calculator'!H88</f>
        <v>0</v>
      </c>
      <c r="I88" s="590" cm="1">
        <f t="array" ref="I88">'PF calculator'!I88</f>
        <v>0</v>
      </c>
      <c r="J88" s="590" cm="1">
        <f t="array" ref="J88">'PF calculator'!J88</f>
        <v>1</v>
      </c>
      <c r="K88" s="1194"/>
      <c r="L88" s="1162" cm="1">
        <f t="array" ref="L88">(((H88-D88)*'Policy assumptions and formulae'!AR17)+((I88-E88)*'Policy assumptions and formulae'!AS17)+((J88-F88)*'Policy assumptions and formulae'!AT17))*VLOOKUP($E$38,'Policy assumptions and formulae'!$A$10:$D$109,4,FALSE)</f>
        <v>78540.645625338992</v>
      </c>
      <c r="M88" s="1163"/>
      <c r="N88" s="591"/>
      <c r="O88" s="529"/>
      <c r="P88" s="529"/>
      <c r="Q88" s="529"/>
      <c r="R88" s="529"/>
      <c r="S88" s="529"/>
      <c r="T88" s="523"/>
      <c r="U88" s="522"/>
      <c r="V88" s="57"/>
      <c r="W88" s="57"/>
      <c r="X88" s="58"/>
    </row>
    <row r="89" spans="1:24" ht="18.75" customHeight="1">
      <c r="A89" s="522"/>
      <c r="B89" s="1188" t="s">
        <v>154</v>
      </c>
      <c r="C89" s="1189"/>
      <c r="D89" s="590" cm="1">
        <f t="array" ref="D89">'PF calculator'!D89</f>
        <v>1</v>
      </c>
      <c r="E89" s="590" cm="1">
        <f t="array" ref="E89">'PF calculator'!E89</f>
        <v>0</v>
      </c>
      <c r="F89" s="590" cm="1">
        <f t="array" ref="F89">'PF calculator'!F89</f>
        <v>0</v>
      </c>
      <c r="G89" s="1193"/>
      <c r="H89" s="590" cm="1">
        <f t="array" ref="H89">'PF calculator'!H89</f>
        <v>0</v>
      </c>
      <c r="I89" s="590" cm="1">
        <f t="array" ref="I89">'PF calculator'!I89</f>
        <v>0</v>
      </c>
      <c r="J89" s="590" cm="1">
        <f t="array" ref="J89">'PF calculator'!J89</f>
        <v>1</v>
      </c>
      <c r="K89" s="1194"/>
      <c r="L89" s="1162" cm="1">
        <f t="array" ref="L89">(((H89-D89)*'Policy assumptions and formulae'!AR18)+((I89-E89)*'Policy assumptions and formulae'!AS18)+((J89-F89)*'Policy assumptions and formulae'!AT18))*VLOOKUP($E$38,'Policy assumptions and formulae'!$A$10:$D$109,4,FALSE)</f>
        <v>81825.615594459625</v>
      </c>
      <c r="M89" s="1163"/>
      <c r="N89" s="597"/>
      <c r="O89" s="598"/>
      <c r="P89" s="599"/>
      <c r="Q89" s="559"/>
      <c r="R89" s="600"/>
      <c r="S89" s="600"/>
      <c r="T89" s="523"/>
      <c r="U89" s="522"/>
      <c r="V89" s="57"/>
      <c r="W89" s="57"/>
      <c r="X89" s="58"/>
    </row>
    <row r="90" spans="1:24" ht="18.75" customHeight="1">
      <c r="A90" s="522"/>
      <c r="B90" s="1188" t="s">
        <v>155</v>
      </c>
      <c r="C90" s="1189"/>
      <c r="D90" s="590" cm="1">
        <f t="array" ref="D90">'PF calculator'!D90</f>
        <v>1</v>
      </c>
      <c r="E90" s="590" cm="1">
        <f t="array" ref="E90">'PF calculator'!E90</f>
        <v>0</v>
      </c>
      <c r="F90" s="590" cm="1">
        <f t="array" ref="F90">'PF calculator'!F90</f>
        <v>0</v>
      </c>
      <c r="G90" s="1193"/>
      <c r="H90" s="590" cm="1">
        <f t="array" ref="H90">'PF calculator'!H90</f>
        <v>0</v>
      </c>
      <c r="I90" s="590" cm="1">
        <f t="array" ref="I90">'PF calculator'!I90</f>
        <v>0</v>
      </c>
      <c r="J90" s="590" cm="1">
        <f t="array" ref="J90">'PF calculator'!J90</f>
        <v>1</v>
      </c>
      <c r="K90" s="1194"/>
      <c r="L90" s="1162" cm="1">
        <f t="array" ref="L90">(((H90-D90)*'Policy assumptions and formulae'!AR19)+((I90-E90)*'Policy assumptions and formulae'!AS19)+((J90-F90)*'Policy assumptions and formulae'!AT19))*VLOOKUP($E$38,'Policy assumptions and formulae'!$A$10:$D$109,4,FALSE)</f>
        <v>895.90090066926598</v>
      </c>
      <c r="M90" s="1163"/>
      <c r="N90" s="591"/>
      <c r="O90" s="529"/>
      <c r="P90" s="529"/>
      <c r="Q90" s="529"/>
      <c r="R90" s="529"/>
      <c r="S90" s="529"/>
      <c r="T90" s="523"/>
      <c r="U90" s="522"/>
      <c r="V90" s="57"/>
      <c r="W90" s="57"/>
      <c r="X90" s="58"/>
    </row>
    <row r="91" spans="1:24" ht="8" customHeight="1">
      <c r="A91" s="522"/>
      <c r="B91" s="549"/>
      <c r="C91" s="549"/>
      <c r="D91" s="601"/>
      <c r="E91" s="601"/>
      <c r="F91" s="601"/>
      <c r="G91" s="549"/>
      <c r="H91" s="601"/>
      <c r="I91" s="601"/>
      <c r="J91" s="601"/>
      <c r="K91" s="549"/>
      <c r="L91" s="558"/>
      <c r="M91" s="558"/>
      <c r="N91" s="549"/>
      <c r="O91" s="549"/>
      <c r="P91" s="549"/>
      <c r="Q91" s="549"/>
      <c r="R91" s="549"/>
      <c r="S91" s="549"/>
      <c r="T91" s="523"/>
      <c r="U91" s="522"/>
      <c r="V91" s="57"/>
      <c r="W91" s="57"/>
      <c r="X91" s="58"/>
    </row>
    <row r="92" spans="1:24" ht="18.75" customHeight="1">
      <c r="A92" s="522"/>
      <c r="B92" s="1190" t="e" cm="1" vm="7">
        <f t="array" aca="1" ref="B92" ca="1">'PF calculator'!B92:J92</f>
        <v>#VALUE!</v>
      </c>
      <c r="C92" s="1190"/>
      <c r="D92" s="1190"/>
      <c r="E92" s="1190"/>
      <c r="F92" s="1190"/>
      <c r="G92" s="1190"/>
      <c r="H92" s="1190"/>
      <c r="I92" s="1190"/>
      <c r="J92" s="1190"/>
      <c r="K92" s="1190"/>
      <c r="L92" s="1190"/>
      <c r="M92" s="1190"/>
      <c r="N92" s="1190"/>
      <c r="O92" s="1190"/>
      <c r="P92" s="1190"/>
      <c r="Q92" s="1190"/>
      <c r="R92" s="1190"/>
      <c r="S92" s="1190"/>
      <c r="T92" s="523"/>
      <c r="U92" s="522"/>
      <c r="V92" s="57"/>
      <c r="W92" s="57"/>
      <c r="X92" s="58"/>
    </row>
    <row r="93" spans="1:24" ht="8" customHeight="1">
      <c r="A93" s="522"/>
      <c r="B93" s="529"/>
      <c r="C93" s="529"/>
      <c r="D93" s="529"/>
      <c r="E93" s="529"/>
      <c r="F93" s="529"/>
      <c r="G93" s="529"/>
      <c r="H93" s="529"/>
      <c r="I93" s="529"/>
      <c r="J93" s="529"/>
      <c r="K93" s="529"/>
      <c r="L93" s="529"/>
      <c r="M93" s="529"/>
      <c r="N93" s="529"/>
      <c r="O93" s="529"/>
      <c r="P93" s="529"/>
      <c r="Q93" s="529"/>
      <c r="R93" s="529"/>
      <c r="S93" s="529"/>
      <c r="T93" s="523"/>
      <c r="U93" s="522"/>
      <c r="V93" s="57"/>
      <c r="W93" s="57"/>
      <c r="X93" s="58"/>
    </row>
    <row r="94" spans="1:24" ht="18.75" customHeight="1">
      <c r="A94" s="522"/>
      <c r="B94" s="602" t="s">
        <v>161</v>
      </c>
      <c r="C94" s="602" t="s">
        <v>162</v>
      </c>
      <c r="D94" s="1191" t="s">
        <v>163</v>
      </c>
      <c r="E94" s="1192"/>
      <c r="F94" s="1191" t="s">
        <v>160</v>
      </c>
      <c r="G94" s="1192"/>
      <c r="H94" s="1191" t="s">
        <v>164</v>
      </c>
      <c r="I94" s="1192"/>
      <c r="J94" s="529"/>
      <c r="K94" s="529"/>
      <c r="L94" s="529"/>
      <c r="M94" s="529"/>
      <c r="N94" s="529"/>
      <c r="O94" s="529"/>
      <c r="P94" s="529"/>
      <c r="Q94" s="529"/>
      <c r="R94" s="529"/>
      <c r="S94" s="529"/>
      <c r="T94" s="523"/>
      <c r="U94" s="522"/>
      <c r="V94" s="57"/>
      <c r="W94" s="57"/>
      <c r="X94" s="58"/>
    </row>
    <row r="95" spans="1:24" ht="18.75" customHeight="1">
      <c r="A95" s="522"/>
      <c r="B95" s="603" t="s">
        <v>473</v>
      </c>
      <c r="C95" s="604" t="s">
        <v>169</v>
      </c>
      <c r="D95" s="1175"/>
      <c r="E95" s="1176"/>
      <c r="F95" s="1177" cm="1">
        <f t="array" ref="F95">'PF calculator'!G95</f>
        <v>6</v>
      </c>
      <c r="G95" s="1178"/>
      <c r="H95" s="1166" cm="1">
        <f t="array" ref="H95">IF(D95="Ltd by high OM1b,2,3,4 values",0,D95*(F95/100))</f>
        <v>0</v>
      </c>
      <c r="I95" s="1167"/>
      <c r="J95" s="576"/>
      <c r="K95" s="529"/>
      <c r="L95" s="529"/>
      <c r="M95" s="529"/>
      <c r="N95" s="529"/>
      <c r="O95" s="529"/>
      <c r="P95" s="529"/>
      <c r="Q95" s="529"/>
      <c r="R95" s="529"/>
      <c r="S95" s="529"/>
      <c r="T95" s="523"/>
      <c r="U95" s="522"/>
      <c r="V95" s="57"/>
      <c r="W95" s="57"/>
      <c r="X95" s="58"/>
    </row>
    <row r="96" spans="1:24" ht="18.75" customHeight="1">
      <c r="A96" s="522"/>
      <c r="B96" s="605"/>
      <c r="C96" s="606" t="s">
        <v>172</v>
      </c>
      <c r="D96" s="1186" cm="1">
        <f t="array" ref="D96">E41</f>
        <v>1000000</v>
      </c>
      <c r="E96" s="1187"/>
      <c r="F96" s="1177" cm="1">
        <f t="array" ref="F96">'PF calculator'!G96</f>
        <v>20</v>
      </c>
      <c r="G96" s="1178"/>
      <c r="H96" s="1166" cm="1">
        <f t="array" ref="H96">D96*(F96/100)</f>
        <v>200000</v>
      </c>
      <c r="I96" s="1167"/>
      <c r="J96" s="576"/>
      <c r="K96" s="529"/>
      <c r="L96" s="529"/>
      <c r="M96" s="529"/>
      <c r="N96" s="529"/>
      <c r="O96" s="529"/>
      <c r="P96" s="529"/>
      <c r="Q96" s="529"/>
      <c r="R96" s="529"/>
      <c r="S96" s="529"/>
      <c r="T96" s="523"/>
      <c r="U96" s="522"/>
      <c r="V96" s="57"/>
      <c r="W96" s="57"/>
      <c r="X96" s="58"/>
    </row>
    <row r="97" spans="1:24" ht="18.75" customHeight="1">
      <c r="A97" s="522"/>
      <c r="B97" s="1311" t="s">
        <v>174</v>
      </c>
      <c r="C97" s="607" t="s">
        <v>175</v>
      </c>
      <c r="D97" s="1175" cm="1">
        <f t="array" ref="D97">IF(R61="Ltd by DoB",R46,R46+R61)</f>
        <v>3908614.4715996296</v>
      </c>
      <c r="E97" s="1176"/>
      <c r="F97" s="1177" cm="1">
        <f t="array" ref="F97">'PF calculator'!G97</f>
        <v>45</v>
      </c>
      <c r="G97" s="1178"/>
      <c r="H97" s="1175" cm="1">
        <f t="array" ref="H97">D97*(F97/100)</f>
        <v>1758876.5122198334</v>
      </c>
      <c r="I97" s="1175"/>
      <c r="J97" s="576"/>
      <c r="K97" s="529"/>
      <c r="L97" s="529"/>
      <c r="M97" s="529"/>
      <c r="N97" s="529"/>
      <c r="O97" s="529"/>
      <c r="P97" s="529"/>
      <c r="Q97" s="529"/>
      <c r="R97" s="529"/>
      <c r="S97" s="529"/>
      <c r="T97" s="523"/>
      <c r="U97" s="522"/>
      <c r="V97" s="57"/>
      <c r="W97" s="57"/>
      <c r="X97" s="58"/>
    </row>
    <row r="98" spans="1:24" ht="18.75" customHeight="1">
      <c r="A98" s="522"/>
      <c r="B98" s="1312"/>
      <c r="C98" s="607" t="s">
        <v>177</v>
      </c>
      <c r="D98" s="1175" cm="1">
        <f t="array" ref="D98">IF(R62="Ltd by DoB",R47,R47+R62)</f>
        <v>14934170.291434068</v>
      </c>
      <c r="E98" s="1176"/>
      <c r="F98" s="1177" cm="1">
        <f t="array" ref="F98">'PF calculator'!G98</f>
        <v>30</v>
      </c>
      <c r="G98" s="1178"/>
      <c r="H98" s="1175" cm="1">
        <f t="array" ref="H98">D98*(F98/100)</f>
        <v>4480251.0874302201</v>
      </c>
      <c r="I98" s="1175"/>
      <c r="J98" s="576"/>
      <c r="K98" s="529"/>
      <c r="L98" s="529"/>
      <c r="M98" s="529"/>
      <c r="N98" s="529"/>
      <c r="O98" s="529"/>
      <c r="P98" s="529"/>
      <c r="Q98" s="529"/>
      <c r="R98" s="529"/>
      <c r="S98" s="529"/>
      <c r="T98" s="523"/>
      <c r="U98" s="522"/>
      <c r="V98" s="57"/>
      <c r="W98" s="57"/>
      <c r="X98" s="58"/>
    </row>
    <row r="99" spans="1:24" ht="18.75" customHeight="1">
      <c r="A99" s="522"/>
      <c r="B99" s="1312"/>
      <c r="C99" s="607" t="s">
        <v>179</v>
      </c>
      <c r="D99" s="1175" cm="1">
        <f t="array" ref="D99">IF(R63="Ltd by DoB",R48,R48+R63)</f>
        <v>0</v>
      </c>
      <c r="E99" s="1176"/>
      <c r="F99" s="1177" cm="1">
        <f t="array" ref="F99">'PF calculator'!G99</f>
        <v>20</v>
      </c>
      <c r="G99" s="1178"/>
      <c r="H99" s="1175" cm="1">
        <f t="array" ref="H99">D99*(F99/100)</f>
        <v>0</v>
      </c>
      <c r="I99" s="1175"/>
      <c r="J99" s="576"/>
      <c r="K99" s="529"/>
      <c r="L99" s="529"/>
      <c r="M99" s="529"/>
      <c r="N99" s="529"/>
      <c r="O99" s="529"/>
      <c r="P99" s="529"/>
      <c r="Q99" s="529"/>
      <c r="R99" s="529"/>
      <c r="S99" s="529"/>
      <c r="T99" s="523"/>
      <c r="U99" s="522"/>
      <c r="V99" s="57"/>
      <c r="W99" s="57"/>
      <c r="X99" s="58"/>
    </row>
    <row r="100" spans="1:24" ht="18.75" customHeight="1">
      <c r="A100" s="522"/>
      <c r="B100" s="1311" t="s">
        <v>181</v>
      </c>
      <c r="C100" s="607" t="s">
        <v>175</v>
      </c>
      <c r="D100" s="1175" cm="1">
        <f t="array" ref="D100">R74</f>
        <v>0</v>
      </c>
      <c r="E100" s="1176"/>
      <c r="F100" s="1177" cm="1">
        <f t="array" ref="F100">'PF calculator'!G100</f>
        <v>45</v>
      </c>
      <c r="G100" s="1178"/>
      <c r="H100" s="1175" cm="1">
        <f t="array" ref="H100">D100*(F100/100)</f>
        <v>0</v>
      </c>
      <c r="I100" s="1175"/>
      <c r="J100" s="576"/>
      <c r="K100" s="529"/>
      <c r="L100" s="529"/>
      <c r="M100" s="529"/>
      <c r="N100" s="529"/>
      <c r="O100" s="529"/>
      <c r="P100" s="529"/>
      <c r="Q100" s="529"/>
      <c r="R100" s="529"/>
      <c r="S100" s="529"/>
      <c r="T100" s="523"/>
      <c r="U100" s="522"/>
      <c r="V100" s="57"/>
      <c r="W100" s="57"/>
      <c r="X100" s="58"/>
    </row>
    <row r="101" spans="1:24" ht="18.75" customHeight="1">
      <c r="A101" s="522"/>
      <c r="B101" s="1312"/>
      <c r="C101" s="607" t="s">
        <v>177</v>
      </c>
      <c r="D101" s="1175" cm="1">
        <f t="array" ref="D101">R75</f>
        <v>0</v>
      </c>
      <c r="E101" s="1176"/>
      <c r="F101" s="1177" cm="1">
        <f t="array" ref="F101">'PF calculator'!G101</f>
        <v>30</v>
      </c>
      <c r="G101" s="1178"/>
      <c r="H101" s="1175" cm="1">
        <f t="array" ref="H101">D101*(F101/100)</f>
        <v>0</v>
      </c>
      <c r="I101" s="1175"/>
      <c r="J101" s="576"/>
      <c r="K101" s="529"/>
      <c r="L101" s="529"/>
      <c r="M101" s="529"/>
      <c r="N101" s="529"/>
      <c r="O101" s="529"/>
      <c r="P101" s="529"/>
      <c r="Q101" s="529"/>
      <c r="R101" s="529"/>
      <c r="S101" s="529"/>
      <c r="T101" s="523"/>
      <c r="U101" s="522"/>
      <c r="V101" s="57"/>
      <c r="W101" s="57"/>
      <c r="X101" s="58"/>
    </row>
    <row r="102" spans="1:24" ht="18.75" customHeight="1">
      <c r="A102" s="522"/>
      <c r="B102" s="1312"/>
      <c r="C102" s="607" t="s">
        <v>179</v>
      </c>
      <c r="D102" s="1175" cm="1">
        <f t="array" ref="D102">R76</f>
        <v>0</v>
      </c>
      <c r="E102" s="1176"/>
      <c r="F102" s="1177" cm="1">
        <f t="array" ref="F102">'PF calculator'!G102</f>
        <v>20</v>
      </c>
      <c r="G102" s="1178"/>
      <c r="H102" s="1175" cm="1">
        <f t="array" ref="H102">D102*(F102/100)</f>
        <v>0</v>
      </c>
      <c r="I102" s="1175"/>
      <c r="J102" s="576"/>
      <c r="K102" s="529"/>
      <c r="L102" s="529"/>
      <c r="M102" s="529"/>
      <c r="N102" s="529"/>
      <c r="O102" s="529"/>
      <c r="P102" s="529"/>
      <c r="Q102" s="529"/>
      <c r="R102" s="529"/>
      <c r="S102" s="529"/>
      <c r="T102" s="523"/>
      <c r="U102" s="522"/>
      <c r="V102" s="57"/>
      <c r="W102" s="57"/>
      <c r="X102" s="58"/>
    </row>
    <row r="103" spans="1:24" ht="18.75" customHeight="1">
      <c r="A103" s="522"/>
      <c r="B103" s="1164" t="s">
        <v>185</v>
      </c>
      <c r="C103" s="608" t="s">
        <v>186</v>
      </c>
      <c r="D103" s="1175" cm="1">
        <f t="array" ref="D103">IF(SUM(L83:M90)&lt;0,"Ltd by negative OM4 values",SUM(L83:M90))</f>
        <v>847522.25203312549</v>
      </c>
      <c r="E103" s="1175"/>
      <c r="F103" s="1177" cm="1">
        <f t="array" ref="F103">'PF calculator'!G103</f>
        <v>20</v>
      </c>
      <c r="G103" s="1178"/>
      <c r="H103" s="1175" cm="1">
        <f t="array" ref="H103">IF(D103="Ltd by negative OM4 values",0,D103*(F103/100))</f>
        <v>169504.45040662511</v>
      </c>
      <c r="I103" s="1175"/>
      <c r="J103" s="576"/>
      <c r="K103" s="529"/>
      <c r="L103" s="529"/>
      <c r="M103" s="529"/>
      <c r="N103" s="529"/>
      <c r="O103" s="529"/>
      <c r="P103" s="529"/>
      <c r="Q103" s="529"/>
      <c r="R103" s="529"/>
      <c r="S103" s="529"/>
      <c r="T103" s="523"/>
      <c r="U103" s="522"/>
      <c r="V103" s="57"/>
      <c r="W103" s="57"/>
      <c r="X103" s="58"/>
    </row>
    <row r="104" spans="1:24" ht="18.75" customHeight="1">
      <c r="A104" s="522"/>
      <c r="B104" s="1181"/>
      <c r="C104" s="606" t="s">
        <v>187</v>
      </c>
      <c r="D104" s="1166" cm="1">
        <f t="array" ref="D104">SUM(R84:S86)</f>
        <v>689843.69351533486</v>
      </c>
      <c r="E104" s="1167"/>
      <c r="F104" s="1177" cm="1">
        <f t="array" ref="F104">'PF calculator'!G104</f>
        <v>20</v>
      </c>
      <c r="G104" s="1178"/>
      <c r="H104" s="1310" cm="1">
        <f t="array" ref="H104">D104*(F104/100)</f>
        <v>137968.73870306698</v>
      </c>
      <c r="I104" s="1310"/>
      <c r="J104" s="576"/>
      <c r="K104" s="529"/>
      <c r="L104" s="529"/>
      <c r="M104" s="529"/>
      <c r="N104" s="529"/>
      <c r="O104" s="529"/>
      <c r="P104" s="529"/>
      <c r="Q104" s="529"/>
      <c r="R104" s="529"/>
      <c r="S104" s="529"/>
      <c r="T104" s="523"/>
      <c r="U104" s="522"/>
      <c r="V104" s="57"/>
      <c r="W104" s="57"/>
      <c r="X104" s="58"/>
    </row>
    <row r="105" spans="1:24" ht="18.75" customHeight="1">
      <c r="A105" s="522"/>
      <c r="B105" s="1164" t="s">
        <v>188</v>
      </c>
      <c r="C105" s="1165"/>
      <c r="D105" s="1175" cm="1">
        <f t="array" ref="D105">SUM(D95:E104)</f>
        <v>21380150.708582155</v>
      </c>
      <c r="E105" s="1175"/>
      <c r="F105" s="1306" t="e" cm="1" vm="5">
        <f t="array" aca="1" ref="F105" ca="1">'PF calculator'!F105:G105</f>
        <v>#VALUE!</v>
      </c>
      <c r="G105" s="1307"/>
      <c r="H105" s="1308" cm="1">
        <f t="array" ref="H105">SUM(H95:I104)</f>
        <v>6746600.7887597457</v>
      </c>
      <c r="I105" s="1309"/>
      <c r="J105" s="591"/>
      <c r="K105" s="529"/>
      <c r="L105" s="529"/>
      <c r="M105" s="529"/>
      <c r="N105" s="529"/>
      <c r="O105" s="529"/>
      <c r="P105" s="529"/>
      <c r="Q105" s="529"/>
      <c r="R105" s="529"/>
      <c r="S105" s="529"/>
      <c r="T105" s="523"/>
      <c r="U105" s="522"/>
      <c r="V105" s="57"/>
      <c r="W105" s="57"/>
      <c r="X105" s="58"/>
    </row>
    <row r="106" spans="1:24" ht="8" customHeight="1">
      <c r="A106" s="522"/>
      <c r="B106" s="549"/>
      <c r="C106" s="549"/>
      <c r="D106" s="601"/>
      <c r="E106" s="601"/>
      <c r="F106" s="549"/>
      <c r="G106" s="549"/>
      <c r="H106" s="558"/>
      <c r="I106" s="558"/>
      <c r="J106" s="549"/>
      <c r="K106" s="549"/>
      <c r="L106" s="549"/>
      <c r="M106" s="549"/>
      <c r="N106" s="549"/>
      <c r="O106" s="549"/>
      <c r="P106" s="549"/>
      <c r="Q106" s="549"/>
      <c r="R106" s="549"/>
      <c r="S106" s="549"/>
      <c r="T106" s="523"/>
      <c r="U106" s="522"/>
      <c r="V106" s="57"/>
      <c r="W106" s="57"/>
      <c r="X106" s="58"/>
    </row>
    <row r="107" spans="1:24" ht="15.75" customHeight="1">
      <c r="A107" s="609"/>
      <c r="B107" s="1179" t="s">
        <v>190</v>
      </c>
      <c r="C107" s="1180"/>
      <c r="D107" s="1180"/>
      <c r="E107" s="1180"/>
      <c r="F107" s="1180"/>
      <c r="G107" s="1180"/>
      <c r="H107" s="1180"/>
      <c r="I107" s="1180"/>
      <c r="J107" s="1180"/>
      <c r="K107" s="1180"/>
      <c r="L107" s="1180"/>
      <c r="M107" s="1180"/>
      <c r="N107" s="1180"/>
      <c r="O107" s="1180"/>
      <c r="P107" s="1180"/>
      <c r="Q107" s="1180"/>
      <c r="R107" s="1180"/>
      <c r="S107" s="1180"/>
      <c r="T107" s="610"/>
      <c r="U107" s="611"/>
      <c r="V107" s="179"/>
      <c r="W107" s="179"/>
      <c r="X107" s="180"/>
    </row>
  </sheetData>
  <mergeCells count="219">
    <mergeCell ref="B1:S1"/>
    <mergeCell ref="B2:S2"/>
    <mergeCell ref="B3:S3"/>
    <mergeCell ref="B4:P4"/>
    <mergeCell ref="R4:S4"/>
    <mergeCell ref="R5:S5"/>
    <mergeCell ref="B7:C7"/>
    <mergeCell ref="D7:I7"/>
    <mergeCell ref="K7:L7"/>
    <mergeCell ref="M7:N7"/>
    <mergeCell ref="R6:S7"/>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9:D19"/>
    <mergeCell ref="E19:F19"/>
    <mergeCell ref="H19:J19"/>
    <mergeCell ref="K19:L19"/>
    <mergeCell ref="B21:D21"/>
    <mergeCell ref="E21:F21"/>
    <mergeCell ref="H21:J21"/>
    <mergeCell ref="K21:L21"/>
    <mergeCell ref="B25:S25"/>
    <mergeCell ref="K26:L27"/>
    <mergeCell ref="M26:N27"/>
    <mergeCell ref="O26:P27"/>
    <mergeCell ref="B27:D27"/>
    <mergeCell ref="E27:F27"/>
    <mergeCell ref="H27:J27"/>
    <mergeCell ref="B23:D23"/>
    <mergeCell ref="E23:F23"/>
    <mergeCell ref="H23:J23"/>
    <mergeCell ref="K23:L23"/>
    <mergeCell ref="M23:P23"/>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B37:D37"/>
    <mergeCell ref="E37:F37"/>
    <mergeCell ref="L37:S37"/>
    <mergeCell ref="B38:D38"/>
    <mergeCell ref="E38:F38"/>
    <mergeCell ref="B39:D39"/>
    <mergeCell ref="E39:F39"/>
    <mergeCell ref="B33:D33"/>
    <mergeCell ref="E33:F33"/>
    <mergeCell ref="H33:J33"/>
    <mergeCell ref="K33:L33"/>
    <mergeCell ref="M33:S33"/>
    <mergeCell ref="B35:S35"/>
    <mergeCell ref="B46:E46"/>
    <mergeCell ref="R46:S46"/>
    <mergeCell ref="B47:E47"/>
    <mergeCell ref="R47:S47"/>
    <mergeCell ref="B48:E48"/>
    <mergeCell ref="R48:S48"/>
    <mergeCell ref="B41:D42"/>
    <mergeCell ref="E41:F41"/>
    <mergeCell ref="B43:S43"/>
    <mergeCell ref="B45:E45"/>
    <mergeCell ref="F45:J45"/>
    <mergeCell ref="L45:P45"/>
    <mergeCell ref="R45:S45"/>
    <mergeCell ref="B56:S56"/>
    <mergeCell ref="B58:D58"/>
    <mergeCell ref="E58:F58"/>
    <mergeCell ref="B60:E60"/>
    <mergeCell ref="F60:J60"/>
    <mergeCell ref="L60:P60"/>
    <mergeCell ref="R60:S60"/>
    <mergeCell ref="B50:E50"/>
    <mergeCell ref="F50:J50"/>
    <mergeCell ref="L50:P51"/>
    <mergeCell ref="B51:E51"/>
    <mergeCell ref="B52:E52"/>
    <mergeCell ref="B53:E53"/>
    <mergeCell ref="B65:E65"/>
    <mergeCell ref="F65:J65"/>
    <mergeCell ref="L65:P66"/>
    <mergeCell ref="B66:E66"/>
    <mergeCell ref="B67:E67"/>
    <mergeCell ref="B68:E68"/>
    <mergeCell ref="B61:E61"/>
    <mergeCell ref="R61:S61"/>
    <mergeCell ref="B62:E62"/>
    <mergeCell ref="R62:S62"/>
    <mergeCell ref="B63:E63"/>
    <mergeCell ref="R63:S63"/>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s>
  <conditionalFormatting sqref="L46:P48 L61:P63">
    <cfRule type="cellIs" dxfId="1" priority="1" stopIfTrue="1" operator="lessThan">
      <formula>0</formula>
    </cfRule>
  </conditionalFormatting>
  <pageMargins left="0.7" right="0.7" top="0.75" bottom="0.75" header="0.3" footer="0.3"/>
  <pageSetup scale="37"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07"/>
  <sheetViews>
    <sheetView showGridLines="0" workbookViewId="0"/>
  </sheetViews>
  <sheetFormatPr defaultColWidth="8.84375" defaultRowHeight="15" customHeight="1"/>
  <cols>
    <col min="1" max="1" width="1.15234375" style="5" customWidth="1"/>
    <col min="2" max="19" width="10.84375" style="5" customWidth="1"/>
    <col min="20" max="20" width="1.15234375" style="5" customWidth="1"/>
    <col min="21" max="25" width="8.84375" style="5" customWidth="1"/>
    <col min="26" max="16384" width="8.84375" style="5"/>
  </cols>
  <sheetData>
    <row r="1" spans="1:24" ht="17.149999999999999" customHeight="1">
      <c r="A1" s="616"/>
      <c r="B1" s="1287"/>
      <c r="C1" s="1287"/>
      <c r="D1" s="1287"/>
      <c r="E1" s="1287"/>
      <c r="F1" s="1287"/>
      <c r="G1" s="1287"/>
      <c r="H1" s="1287"/>
      <c r="I1" s="1287"/>
      <c r="J1" s="1287"/>
      <c r="K1" s="1287"/>
      <c r="L1" s="1287"/>
      <c r="M1" s="1287"/>
      <c r="N1" s="1287"/>
      <c r="O1" s="1287"/>
      <c r="P1" s="1287"/>
      <c r="Q1" s="1287"/>
      <c r="R1" s="1287"/>
      <c r="S1" s="1287"/>
      <c r="T1" s="520"/>
      <c r="U1" s="617"/>
      <c r="V1" s="185"/>
      <c r="W1" s="185"/>
      <c r="X1" s="185"/>
    </row>
    <row r="2" spans="1:24" ht="33.75" customHeight="1">
      <c r="A2" s="618"/>
      <c r="B2" s="1288" t="s">
        <v>45</v>
      </c>
      <c r="C2" s="1289"/>
      <c r="D2" s="1289"/>
      <c r="E2" s="1289"/>
      <c r="F2" s="1289"/>
      <c r="G2" s="1289"/>
      <c r="H2" s="1289"/>
      <c r="I2" s="1289"/>
      <c r="J2" s="1289"/>
      <c r="K2" s="1289"/>
      <c r="L2" s="1289"/>
      <c r="M2" s="1289"/>
      <c r="N2" s="1289"/>
      <c r="O2" s="1289"/>
      <c r="P2" s="1289"/>
      <c r="Q2" s="1289"/>
      <c r="R2" s="1289"/>
      <c r="S2" s="1289"/>
      <c r="T2" s="523"/>
      <c r="U2" s="617"/>
      <c r="V2" s="185"/>
      <c r="W2" s="185"/>
      <c r="X2" s="185"/>
    </row>
    <row r="3" spans="1:24" ht="23.25" customHeight="1">
      <c r="A3" s="618"/>
      <c r="B3" s="1290" t="s">
        <v>460</v>
      </c>
      <c r="C3" s="1291"/>
      <c r="D3" s="1291"/>
      <c r="E3" s="1291"/>
      <c r="F3" s="1291"/>
      <c r="G3" s="1291"/>
      <c r="H3" s="1291"/>
      <c r="I3" s="1291"/>
      <c r="J3" s="1291"/>
      <c r="K3" s="1291"/>
      <c r="L3" s="1291"/>
      <c r="M3" s="1291"/>
      <c r="N3" s="1291"/>
      <c r="O3" s="1291"/>
      <c r="P3" s="1291"/>
      <c r="Q3" s="1291"/>
      <c r="R3" s="1292"/>
      <c r="S3" s="1292"/>
      <c r="T3" s="523"/>
      <c r="U3" s="617"/>
      <c r="V3" s="185"/>
      <c r="W3" s="185"/>
      <c r="X3" s="185"/>
    </row>
    <row r="4" spans="1:24" ht="19.5" customHeight="1">
      <c r="A4" s="618"/>
      <c r="B4" s="1293" t="e" cm="1" vm="2">
        <f t="array" aca="1" ref="B4" ca="1">'PF calculator'!B4:P4</f>
        <v>#VALUE!</v>
      </c>
      <c r="C4" s="1293"/>
      <c r="D4" s="1293"/>
      <c r="E4" s="1293"/>
      <c r="F4" s="1293"/>
      <c r="G4" s="1293"/>
      <c r="H4" s="1293"/>
      <c r="I4" s="1293"/>
      <c r="J4" s="1293"/>
      <c r="K4" s="1293"/>
      <c r="L4" s="1293"/>
      <c r="M4" s="1293"/>
      <c r="N4" s="1293"/>
      <c r="O4" s="1293"/>
      <c r="P4" s="1293"/>
      <c r="Q4" s="524" t="s">
        <v>48</v>
      </c>
      <c r="R4" s="1294" t="s">
        <v>395</v>
      </c>
      <c r="S4" s="1295"/>
      <c r="T4" s="525"/>
      <c r="U4" s="617"/>
      <c r="V4" s="619"/>
      <c r="W4" s="185"/>
      <c r="X4" s="185"/>
    </row>
    <row r="5" spans="1:24" ht="19.5" customHeight="1">
      <c r="A5" s="618"/>
      <c r="B5" s="526" t="str" cm="1">
        <f t="array" ref="B5">'PF calculator'!B5</f>
        <v>SECTION 1: Project details</v>
      </c>
      <c r="C5" s="527"/>
      <c r="D5" s="527"/>
      <c r="E5" s="527"/>
      <c r="F5" s="527"/>
      <c r="G5" s="527"/>
      <c r="H5" s="527"/>
      <c r="I5" s="527"/>
      <c r="J5" s="527"/>
      <c r="K5" s="527"/>
      <c r="L5" s="527"/>
      <c r="M5" s="527"/>
      <c r="N5" s="527"/>
      <c r="O5" s="527"/>
      <c r="P5" s="527"/>
      <c r="Q5" s="528"/>
      <c r="R5" s="1296" t="s">
        <v>52</v>
      </c>
      <c r="S5" s="1297"/>
      <c r="T5" s="525"/>
      <c r="U5" s="617"/>
      <c r="V5" s="185"/>
      <c r="W5" s="185"/>
      <c r="X5" s="185"/>
    </row>
    <row r="6" spans="1:24" ht="8" customHeight="1">
      <c r="A6" s="618"/>
      <c r="B6" s="529"/>
      <c r="C6" s="529"/>
      <c r="D6" s="530"/>
      <c r="E6" s="530"/>
      <c r="F6" s="530"/>
      <c r="G6" s="530"/>
      <c r="H6" s="530"/>
      <c r="I6" s="530"/>
      <c r="J6" s="529"/>
      <c r="K6" s="529"/>
      <c r="L6" s="529"/>
      <c r="M6" s="530"/>
      <c r="N6" s="530"/>
      <c r="O6" s="529"/>
      <c r="P6" s="529"/>
      <c r="Q6" s="531"/>
      <c r="R6" s="1301" t="s">
        <v>53</v>
      </c>
      <c r="S6" s="1302"/>
      <c r="T6" s="523"/>
      <c r="U6" s="617"/>
      <c r="V6" s="185"/>
      <c r="W6" s="185"/>
      <c r="X6" s="185"/>
    </row>
    <row r="7" spans="1:24" ht="18.75" customHeight="1">
      <c r="A7" s="618"/>
      <c r="B7" s="1209" t="s">
        <v>54</v>
      </c>
      <c r="C7" s="1229"/>
      <c r="D7" s="1298" t="str" cm="1">
        <f t="array" ref="D7">"Sensitivity Analysis: "&amp;'PF calculator'!L102</f>
        <v>Sensitivity Analysis: SA7: Change in environmental habitat is optimistic</v>
      </c>
      <c r="E7" s="1299"/>
      <c r="F7" s="1299"/>
      <c r="G7" s="1299"/>
      <c r="H7" s="1299"/>
      <c r="I7" s="1300"/>
      <c r="J7" s="532"/>
      <c r="K7" s="1209" t="s">
        <v>56</v>
      </c>
      <c r="L7" s="1229"/>
      <c r="M7" s="1268" t="str" cm="1">
        <f t="array" ref="M7">'PF calculator'!M7</f>
        <v>Pre-SOC</v>
      </c>
      <c r="N7" s="1270"/>
      <c r="O7" s="533"/>
      <c r="P7" s="534"/>
      <c r="Q7" s="534"/>
      <c r="R7" s="1303"/>
      <c r="S7" s="1303"/>
      <c r="T7" s="523"/>
      <c r="U7" s="617"/>
      <c r="V7" s="185"/>
      <c r="W7" s="185"/>
      <c r="X7" s="185"/>
    </row>
    <row r="8" spans="1:24" ht="18.75" customHeight="1">
      <c r="A8" s="618"/>
      <c r="B8" s="1209" t="s">
        <v>461</v>
      </c>
      <c r="C8" s="1229"/>
      <c r="D8" s="1268" t="str" cm="1">
        <f t="array" ref="D8">'PF calculator'!D8</f>
        <v>YOC501E/000A/533A</v>
      </c>
      <c r="E8" s="1269"/>
      <c r="F8" s="1270"/>
      <c r="G8" s="535"/>
      <c r="H8" s="536"/>
      <c r="I8" s="536"/>
      <c r="J8" s="534"/>
      <c r="K8" s="1209" t="s">
        <v>60</v>
      </c>
      <c r="L8" s="1229"/>
      <c r="M8" s="1271" cm="1">
        <f t="array" ref="M8">'PF calculator'!M8</f>
        <v>0</v>
      </c>
      <c r="N8" s="1270"/>
      <c r="O8" s="1272" t="e" cm="1" vm="3">
        <f t="array" aca="1" ref="O8" ca="1">'PF calculator'!O8:Q8</f>
        <v>#VALUE!</v>
      </c>
      <c r="P8" s="1273"/>
      <c r="Q8" s="1274"/>
      <c r="R8" s="538" t="e" cm="1" vm="1">
        <f t="array" aca="1" ref="R8" ca="1">$E$39/$E$33</f>
        <v>#VALUE!</v>
      </c>
      <c r="S8" s="539" t="s">
        <v>62</v>
      </c>
      <c r="T8" s="525"/>
      <c r="U8" s="617"/>
      <c r="V8" s="185"/>
      <c r="W8" s="185"/>
      <c r="X8" s="185"/>
    </row>
    <row r="9" spans="1:24" ht="18.75" customHeight="1">
      <c r="A9" s="618"/>
      <c r="B9" s="1209" t="s">
        <v>462</v>
      </c>
      <c r="C9" s="1229"/>
      <c r="D9" s="1277" cm="1">
        <f t="array" ref="D9">'PF calculator'!D9</f>
        <v>45265</v>
      </c>
      <c r="E9" s="1278"/>
      <c r="F9" s="1279"/>
      <c r="G9" s="540"/>
      <c r="H9" s="541"/>
      <c r="I9" s="541"/>
      <c r="J9" s="534"/>
      <c r="K9" s="534"/>
      <c r="L9" s="534"/>
      <c r="M9" s="536"/>
      <c r="N9" s="536"/>
      <c r="O9" s="1280" t="s">
        <v>64</v>
      </c>
      <c r="P9" s="1281"/>
      <c r="Q9" s="1282"/>
      <c r="R9" s="542" t="str" cm="1">
        <f t="array" aca="1" ref="R9" ca="1">IFERROR(($E$39/MIN(($K$21+$K$23),$E$33)),"n/a")</f>
        <v>n/a</v>
      </c>
      <c r="S9" s="539" t="s">
        <v>62</v>
      </c>
      <c r="T9" s="525"/>
      <c r="U9" s="617"/>
      <c r="V9" s="185"/>
      <c r="W9" s="185"/>
      <c r="X9" s="185"/>
    </row>
    <row r="10" spans="1:24" ht="18.75" customHeight="1">
      <c r="A10" s="618"/>
      <c r="B10" s="1209" t="s">
        <v>65</v>
      </c>
      <c r="C10" s="1229"/>
      <c r="D10" s="1283" t="str" cm="1">
        <f t="array" ref="D10">'PF calculator'!D10</f>
        <v>City of Doncaster Council</v>
      </c>
      <c r="E10" s="1284"/>
      <c r="F10" s="1284"/>
      <c r="G10" s="1284"/>
      <c r="H10" s="1284"/>
      <c r="I10" s="1285"/>
      <c r="J10" s="533"/>
      <c r="K10" s="534"/>
      <c r="L10" s="534"/>
      <c r="M10" s="534"/>
      <c r="N10" s="534"/>
      <c r="O10" s="1280" t="s">
        <v>67</v>
      </c>
      <c r="P10" s="1281"/>
      <c r="Q10" s="1282"/>
      <c r="R10" s="538" t="e" cm="1" vm="1">
        <f t="array" aca="1" ref="R10" ca="1">IF($K$33&gt;0,$E$39/$K$33,"n/a")</f>
        <v>#VALUE!</v>
      </c>
      <c r="S10" s="539" t="s">
        <v>62</v>
      </c>
      <c r="T10" s="525"/>
      <c r="U10" s="617"/>
      <c r="V10" s="185"/>
      <c r="W10" s="185"/>
      <c r="X10" s="185"/>
    </row>
    <row r="11" spans="1:24" ht="18.75" customHeight="1">
      <c r="A11" s="618"/>
      <c r="B11" s="1209" t="s">
        <v>68</v>
      </c>
      <c r="C11" s="1229"/>
      <c r="D11" s="1283" t="str" cm="1">
        <f t="array" ref="D11">'PF calculator'!D11</f>
        <v>Local Authority</v>
      </c>
      <c r="E11" s="1284"/>
      <c r="F11" s="1285"/>
      <c r="G11" s="543"/>
      <c r="H11" s="544"/>
      <c r="I11" s="544"/>
      <c r="J11" s="534"/>
      <c r="K11" s="534"/>
      <c r="L11" s="534"/>
      <c r="M11" s="534"/>
      <c r="N11" s="534"/>
      <c r="O11" s="534"/>
      <c r="P11" s="534"/>
      <c r="Q11" s="537"/>
      <c r="R11" s="545"/>
      <c r="S11" s="546"/>
      <c r="T11" s="523"/>
      <c r="U11" s="617"/>
      <c r="V11" s="185"/>
      <c r="W11" s="185"/>
      <c r="X11" s="185"/>
    </row>
    <row r="12" spans="1:24" ht="18.75" customHeight="1">
      <c r="A12" s="618"/>
      <c r="B12" s="547" t="s">
        <v>70</v>
      </c>
      <c r="C12" s="534"/>
      <c r="D12" s="536"/>
      <c r="E12" s="536"/>
      <c r="F12" s="536"/>
      <c r="G12" s="534"/>
      <c r="H12" s="534"/>
      <c r="I12" s="534"/>
      <c r="J12" s="534"/>
      <c r="K12" s="534"/>
      <c r="L12" s="534"/>
      <c r="M12" s="534"/>
      <c r="N12" s="534"/>
      <c r="O12" s="534"/>
      <c r="P12" s="1286"/>
      <c r="Q12" s="1286"/>
      <c r="R12" s="1286"/>
      <c r="S12" s="1286"/>
      <c r="T12" s="523"/>
      <c r="U12" s="617"/>
      <c r="V12" s="185"/>
      <c r="W12" s="185"/>
      <c r="X12" s="185"/>
    </row>
    <row r="13" spans="1:24" ht="18.75" customHeight="1">
      <c r="A13" s="618"/>
      <c r="B13" s="548" t="s">
        <v>463</v>
      </c>
      <c r="C13" s="534"/>
      <c r="D13" s="534"/>
      <c r="E13" s="534"/>
      <c r="F13" s="534"/>
      <c r="G13" s="534"/>
      <c r="H13" s="534"/>
      <c r="I13" s="534"/>
      <c r="J13" s="534"/>
      <c r="K13" s="534"/>
      <c r="L13" s="534"/>
      <c r="M13" s="534"/>
      <c r="N13" s="534"/>
      <c r="O13" s="534"/>
      <c r="P13" s="1286"/>
      <c r="Q13" s="1286"/>
      <c r="R13" s="1286"/>
      <c r="S13" s="1286"/>
      <c r="T13" s="523"/>
      <c r="U13" s="617"/>
      <c r="V13" s="185"/>
      <c r="W13" s="185"/>
      <c r="X13" s="185"/>
    </row>
    <row r="14" spans="1:24" ht="8" customHeight="1">
      <c r="A14" s="618"/>
      <c r="B14" s="549"/>
      <c r="C14" s="549"/>
      <c r="D14" s="549"/>
      <c r="E14" s="549"/>
      <c r="F14" s="549"/>
      <c r="G14" s="549"/>
      <c r="H14" s="549"/>
      <c r="I14" s="549"/>
      <c r="J14" s="549"/>
      <c r="K14" s="549"/>
      <c r="L14" s="549"/>
      <c r="M14" s="549"/>
      <c r="N14" s="549"/>
      <c r="O14" s="549"/>
      <c r="P14" s="549"/>
      <c r="Q14" s="549"/>
      <c r="R14" s="549"/>
      <c r="S14" s="549"/>
      <c r="T14" s="523"/>
      <c r="U14" s="617"/>
      <c r="V14" s="185"/>
      <c r="W14" s="185"/>
      <c r="X14" s="185"/>
    </row>
    <row r="15" spans="1:24" ht="18.75" customHeight="1">
      <c r="A15" s="618"/>
      <c r="B15" s="1190" t="e" cm="1" vm="4">
        <f t="array" aca="1" ref="B15" ca="1">'PF calculator'!B15:S15</f>
        <v>#VALUE!</v>
      </c>
      <c r="C15" s="1190"/>
      <c r="D15" s="1190"/>
      <c r="E15" s="1190"/>
      <c r="F15" s="1190"/>
      <c r="G15" s="1190"/>
      <c r="H15" s="1190"/>
      <c r="I15" s="1190"/>
      <c r="J15" s="1190"/>
      <c r="K15" s="1190"/>
      <c r="L15" s="1190"/>
      <c r="M15" s="1190"/>
      <c r="N15" s="1190"/>
      <c r="O15" s="1190"/>
      <c r="P15" s="1190"/>
      <c r="Q15" s="1190"/>
      <c r="R15" s="1190"/>
      <c r="S15" s="1190"/>
      <c r="T15" s="523"/>
      <c r="U15" s="617"/>
      <c r="V15" s="185"/>
      <c r="W15" s="185"/>
      <c r="X15" s="185"/>
    </row>
    <row r="16" spans="1:24" ht="8" customHeight="1">
      <c r="A16" s="618"/>
      <c r="B16" s="550"/>
      <c r="C16" s="529"/>
      <c r="D16" s="529"/>
      <c r="E16" s="530"/>
      <c r="F16" s="530"/>
      <c r="G16" s="529"/>
      <c r="H16" s="529"/>
      <c r="I16" s="529"/>
      <c r="J16" s="529"/>
      <c r="K16" s="529"/>
      <c r="L16" s="529"/>
      <c r="M16" s="529"/>
      <c r="N16" s="529"/>
      <c r="O16" s="529"/>
      <c r="P16" s="529"/>
      <c r="Q16" s="529"/>
      <c r="R16" s="529"/>
      <c r="S16" s="529"/>
      <c r="T16" s="523"/>
      <c r="U16" s="617"/>
      <c r="V16" s="185"/>
      <c r="W16" s="185"/>
      <c r="X16" s="185"/>
    </row>
    <row r="17" spans="1:24" ht="18.75" customHeight="1">
      <c r="A17" s="618"/>
      <c r="B17" s="1217" t="s">
        <v>73</v>
      </c>
      <c r="C17" s="1218"/>
      <c r="D17" s="1227"/>
      <c r="E17" s="1275" t="str" cm="1">
        <f t="array" ref="E17">'PF calculator'!E17</f>
        <v>Yes</v>
      </c>
      <c r="F17" s="1276"/>
      <c r="G17" s="551"/>
      <c r="H17" s="534"/>
      <c r="I17" s="534"/>
      <c r="J17" s="534"/>
      <c r="K17" s="534"/>
      <c r="L17" s="534"/>
      <c r="M17" s="534"/>
      <c r="N17" s="534"/>
      <c r="O17" s="534"/>
      <c r="P17" s="534"/>
      <c r="Q17" s="534"/>
      <c r="R17" s="534"/>
      <c r="S17" s="534"/>
      <c r="T17" s="523"/>
      <c r="U17" s="617"/>
      <c r="V17" s="185"/>
      <c r="W17" s="185"/>
      <c r="X17" s="185"/>
    </row>
    <row r="18" spans="1:24" ht="18.75" customHeight="1">
      <c r="A18" s="618"/>
      <c r="B18" s="534"/>
      <c r="C18" s="534"/>
      <c r="D18" s="534"/>
      <c r="E18" s="552"/>
      <c r="F18" s="552"/>
      <c r="G18" s="534"/>
      <c r="H18" s="534"/>
      <c r="I18" s="534"/>
      <c r="J18" s="534"/>
      <c r="K18" s="541"/>
      <c r="L18" s="541"/>
      <c r="M18" s="534"/>
      <c r="N18" s="534"/>
      <c r="O18" s="534"/>
      <c r="P18" s="534"/>
      <c r="Q18" s="534"/>
      <c r="R18" s="534"/>
      <c r="S18" s="534"/>
      <c r="T18" s="523"/>
      <c r="U18" s="617"/>
      <c r="V18" s="185"/>
      <c r="W18" s="185"/>
      <c r="X18" s="185"/>
    </row>
    <row r="19" spans="1:24" ht="18.75" customHeight="1">
      <c r="A19" s="618"/>
      <c r="B19" s="1217" t="s">
        <v>75</v>
      </c>
      <c r="C19" s="1218"/>
      <c r="D19" s="1227"/>
      <c r="E19" s="1266" t="e" cm="1" vm="1">
        <f t="array" aca="1" ref="E19" ca="1">IF(E23="low BCR","n/a",IF(E17="Yes",$E$23/MAX($E$33,$E$31),0.45*$E$23/MAX($E$33,$E$31)))</f>
        <v>#VALUE!</v>
      </c>
      <c r="F19" s="1267"/>
      <c r="G19" s="533"/>
      <c r="H19" s="1217" t="s">
        <v>76</v>
      </c>
      <c r="I19" s="1218"/>
      <c r="J19" s="1227"/>
      <c r="K19" s="1266" t="e" cm="1" vm="1">
        <f t="array" aca="1" ref="K19" ca="1">IF(E23="low BCR","n/a",IF(E17="Yes",IF(D11="Environment Agency",E23/MAX(MAX(E33,E31)-K33,1),E19+K33/E31),IF(D11="Environment Agency",E23*0.45/MAX(MAX(E33,E31)-K33,1),E19+K33/E31)))</f>
        <v>#VALUE!</v>
      </c>
      <c r="L19" s="1267"/>
      <c r="M19" s="533"/>
      <c r="N19" s="534"/>
      <c r="O19" s="534"/>
      <c r="P19" s="534"/>
      <c r="Q19" s="534"/>
      <c r="R19" s="534"/>
      <c r="S19" s="534"/>
      <c r="T19" s="523"/>
      <c r="U19" s="617"/>
      <c r="V19" s="185"/>
      <c r="W19" s="185"/>
      <c r="X19" s="185"/>
    </row>
    <row r="20" spans="1:24" ht="18.75" customHeight="1">
      <c r="A20" s="618"/>
      <c r="B20" s="534"/>
      <c r="C20" s="534"/>
      <c r="D20" s="534"/>
      <c r="E20" s="553"/>
      <c r="F20" s="553"/>
      <c r="G20" s="534"/>
      <c r="H20" s="534"/>
      <c r="I20" s="534"/>
      <c r="J20" s="534"/>
      <c r="K20" s="552"/>
      <c r="L20" s="552"/>
      <c r="M20" s="534"/>
      <c r="N20" s="534"/>
      <c r="O20" s="534"/>
      <c r="P20" s="534"/>
      <c r="Q20" s="534"/>
      <c r="R20" s="534"/>
      <c r="S20" s="534"/>
      <c r="T20" s="523"/>
      <c r="U20" s="617"/>
      <c r="V20" s="185"/>
      <c r="W20" s="185"/>
      <c r="X20" s="185"/>
    </row>
    <row r="21" spans="1:24" ht="18.75" customHeight="1">
      <c r="A21" s="618"/>
      <c r="B21" s="1209" t="s">
        <v>77</v>
      </c>
      <c r="C21" s="1210"/>
      <c r="D21" s="1229"/>
      <c r="E21" s="1230" t="e" cm="1" vm="1">
        <f t="array" aca="1" ref="E21" ca="1">IF(E23="low BCR","n/a",IF(E23=0,0,(IF(E17="Yes",MAX(IF(D11="Environment Agency",MAX(E33,E31)-MIN(E23,E33),E31*(1-(E19))),0),IF(D11="Environment Agency",MAX(E33,E31)-MIN(E23*0.45,E33),E31*(1-(E19)))))))</f>
        <v>#VALUE!</v>
      </c>
      <c r="F21" s="1231"/>
      <c r="G21" s="533"/>
      <c r="H21" s="1209" t="s">
        <v>78</v>
      </c>
      <c r="I21" s="1210"/>
      <c r="J21" s="1229"/>
      <c r="K21" s="1263" t="e" cm="1" vm="1">
        <f t="array" aca="1" ref="K21" ca="1">IF(E23="low BCR","n/a",IF(ROUNDUP(K19,4)&lt;100%,"-",IF(K32+M32&gt;E31,"N/A",E31-(K32+M32))))</f>
        <v>#VALUE!</v>
      </c>
      <c r="L21" s="1264"/>
      <c r="M21" s="533"/>
      <c r="N21" s="534"/>
      <c r="O21" s="534"/>
      <c r="P21" s="534"/>
      <c r="Q21" s="534"/>
      <c r="R21" s="534"/>
      <c r="S21" s="534"/>
      <c r="T21" s="523"/>
      <c r="U21" s="617"/>
      <c r="V21" s="192"/>
      <c r="W21" s="185"/>
      <c r="X21" s="193"/>
    </row>
    <row r="22" spans="1:24" ht="18.75" customHeight="1">
      <c r="A22" s="618"/>
      <c r="B22" s="534"/>
      <c r="C22" s="534"/>
      <c r="D22" s="534"/>
      <c r="E22" s="552"/>
      <c r="F22" s="552"/>
      <c r="G22" s="534"/>
      <c r="H22" s="534"/>
      <c r="I22" s="534"/>
      <c r="J22" s="534"/>
      <c r="K22" s="552"/>
      <c r="L22" s="552"/>
      <c r="M22" s="534"/>
      <c r="N22" s="534"/>
      <c r="O22" s="534"/>
      <c r="P22" s="534"/>
      <c r="Q22" s="534"/>
      <c r="R22" s="534"/>
      <c r="S22" s="534"/>
      <c r="T22" s="523"/>
      <c r="U22" s="617"/>
      <c r="V22" s="185"/>
      <c r="W22" s="185"/>
      <c r="X22" s="185"/>
    </row>
    <row r="23" spans="1:24" ht="18.75" customHeight="1">
      <c r="A23" s="618"/>
      <c r="B23" s="1217" t="s">
        <v>79</v>
      </c>
      <c r="C23" s="1218"/>
      <c r="D23" s="1227"/>
      <c r="E23" s="1238" t="e" cm="1" vm="1">
        <f t="array" aca="1" ref="E23" ca="1">IF(R8&lt;1,"low BCR",IF(OR(M7="Pre-SOC",M7="SOC",M7="Change (before OBC)"),H105,IF('Economic summary'!H12&lt;4,0,H105)))</f>
        <v>#VALUE!</v>
      </c>
      <c r="F23" s="1239"/>
      <c r="G23" s="533"/>
      <c r="H23" s="1209" t="s">
        <v>80</v>
      </c>
      <c r="I23" s="1210"/>
      <c r="J23" s="1229"/>
      <c r="K23" s="1263" t="e" cm="1" vm="1">
        <f t="array" aca="1" ref="K23" ca="1">IF(E23="low BCR","n/a",IF(D11="Environment Agency",(IF(ROUNDUP(K19,4)&lt;100%,"-",IF(O32&gt;E32,"N/A",E32-O32))),0))</f>
        <v>#VALUE!</v>
      </c>
      <c r="L23" s="1264"/>
      <c r="M23" s="1265"/>
      <c r="N23" s="1235"/>
      <c r="O23" s="1235"/>
      <c r="P23" s="1235"/>
      <c r="Q23" s="557"/>
      <c r="R23" s="557"/>
      <c r="S23" s="557"/>
      <c r="T23" s="523"/>
      <c r="U23" s="617"/>
      <c r="V23" s="192"/>
      <c r="W23" s="185"/>
      <c r="X23" s="185"/>
    </row>
    <row r="24" spans="1:24" ht="8" customHeight="1">
      <c r="A24" s="618"/>
      <c r="B24" s="549"/>
      <c r="C24" s="549"/>
      <c r="D24" s="549"/>
      <c r="E24" s="558"/>
      <c r="F24" s="558"/>
      <c r="G24" s="549"/>
      <c r="H24" s="549"/>
      <c r="I24" s="549"/>
      <c r="J24" s="549"/>
      <c r="K24" s="558"/>
      <c r="L24" s="558"/>
      <c r="M24" s="549"/>
      <c r="N24" s="549"/>
      <c r="O24" s="549"/>
      <c r="P24" s="549"/>
      <c r="Q24" s="549"/>
      <c r="R24" s="549"/>
      <c r="S24" s="549"/>
      <c r="T24" s="523"/>
      <c r="U24" s="617"/>
      <c r="V24" s="185"/>
      <c r="W24" s="185"/>
      <c r="X24" s="185"/>
    </row>
    <row r="25" spans="1:24" ht="18.75" customHeight="1">
      <c r="A25" s="618"/>
      <c r="B25" s="1190" t="e" cm="1" vm="4">
        <f t="array" aca="1" ref="B25" ca="1">'PF calculator'!B25:S25</f>
        <v>#VALUE!</v>
      </c>
      <c r="C25" s="1190"/>
      <c r="D25" s="1190"/>
      <c r="E25" s="1190"/>
      <c r="F25" s="1190"/>
      <c r="G25" s="1190"/>
      <c r="H25" s="1190"/>
      <c r="I25" s="1190"/>
      <c r="J25" s="1190"/>
      <c r="K25" s="1190"/>
      <c r="L25" s="1190"/>
      <c r="M25" s="1190"/>
      <c r="N25" s="1190"/>
      <c r="O25" s="1190"/>
      <c r="P25" s="1190"/>
      <c r="Q25" s="1190"/>
      <c r="R25" s="1190"/>
      <c r="S25" s="1190"/>
      <c r="T25" s="523"/>
      <c r="U25" s="617"/>
      <c r="V25" s="185"/>
      <c r="W25" s="185"/>
      <c r="X25" s="185"/>
    </row>
    <row r="26" spans="1:24" ht="8" customHeight="1">
      <c r="A26" s="618"/>
      <c r="B26" s="529"/>
      <c r="C26" s="529"/>
      <c r="D26" s="529"/>
      <c r="E26" s="529"/>
      <c r="F26" s="529"/>
      <c r="G26" s="529"/>
      <c r="H26" s="559"/>
      <c r="I26" s="529"/>
      <c r="J26" s="529"/>
      <c r="K26" s="1256" t="s">
        <v>81</v>
      </c>
      <c r="L26" s="1257"/>
      <c r="M26" s="1256" t="s">
        <v>82</v>
      </c>
      <c r="N26" s="1257"/>
      <c r="O26" s="1256" t="s">
        <v>83</v>
      </c>
      <c r="P26" s="1257"/>
      <c r="Q26" s="529"/>
      <c r="R26" s="529"/>
      <c r="S26" s="529"/>
      <c r="T26" s="523"/>
      <c r="U26" s="617"/>
      <c r="V26" s="185"/>
      <c r="W26" s="185"/>
      <c r="X26" s="185"/>
    </row>
    <row r="27" spans="1:24" ht="18.75" customHeight="1">
      <c r="A27" s="618"/>
      <c r="B27" s="1259" t="str" cm="1">
        <f t="array" ref="B27">IF(M7="Pre-SOC","Estimated project costs",IF(M7="SOC","Estimated project costs","Project costs"))</f>
        <v>Estimated project costs</v>
      </c>
      <c r="C27" s="1259"/>
      <c r="D27" s="1259"/>
      <c r="E27" s="1260" t="s">
        <v>84</v>
      </c>
      <c r="F27" s="1261"/>
      <c r="G27" s="529"/>
      <c r="H27" s="1262" t="str" cm="1">
        <f t="array" ref="H27">IF(M7="Pre-SOC","Estimated contributions",IF(M7="SOC","Estimated contributions","Contributions secured to date"))</f>
        <v>Estimated contributions</v>
      </c>
      <c r="I27" s="1262"/>
      <c r="J27" s="1262"/>
      <c r="K27" s="1258"/>
      <c r="L27" s="1258"/>
      <c r="M27" s="1258"/>
      <c r="N27" s="1258"/>
      <c r="O27" s="1258"/>
      <c r="P27" s="1258"/>
      <c r="Q27" s="529"/>
      <c r="R27" s="529"/>
      <c r="S27" s="529"/>
      <c r="T27" s="523"/>
      <c r="U27" s="617"/>
      <c r="V27" s="185"/>
      <c r="W27" s="185"/>
      <c r="X27" s="185"/>
    </row>
    <row r="28" spans="1:24" ht="18.75" customHeight="1">
      <c r="A28" s="618"/>
      <c r="B28" s="1209" t="s">
        <v>85</v>
      </c>
      <c r="C28" s="1210"/>
      <c r="D28" s="1229"/>
      <c r="E28" s="1212" cm="1">
        <f t="array" ref="E28">'PF calculator'!E28</f>
        <v>400000</v>
      </c>
      <c r="F28" s="1213"/>
      <c r="G28" s="533"/>
      <c r="H28" s="1209" t="s">
        <v>86</v>
      </c>
      <c r="I28" s="1210"/>
      <c r="J28" s="1211"/>
      <c r="K28" s="1252" cm="1">
        <f t="array" ref="K28">'PF calculator'!K28</f>
        <v>50000</v>
      </c>
      <c r="L28" s="1253"/>
      <c r="M28" s="1252" cm="1">
        <f t="array" ref="M28">'PF calculator'!M28</f>
        <v>200000</v>
      </c>
      <c r="N28" s="1253"/>
      <c r="O28" s="1252" cm="1">
        <f t="array" ref="O28">'PF calculator'!O28</f>
        <v>0</v>
      </c>
      <c r="P28" s="1253"/>
      <c r="Q28" s="1313" t="s">
        <v>477</v>
      </c>
      <c r="R28" s="1255"/>
      <c r="S28" s="1255"/>
      <c r="T28" s="523"/>
      <c r="U28" s="617"/>
      <c r="V28" s="185"/>
      <c r="W28" s="185"/>
      <c r="X28" s="185"/>
    </row>
    <row r="29" spans="1:24" ht="18.75" customHeight="1">
      <c r="A29" s="618"/>
      <c r="B29" s="1209" t="s">
        <v>88</v>
      </c>
      <c r="C29" s="1210"/>
      <c r="D29" s="1229"/>
      <c r="E29" s="1212" cm="1">
        <f t="array" ref="E29">'PF calculator'!E29</f>
        <v>6000000</v>
      </c>
      <c r="F29" s="1213"/>
      <c r="G29" s="533"/>
      <c r="H29" s="1209" t="s">
        <v>89</v>
      </c>
      <c r="I29" s="1210"/>
      <c r="J29" s="1211"/>
      <c r="K29" s="1252" cm="1">
        <f t="array" ref="K29">'PF calculator'!K29</f>
        <v>0</v>
      </c>
      <c r="L29" s="1253"/>
      <c r="M29" s="1252" cm="1">
        <f t="array" ref="M29">'PF calculator'!M29</f>
        <v>0</v>
      </c>
      <c r="N29" s="1253"/>
      <c r="O29" s="1252" cm="1">
        <f t="array" ref="O29">'PF calculator'!O29</f>
        <v>0</v>
      </c>
      <c r="P29" s="1253"/>
      <c r="Q29" s="1247" cm="1">
        <f t="array" ref="Q29">'PF calculator'!Q29</f>
        <v>0</v>
      </c>
      <c r="R29" s="1248"/>
      <c r="S29" s="1249"/>
      <c r="T29" s="525"/>
      <c r="U29" s="617"/>
      <c r="V29" s="185"/>
      <c r="W29" s="185"/>
      <c r="X29" s="185"/>
    </row>
    <row r="30" spans="1:24" ht="18.75" customHeight="1">
      <c r="A30" s="618"/>
      <c r="B30" s="1209" t="s">
        <v>90</v>
      </c>
      <c r="C30" s="1210"/>
      <c r="D30" s="1229"/>
      <c r="E30" s="1212" cm="1">
        <f t="array" ref="E30">'PF calculator'!E30</f>
        <v>100000</v>
      </c>
      <c r="F30" s="1213"/>
      <c r="G30" s="533"/>
      <c r="H30" s="1209" t="s">
        <v>91</v>
      </c>
      <c r="I30" s="1210"/>
      <c r="J30" s="1211"/>
      <c r="K30" s="1252" cm="1">
        <f t="array" ref="K30">'PF calculator'!K30</f>
        <v>50000</v>
      </c>
      <c r="L30" s="1253"/>
      <c r="M30" s="1252" cm="1">
        <f t="array" ref="M30">'PF calculator'!M30</f>
        <v>300000</v>
      </c>
      <c r="N30" s="1253"/>
      <c r="O30" s="1252" cm="1">
        <f t="array" ref="O30">'PF calculator'!O30</f>
        <v>0</v>
      </c>
      <c r="P30" s="1253"/>
      <c r="Q30" s="1247" cm="1">
        <f t="array" ref="Q30">'PF calculator'!Q30</f>
        <v>0</v>
      </c>
      <c r="R30" s="1248"/>
      <c r="S30" s="1249"/>
      <c r="T30" s="525"/>
      <c r="U30" s="617"/>
      <c r="V30" s="185"/>
      <c r="W30" s="185"/>
      <c r="X30" s="185"/>
    </row>
    <row r="31" spans="1:24" ht="18.75" customHeight="1">
      <c r="A31" s="618"/>
      <c r="B31" s="1209" t="s">
        <v>92</v>
      </c>
      <c r="C31" s="1210"/>
      <c r="D31" s="1229"/>
      <c r="E31" s="1230" cm="1">
        <f t="array" ref="E31">SUM(E28:E30)</f>
        <v>6500000</v>
      </c>
      <c r="F31" s="1231"/>
      <c r="G31" s="533"/>
      <c r="H31" s="1209" t="s">
        <v>93</v>
      </c>
      <c r="I31" s="1210"/>
      <c r="J31" s="1211"/>
      <c r="K31" s="1250" cm="1">
        <f t="array" ref="K31">'PF calculator'!K31</f>
        <v>0</v>
      </c>
      <c r="L31" s="1251"/>
      <c r="M31" s="1250" cm="1">
        <f t="array" ref="M31">'PF calculator'!M31</f>
        <v>0</v>
      </c>
      <c r="N31" s="1251"/>
      <c r="O31" s="1250" cm="1">
        <f t="array" ref="O31">'PF calculator'!O31</f>
        <v>0</v>
      </c>
      <c r="P31" s="1251"/>
      <c r="Q31" s="1247" cm="1">
        <f t="array" ref="Q31">'PF calculator'!Q31</f>
        <v>0</v>
      </c>
      <c r="R31" s="1248"/>
      <c r="S31" s="1249"/>
      <c r="T31" s="525"/>
      <c r="U31" s="617"/>
      <c r="V31" s="185"/>
      <c r="W31" s="185"/>
      <c r="X31" s="185"/>
    </row>
    <row r="32" spans="1:24" ht="18.75" customHeight="1">
      <c r="A32" s="618"/>
      <c r="B32" s="1209" t="s">
        <v>94</v>
      </c>
      <c r="C32" s="1210"/>
      <c r="D32" s="1229"/>
      <c r="E32" s="1212" cm="1">
        <f t="array" ref="E32">'PF calculator'!E32</f>
        <v>2000000</v>
      </c>
      <c r="F32" s="1213"/>
      <c r="G32" s="533"/>
      <c r="H32" s="1217" t="s">
        <v>95</v>
      </c>
      <c r="I32" s="1218"/>
      <c r="J32" s="1227"/>
      <c r="K32" s="1245" cm="1">
        <f t="array" ref="K32">SUM(K28:L31)</f>
        <v>100000</v>
      </c>
      <c r="L32" s="1246"/>
      <c r="M32" s="1245" cm="1">
        <f t="array" ref="M32">SUM(M28:N31)</f>
        <v>500000</v>
      </c>
      <c r="N32" s="1246"/>
      <c r="O32" s="1245" cm="1">
        <f t="array" ref="O32">SUM(O28:P31)</f>
        <v>0</v>
      </c>
      <c r="P32" s="1246"/>
      <c r="Q32" s="560"/>
      <c r="R32" s="546"/>
      <c r="S32" s="546"/>
      <c r="T32" s="523"/>
      <c r="U32" s="617"/>
      <c r="V32" s="185"/>
      <c r="W32" s="185"/>
      <c r="X32" s="185"/>
    </row>
    <row r="33" spans="1:24" ht="18.75" customHeight="1">
      <c r="A33" s="618"/>
      <c r="B33" s="1209" t="s">
        <v>96</v>
      </c>
      <c r="C33" s="1210"/>
      <c r="D33" s="1229"/>
      <c r="E33" s="1230" cm="1">
        <f t="array" ref="E33">SUM(E31:F32)</f>
        <v>8500000</v>
      </c>
      <c r="F33" s="1231"/>
      <c r="G33" s="533"/>
      <c r="H33" s="1209" t="s">
        <v>97</v>
      </c>
      <c r="I33" s="1210"/>
      <c r="J33" s="1229"/>
      <c r="K33" s="1238" cm="1">
        <f t="array" ref="K33">IF(D11="Environment Agency",K32+M32+O32,K32+M32)</f>
        <v>600000</v>
      </c>
      <c r="L33" s="1239"/>
      <c r="M33" s="1240"/>
      <c r="N33" s="1241"/>
      <c r="O33" s="1241"/>
      <c r="P33" s="1241"/>
      <c r="Q33" s="1242"/>
      <c r="R33" s="1242"/>
      <c r="S33" s="1242"/>
      <c r="T33" s="523"/>
      <c r="U33" s="617"/>
      <c r="V33" s="185"/>
      <c r="W33" s="185"/>
      <c r="X33" s="185"/>
    </row>
    <row r="34" spans="1:24" ht="8" customHeight="1">
      <c r="A34" s="618"/>
      <c r="B34" s="549"/>
      <c r="C34" s="549"/>
      <c r="D34" s="549"/>
      <c r="E34" s="558"/>
      <c r="F34" s="558"/>
      <c r="G34" s="561"/>
      <c r="H34" s="561"/>
      <c r="I34" s="561"/>
      <c r="J34" s="549"/>
      <c r="K34" s="558"/>
      <c r="L34" s="558"/>
      <c r="M34" s="549"/>
      <c r="N34" s="561"/>
      <c r="O34" s="561"/>
      <c r="P34" s="561"/>
      <c r="Q34" s="549"/>
      <c r="R34" s="549"/>
      <c r="S34" s="549"/>
      <c r="T34" s="523"/>
      <c r="U34" s="617"/>
      <c r="V34" s="185"/>
      <c r="W34" s="185"/>
      <c r="X34" s="185"/>
    </row>
    <row r="35" spans="1:24" ht="18.75" customHeight="1">
      <c r="A35" s="618"/>
      <c r="B35" s="1190" t="e" cm="1" vm="4">
        <f t="array" aca="1" ref="B35" ca="1">'PF calculator'!B35:S35</f>
        <v>#VALUE!</v>
      </c>
      <c r="C35" s="1190"/>
      <c r="D35" s="1190"/>
      <c r="E35" s="1190"/>
      <c r="F35" s="1190"/>
      <c r="G35" s="1190"/>
      <c r="H35" s="1190"/>
      <c r="I35" s="1190"/>
      <c r="J35" s="1190"/>
      <c r="K35" s="1190"/>
      <c r="L35" s="1190"/>
      <c r="M35" s="1190"/>
      <c r="N35" s="1190"/>
      <c r="O35" s="1190"/>
      <c r="P35" s="1190"/>
      <c r="Q35" s="1190"/>
      <c r="R35" s="1190"/>
      <c r="S35" s="1190"/>
      <c r="T35" s="523"/>
      <c r="U35" s="617"/>
      <c r="V35" s="185"/>
      <c r="W35" s="185"/>
      <c r="X35" s="185"/>
    </row>
    <row r="36" spans="1:24" ht="8" customHeight="1">
      <c r="A36" s="618"/>
      <c r="B36" s="529"/>
      <c r="C36" s="529"/>
      <c r="D36" s="529"/>
      <c r="E36" s="530"/>
      <c r="F36" s="530"/>
      <c r="G36" s="529"/>
      <c r="H36" s="529"/>
      <c r="I36" s="529"/>
      <c r="J36" s="529"/>
      <c r="K36" s="529"/>
      <c r="L36" s="529"/>
      <c r="M36" s="529"/>
      <c r="N36" s="529"/>
      <c r="O36" s="529"/>
      <c r="P36" s="529"/>
      <c r="Q36" s="529"/>
      <c r="R36" s="529"/>
      <c r="S36" s="529"/>
      <c r="T36" s="523"/>
      <c r="U36" s="617"/>
      <c r="V36" s="185"/>
      <c r="W36" s="185"/>
      <c r="X36" s="185"/>
    </row>
    <row r="37" spans="1:24" ht="18.75" customHeight="1">
      <c r="A37" s="618"/>
      <c r="B37" s="1209" t="s">
        <v>100</v>
      </c>
      <c r="C37" s="1210"/>
      <c r="D37" s="1229"/>
      <c r="E37" s="1212" cm="1">
        <f t="array" ref="E37">'PF calculator'!E37</f>
        <v>4000000</v>
      </c>
      <c r="F37" s="1213"/>
      <c r="G37" s="533"/>
      <c r="H37" s="534"/>
      <c r="I37" s="534"/>
      <c r="J37" s="534"/>
      <c r="K37" s="534"/>
      <c r="L37" s="1235"/>
      <c r="M37" s="1235"/>
      <c r="N37" s="1235"/>
      <c r="O37" s="1235"/>
      <c r="P37" s="1235"/>
      <c r="Q37" s="1235"/>
      <c r="R37" s="1235"/>
      <c r="S37" s="1235"/>
      <c r="T37" s="523"/>
      <c r="U37" s="617"/>
      <c r="V37" s="185"/>
      <c r="W37" s="185"/>
      <c r="X37" s="185"/>
    </row>
    <row r="38" spans="1:24" ht="18.75" customHeight="1">
      <c r="A38" s="618"/>
      <c r="B38" s="1210" t="e" cm="1" vm="3">
        <f t="array" aca="1" ref="B38" ca="1">'PF calculator'!B38:D38</f>
        <v>#VALUE!</v>
      </c>
      <c r="C38" s="1210"/>
      <c r="D38" s="1229"/>
      <c r="E38" s="1236" cm="1">
        <f t="array" ref="E38">'PF calculator'!E38</f>
        <v>100</v>
      </c>
      <c r="F38" s="1237"/>
      <c r="G38" s="533"/>
      <c r="H38" s="534"/>
      <c r="I38" s="534"/>
      <c r="J38" s="534"/>
      <c r="K38" s="534"/>
      <c r="L38" s="534"/>
      <c r="M38" s="534"/>
      <c r="N38" s="534"/>
      <c r="O38" s="534"/>
      <c r="P38" s="534"/>
      <c r="Q38" s="534"/>
      <c r="R38" s="534"/>
      <c r="S38" s="534"/>
      <c r="T38" s="523"/>
      <c r="U38" s="617"/>
      <c r="V38" s="185"/>
      <c r="W38" s="185"/>
      <c r="X38" s="185"/>
    </row>
    <row r="39" spans="1:24" ht="18.75" customHeight="1">
      <c r="A39" s="618"/>
      <c r="B39" s="1210" t="e" cm="1" vm="3">
        <f t="array" aca="1" ref="B39" ca="1">'PF calculator'!B39:D39</f>
        <v>#VALUE!</v>
      </c>
      <c r="C39" s="1210"/>
      <c r="D39" s="1229"/>
      <c r="E39" s="1230" t="e" cm="1" vm="5">
        <f t="array" aca="1" ref="E39" ca="1">'PF calculator'!E39:F39</f>
        <v>#VALUE!</v>
      </c>
      <c r="F39" s="1231"/>
      <c r="G39" s="533"/>
      <c r="H39" s="534"/>
      <c r="I39" s="534"/>
      <c r="J39" s="534"/>
      <c r="K39" s="534"/>
      <c r="L39" s="534"/>
      <c r="M39" s="534"/>
      <c r="N39" s="534"/>
      <c r="O39" s="534"/>
      <c r="P39" s="534"/>
      <c r="Q39" s="534"/>
      <c r="R39" s="534"/>
      <c r="S39" s="534"/>
      <c r="T39" s="523"/>
      <c r="U39" s="617"/>
      <c r="V39" s="185"/>
      <c r="W39" s="185"/>
      <c r="X39" s="185"/>
    </row>
    <row r="40" spans="1:24" ht="8" customHeight="1">
      <c r="A40" s="618"/>
      <c r="B40" s="554"/>
      <c r="C40" s="554"/>
      <c r="D40" s="554"/>
      <c r="E40" s="562"/>
      <c r="F40" s="562"/>
      <c r="G40" s="554"/>
      <c r="H40" s="534"/>
      <c r="I40" s="534"/>
      <c r="J40" s="534"/>
      <c r="K40" s="534"/>
      <c r="L40" s="534"/>
      <c r="M40" s="534"/>
      <c r="N40" s="534"/>
      <c r="O40" s="534"/>
      <c r="P40" s="534"/>
      <c r="Q40" s="534"/>
      <c r="R40" s="534"/>
      <c r="S40" s="534"/>
      <c r="T40" s="523"/>
      <c r="U40" s="617"/>
      <c r="V40" s="185"/>
      <c r="W40" s="185"/>
      <c r="X40" s="185"/>
    </row>
    <row r="41" spans="1:24" ht="18.75" customHeight="1">
      <c r="A41" s="618"/>
      <c r="B41" s="1232" t="e" cm="1" vm="6">
        <f t="array" aca="1" ref="B41" ca="1">'PF calculator'!B41:D42</f>
        <v>#VALUE!</v>
      </c>
      <c r="C41" s="1232"/>
      <c r="D41" s="1233"/>
      <c r="E41" s="1230" cm="1">
        <f t="array" ref="E41">'PF calculator'!E41</f>
        <v>1000000</v>
      </c>
      <c r="F41" s="1231"/>
      <c r="G41" s="533"/>
      <c r="H41" s="534"/>
      <c r="I41" s="534"/>
      <c r="J41" s="534"/>
      <c r="K41" s="534"/>
      <c r="L41" s="534"/>
      <c r="M41" s="534"/>
      <c r="N41" s="534"/>
      <c r="O41" s="534"/>
      <c r="P41" s="534"/>
      <c r="Q41" s="534"/>
      <c r="R41" s="534"/>
      <c r="S41" s="534"/>
      <c r="T41" s="523"/>
      <c r="U41" s="617"/>
      <c r="V41" s="185"/>
      <c r="W41" s="185"/>
      <c r="X41" s="185"/>
    </row>
    <row r="42" spans="1:24" ht="13.5" customHeight="1">
      <c r="A42" s="618"/>
      <c r="B42" s="1234"/>
      <c r="C42" s="1234"/>
      <c r="D42" s="1234"/>
      <c r="E42" s="563"/>
      <c r="F42" s="563"/>
      <c r="G42" s="564"/>
      <c r="H42" s="564"/>
      <c r="I42" s="564"/>
      <c r="J42" s="564"/>
      <c r="K42" s="564"/>
      <c r="L42" s="564"/>
      <c r="M42" s="564"/>
      <c r="N42" s="564"/>
      <c r="O42" s="564"/>
      <c r="P42" s="564"/>
      <c r="Q42" s="564"/>
      <c r="R42" s="564"/>
      <c r="S42" s="564"/>
      <c r="T42" s="523"/>
      <c r="U42" s="617"/>
      <c r="V42" s="185"/>
      <c r="W42" s="185"/>
      <c r="X42" s="185"/>
    </row>
    <row r="43" spans="1:24" ht="18.75" customHeight="1">
      <c r="A43" s="618"/>
      <c r="B43" s="1190" t="e" cm="1" vm="4">
        <f t="array" aca="1" ref="B43" ca="1">'PF calculator'!B43:S43</f>
        <v>#VALUE!</v>
      </c>
      <c r="C43" s="1190"/>
      <c r="D43" s="1190"/>
      <c r="E43" s="1190"/>
      <c r="F43" s="1190"/>
      <c r="G43" s="1190"/>
      <c r="H43" s="1190"/>
      <c r="I43" s="1190"/>
      <c r="J43" s="1190"/>
      <c r="K43" s="1190"/>
      <c r="L43" s="1190"/>
      <c r="M43" s="1190"/>
      <c r="N43" s="1190"/>
      <c r="O43" s="1190"/>
      <c r="P43" s="1190"/>
      <c r="Q43" s="1190"/>
      <c r="R43" s="1190"/>
      <c r="S43" s="1190"/>
      <c r="T43" s="523"/>
      <c r="U43" s="617"/>
      <c r="V43" s="185"/>
      <c r="W43" s="185"/>
      <c r="X43" s="185"/>
    </row>
    <row r="44" spans="1:24" ht="8" customHeight="1">
      <c r="A44" s="618"/>
      <c r="B44" s="565"/>
      <c r="C44" s="529"/>
      <c r="D44" s="529"/>
      <c r="E44" s="529"/>
      <c r="F44" s="529"/>
      <c r="G44" s="529"/>
      <c r="H44" s="529"/>
      <c r="I44" s="529"/>
      <c r="J44" s="529"/>
      <c r="K44" s="529"/>
      <c r="L44" s="529"/>
      <c r="M44" s="529"/>
      <c r="N44" s="529"/>
      <c r="O44" s="529"/>
      <c r="P44" s="529"/>
      <c r="Q44" s="529"/>
      <c r="R44" s="529"/>
      <c r="S44" s="529"/>
      <c r="T44" s="523"/>
      <c r="U44" s="617"/>
      <c r="V44" s="185"/>
      <c r="W44" s="185"/>
      <c r="X44" s="185"/>
    </row>
    <row r="45" spans="1:24" ht="18.75" customHeight="1">
      <c r="A45" s="620"/>
      <c r="B45" s="1217" t="s">
        <v>107</v>
      </c>
      <c r="C45" s="1218"/>
      <c r="D45" s="1218"/>
      <c r="E45" s="1218"/>
      <c r="F45" s="1219" t="s">
        <v>108</v>
      </c>
      <c r="G45" s="1220"/>
      <c r="H45" s="1220"/>
      <c r="I45" s="1220"/>
      <c r="J45" s="1220"/>
      <c r="K45" s="534"/>
      <c r="L45" s="1219" t="s">
        <v>109</v>
      </c>
      <c r="M45" s="1220"/>
      <c r="N45" s="1220"/>
      <c r="O45" s="1220"/>
      <c r="P45" s="1220"/>
      <c r="Q45" s="534"/>
      <c r="R45" s="1221" t="s">
        <v>110</v>
      </c>
      <c r="S45" s="1222"/>
      <c r="T45" s="523"/>
      <c r="U45" s="617"/>
      <c r="V45" s="185"/>
      <c r="W45" s="185"/>
      <c r="X45" s="185"/>
    </row>
    <row r="46" spans="1:24" ht="18.75" customHeight="1">
      <c r="A46" s="620"/>
      <c r="B46" s="1209" t="s">
        <v>111</v>
      </c>
      <c r="C46" s="1210"/>
      <c r="D46" s="1210"/>
      <c r="E46" s="1211"/>
      <c r="F46" s="122"/>
      <c r="G46" s="567" cm="1">
        <f t="array" ref="G46">'PF calculator'!G46</f>
        <v>0</v>
      </c>
      <c r="H46" s="567" cm="1">
        <f t="array" ref="H46">'PF calculator'!H46</f>
        <v>0</v>
      </c>
      <c r="I46" s="567" cm="1">
        <f t="array" ref="I46">'PF calculator'!I46</f>
        <v>123</v>
      </c>
      <c r="J46" s="567" cm="1">
        <f t="array" ref="J46">'PF calculator'!J46</f>
        <v>0</v>
      </c>
      <c r="K46" s="568"/>
      <c r="L46" s="569" cm="1">
        <f t="array" ref="L46">IF(SUM(G46:J46)&lt;SUM(F51:J51),"n/a",F51)</f>
        <v>123</v>
      </c>
      <c r="M46" s="569" cm="1">
        <f t="array" ref="M46">IF(SUM(G46:J46)&lt;SUM(F51:J51),"n/a",G51-G46)</f>
        <v>0</v>
      </c>
      <c r="N46" s="569" cm="1">
        <f t="array" ref="N46">IF(SUM(G46:J46)&lt;SUM(F51:J51),"n/a",H51-H46)</f>
        <v>0</v>
      </c>
      <c r="O46" s="569" cm="1">
        <f t="array" ref="O46">IF(SUM(G46:J46)&lt;SUM(F51:J51),"n/a",I51-I46)</f>
        <v>-123</v>
      </c>
      <c r="P46" s="569" cm="1">
        <f t="array" ref="P46">IF(SUM(G46:J46)&lt;SUM(F51:J51),"n/a",J51-J46)</f>
        <v>0</v>
      </c>
      <c r="Q46" s="570"/>
      <c r="R46" s="1212" cm="1">
        <f t="array" ref="R46">-(SUMPRODUCT($M$46:$P$46,$M$52:$P$52))*(VLOOKUP($E$38,'Policy assumptions and formulae'!A10:D109,4,FALSE))</f>
        <v>3673805.8916927809</v>
      </c>
      <c r="S46" s="1226"/>
      <c r="T46" s="571"/>
      <c r="U46" s="617"/>
      <c r="V46" s="185"/>
      <c r="W46" s="185"/>
      <c r="X46" s="185"/>
    </row>
    <row r="47" spans="1:24" ht="18.75" customHeight="1">
      <c r="A47" s="620"/>
      <c r="B47" s="1209" t="s">
        <v>112</v>
      </c>
      <c r="C47" s="1210"/>
      <c r="D47" s="1210"/>
      <c r="E47" s="1211"/>
      <c r="F47" s="122"/>
      <c r="G47" s="567" cm="1">
        <f t="array" ref="G47">'PF calculator'!G47</f>
        <v>0</v>
      </c>
      <c r="H47" s="567" cm="1">
        <f t="array" ref="H47">'PF calculator'!H47</f>
        <v>0</v>
      </c>
      <c r="I47" s="567" cm="1">
        <f t="array" ref="I47">'PF calculator'!I47</f>
        <v>500</v>
      </c>
      <c r="J47" s="567" cm="1">
        <f t="array" ref="J47">'PF calculator'!J47</f>
        <v>0</v>
      </c>
      <c r="K47" s="568"/>
      <c r="L47" s="569" cm="1">
        <f t="array" ref="L47">IF(SUM(G47:J47)&lt;SUM(F52:J52),"n/a",F52)</f>
        <v>500</v>
      </c>
      <c r="M47" s="569" cm="1">
        <f t="array" ref="M47">IF(SUM(G47:J47)&lt;SUM(F52:J52),"n/a",G52-G47)</f>
        <v>0</v>
      </c>
      <c r="N47" s="569" cm="1">
        <f t="array" ref="N47">IF(SUM(G47:J47)&lt;SUM(F52:J52),"n/a",H52-H47)</f>
        <v>0</v>
      </c>
      <c r="O47" s="569" cm="1">
        <f t="array" ref="O47">IF(SUM(G47:J47)&lt;SUM(F52:J52),"n/a",I52-I47)</f>
        <v>-500</v>
      </c>
      <c r="P47" s="569" cm="1">
        <f t="array" ref="P47">IF(SUM(G47:J47)&lt;SUM(F52:J52),"n/a",J52-J47)</f>
        <v>0</v>
      </c>
      <c r="Q47" s="570"/>
      <c r="R47" s="1212" cm="1">
        <f t="array" ref="R47">-(SUMPRODUCT($M$47:$P$47,$M$52:$P$52))*(VLOOKUP($E$38,'Policy assumptions and formulae'!A10:D109,4,FALSE))</f>
        <v>14934170.291434068</v>
      </c>
      <c r="S47" s="1226"/>
      <c r="T47" s="571"/>
      <c r="U47" s="617"/>
      <c r="V47" s="185"/>
      <c r="W47" s="185"/>
      <c r="X47" s="185"/>
    </row>
    <row r="48" spans="1:24" ht="18.75" customHeight="1">
      <c r="A48" s="620"/>
      <c r="B48" s="1209" t="s">
        <v>113</v>
      </c>
      <c r="C48" s="1210"/>
      <c r="D48" s="1210"/>
      <c r="E48" s="1211"/>
      <c r="F48" s="122"/>
      <c r="G48" s="567" cm="1">
        <f t="array" ref="G48">'PF calculator'!G48</f>
        <v>0</v>
      </c>
      <c r="H48" s="567" cm="1">
        <f t="array" ref="H48">'PF calculator'!H48</f>
        <v>0</v>
      </c>
      <c r="I48" s="567" cm="1">
        <f t="array" ref="I48">'PF calculator'!I48</f>
        <v>0</v>
      </c>
      <c r="J48" s="567" cm="1">
        <f t="array" ref="J48">'PF calculator'!J48</f>
        <v>0</v>
      </c>
      <c r="K48" s="568"/>
      <c r="L48" s="569" cm="1">
        <f t="array" ref="L48">IF(SUM(G48:J48)&lt;SUM(F53:J53),"n/a",F53)</f>
        <v>0</v>
      </c>
      <c r="M48" s="569" cm="1">
        <f t="array" ref="M48">IF(SUM(G48:J48)&lt;SUM(F53:J53),"n/a",G53-G48)</f>
        <v>0</v>
      </c>
      <c r="N48" s="569" cm="1">
        <f t="array" ref="N48">IF(SUM(G48:J48)&lt;SUM(F53:J53),"n/a",H53-H48)</f>
        <v>0</v>
      </c>
      <c r="O48" s="569" cm="1">
        <f t="array" ref="O48">IF(SUM(G48:J48)&lt;SUM(F53:J53),"n/a",I53-I48)</f>
        <v>0</v>
      </c>
      <c r="P48" s="569" cm="1">
        <f t="array" ref="P48">IF(SUM(G48:J48)&lt;SUM(F53:J53),"n/a",J53-J48)</f>
        <v>0</v>
      </c>
      <c r="Q48" s="570"/>
      <c r="R48" s="1212" cm="1">
        <f t="array" ref="R48">-(SUMPRODUCT($M$48:$P$48,$M$52:$P$52))*(VLOOKUP($E$38,'Policy assumptions and formulae'!A10:D109,4,FALSE))</f>
        <v>0</v>
      </c>
      <c r="S48" s="1226"/>
      <c r="T48" s="571"/>
      <c r="U48" s="617"/>
      <c r="V48" s="185"/>
      <c r="W48" s="185"/>
      <c r="X48" s="185"/>
    </row>
    <row r="49" spans="1:24" ht="29.25" customHeight="1">
      <c r="A49" s="618"/>
      <c r="B49" s="529"/>
      <c r="C49" s="529"/>
      <c r="D49" s="529"/>
      <c r="E49" s="529"/>
      <c r="F49" s="572" t="s">
        <v>464</v>
      </c>
      <c r="G49" s="572" t="s">
        <v>114</v>
      </c>
      <c r="H49" s="572" t="s">
        <v>115</v>
      </c>
      <c r="I49" s="572" t="s">
        <v>117</v>
      </c>
      <c r="J49" s="572" t="s">
        <v>118</v>
      </c>
      <c r="K49" s="529"/>
      <c r="L49" s="572" t="s">
        <v>464</v>
      </c>
      <c r="M49" s="572" t="s">
        <v>114</v>
      </c>
      <c r="N49" s="572" t="s">
        <v>115</v>
      </c>
      <c r="O49" s="572" t="s">
        <v>117</v>
      </c>
      <c r="P49" s="572" t="s">
        <v>118</v>
      </c>
      <c r="Q49" s="529"/>
      <c r="R49" s="573"/>
      <c r="S49" s="573"/>
      <c r="T49" s="523"/>
      <c r="U49" s="617"/>
      <c r="V49" s="185"/>
      <c r="W49" s="185"/>
      <c r="X49" s="185"/>
    </row>
    <row r="50" spans="1:24" ht="18.75" customHeight="1">
      <c r="A50" s="618"/>
      <c r="B50" s="1217" t="s">
        <v>107</v>
      </c>
      <c r="C50" s="1218"/>
      <c r="D50" s="1218"/>
      <c r="E50" s="1218"/>
      <c r="F50" s="1219" t="s">
        <v>465</v>
      </c>
      <c r="G50" s="1220"/>
      <c r="H50" s="1220"/>
      <c r="I50" s="1220"/>
      <c r="J50" s="1220"/>
      <c r="K50" s="534"/>
      <c r="L50" s="1223" t="s">
        <v>120</v>
      </c>
      <c r="M50" s="1224"/>
      <c r="N50" s="1224"/>
      <c r="O50" s="1224"/>
      <c r="P50" s="1224"/>
      <c r="Q50" s="529"/>
      <c r="R50" s="529"/>
      <c r="S50" s="529"/>
      <c r="T50" s="523"/>
      <c r="U50" s="617"/>
      <c r="V50" s="185"/>
      <c r="W50" s="185"/>
      <c r="X50" s="185"/>
    </row>
    <row r="51" spans="1:24" ht="18.75" customHeight="1">
      <c r="A51" s="618"/>
      <c r="B51" s="1209" t="s">
        <v>111</v>
      </c>
      <c r="C51" s="1210"/>
      <c r="D51" s="1210"/>
      <c r="E51" s="1211"/>
      <c r="F51" s="567" cm="1">
        <f t="array" ref="F51">'PF calculator'!F51</f>
        <v>123</v>
      </c>
      <c r="G51" s="567" cm="1">
        <f t="array" ref="G51">'PF calculator'!G51</f>
        <v>0</v>
      </c>
      <c r="H51" s="567" cm="1">
        <f t="array" ref="H51">'PF calculator'!H51</f>
        <v>0</v>
      </c>
      <c r="I51" s="567" cm="1">
        <f t="array" ref="I51">'PF calculator'!I51</f>
        <v>0</v>
      </c>
      <c r="J51" s="567" cm="1">
        <f t="array" ref="J51">'PF calculator'!J51</f>
        <v>0</v>
      </c>
      <c r="K51" s="574"/>
      <c r="L51" s="1225"/>
      <c r="M51" s="1225"/>
      <c r="N51" s="1225"/>
      <c r="O51" s="1225"/>
      <c r="P51" s="1225"/>
      <c r="Q51" s="529"/>
      <c r="R51" s="529"/>
      <c r="S51" s="529"/>
      <c r="T51" s="523"/>
      <c r="U51" s="617"/>
      <c r="V51" s="185"/>
      <c r="W51" s="185"/>
      <c r="X51" s="185"/>
    </row>
    <row r="52" spans="1:24" ht="18.75" customHeight="1">
      <c r="A52" s="618"/>
      <c r="B52" s="1209" t="s">
        <v>112</v>
      </c>
      <c r="C52" s="1210"/>
      <c r="D52" s="1210"/>
      <c r="E52" s="1211"/>
      <c r="F52" s="567" cm="1">
        <f t="array" ref="F52">'PF calculator'!F52</f>
        <v>500</v>
      </c>
      <c r="G52" s="567" cm="1">
        <f t="array" ref="G52">'PF calculator'!G52</f>
        <v>0</v>
      </c>
      <c r="H52" s="567" cm="1">
        <f t="array" ref="H52">'PF calculator'!H52</f>
        <v>0</v>
      </c>
      <c r="I52" s="567" cm="1">
        <f t="array" ref="I52">'PF calculator'!I52</f>
        <v>0</v>
      </c>
      <c r="J52" s="567" cm="1">
        <f t="array" ref="J52">'PF calculator'!J52</f>
        <v>0</v>
      </c>
      <c r="K52" s="568"/>
      <c r="L52" s="575" cm="1">
        <f t="array" ref="L52">'Policy assumptions and formulae'!$AD$56</f>
        <v>0</v>
      </c>
      <c r="M52" s="575" cm="1">
        <f t="array" ref="M52">'Policy assumptions and formulae'!$AD$55</f>
        <v>58.833333333333343</v>
      </c>
      <c r="N52" s="575" cm="1">
        <f t="array" ref="N52">'Policy assumptions and formulae'!$AD$54</f>
        <v>294.16666666666674</v>
      </c>
      <c r="O52" s="575" cm="1">
        <f t="array" ref="O52">'Policy assumptions and formulae'!$AD$53</f>
        <v>1000.1666666666665</v>
      </c>
      <c r="P52" s="575" cm="1">
        <f t="array" ref="P52">'Policy assumptions and formulae'!$AD$52</f>
        <v>1588.5000000000002</v>
      </c>
      <c r="Q52" s="576"/>
      <c r="R52" s="529"/>
      <c r="S52" s="529"/>
      <c r="T52" s="523"/>
      <c r="U52" s="617"/>
      <c r="V52" s="185"/>
      <c r="W52" s="185"/>
      <c r="X52" s="185"/>
    </row>
    <row r="53" spans="1:24" ht="18.75" customHeight="1">
      <c r="A53" s="618"/>
      <c r="B53" s="1209" t="s">
        <v>121</v>
      </c>
      <c r="C53" s="1210"/>
      <c r="D53" s="1210"/>
      <c r="E53" s="1211"/>
      <c r="F53" s="567" cm="1">
        <f t="array" ref="F53">'PF calculator'!F53</f>
        <v>0</v>
      </c>
      <c r="G53" s="567" cm="1">
        <f t="array" ref="G53">'PF calculator'!G53</f>
        <v>0</v>
      </c>
      <c r="H53" s="567" cm="1">
        <f t="array" ref="H53">'PF calculator'!H53</f>
        <v>0</v>
      </c>
      <c r="I53" s="567" cm="1">
        <f t="array" ref="I53">'PF calculator'!I53</f>
        <v>0</v>
      </c>
      <c r="J53" s="567" cm="1">
        <f t="array" ref="J53">'PF calculator'!J53</f>
        <v>0</v>
      </c>
      <c r="K53" s="574"/>
      <c r="L53" s="577"/>
      <c r="M53" s="546"/>
      <c r="N53" s="546"/>
      <c r="O53" s="546"/>
      <c r="P53" s="546"/>
      <c r="Q53" s="529"/>
      <c r="R53" s="529"/>
      <c r="S53" s="529"/>
      <c r="T53" s="523"/>
      <c r="U53" s="617"/>
      <c r="V53" s="185"/>
      <c r="W53" s="185"/>
      <c r="X53" s="185"/>
    </row>
    <row r="54" spans="1:24" ht="28.5" customHeight="1">
      <c r="A54" s="618"/>
      <c r="B54" s="529"/>
      <c r="C54" s="529"/>
      <c r="D54" s="529"/>
      <c r="E54" s="529"/>
      <c r="F54" s="572" t="s">
        <v>464</v>
      </c>
      <c r="G54" s="572" t="s">
        <v>114</v>
      </c>
      <c r="H54" s="572" t="s">
        <v>115</v>
      </c>
      <c r="I54" s="572" t="s">
        <v>117</v>
      </c>
      <c r="J54" s="572" t="s">
        <v>118</v>
      </c>
      <c r="K54" s="529"/>
      <c r="L54" s="529"/>
      <c r="M54" s="529"/>
      <c r="N54" s="529"/>
      <c r="O54" s="529"/>
      <c r="P54" s="529"/>
      <c r="Q54" s="529"/>
      <c r="R54" s="529"/>
      <c r="S54" s="529"/>
      <c r="T54" s="523"/>
      <c r="U54" s="617"/>
      <c r="V54" s="185"/>
      <c r="W54" s="185"/>
      <c r="X54" s="185"/>
    </row>
    <row r="55" spans="1:24" ht="8" customHeight="1">
      <c r="A55" s="618"/>
      <c r="B55" s="549"/>
      <c r="C55" s="549"/>
      <c r="D55" s="549"/>
      <c r="E55" s="549"/>
      <c r="F55" s="549"/>
      <c r="G55" s="549"/>
      <c r="H55" s="549"/>
      <c r="I55" s="549"/>
      <c r="J55" s="549"/>
      <c r="K55" s="549"/>
      <c r="L55" s="549"/>
      <c r="M55" s="549"/>
      <c r="N55" s="549"/>
      <c r="O55" s="549"/>
      <c r="P55" s="549"/>
      <c r="Q55" s="549"/>
      <c r="R55" s="549"/>
      <c r="S55" s="549"/>
      <c r="T55" s="523"/>
      <c r="U55" s="617"/>
      <c r="V55" s="185"/>
      <c r="W55" s="185"/>
      <c r="X55" s="185"/>
    </row>
    <row r="56" spans="1:24" ht="18.75" customHeight="1">
      <c r="A56" s="618"/>
      <c r="B56" s="1190" t="e" cm="1" vm="4">
        <f t="array" aca="1" ref="B56" ca="1">'PF calculator'!B56:S56</f>
        <v>#VALUE!</v>
      </c>
      <c r="C56" s="1190"/>
      <c r="D56" s="1190"/>
      <c r="E56" s="1190"/>
      <c r="F56" s="1190"/>
      <c r="G56" s="1190"/>
      <c r="H56" s="1190"/>
      <c r="I56" s="1190"/>
      <c r="J56" s="1190"/>
      <c r="K56" s="1190"/>
      <c r="L56" s="1190"/>
      <c r="M56" s="1190"/>
      <c r="N56" s="1190"/>
      <c r="O56" s="1190"/>
      <c r="P56" s="1190"/>
      <c r="Q56" s="1190"/>
      <c r="R56" s="1190"/>
      <c r="S56" s="1190"/>
      <c r="T56" s="523"/>
      <c r="U56" s="617"/>
      <c r="V56" s="185"/>
      <c r="W56" s="185"/>
      <c r="X56" s="185"/>
    </row>
    <row r="57" spans="1:24" ht="8" customHeight="1">
      <c r="A57" s="618"/>
      <c r="B57" s="529"/>
      <c r="C57" s="529"/>
      <c r="D57" s="529"/>
      <c r="E57" s="530"/>
      <c r="F57" s="530"/>
      <c r="G57" s="529"/>
      <c r="H57" s="529"/>
      <c r="I57" s="529"/>
      <c r="J57" s="529"/>
      <c r="K57" s="529"/>
      <c r="L57" s="529"/>
      <c r="M57" s="529"/>
      <c r="N57" s="529"/>
      <c r="O57" s="529"/>
      <c r="P57" s="529"/>
      <c r="Q57" s="529"/>
      <c r="R57" s="529"/>
      <c r="S57" s="529"/>
      <c r="T57" s="523"/>
      <c r="U57" s="617"/>
      <c r="V57" s="185"/>
      <c r="W57" s="185"/>
      <c r="X57" s="185"/>
    </row>
    <row r="58" spans="1:24" ht="18.75" customHeight="1">
      <c r="A58" s="618"/>
      <c r="B58" s="1217" t="s">
        <v>478</v>
      </c>
      <c r="C58" s="1218"/>
      <c r="D58" s="1227"/>
      <c r="E58" s="1228" cm="1">
        <f t="array" ref="E58">'PF calculator'!E58</f>
        <v>2024</v>
      </c>
      <c r="F58" s="1226"/>
      <c r="G58" s="533"/>
      <c r="H58" s="534"/>
      <c r="I58" s="534"/>
      <c r="J58" s="534"/>
      <c r="K58" s="534"/>
      <c r="L58" s="534"/>
      <c r="M58" s="534"/>
      <c r="N58" s="534"/>
      <c r="O58" s="534"/>
      <c r="P58" s="534"/>
      <c r="Q58" s="534"/>
      <c r="R58" s="534"/>
      <c r="S58" s="534"/>
      <c r="T58" s="523"/>
      <c r="U58" s="617"/>
      <c r="V58" s="185"/>
      <c r="W58" s="185"/>
      <c r="X58" s="185"/>
    </row>
    <row r="59" spans="1:24" ht="8" customHeight="1">
      <c r="A59" s="618"/>
      <c r="B59" s="534"/>
      <c r="C59" s="534"/>
      <c r="D59" s="534"/>
      <c r="E59" s="536"/>
      <c r="F59" s="536"/>
      <c r="G59" s="534"/>
      <c r="H59" s="534"/>
      <c r="I59" s="534"/>
      <c r="J59" s="534"/>
      <c r="K59" s="534"/>
      <c r="L59" s="534"/>
      <c r="M59" s="534"/>
      <c r="N59" s="534"/>
      <c r="O59" s="534"/>
      <c r="P59" s="534"/>
      <c r="Q59" s="534"/>
      <c r="R59" s="534"/>
      <c r="S59" s="534"/>
      <c r="T59" s="523"/>
      <c r="U59" s="617"/>
      <c r="V59" s="185"/>
      <c r="W59" s="185"/>
      <c r="X59" s="185"/>
    </row>
    <row r="60" spans="1:24" ht="18.75" customHeight="1">
      <c r="A60" s="618"/>
      <c r="B60" s="1217" t="s">
        <v>107</v>
      </c>
      <c r="C60" s="1218"/>
      <c r="D60" s="1218"/>
      <c r="E60" s="1218"/>
      <c r="F60" s="1219" t="s">
        <v>125</v>
      </c>
      <c r="G60" s="1220"/>
      <c r="H60" s="1220"/>
      <c r="I60" s="1220"/>
      <c r="J60" s="1220"/>
      <c r="K60" s="534"/>
      <c r="L60" s="1219" t="s">
        <v>109</v>
      </c>
      <c r="M60" s="1220"/>
      <c r="N60" s="1220"/>
      <c r="O60" s="1220"/>
      <c r="P60" s="1220"/>
      <c r="Q60" s="534"/>
      <c r="R60" s="1221" t="s">
        <v>110</v>
      </c>
      <c r="S60" s="1222"/>
      <c r="T60" s="523"/>
      <c r="U60" s="617"/>
      <c r="V60" s="185"/>
      <c r="W60" s="185"/>
      <c r="X60" s="185"/>
    </row>
    <row r="61" spans="1:24" ht="18.75" customHeight="1">
      <c r="A61" s="618"/>
      <c r="B61" s="1209" t="s">
        <v>111</v>
      </c>
      <c r="C61" s="1210"/>
      <c r="D61" s="1210"/>
      <c r="E61" s="1211"/>
      <c r="F61" s="122"/>
      <c r="G61" s="567" cm="1">
        <f t="array" ref="G61">'PF calculator'!G61</f>
        <v>0</v>
      </c>
      <c r="H61" s="567" cm="1">
        <f t="array" ref="H61">'PF calculator'!H61</f>
        <v>0</v>
      </c>
      <c r="I61" s="567" cm="1">
        <f t="array" ref="I61">'PF calculator'!I61</f>
        <v>14</v>
      </c>
      <c r="J61" s="567" cm="1">
        <f t="array" ref="J61">'PF calculator'!J61</f>
        <v>0</v>
      </c>
      <c r="K61" s="568"/>
      <c r="L61" s="569" cm="1">
        <f t="array" ref="L61">IF(SUM(G61:J61)&lt;SUM(F66:J66),"n/a",F66)</f>
        <v>14</v>
      </c>
      <c r="M61" s="569" cm="1">
        <f t="array" ref="M61">IF(SUM(G61:J61)&lt;SUM(F66:J66),"n/a",G66-G61)</f>
        <v>0</v>
      </c>
      <c r="N61" s="569" cm="1">
        <f t="array" ref="N61">IF(SUM(G61:J61)&lt;SUM(F66:J66),"n/a",H66-H61)</f>
        <v>0</v>
      </c>
      <c r="O61" s="569" cm="1">
        <f t="array" ref="O61">IF(SUM(G61:J61)&lt;SUM(F66:J66),"n/a",I66-I61)</f>
        <v>-14</v>
      </c>
      <c r="P61" s="569" cm="1">
        <f t="array" ref="P61">IF(SUM(G61:J61)&lt;SUM(F66:J66),"n/a",J66-J61)</f>
        <v>0</v>
      </c>
      <c r="Q61" s="570"/>
      <c r="R61" s="1212" cm="1">
        <f t="array" ref="R61">IF($E$58+$E$38&lt;2041,"Ltd by DoB",(-SUMPRODUCT($M$61:$P$61,$M$67:$P$67)*VLOOKUP($E$38,'Policy assumptions and formulae'!$A$10:$D$109,4,FALSE))-(-SUMPRODUCT($M$61:$P$61,$M$67:$P$67)*VLOOKUP((2040-$E$58),'Policy assumptions and formulae'!$A$10:$D$109,4,FALSE)))</f>
        <v>234808.57990684893</v>
      </c>
      <c r="S61" s="1226"/>
      <c r="T61" s="571"/>
      <c r="U61" s="617"/>
      <c r="V61" s="185"/>
      <c r="W61" s="185"/>
      <c r="X61" s="185"/>
    </row>
    <row r="62" spans="1:24" ht="18.75" customHeight="1">
      <c r="A62" s="618"/>
      <c r="B62" s="1209" t="s">
        <v>112</v>
      </c>
      <c r="C62" s="1210"/>
      <c r="D62" s="1210"/>
      <c r="E62" s="1211"/>
      <c r="F62" s="122"/>
      <c r="G62" s="567" cm="1">
        <f t="array" ref="G62">'PF calculator'!G62</f>
        <v>0</v>
      </c>
      <c r="H62" s="567" cm="1">
        <f t="array" ref="H62">'PF calculator'!H62</f>
        <v>0</v>
      </c>
      <c r="I62" s="567" cm="1">
        <f t="array" ref="I62">'PF calculator'!I62</f>
        <v>0</v>
      </c>
      <c r="J62" s="567" cm="1">
        <f t="array" ref="J62">'PF calculator'!J62</f>
        <v>0</v>
      </c>
      <c r="K62" s="568"/>
      <c r="L62" s="569" cm="1">
        <f t="array" ref="L62">IF(SUM(G62:J62)&lt;SUM(F67:J67),"n/a",F67)</f>
        <v>0</v>
      </c>
      <c r="M62" s="569" cm="1">
        <f t="array" ref="M62">IF(SUM(G62:J62)&lt;SUM(F67:J67),"n/a",G67-G62)</f>
        <v>0</v>
      </c>
      <c r="N62" s="569" cm="1">
        <f t="array" ref="N62">IF(SUM(G62:J62)&lt;SUM(F67:J67),"n/a",H67-H62)</f>
        <v>0</v>
      </c>
      <c r="O62" s="569" cm="1">
        <f t="array" ref="O62">IF(SUM(G62:J62)&lt;SUM(F67:J67),"n/a",I67-I62)</f>
        <v>0</v>
      </c>
      <c r="P62" s="569" cm="1">
        <f t="array" ref="P62">IF(SUM(G62:J62)&lt;SUM(F67:J67),"n/a",J67-J62)</f>
        <v>0</v>
      </c>
      <c r="Q62" s="570"/>
      <c r="R62" s="1212" cm="1">
        <f t="array" ref="R62">IF($E$58+$E$38&lt;2041,"Ltd by DoB",(-SUMPRODUCT($M$62:$P$62,$M$67:$P$67)*VLOOKUP($E$38,'Policy assumptions and formulae'!$A$10:$D$109,4,FALSE))-(-SUMPRODUCT($M$62:$P$62,$M$67:$P$67)*VLOOKUP((2040-$E$58),'Policy assumptions and formulae'!$A$10:$D$109,4,FALSE)))</f>
        <v>0</v>
      </c>
      <c r="S62" s="1226"/>
      <c r="T62" s="571"/>
      <c r="U62" s="617"/>
      <c r="V62" s="185"/>
      <c r="W62" s="185"/>
      <c r="X62" s="185"/>
    </row>
    <row r="63" spans="1:24" ht="18.75" customHeight="1">
      <c r="A63" s="618"/>
      <c r="B63" s="1209" t="s">
        <v>113</v>
      </c>
      <c r="C63" s="1210"/>
      <c r="D63" s="1210"/>
      <c r="E63" s="1211"/>
      <c r="F63" s="122"/>
      <c r="G63" s="567" cm="1">
        <f t="array" ref="G63">'PF calculator'!G63</f>
        <v>0</v>
      </c>
      <c r="H63" s="567" cm="1">
        <f t="array" ref="H63">'PF calculator'!H63</f>
        <v>0</v>
      </c>
      <c r="I63" s="567" cm="1">
        <f t="array" ref="I63">'PF calculator'!I63</f>
        <v>0</v>
      </c>
      <c r="J63" s="567" cm="1">
        <f t="array" ref="J63">'PF calculator'!J63</f>
        <v>0</v>
      </c>
      <c r="K63" s="568"/>
      <c r="L63" s="569" cm="1">
        <f t="array" ref="L63">IF(SUM(G63:J63)&lt;SUM(F68:J68),"n/a",F68)</f>
        <v>0</v>
      </c>
      <c r="M63" s="569" cm="1">
        <f t="array" ref="M63">IF(SUM(G63:J63)&lt;SUM(F68:J68),"n/a",G68-G63)</f>
        <v>0</v>
      </c>
      <c r="N63" s="569" cm="1">
        <f t="array" ref="N63">IF(SUM(G63:J63)&lt;SUM(F68:J68),"n/a",H68-H63)</f>
        <v>0</v>
      </c>
      <c r="O63" s="569" cm="1">
        <f t="array" ref="O63">IF(SUM(G63:J63)&lt;SUM(F68:J68),"n/a",I68-I63)</f>
        <v>0</v>
      </c>
      <c r="P63" s="569" cm="1">
        <f t="array" ref="P63">IF(SUM(G63:J63)&lt;SUM(F68:J68),"n/a",J68-J63)</f>
        <v>0</v>
      </c>
      <c r="Q63" s="570"/>
      <c r="R63" s="1212" cm="1">
        <f t="array" ref="R63">IF($E$58+$E$38&lt;2041,"Ltd by DoB",(-SUMPRODUCT($M$63:$P$63,$M$67:$P$67)*VLOOKUP($E$38,'Policy assumptions and formulae'!$A$10:$D$109,4,FALSE))-(-SUMPRODUCT($M$63:$P$63,$M$67:$P$67)*VLOOKUP((2040-$E$58),'Policy assumptions and formulae'!$A$10:$D$109,4,FALSE)))</f>
        <v>0</v>
      </c>
      <c r="S63" s="1226"/>
      <c r="T63" s="571"/>
      <c r="U63" s="617"/>
      <c r="V63" s="185"/>
      <c r="W63" s="185"/>
      <c r="X63" s="185"/>
    </row>
    <row r="64" spans="1:24" ht="28.5" customHeight="1">
      <c r="A64" s="618"/>
      <c r="B64" s="529"/>
      <c r="C64" s="529"/>
      <c r="D64" s="529"/>
      <c r="E64" s="529"/>
      <c r="F64" s="572" t="s">
        <v>464</v>
      </c>
      <c r="G64" s="572" t="s">
        <v>114</v>
      </c>
      <c r="H64" s="572" t="s">
        <v>115</v>
      </c>
      <c r="I64" s="572" t="s">
        <v>117</v>
      </c>
      <c r="J64" s="572" t="s">
        <v>118</v>
      </c>
      <c r="K64" s="579"/>
      <c r="L64" s="572" t="s">
        <v>467</v>
      </c>
      <c r="M64" s="572" t="s">
        <v>114</v>
      </c>
      <c r="N64" s="572" t="s">
        <v>115</v>
      </c>
      <c r="O64" s="572" t="s">
        <v>117</v>
      </c>
      <c r="P64" s="572" t="s">
        <v>118</v>
      </c>
      <c r="Q64" s="529"/>
      <c r="R64" s="573"/>
      <c r="S64" s="573"/>
      <c r="T64" s="523"/>
      <c r="U64" s="617"/>
      <c r="V64" s="185"/>
      <c r="W64" s="185"/>
      <c r="X64" s="185"/>
    </row>
    <row r="65" spans="1:24" ht="18.75" customHeight="1">
      <c r="A65" s="618"/>
      <c r="B65" s="1217" t="s">
        <v>107</v>
      </c>
      <c r="C65" s="1218"/>
      <c r="D65" s="1218"/>
      <c r="E65" s="1218"/>
      <c r="F65" s="1219" t="s">
        <v>465</v>
      </c>
      <c r="G65" s="1220"/>
      <c r="H65" s="1220"/>
      <c r="I65" s="1220"/>
      <c r="J65" s="1220"/>
      <c r="K65" s="534"/>
      <c r="L65" s="1223" t="s">
        <v>120</v>
      </c>
      <c r="M65" s="1224"/>
      <c r="N65" s="1224"/>
      <c r="O65" s="1224"/>
      <c r="P65" s="1224"/>
      <c r="Q65" s="534"/>
      <c r="R65" s="534"/>
      <c r="S65" s="534"/>
      <c r="T65" s="523"/>
      <c r="U65" s="617"/>
      <c r="V65" s="185"/>
      <c r="W65" s="185"/>
      <c r="X65" s="185"/>
    </row>
    <row r="66" spans="1:24" ht="18.75" customHeight="1">
      <c r="A66" s="618"/>
      <c r="B66" s="1209" t="s">
        <v>111</v>
      </c>
      <c r="C66" s="1210"/>
      <c r="D66" s="1210"/>
      <c r="E66" s="1211"/>
      <c r="F66" s="567" cm="1">
        <f t="array" ref="F66">'PF calculator'!F66</f>
        <v>14</v>
      </c>
      <c r="G66" s="567" cm="1">
        <f t="array" ref="G66">'PF calculator'!G66</f>
        <v>0</v>
      </c>
      <c r="H66" s="567" cm="1">
        <f t="array" ref="H66">'PF calculator'!H66</f>
        <v>0</v>
      </c>
      <c r="I66" s="567" cm="1">
        <f t="array" ref="I66">'PF calculator'!I66</f>
        <v>0</v>
      </c>
      <c r="J66" s="567" cm="1">
        <f t="array" ref="J66">'PF calculator'!J66</f>
        <v>0</v>
      </c>
      <c r="K66" s="574"/>
      <c r="L66" s="1225"/>
      <c r="M66" s="1225"/>
      <c r="N66" s="1225"/>
      <c r="O66" s="1225"/>
      <c r="P66" s="1225"/>
      <c r="Q66" s="534"/>
      <c r="R66" s="534"/>
      <c r="S66" s="534"/>
      <c r="T66" s="523"/>
      <c r="U66" s="617"/>
      <c r="V66" s="185"/>
      <c r="W66" s="185"/>
      <c r="X66" s="185"/>
    </row>
    <row r="67" spans="1:24" ht="18.75" customHeight="1">
      <c r="A67" s="618"/>
      <c r="B67" s="1209" t="s">
        <v>112</v>
      </c>
      <c r="C67" s="1210"/>
      <c r="D67" s="1210"/>
      <c r="E67" s="1211"/>
      <c r="F67" s="567" cm="1">
        <f t="array" ref="F67">'PF calculator'!F67</f>
        <v>0</v>
      </c>
      <c r="G67" s="567" cm="1">
        <f t="array" ref="G67">'PF calculator'!G67</f>
        <v>0</v>
      </c>
      <c r="H67" s="567" cm="1">
        <f t="array" ref="H67">'PF calculator'!H67</f>
        <v>0</v>
      </c>
      <c r="I67" s="567" cm="1">
        <f t="array" ref="I67">'PF calculator'!I67</f>
        <v>0</v>
      </c>
      <c r="J67" s="567" cm="1">
        <f t="array" ref="J67">'PF calculator'!J67</f>
        <v>0</v>
      </c>
      <c r="K67" s="568"/>
      <c r="L67" s="575" cm="1">
        <f t="array" ref="L67">'Policy assumptions and formulae'!$AD$56</f>
        <v>0</v>
      </c>
      <c r="M67" s="575" cm="1">
        <f t="array" ref="M67">'Policy assumptions and formulae'!$AD$55</f>
        <v>58.833333333333343</v>
      </c>
      <c r="N67" s="575" cm="1">
        <f t="array" ref="N67">'Policy assumptions and formulae'!$AD$54</f>
        <v>294.16666666666674</v>
      </c>
      <c r="O67" s="575" cm="1">
        <f t="array" ref="O67">'Policy assumptions and formulae'!$AD$53</f>
        <v>1000.1666666666665</v>
      </c>
      <c r="P67" s="575" cm="1">
        <f t="array" ref="P67">'Policy assumptions and formulae'!$AD$52</f>
        <v>1588.5000000000002</v>
      </c>
      <c r="Q67" s="574"/>
      <c r="R67" s="534"/>
      <c r="S67" s="534"/>
      <c r="T67" s="523"/>
      <c r="U67" s="617"/>
      <c r="V67" s="185"/>
      <c r="W67" s="185"/>
      <c r="X67" s="185"/>
    </row>
    <row r="68" spans="1:24" ht="18.75" customHeight="1">
      <c r="A68" s="618"/>
      <c r="B68" s="1209" t="s">
        <v>121</v>
      </c>
      <c r="C68" s="1210"/>
      <c r="D68" s="1210"/>
      <c r="E68" s="1211"/>
      <c r="F68" s="567" cm="1">
        <f t="array" ref="F68">'PF calculator'!F68</f>
        <v>0</v>
      </c>
      <c r="G68" s="567" cm="1">
        <f t="array" ref="G68">'PF calculator'!G68</f>
        <v>0</v>
      </c>
      <c r="H68" s="567" cm="1">
        <f t="array" ref="H68">'PF calculator'!H68</f>
        <v>0</v>
      </c>
      <c r="I68" s="567" cm="1">
        <f t="array" ref="I68">'PF calculator'!I68</f>
        <v>0</v>
      </c>
      <c r="J68" s="567" cm="1">
        <f t="array" ref="J68">'PF calculator'!J68</f>
        <v>0</v>
      </c>
      <c r="K68" s="574"/>
      <c r="L68" s="577"/>
      <c r="M68" s="546"/>
      <c r="N68" s="546"/>
      <c r="O68" s="546"/>
      <c r="P68" s="546"/>
      <c r="Q68" s="534"/>
      <c r="R68" s="534"/>
      <c r="S68" s="534"/>
      <c r="T68" s="523"/>
      <c r="U68" s="617"/>
      <c r="V68" s="185"/>
      <c r="W68" s="185"/>
      <c r="X68" s="185"/>
    </row>
    <row r="69" spans="1:24" ht="28.5" customHeight="1">
      <c r="A69" s="618"/>
      <c r="B69" s="529"/>
      <c r="C69" s="529"/>
      <c r="D69" s="529"/>
      <c r="E69" s="529"/>
      <c r="F69" s="572" t="s">
        <v>464</v>
      </c>
      <c r="G69" s="572" t="s">
        <v>114</v>
      </c>
      <c r="H69" s="572" t="s">
        <v>115</v>
      </c>
      <c r="I69" s="572" t="s">
        <v>117</v>
      </c>
      <c r="J69" s="572" t="s">
        <v>118</v>
      </c>
      <c r="K69" s="529"/>
      <c r="L69" s="529"/>
      <c r="M69" s="529"/>
      <c r="N69" s="529"/>
      <c r="O69" s="529"/>
      <c r="P69" s="529"/>
      <c r="Q69" s="529"/>
      <c r="R69" s="529"/>
      <c r="S69" s="529"/>
      <c r="T69" s="523"/>
      <c r="U69" s="617"/>
      <c r="V69" s="185"/>
      <c r="W69" s="185"/>
      <c r="X69" s="185"/>
    </row>
    <row r="70" spans="1:24" ht="8" customHeight="1">
      <c r="A70" s="618"/>
      <c r="B70" s="549"/>
      <c r="C70" s="549"/>
      <c r="D70" s="549"/>
      <c r="E70" s="549"/>
      <c r="F70" s="549"/>
      <c r="G70" s="549"/>
      <c r="H70" s="549"/>
      <c r="I70" s="549"/>
      <c r="J70" s="549"/>
      <c r="K70" s="549"/>
      <c r="L70" s="549"/>
      <c r="M70" s="549"/>
      <c r="N70" s="549"/>
      <c r="O70" s="549"/>
      <c r="P70" s="549"/>
      <c r="Q70" s="549"/>
      <c r="R70" s="549"/>
      <c r="S70" s="549"/>
      <c r="T70" s="523"/>
      <c r="U70" s="617"/>
      <c r="V70" s="185"/>
      <c r="W70" s="185"/>
      <c r="X70" s="185"/>
    </row>
    <row r="71" spans="1:24" ht="18.75" customHeight="1">
      <c r="A71" s="618"/>
      <c r="B71" s="1190" t="e" cm="1" vm="4">
        <f t="array" aca="1" ref="B71" ca="1">'PF calculator'!B71:S71</f>
        <v>#VALUE!</v>
      </c>
      <c r="C71" s="1190"/>
      <c r="D71" s="1190"/>
      <c r="E71" s="1190"/>
      <c r="F71" s="1190"/>
      <c r="G71" s="1190"/>
      <c r="H71" s="1190"/>
      <c r="I71" s="1190"/>
      <c r="J71" s="1190"/>
      <c r="K71" s="1190"/>
      <c r="L71" s="1190"/>
      <c r="M71" s="1190"/>
      <c r="N71" s="1190"/>
      <c r="O71" s="1190"/>
      <c r="P71" s="1190"/>
      <c r="Q71" s="1190"/>
      <c r="R71" s="1190"/>
      <c r="S71" s="1190"/>
      <c r="T71" s="523"/>
      <c r="U71" s="617"/>
      <c r="V71" s="185"/>
      <c r="W71" s="185"/>
      <c r="X71" s="185"/>
    </row>
    <row r="72" spans="1:24" ht="8" customHeight="1">
      <c r="A72" s="618"/>
      <c r="B72" s="529"/>
      <c r="C72" s="529"/>
      <c r="D72" s="529"/>
      <c r="E72" s="529"/>
      <c r="F72" s="529"/>
      <c r="G72" s="529"/>
      <c r="H72" s="529"/>
      <c r="I72" s="529"/>
      <c r="J72" s="529"/>
      <c r="K72" s="529"/>
      <c r="L72" s="529"/>
      <c r="M72" s="529"/>
      <c r="N72" s="529"/>
      <c r="O72" s="529"/>
      <c r="P72" s="529"/>
      <c r="Q72" s="529"/>
      <c r="R72" s="529"/>
      <c r="S72" s="529"/>
      <c r="T72" s="523"/>
      <c r="U72" s="617"/>
      <c r="V72" s="185"/>
      <c r="W72" s="185"/>
      <c r="X72" s="185"/>
    </row>
    <row r="73" spans="1:24" ht="18.75" customHeight="1">
      <c r="A73" s="618"/>
      <c r="B73" s="1217" t="s">
        <v>107</v>
      </c>
      <c r="C73" s="1218"/>
      <c r="D73" s="1218"/>
      <c r="E73" s="1218"/>
      <c r="F73" s="1219" t="s">
        <v>108</v>
      </c>
      <c r="G73" s="1220"/>
      <c r="H73" s="534"/>
      <c r="I73" s="534"/>
      <c r="J73" s="1217" t="s">
        <v>127</v>
      </c>
      <c r="K73" s="1218"/>
      <c r="L73" s="1218"/>
      <c r="M73" s="1218"/>
      <c r="N73" s="564"/>
      <c r="O73" s="564"/>
      <c r="P73" s="534"/>
      <c r="Q73" s="534"/>
      <c r="R73" s="1221" t="s">
        <v>110</v>
      </c>
      <c r="S73" s="1222"/>
      <c r="T73" s="523"/>
      <c r="U73" s="617"/>
      <c r="V73" s="185"/>
      <c r="W73" s="185"/>
      <c r="X73" s="185"/>
    </row>
    <row r="74" spans="1:24" ht="18.75" customHeight="1">
      <c r="A74" s="618"/>
      <c r="B74" s="1209" t="s">
        <v>111</v>
      </c>
      <c r="C74" s="1210"/>
      <c r="D74" s="1210"/>
      <c r="E74" s="1211"/>
      <c r="F74" s="567" cm="1">
        <f t="array" ref="F74">'PF calculator'!F74</f>
        <v>0</v>
      </c>
      <c r="G74" s="567" cm="1">
        <f t="array" ref="G74">'PF calculator'!G74</f>
        <v>0</v>
      </c>
      <c r="H74" s="574"/>
      <c r="I74" s="534"/>
      <c r="J74" s="1209" t="s">
        <v>128</v>
      </c>
      <c r="K74" s="1210"/>
      <c r="L74" s="1210"/>
      <c r="M74" s="1211"/>
      <c r="N74" s="580" cm="1">
        <f t="array" ref="N74">'Policy assumptions and formulae'!$AJ$7</f>
        <v>6800</v>
      </c>
      <c r="O74" s="580" cm="1">
        <f t="array" ref="O74">'Policy assumptions and formulae'!$AJ$7</f>
        <v>6800</v>
      </c>
      <c r="P74" s="581"/>
      <c r="Q74" s="582"/>
      <c r="R74" s="1212" cm="1">
        <f t="array" ref="R74">SUMPRODUCT($N$76:$O$76,$F$74:$G$74)*VLOOKUP($E$38,'Policy assumptions and formulae'!$A$10:$D$109,4,FALSE)</f>
        <v>0</v>
      </c>
      <c r="S74" s="1213"/>
      <c r="T74" s="571"/>
      <c r="U74" s="617"/>
      <c r="V74" s="185"/>
      <c r="W74" s="185"/>
      <c r="X74" s="185"/>
    </row>
    <row r="75" spans="1:24" ht="18.75" customHeight="1">
      <c r="A75" s="618"/>
      <c r="B75" s="1209" t="s">
        <v>112</v>
      </c>
      <c r="C75" s="1210"/>
      <c r="D75" s="1210"/>
      <c r="E75" s="1211"/>
      <c r="F75" s="567" cm="1">
        <f t="array" ref="F75">'PF calculator'!F75</f>
        <v>0</v>
      </c>
      <c r="G75" s="567" cm="1">
        <f t="array" ref="G75">'PF calculator'!G75</f>
        <v>0</v>
      </c>
      <c r="H75" s="574"/>
      <c r="I75" s="534"/>
      <c r="J75" s="1209" t="s">
        <v>129</v>
      </c>
      <c r="K75" s="1210"/>
      <c r="L75" s="1210"/>
      <c r="M75" s="1211"/>
      <c r="N75" s="583" cm="1">
        <f t="array" ref="N75">'Policy assumptions and formulae'!AJ28</f>
        <v>50</v>
      </c>
      <c r="O75" s="583" cm="1">
        <f t="array" ref="O75">'Policy assumptions and formulae'!AJ26</f>
        <v>20</v>
      </c>
      <c r="P75" s="584" t="s">
        <v>130</v>
      </c>
      <c r="Q75" s="582"/>
      <c r="R75" s="1212" cm="1">
        <f t="array" ref="R75">SUMPRODUCT($N$76:$O$76,$F$75:$G$75)*VLOOKUP($E$38,'Policy assumptions and formulae'!$A$10:$D$109,4,FALSE)</f>
        <v>0</v>
      </c>
      <c r="S75" s="1213"/>
      <c r="T75" s="571"/>
      <c r="U75" s="617"/>
      <c r="V75" s="185"/>
      <c r="W75" s="185"/>
      <c r="X75" s="185"/>
    </row>
    <row r="76" spans="1:24" ht="18.75" customHeight="1">
      <c r="A76" s="618"/>
      <c r="B76" s="1209" t="s">
        <v>113</v>
      </c>
      <c r="C76" s="1210"/>
      <c r="D76" s="1210"/>
      <c r="E76" s="1211"/>
      <c r="F76" s="567" cm="1">
        <f t="array" ref="F76">'PF calculator'!F76</f>
        <v>0</v>
      </c>
      <c r="G76" s="567" cm="1">
        <f t="array" ref="G76">'PF calculator'!G76</f>
        <v>0</v>
      </c>
      <c r="H76" s="574"/>
      <c r="I76" s="534"/>
      <c r="J76" s="1214" t="s">
        <v>131</v>
      </c>
      <c r="K76" s="1215"/>
      <c r="L76" s="1215"/>
      <c r="M76" s="1216"/>
      <c r="N76" s="580" cm="1">
        <f t="array" ref="N76">'Policy assumptions and formulae'!$AM$28</f>
        <v>1341.3864802956584</v>
      </c>
      <c r="O76" s="580" cm="1">
        <f t="array" ref="O76">'Policy assumptions and formulae'!$AM$26</f>
        <v>3417.4480141353633</v>
      </c>
      <c r="P76" s="585"/>
      <c r="Q76" s="582"/>
      <c r="R76" s="1212" cm="1">
        <f t="array" ref="R76">SUMPRODUCT($N$76:$O$76,$F$76:$G$76)*VLOOKUP($E$38,'Policy assumptions and formulae'!$A$10:$D$109,4,FALSE)</f>
        <v>0</v>
      </c>
      <c r="S76" s="1213"/>
      <c r="T76" s="571"/>
      <c r="U76" s="617"/>
      <c r="V76" s="185"/>
      <c r="W76" s="185"/>
      <c r="X76" s="185"/>
    </row>
    <row r="77" spans="1:24" ht="18.75" customHeight="1">
      <c r="A77" s="618"/>
      <c r="B77" s="534"/>
      <c r="C77" s="534"/>
      <c r="D77" s="534"/>
      <c r="E77" s="534"/>
      <c r="F77" s="572" t="s">
        <v>468</v>
      </c>
      <c r="G77" s="572" t="s">
        <v>133</v>
      </c>
      <c r="H77" s="534"/>
      <c r="I77" s="534"/>
      <c r="J77" s="1215"/>
      <c r="K77" s="1215"/>
      <c r="L77" s="1215"/>
      <c r="M77" s="1215"/>
      <c r="N77" s="572" t="s">
        <v>134</v>
      </c>
      <c r="O77" s="572" t="s">
        <v>135</v>
      </c>
      <c r="P77" s="586"/>
      <c r="Q77" s="534"/>
      <c r="R77" s="536"/>
      <c r="S77" s="536"/>
      <c r="T77" s="523"/>
      <c r="U77" s="617"/>
      <c r="V77" s="185"/>
      <c r="W77" s="185"/>
      <c r="X77" s="185"/>
    </row>
    <row r="78" spans="1:24" ht="8" customHeight="1">
      <c r="A78" s="618"/>
      <c r="B78" s="549"/>
      <c r="C78" s="549"/>
      <c r="D78" s="549"/>
      <c r="E78" s="549"/>
      <c r="F78" s="549"/>
      <c r="G78" s="549"/>
      <c r="H78" s="549"/>
      <c r="I78" s="549"/>
      <c r="J78" s="549"/>
      <c r="K78" s="549"/>
      <c r="L78" s="549"/>
      <c r="M78" s="549"/>
      <c r="N78" s="549"/>
      <c r="O78" s="549"/>
      <c r="P78" s="549"/>
      <c r="Q78" s="549"/>
      <c r="R78" s="549"/>
      <c r="S78" s="549"/>
      <c r="T78" s="523"/>
      <c r="U78" s="617"/>
      <c r="V78" s="185"/>
      <c r="W78" s="185"/>
      <c r="X78" s="185"/>
    </row>
    <row r="79" spans="1:24" ht="18.75" customHeight="1">
      <c r="A79" s="618"/>
      <c r="B79" s="1190" t="e" cm="1" vm="4">
        <f t="array" aca="1" ref="B79" ca="1">'PF calculator'!B79:S79</f>
        <v>#VALUE!</v>
      </c>
      <c r="C79" s="1190"/>
      <c r="D79" s="1190"/>
      <c r="E79" s="1190"/>
      <c r="F79" s="1190"/>
      <c r="G79" s="1190"/>
      <c r="H79" s="1190"/>
      <c r="I79" s="1190"/>
      <c r="J79" s="1190"/>
      <c r="K79" s="1190"/>
      <c r="L79" s="1190"/>
      <c r="M79" s="1190"/>
      <c r="N79" s="1190"/>
      <c r="O79" s="1190"/>
      <c r="P79" s="1190"/>
      <c r="Q79" s="1190"/>
      <c r="R79" s="1190"/>
      <c r="S79" s="1190"/>
      <c r="T79" s="523"/>
      <c r="U79" s="617"/>
      <c r="V79" s="185"/>
      <c r="W79" s="185"/>
      <c r="X79" s="185"/>
    </row>
    <row r="80" spans="1:24" ht="8" customHeight="1">
      <c r="A80" s="618"/>
      <c r="B80" s="550"/>
      <c r="C80" s="529"/>
      <c r="D80" s="529"/>
      <c r="E80" s="529"/>
      <c r="F80" s="529"/>
      <c r="G80" s="529"/>
      <c r="H80" s="529"/>
      <c r="I80" s="529"/>
      <c r="J80" s="529"/>
      <c r="K80" s="529"/>
      <c r="L80" s="529"/>
      <c r="M80" s="529"/>
      <c r="N80" s="529"/>
      <c r="O80" s="529"/>
      <c r="P80" s="529"/>
      <c r="Q80" s="529"/>
      <c r="R80" s="529"/>
      <c r="S80" s="529"/>
      <c r="T80" s="523"/>
      <c r="U80" s="617"/>
      <c r="V80" s="185"/>
      <c r="W80" s="185"/>
      <c r="X80" s="185"/>
    </row>
    <row r="81" spans="1:24" ht="18.75" customHeight="1">
      <c r="A81" s="618"/>
      <c r="B81" s="587"/>
      <c r="C81" s="559"/>
      <c r="D81" s="1199" t="s">
        <v>469</v>
      </c>
      <c r="E81" s="1200"/>
      <c r="F81" s="1200"/>
      <c r="G81" s="1199" t="s">
        <v>470</v>
      </c>
      <c r="H81" s="1200"/>
      <c r="I81" s="1200"/>
      <c r="J81" s="1200"/>
      <c r="K81" s="1200"/>
      <c r="L81" s="529"/>
      <c r="M81" s="529"/>
      <c r="N81" s="529"/>
      <c r="O81" s="529"/>
      <c r="P81" s="529"/>
      <c r="Q81" s="529"/>
      <c r="R81" s="529"/>
      <c r="S81" s="529"/>
      <c r="T81" s="523"/>
      <c r="U81" s="617"/>
      <c r="V81" s="185"/>
      <c r="W81" s="185"/>
      <c r="X81" s="185"/>
    </row>
    <row r="82" spans="1:24" ht="18.75" customHeight="1">
      <c r="A82" s="618"/>
      <c r="B82" s="1201" t="s">
        <v>471</v>
      </c>
      <c r="C82" s="1202"/>
      <c r="D82" s="588" t="s">
        <v>140</v>
      </c>
      <c r="E82" s="588" t="s">
        <v>141</v>
      </c>
      <c r="F82" s="588" t="s">
        <v>142</v>
      </c>
      <c r="G82" s="559"/>
      <c r="H82" s="588" t="s">
        <v>140</v>
      </c>
      <c r="I82" s="588" t="s">
        <v>141</v>
      </c>
      <c r="J82" s="588" t="s">
        <v>142</v>
      </c>
      <c r="K82" s="529"/>
      <c r="L82" s="1205" t="s">
        <v>110</v>
      </c>
      <c r="M82" s="1206"/>
      <c r="N82" s="529"/>
      <c r="O82" s="589" t="s">
        <v>472</v>
      </c>
      <c r="P82" s="529"/>
      <c r="Q82" s="529"/>
      <c r="R82" s="529"/>
      <c r="S82" s="529"/>
      <c r="T82" s="523"/>
      <c r="U82" s="617"/>
      <c r="V82" s="185"/>
      <c r="W82" s="185"/>
      <c r="X82" s="185"/>
    </row>
    <row r="83" spans="1:24" ht="18.75" customHeight="1">
      <c r="A83" s="618"/>
      <c r="B83" s="1188" t="s">
        <v>144</v>
      </c>
      <c r="C83" s="1189"/>
      <c r="D83" s="590" cm="1">
        <f t="array" ref="D83">'PF calculator'!D83</f>
        <v>1</v>
      </c>
      <c r="E83" s="590" cm="1">
        <f t="array" ref="E83">'PF calculator'!E83</f>
        <v>0</v>
      </c>
      <c r="F83" s="590" cm="1">
        <f t="array" ref="F83">'PF calculator'!F83</f>
        <v>0</v>
      </c>
      <c r="G83" s="1193"/>
      <c r="H83" s="590" cm="1">
        <f t="array" ref="H83">'PF calculator'!H83</f>
        <v>0</v>
      </c>
      <c r="I83" s="621" cm="1">
        <f t="array" ref="I83">'PF calculator'!I83+('PF calculator'!J83*0.25)</f>
        <v>0.25</v>
      </c>
      <c r="J83" s="621" cm="1">
        <f t="array" ref="J83">'PF calculator'!J83*0.75</f>
        <v>0.75</v>
      </c>
      <c r="K83" s="1194" t="str" cm="1">
        <f t="array" ref="K83">IF(SUM(D83:F90)&lt;&gt;SUM(H83:J90),"Error in net change habitat","")</f>
        <v/>
      </c>
      <c r="L83" s="1162" cm="1">
        <f t="array" ref="L83">(((H83-D83)*'Policy assumptions and formulae'!AR12)+((I83-E83)*'Policy assumptions and formulae'!AS12)+((J83-F83)*'Policy assumptions and formulae'!AT12))*VLOOKUP($E$38,'Policy assumptions and formulae'!$A$10:$D$109,4,FALSE)</f>
        <v>238011.00594446834</v>
      </c>
      <c r="M83" s="1163"/>
      <c r="N83" s="591"/>
      <c r="O83" s="587"/>
      <c r="P83" s="592" t="s">
        <v>145</v>
      </c>
      <c r="Q83" s="559"/>
      <c r="R83" s="1203" t="s">
        <v>110</v>
      </c>
      <c r="S83" s="1204"/>
      <c r="T83" s="523"/>
      <c r="U83" s="617"/>
      <c r="V83" s="185"/>
      <c r="W83" s="185"/>
      <c r="X83" s="185"/>
    </row>
    <row r="84" spans="1:24" ht="18.75" customHeight="1">
      <c r="A84" s="618"/>
      <c r="B84" s="1188" t="s">
        <v>146</v>
      </c>
      <c r="C84" s="1189"/>
      <c r="D84" s="590" cm="1">
        <f t="array" ref="D84">'PF calculator'!D84</f>
        <v>1</v>
      </c>
      <c r="E84" s="590" cm="1">
        <f t="array" ref="E84">'PF calculator'!E84</f>
        <v>0</v>
      </c>
      <c r="F84" s="590" cm="1">
        <f t="array" ref="F84">'PF calculator'!F84</f>
        <v>0</v>
      </c>
      <c r="G84" s="1193"/>
      <c r="H84" s="590" cm="1">
        <f t="array" ref="H84">'PF calculator'!H84</f>
        <v>0</v>
      </c>
      <c r="I84" s="621" cm="1">
        <f t="array" ref="I84">'PF calculator'!I84+('PF calculator'!J84*0.25)</f>
        <v>0.25</v>
      </c>
      <c r="J84" s="621" cm="1">
        <f t="array" ref="J84">'PF calculator'!J84*0.75</f>
        <v>0.75</v>
      </c>
      <c r="K84" s="1194"/>
      <c r="L84" s="1162" cm="1">
        <f t="array" ref="L84">(((H84-D84)*'Policy assumptions and formulae'!AR13)+((I84-E84)*'Policy assumptions and formulae'!AS13)+((J84-F84)*'Policy assumptions and formulae'!AT13))*VLOOKUP($E$38,'Policy assumptions and formulae'!$A$10:$D$109,4,FALSE)</f>
        <v>137296.81302756502</v>
      </c>
      <c r="M84" s="1163"/>
      <c r="N84" s="1207" t="s">
        <v>147</v>
      </c>
      <c r="O84" s="1208"/>
      <c r="P84" s="593" cm="1">
        <f t="array" ref="P84">'PF calculator'!P84</f>
        <v>1</v>
      </c>
      <c r="Q84" s="594"/>
      <c r="R84" s="1184" cm="1">
        <f t="array" ref="R84">(P84*'Policy assumptions and formulae'!AT23)*VLOOKUP($E$38,'Policy assumptions and formulae'!$A$10:$D$109,4,FALSE)</f>
        <v>394196.39629447705</v>
      </c>
      <c r="S84" s="1185"/>
      <c r="T84" s="571"/>
      <c r="U84" s="617"/>
      <c r="V84" s="185"/>
      <c r="W84" s="185"/>
      <c r="X84" s="185"/>
    </row>
    <row r="85" spans="1:24" ht="18.75" customHeight="1">
      <c r="A85" s="618"/>
      <c r="B85" s="1188" t="s">
        <v>148</v>
      </c>
      <c r="C85" s="1189"/>
      <c r="D85" s="590" cm="1">
        <f t="array" ref="D85">'PF calculator'!D85</f>
        <v>1</v>
      </c>
      <c r="E85" s="590" cm="1">
        <f t="array" ref="E85">'PF calculator'!E85</f>
        <v>0</v>
      </c>
      <c r="F85" s="590" cm="1">
        <f t="array" ref="F85">'PF calculator'!F85</f>
        <v>0</v>
      </c>
      <c r="G85" s="1193"/>
      <c r="H85" s="590" cm="1">
        <f t="array" ref="H85">'PF calculator'!H85</f>
        <v>0</v>
      </c>
      <c r="I85" s="621" cm="1">
        <f t="array" ref="I85">'PF calculator'!I85+('PF calculator'!J85*0.25)</f>
        <v>0.25</v>
      </c>
      <c r="J85" s="621" cm="1">
        <f t="array" ref="J85">'PF calculator'!J85*0.75</f>
        <v>0.75</v>
      </c>
      <c r="K85" s="1194"/>
      <c r="L85" s="1162" cm="1">
        <f t="array" ref="L85">(((H85-D85)*'Policy assumptions and formulae'!AR14)+((I85-E85)*'Policy assumptions and formulae'!AS14)+((J85-F85)*'Policy assumptions and formulae'!AT14))*VLOOKUP($E$38,'Policy assumptions and formulae'!$A$10:$D$109,4,FALSE)</f>
        <v>137296.81302756502</v>
      </c>
      <c r="M85" s="1163"/>
      <c r="N85" s="1207" t="s">
        <v>149</v>
      </c>
      <c r="O85" s="1208"/>
      <c r="P85" s="593" cm="1">
        <f t="array" ref="P85">'PF calculator'!P85</f>
        <v>1</v>
      </c>
      <c r="Q85" s="594"/>
      <c r="R85" s="1184" cm="1">
        <f t="array" ref="R85">(P85*'Policy assumptions and formulae'!AT24)*VLOOKUP($E$38,'Policy assumptions and formulae'!$A$10:$D$109,4,FALSE)</f>
        <v>197098.19814723852</v>
      </c>
      <c r="S85" s="1185"/>
      <c r="T85" s="571"/>
      <c r="U85" s="617"/>
      <c r="V85" s="185"/>
      <c r="W85" s="185"/>
      <c r="X85" s="185"/>
    </row>
    <row r="86" spans="1:24" ht="18.75" customHeight="1">
      <c r="A86" s="618"/>
      <c r="B86" s="1188" t="s">
        <v>150</v>
      </c>
      <c r="C86" s="1189"/>
      <c r="D86" s="590" cm="1">
        <f t="array" ref="D86">'PF calculator'!D86</f>
        <v>1</v>
      </c>
      <c r="E86" s="590" cm="1">
        <f t="array" ref="E86">'PF calculator'!E86</f>
        <v>0</v>
      </c>
      <c r="F86" s="590" cm="1">
        <f t="array" ref="F86">'PF calculator'!F86</f>
        <v>0</v>
      </c>
      <c r="G86" s="1193"/>
      <c r="H86" s="590" cm="1">
        <f t="array" ref="H86">'PF calculator'!H86</f>
        <v>0</v>
      </c>
      <c r="I86" s="621" cm="1">
        <f t="array" ref="I86">'PF calculator'!I86+('PF calculator'!J86*0.25)</f>
        <v>0.25</v>
      </c>
      <c r="J86" s="621" cm="1">
        <f t="array" ref="J86">'PF calculator'!J86*0.75</f>
        <v>0.75</v>
      </c>
      <c r="K86" s="1194"/>
      <c r="L86" s="1162" cm="1">
        <f t="array" ref="L86">(((H86-D86)*'Policy assumptions and formulae'!AR15)+((I86-E86)*'Policy assumptions and formulae'!AS15)+((J86-F86)*'Policy assumptions and formulae'!AT15))*VLOOKUP($E$38,'Policy assumptions and formulae'!$A$10:$D$109,4,FALSE)</f>
        <v>71597.413645152177</v>
      </c>
      <c r="M86" s="1163"/>
      <c r="N86" s="1195" t="s">
        <v>151</v>
      </c>
      <c r="O86" s="1196"/>
      <c r="P86" s="593" cm="1">
        <f t="array" ref="P86">'PF calculator'!P86</f>
        <v>1</v>
      </c>
      <c r="Q86" s="594"/>
      <c r="R86" s="1184" cm="1">
        <f t="array" ref="R86">(P86*'Policy assumptions and formulae'!AT25)*VLOOKUP($E$38,'Policy assumptions and formulae'!$A$10:$D$109,4,FALSE)</f>
        <v>98549.099073619262</v>
      </c>
      <c r="S86" s="1185"/>
      <c r="T86" s="571"/>
      <c r="U86" s="617"/>
      <c r="V86" s="185"/>
      <c r="W86" s="185"/>
      <c r="X86" s="185"/>
    </row>
    <row r="87" spans="1:24" ht="18.75" customHeight="1">
      <c r="A87" s="618"/>
      <c r="B87" s="1188" t="s">
        <v>152</v>
      </c>
      <c r="C87" s="1189"/>
      <c r="D87" s="590" cm="1">
        <f t="array" ref="D87">'PF calculator'!D87</f>
        <v>1</v>
      </c>
      <c r="E87" s="590" cm="1">
        <f t="array" ref="E87">'PF calculator'!E87</f>
        <v>0</v>
      </c>
      <c r="F87" s="590" cm="1">
        <f t="array" ref="F87">'PF calculator'!F87</f>
        <v>0</v>
      </c>
      <c r="G87" s="1193"/>
      <c r="H87" s="590" cm="1">
        <f t="array" ref="H87">'PF calculator'!H87</f>
        <v>0</v>
      </c>
      <c r="I87" s="621" cm="1">
        <f t="array" ref="I87">'PF calculator'!I87+('PF calculator'!J87*0.25)</f>
        <v>0.25</v>
      </c>
      <c r="J87" s="621" cm="1">
        <f t="array" ref="J87">'PF calculator'!J87*0.75</f>
        <v>0.75</v>
      </c>
      <c r="K87" s="1194"/>
      <c r="L87" s="1162" cm="1">
        <f t="array" ref="L87">(((H87-D87)*'Policy assumptions and formulae'!AR16)+((I87-E87)*'Policy assumptions and formulae'!AS16)+((J87-F87)*'Policy assumptions and formulae'!AT16))*VLOOKUP($E$38,'Policy assumptions and formulae'!$A$10:$D$109,4,FALSE)</f>
        <v>10004.226724140137</v>
      </c>
      <c r="M87" s="1163"/>
      <c r="N87" s="1197"/>
      <c r="O87" s="1198"/>
      <c r="P87" s="595"/>
      <c r="Q87" s="559"/>
      <c r="R87" s="596"/>
      <c r="S87" s="596"/>
      <c r="T87" s="523"/>
      <c r="U87" s="617"/>
      <c r="V87" s="185"/>
      <c r="W87" s="185"/>
      <c r="X87" s="185"/>
    </row>
    <row r="88" spans="1:24" ht="18.75" customHeight="1">
      <c r="A88" s="618"/>
      <c r="B88" s="1188" t="s">
        <v>153</v>
      </c>
      <c r="C88" s="1189"/>
      <c r="D88" s="590" cm="1">
        <f t="array" ref="D88">'PF calculator'!D88</f>
        <v>1</v>
      </c>
      <c r="E88" s="590" cm="1">
        <f t="array" ref="E88">'PF calculator'!E88</f>
        <v>0</v>
      </c>
      <c r="F88" s="590" cm="1">
        <f t="array" ref="F88">'PF calculator'!F88</f>
        <v>0</v>
      </c>
      <c r="G88" s="1193"/>
      <c r="H88" s="590" cm="1">
        <f t="array" ref="H88">'PF calculator'!H88</f>
        <v>0</v>
      </c>
      <c r="I88" s="621" cm="1">
        <f t="array" ref="I88">'PF calculator'!I88+('PF calculator'!J88*0.25)</f>
        <v>0.25</v>
      </c>
      <c r="J88" s="621" cm="1">
        <f t="array" ref="J88">'PF calculator'!J88*0.75</f>
        <v>0.75</v>
      </c>
      <c r="K88" s="1194"/>
      <c r="L88" s="1162" cm="1">
        <f t="array" ref="L88">(((H88-D88)*'Policy assumptions and formulae'!AR17)+((I88-E88)*'Policy assumptions and formulae'!AS17)+((J88-F88)*'Policy assumptions and formulae'!AT17))*VLOOKUP($E$38,'Policy assumptions and formulae'!$A$10:$D$109,4,FALSE)</f>
        <v>68685.735717977062</v>
      </c>
      <c r="M88" s="1163"/>
      <c r="N88" s="591"/>
      <c r="O88" s="529"/>
      <c r="P88" s="529"/>
      <c r="Q88" s="529"/>
      <c r="R88" s="529"/>
      <c r="S88" s="529"/>
      <c r="T88" s="523"/>
      <c r="U88" s="617"/>
      <c r="V88" s="185"/>
      <c r="W88" s="185"/>
      <c r="X88" s="185"/>
    </row>
    <row r="89" spans="1:24" ht="18.75" customHeight="1">
      <c r="A89" s="618"/>
      <c r="B89" s="1188" t="s">
        <v>154</v>
      </c>
      <c r="C89" s="1189"/>
      <c r="D89" s="590" cm="1">
        <f t="array" ref="D89">'PF calculator'!D89</f>
        <v>1</v>
      </c>
      <c r="E89" s="590" cm="1">
        <f t="array" ref="E89">'PF calculator'!E89</f>
        <v>0</v>
      </c>
      <c r="F89" s="590" cm="1">
        <f t="array" ref="F89">'PF calculator'!F89</f>
        <v>0</v>
      </c>
      <c r="G89" s="1193"/>
      <c r="H89" s="590" cm="1">
        <f t="array" ref="H89">'PF calculator'!H89</f>
        <v>0</v>
      </c>
      <c r="I89" s="621" cm="1">
        <f t="array" ref="I89">'PF calculator'!I89+('PF calculator'!J89*0.25)</f>
        <v>0.25</v>
      </c>
      <c r="J89" s="621" cm="1">
        <f t="array" ref="J89">'PF calculator'!J89*0.75</f>
        <v>0.75</v>
      </c>
      <c r="K89" s="1194"/>
      <c r="L89" s="1162" cm="1">
        <f t="array" ref="L89">(((H89-D89)*'Policy assumptions and formulae'!AR18)+((I89-E89)*'Policy assumptions and formulae'!AS18)+((J89-F89)*'Policy assumptions and formulae'!AT18))*VLOOKUP($E$38,'Policy assumptions and formulae'!$A$10:$D$109,4,FALSE)</f>
        <v>71597.413645152177</v>
      </c>
      <c r="M89" s="1163"/>
      <c r="N89" s="597"/>
      <c r="O89" s="598"/>
      <c r="P89" s="599"/>
      <c r="Q89" s="559"/>
      <c r="R89" s="600"/>
      <c r="S89" s="600"/>
      <c r="T89" s="523"/>
      <c r="U89" s="617"/>
      <c r="V89" s="185"/>
      <c r="W89" s="185"/>
      <c r="X89" s="185"/>
    </row>
    <row r="90" spans="1:24" ht="18.75" customHeight="1">
      <c r="A90" s="618"/>
      <c r="B90" s="1188" t="s">
        <v>155</v>
      </c>
      <c r="C90" s="1189"/>
      <c r="D90" s="590" cm="1">
        <f t="array" ref="D90">'PF calculator'!D90</f>
        <v>1</v>
      </c>
      <c r="E90" s="590" cm="1">
        <f t="array" ref="E90">'PF calculator'!E90</f>
        <v>0</v>
      </c>
      <c r="F90" s="590" cm="1">
        <f t="array" ref="F90">'PF calculator'!F90</f>
        <v>0</v>
      </c>
      <c r="G90" s="1193"/>
      <c r="H90" s="590" cm="1">
        <f t="array" ref="H90">'PF calculator'!H90</f>
        <v>0</v>
      </c>
      <c r="I90" s="621" cm="1">
        <f t="array" ref="I90">'PF calculator'!I90+('PF calculator'!J90*0.25)</f>
        <v>0.25</v>
      </c>
      <c r="J90" s="621" cm="1">
        <f t="array" ref="J90">'PF calculator'!J90*0.75</f>
        <v>0.75</v>
      </c>
      <c r="K90" s="1194"/>
      <c r="L90" s="1162" cm="1">
        <f t="array" ref="L90">(((H90-D90)*'Policy assumptions and formulae'!AR19)+((I90-E90)*'Policy assumptions and formulae'!AS19)+((J90-F90)*'Policy assumptions and formulae'!AT19))*VLOOKUP($E$38,'Policy assumptions and formulae'!$A$10:$D$109,4,FALSE)</f>
        <v>821.24249228016049</v>
      </c>
      <c r="M90" s="1163"/>
      <c r="N90" s="591"/>
      <c r="O90" s="529"/>
      <c r="P90" s="529"/>
      <c r="Q90" s="529"/>
      <c r="R90" s="529"/>
      <c r="S90" s="529"/>
      <c r="T90" s="523"/>
      <c r="U90" s="617"/>
      <c r="V90" s="185"/>
      <c r="W90" s="185"/>
      <c r="X90" s="185"/>
    </row>
    <row r="91" spans="1:24" ht="8" customHeight="1">
      <c r="A91" s="618"/>
      <c r="B91" s="549"/>
      <c r="C91" s="549"/>
      <c r="D91" s="601"/>
      <c r="E91" s="601"/>
      <c r="F91" s="601"/>
      <c r="G91" s="549"/>
      <c r="H91" s="601"/>
      <c r="I91" s="601"/>
      <c r="J91" s="601"/>
      <c r="K91" s="549"/>
      <c r="L91" s="558"/>
      <c r="M91" s="558"/>
      <c r="N91" s="549"/>
      <c r="O91" s="549"/>
      <c r="P91" s="549"/>
      <c r="Q91" s="549"/>
      <c r="R91" s="549"/>
      <c r="S91" s="549"/>
      <c r="T91" s="523"/>
      <c r="U91" s="617"/>
      <c r="V91" s="185"/>
      <c r="W91" s="185"/>
      <c r="X91" s="185"/>
    </row>
    <row r="92" spans="1:24" ht="18.75" customHeight="1">
      <c r="A92" s="618"/>
      <c r="B92" s="1190" t="e" cm="1" vm="7">
        <f t="array" aca="1" ref="B92" ca="1">'PF calculator'!B92:J92</f>
        <v>#VALUE!</v>
      </c>
      <c r="C92" s="1190"/>
      <c r="D92" s="1190"/>
      <c r="E92" s="1190"/>
      <c r="F92" s="1190"/>
      <c r="G92" s="1190"/>
      <c r="H92" s="1190"/>
      <c r="I92" s="1190"/>
      <c r="J92" s="1190"/>
      <c r="K92" s="1190"/>
      <c r="L92" s="1190"/>
      <c r="M92" s="1190"/>
      <c r="N92" s="1190"/>
      <c r="O92" s="1190"/>
      <c r="P92" s="1190"/>
      <c r="Q92" s="1190"/>
      <c r="R92" s="1190"/>
      <c r="S92" s="1190"/>
      <c r="T92" s="523"/>
      <c r="U92" s="617"/>
      <c r="V92" s="185"/>
      <c r="W92" s="185"/>
      <c r="X92" s="185"/>
    </row>
    <row r="93" spans="1:24" ht="8" customHeight="1">
      <c r="A93" s="618"/>
      <c r="B93" s="529"/>
      <c r="C93" s="529"/>
      <c r="D93" s="529"/>
      <c r="E93" s="529"/>
      <c r="F93" s="529"/>
      <c r="G93" s="529"/>
      <c r="H93" s="529"/>
      <c r="I93" s="529"/>
      <c r="J93" s="529"/>
      <c r="K93" s="529"/>
      <c r="L93" s="529"/>
      <c r="M93" s="529"/>
      <c r="N93" s="529"/>
      <c r="O93" s="529"/>
      <c r="P93" s="529"/>
      <c r="Q93" s="529"/>
      <c r="R93" s="529"/>
      <c r="S93" s="529"/>
      <c r="T93" s="523"/>
      <c r="U93" s="617"/>
      <c r="V93" s="185"/>
      <c r="W93" s="185"/>
      <c r="X93" s="185"/>
    </row>
    <row r="94" spans="1:24" ht="18.75" customHeight="1">
      <c r="A94" s="618"/>
      <c r="B94" s="602" t="s">
        <v>161</v>
      </c>
      <c r="C94" s="602" t="s">
        <v>162</v>
      </c>
      <c r="D94" s="1191" t="s">
        <v>163</v>
      </c>
      <c r="E94" s="1192"/>
      <c r="F94" s="1191" t="s">
        <v>160</v>
      </c>
      <c r="G94" s="1192"/>
      <c r="H94" s="1191" t="s">
        <v>164</v>
      </c>
      <c r="I94" s="1192"/>
      <c r="J94" s="529"/>
      <c r="K94" s="529"/>
      <c r="L94" s="529"/>
      <c r="M94" s="529"/>
      <c r="N94" s="529"/>
      <c r="O94" s="529"/>
      <c r="P94" s="529"/>
      <c r="Q94" s="529"/>
      <c r="R94" s="529"/>
      <c r="S94" s="529"/>
      <c r="T94" s="523"/>
      <c r="U94" s="617"/>
      <c r="V94" s="185"/>
      <c r="W94" s="185"/>
      <c r="X94" s="185"/>
    </row>
    <row r="95" spans="1:24" ht="18.75" customHeight="1">
      <c r="A95" s="618"/>
      <c r="B95" s="603" t="s">
        <v>473</v>
      </c>
      <c r="C95" s="604" t="s">
        <v>169</v>
      </c>
      <c r="D95" s="1175"/>
      <c r="E95" s="1176"/>
      <c r="F95" s="1177" cm="1">
        <f t="array" ref="F95">'PF calculator'!G95</f>
        <v>6</v>
      </c>
      <c r="G95" s="1178"/>
      <c r="H95" s="1175" cm="1">
        <f t="array" ref="H95">IF(D95="Ltd by high OM1b,2,3,4 values",0,D95*(F95/100))</f>
        <v>0</v>
      </c>
      <c r="I95" s="1175"/>
      <c r="J95" s="576"/>
      <c r="K95" s="529"/>
      <c r="L95" s="529"/>
      <c r="M95" s="529"/>
      <c r="N95" s="529"/>
      <c r="O95" s="529"/>
      <c r="P95" s="529"/>
      <c r="Q95" s="529"/>
      <c r="R95" s="529"/>
      <c r="S95" s="529"/>
      <c r="T95" s="523"/>
      <c r="U95" s="617"/>
      <c r="V95" s="185"/>
      <c r="W95" s="185"/>
      <c r="X95" s="185"/>
    </row>
    <row r="96" spans="1:24" ht="18.75" customHeight="1">
      <c r="A96" s="618"/>
      <c r="B96" s="605"/>
      <c r="C96" s="606" t="s">
        <v>172</v>
      </c>
      <c r="D96" s="1186" cm="1">
        <f t="array" ref="D96">E41</f>
        <v>1000000</v>
      </c>
      <c r="E96" s="1187"/>
      <c r="F96" s="1177" cm="1">
        <f t="array" ref="F96">'PF calculator'!G96</f>
        <v>20</v>
      </c>
      <c r="G96" s="1178"/>
      <c r="H96" s="1175" cm="1">
        <f t="array" ref="H96">D96*(F96/100)</f>
        <v>200000</v>
      </c>
      <c r="I96" s="1175"/>
      <c r="J96" s="576"/>
      <c r="K96" s="529"/>
      <c r="L96" s="529"/>
      <c r="M96" s="529"/>
      <c r="N96" s="529"/>
      <c r="O96" s="529"/>
      <c r="P96" s="529"/>
      <c r="Q96" s="529"/>
      <c r="R96" s="529"/>
      <c r="S96" s="529"/>
      <c r="T96" s="523"/>
      <c r="U96" s="617"/>
      <c r="V96" s="185"/>
      <c r="W96" s="185"/>
      <c r="X96" s="185"/>
    </row>
    <row r="97" spans="1:24" ht="18.75" customHeight="1">
      <c r="A97" s="618"/>
      <c r="B97" s="1311" t="s">
        <v>174</v>
      </c>
      <c r="C97" s="607" t="s">
        <v>175</v>
      </c>
      <c r="D97" s="1175" cm="1">
        <f t="array" ref="D97">IF(R61="Ltd by DoB",R46,R46+R61)</f>
        <v>3908614.4715996296</v>
      </c>
      <c r="E97" s="1176"/>
      <c r="F97" s="1177" cm="1">
        <f t="array" ref="F97">'PF calculator'!G97</f>
        <v>45</v>
      </c>
      <c r="G97" s="1178"/>
      <c r="H97" s="1175" cm="1">
        <f t="array" ref="H97">D97*(F97/100)</f>
        <v>1758876.5122198334</v>
      </c>
      <c r="I97" s="1175"/>
      <c r="J97" s="576"/>
      <c r="K97" s="529"/>
      <c r="L97" s="529"/>
      <c r="M97" s="529"/>
      <c r="N97" s="529"/>
      <c r="O97" s="529"/>
      <c r="P97" s="529"/>
      <c r="Q97" s="529"/>
      <c r="R97" s="529"/>
      <c r="S97" s="529"/>
      <c r="T97" s="523"/>
      <c r="U97" s="617"/>
      <c r="V97" s="185"/>
      <c r="W97" s="185"/>
      <c r="X97" s="185"/>
    </row>
    <row r="98" spans="1:24" ht="18.75" customHeight="1">
      <c r="A98" s="618"/>
      <c r="B98" s="1312"/>
      <c r="C98" s="607" t="s">
        <v>177</v>
      </c>
      <c r="D98" s="1175" cm="1">
        <f t="array" ref="D98">IF(R62="Ltd by DoB",R47,R47+R62)</f>
        <v>14934170.291434068</v>
      </c>
      <c r="E98" s="1176"/>
      <c r="F98" s="1177" cm="1">
        <f t="array" ref="F98">'PF calculator'!G98</f>
        <v>30</v>
      </c>
      <c r="G98" s="1178"/>
      <c r="H98" s="1175" cm="1">
        <f t="array" ref="H98">D98*(F98/100)</f>
        <v>4480251.0874302201</v>
      </c>
      <c r="I98" s="1175"/>
      <c r="J98" s="576"/>
      <c r="K98" s="529"/>
      <c r="L98" s="529"/>
      <c r="M98" s="529"/>
      <c r="N98" s="529"/>
      <c r="O98" s="529"/>
      <c r="P98" s="529"/>
      <c r="Q98" s="529"/>
      <c r="R98" s="529"/>
      <c r="S98" s="529"/>
      <c r="T98" s="523"/>
      <c r="U98" s="617"/>
      <c r="V98" s="185"/>
      <c r="W98" s="185"/>
      <c r="X98" s="185"/>
    </row>
    <row r="99" spans="1:24" ht="18.75" customHeight="1">
      <c r="A99" s="618"/>
      <c r="B99" s="1312"/>
      <c r="C99" s="607" t="s">
        <v>179</v>
      </c>
      <c r="D99" s="1175" cm="1">
        <f t="array" ref="D99">IF(R63="Ltd by DoB",R48,R48+R63)</f>
        <v>0</v>
      </c>
      <c r="E99" s="1176"/>
      <c r="F99" s="1177" cm="1">
        <f t="array" ref="F99">'PF calculator'!G99</f>
        <v>20</v>
      </c>
      <c r="G99" s="1178"/>
      <c r="H99" s="1175" cm="1">
        <f t="array" ref="H99">D99*(F99/100)</f>
        <v>0</v>
      </c>
      <c r="I99" s="1175"/>
      <c r="J99" s="576"/>
      <c r="K99" s="529"/>
      <c r="L99" s="529"/>
      <c r="M99" s="529"/>
      <c r="N99" s="529"/>
      <c r="O99" s="529"/>
      <c r="P99" s="529"/>
      <c r="Q99" s="529"/>
      <c r="R99" s="529"/>
      <c r="S99" s="529"/>
      <c r="T99" s="523"/>
      <c r="U99" s="617"/>
      <c r="V99" s="185"/>
      <c r="W99" s="185"/>
      <c r="X99" s="185"/>
    </row>
    <row r="100" spans="1:24" ht="18.75" customHeight="1">
      <c r="A100" s="618"/>
      <c r="B100" s="1311" t="s">
        <v>181</v>
      </c>
      <c r="C100" s="607" t="s">
        <v>175</v>
      </c>
      <c r="D100" s="1175" cm="1">
        <f t="array" ref="D100">R74</f>
        <v>0</v>
      </c>
      <c r="E100" s="1176"/>
      <c r="F100" s="1177" cm="1">
        <f t="array" ref="F100">'PF calculator'!G100</f>
        <v>45</v>
      </c>
      <c r="G100" s="1178"/>
      <c r="H100" s="1175" cm="1">
        <f t="array" ref="H100">D100*(F100/100)</f>
        <v>0</v>
      </c>
      <c r="I100" s="1175"/>
      <c r="J100" s="576"/>
      <c r="K100" s="529"/>
      <c r="L100" s="529"/>
      <c r="M100" s="529"/>
      <c r="N100" s="529"/>
      <c r="O100" s="529"/>
      <c r="P100" s="529"/>
      <c r="Q100" s="529"/>
      <c r="R100" s="529"/>
      <c r="S100" s="529"/>
      <c r="T100" s="523"/>
      <c r="U100" s="617"/>
      <c r="V100" s="185"/>
      <c r="W100" s="185"/>
      <c r="X100" s="185"/>
    </row>
    <row r="101" spans="1:24" ht="18.75" customHeight="1">
      <c r="A101" s="618"/>
      <c r="B101" s="1312"/>
      <c r="C101" s="607" t="s">
        <v>177</v>
      </c>
      <c r="D101" s="1175" cm="1">
        <f t="array" ref="D101">R75</f>
        <v>0</v>
      </c>
      <c r="E101" s="1176"/>
      <c r="F101" s="1177" cm="1">
        <f t="array" ref="F101">'PF calculator'!G101</f>
        <v>30</v>
      </c>
      <c r="G101" s="1178"/>
      <c r="H101" s="1175" cm="1">
        <f t="array" ref="H101">D101*(F101/100)</f>
        <v>0</v>
      </c>
      <c r="I101" s="1175"/>
      <c r="J101" s="576"/>
      <c r="K101" s="529"/>
      <c r="L101" s="529"/>
      <c r="M101" s="529"/>
      <c r="N101" s="529"/>
      <c r="O101" s="529"/>
      <c r="P101" s="529"/>
      <c r="Q101" s="529"/>
      <c r="R101" s="529"/>
      <c r="S101" s="529"/>
      <c r="T101" s="523"/>
      <c r="U101" s="617"/>
      <c r="V101" s="185"/>
      <c r="W101" s="185"/>
      <c r="X101" s="185"/>
    </row>
    <row r="102" spans="1:24" ht="18.75" customHeight="1">
      <c r="A102" s="618"/>
      <c r="B102" s="1312"/>
      <c r="C102" s="607" t="s">
        <v>179</v>
      </c>
      <c r="D102" s="1175" cm="1">
        <f t="array" ref="D102">R76</f>
        <v>0</v>
      </c>
      <c r="E102" s="1176"/>
      <c r="F102" s="1177" cm="1">
        <f t="array" ref="F102">'PF calculator'!G102</f>
        <v>20</v>
      </c>
      <c r="G102" s="1178"/>
      <c r="H102" s="1175" cm="1">
        <f t="array" ref="H102">D102*(F102/100)</f>
        <v>0</v>
      </c>
      <c r="I102" s="1175"/>
      <c r="J102" s="576"/>
      <c r="K102" s="529"/>
      <c r="L102" s="529"/>
      <c r="M102" s="529"/>
      <c r="N102" s="529"/>
      <c r="O102" s="529"/>
      <c r="P102" s="529"/>
      <c r="Q102" s="529"/>
      <c r="R102" s="529"/>
      <c r="S102" s="529"/>
      <c r="T102" s="523"/>
      <c r="U102" s="617"/>
      <c r="V102" s="185"/>
      <c r="W102" s="185"/>
      <c r="X102" s="185"/>
    </row>
    <row r="103" spans="1:24" ht="18.75" customHeight="1">
      <c r="A103" s="618"/>
      <c r="B103" s="1164" t="s">
        <v>185</v>
      </c>
      <c r="C103" s="608" t="s">
        <v>186</v>
      </c>
      <c r="D103" s="1175" cm="1">
        <f t="array" ref="D103">IF(SUM(L83:M90)&lt;0,"Ltd by negative OM4 values",SUM(L83:M90))</f>
        <v>735310.66422430007</v>
      </c>
      <c r="E103" s="1175"/>
      <c r="F103" s="1177" cm="1">
        <f t="array" ref="F103">'PF calculator'!G103</f>
        <v>20</v>
      </c>
      <c r="G103" s="1178"/>
      <c r="H103" s="1175" cm="1">
        <f t="array" ref="H103">IF(D103="Ltd by negative OM4 values",0,D103*(F103/100))</f>
        <v>147062.13284486003</v>
      </c>
      <c r="I103" s="1175"/>
      <c r="J103" s="576"/>
      <c r="K103" s="529"/>
      <c r="L103" s="529"/>
      <c r="M103" s="529"/>
      <c r="N103" s="529"/>
      <c r="O103" s="529"/>
      <c r="P103" s="529"/>
      <c r="Q103" s="529"/>
      <c r="R103" s="529"/>
      <c r="S103" s="529"/>
      <c r="T103" s="523"/>
      <c r="U103" s="617"/>
      <c r="V103" s="185"/>
      <c r="W103" s="185"/>
      <c r="X103" s="185"/>
    </row>
    <row r="104" spans="1:24" ht="18.75" customHeight="1">
      <c r="A104" s="618"/>
      <c r="B104" s="1181"/>
      <c r="C104" s="606" t="s">
        <v>187</v>
      </c>
      <c r="D104" s="1166" cm="1">
        <f t="array" ref="D104">SUM(R84:S86)</f>
        <v>689843.69351533486</v>
      </c>
      <c r="E104" s="1167"/>
      <c r="F104" s="1177" cm="1">
        <f t="array" ref="F104">'PF calculator'!G104</f>
        <v>20</v>
      </c>
      <c r="G104" s="1178"/>
      <c r="H104" s="1310" cm="1">
        <f t="array" ref="H104">D104*(F104/100)</f>
        <v>137968.73870306698</v>
      </c>
      <c r="I104" s="1310"/>
      <c r="J104" s="576"/>
      <c r="K104" s="529"/>
      <c r="L104" s="529"/>
      <c r="M104" s="529"/>
      <c r="N104" s="529"/>
      <c r="O104" s="529"/>
      <c r="P104" s="529"/>
      <c r="Q104" s="529"/>
      <c r="R104" s="529"/>
      <c r="S104" s="529"/>
      <c r="T104" s="523"/>
      <c r="U104" s="617"/>
      <c r="V104" s="185"/>
      <c r="W104" s="185"/>
      <c r="X104" s="185"/>
    </row>
    <row r="105" spans="1:24" ht="18.75" customHeight="1">
      <c r="A105" s="618"/>
      <c r="B105" s="1164" t="s">
        <v>188</v>
      </c>
      <c r="C105" s="1165"/>
      <c r="D105" s="1175" cm="1">
        <f t="array" ref="D105">SUM(D95:E104)</f>
        <v>21267939.12077333</v>
      </c>
      <c r="E105" s="1175"/>
      <c r="F105" s="1306" t="e" cm="1" vm="5">
        <f t="array" aca="1" ref="F105" ca="1">'PF calculator'!F105:G105</f>
        <v>#VALUE!</v>
      </c>
      <c r="G105" s="1307"/>
      <c r="H105" s="1308" cm="1">
        <f t="array" ref="H105">SUM(H95:I104)</f>
        <v>6724158.4711979805</v>
      </c>
      <c r="I105" s="1309"/>
      <c r="J105" s="591"/>
      <c r="K105" s="529"/>
      <c r="L105" s="529"/>
      <c r="M105" s="529"/>
      <c r="N105" s="529"/>
      <c r="O105" s="529"/>
      <c r="P105" s="529"/>
      <c r="Q105" s="529"/>
      <c r="R105" s="529"/>
      <c r="S105" s="529"/>
      <c r="T105" s="523"/>
      <c r="U105" s="617"/>
      <c r="V105" s="185"/>
      <c r="W105" s="185"/>
      <c r="X105" s="185"/>
    </row>
    <row r="106" spans="1:24" ht="8" customHeight="1">
      <c r="A106" s="618"/>
      <c r="B106" s="549"/>
      <c r="C106" s="549"/>
      <c r="D106" s="601"/>
      <c r="E106" s="601"/>
      <c r="F106" s="549"/>
      <c r="G106" s="549"/>
      <c r="H106" s="558"/>
      <c r="I106" s="558"/>
      <c r="J106" s="549"/>
      <c r="K106" s="549"/>
      <c r="L106" s="549"/>
      <c r="M106" s="549"/>
      <c r="N106" s="549"/>
      <c r="O106" s="549"/>
      <c r="P106" s="549"/>
      <c r="Q106" s="549"/>
      <c r="R106" s="549"/>
      <c r="S106" s="549"/>
      <c r="T106" s="523"/>
      <c r="U106" s="617"/>
      <c r="V106" s="185"/>
      <c r="W106" s="185"/>
      <c r="X106" s="185"/>
    </row>
    <row r="107" spans="1:24" ht="15.75" customHeight="1">
      <c r="A107" s="622"/>
      <c r="B107" s="1321" t="s">
        <v>190</v>
      </c>
      <c r="C107" s="1322"/>
      <c r="D107" s="1322"/>
      <c r="E107" s="1322"/>
      <c r="F107" s="1322"/>
      <c r="G107" s="1322"/>
      <c r="H107" s="1322"/>
      <c r="I107" s="1322"/>
      <c r="J107" s="1322"/>
      <c r="K107" s="1322"/>
      <c r="L107" s="1322"/>
      <c r="M107" s="1322"/>
      <c r="N107" s="1322"/>
      <c r="O107" s="1322"/>
      <c r="P107" s="1322"/>
      <c r="Q107" s="1322"/>
      <c r="R107" s="1322"/>
      <c r="S107" s="1323"/>
      <c r="T107" s="610"/>
      <c r="U107" s="617"/>
      <c r="V107" s="185"/>
      <c r="W107" s="185"/>
      <c r="X107" s="185"/>
    </row>
  </sheetData>
  <mergeCells count="219">
    <mergeCell ref="B1:S1"/>
    <mergeCell ref="B2:S2"/>
    <mergeCell ref="B3:S3"/>
    <mergeCell ref="B4:P4"/>
    <mergeCell ref="R4:S4"/>
    <mergeCell ref="R5:S5"/>
    <mergeCell ref="B7:C7"/>
    <mergeCell ref="D7:I7"/>
    <mergeCell ref="K7:L7"/>
    <mergeCell ref="M7:N7"/>
    <mergeCell ref="R6:S7"/>
    <mergeCell ref="B8:C8"/>
    <mergeCell ref="D8:F8"/>
    <mergeCell ref="K8:L8"/>
    <mergeCell ref="M8:N8"/>
    <mergeCell ref="O8:Q8"/>
    <mergeCell ref="P12:S13"/>
    <mergeCell ref="B15:S15"/>
    <mergeCell ref="B17:D17"/>
    <mergeCell ref="E17:F17"/>
    <mergeCell ref="B9:C9"/>
    <mergeCell ref="D9:F9"/>
    <mergeCell ref="O9:Q9"/>
    <mergeCell ref="B10:C10"/>
    <mergeCell ref="D10:I10"/>
    <mergeCell ref="O10:Q10"/>
    <mergeCell ref="B19:D19"/>
    <mergeCell ref="E19:F19"/>
    <mergeCell ref="H19:J19"/>
    <mergeCell ref="K19:L19"/>
    <mergeCell ref="B21:D21"/>
    <mergeCell ref="E21:F21"/>
    <mergeCell ref="H21:J21"/>
    <mergeCell ref="K21:L21"/>
    <mergeCell ref="B11:C11"/>
    <mergeCell ref="D11:F11"/>
    <mergeCell ref="K26:L27"/>
    <mergeCell ref="M26:N27"/>
    <mergeCell ref="O26:P27"/>
    <mergeCell ref="B27:D27"/>
    <mergeCell ref="E27:F27"/>
    <mergeCell ref="H27:J27"/>
    <mergeCell ref="B23:D23"/>
    <mergeCell ref="E23:F23"/>
    <mergeCell ref="H23:J23"/>
    <mergeCell ref="K23:L23"/>
    <mergeCell ref="M23:P23"/>
    <mergeCell ref="B25:S25"/>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B37:D37"/>
    <mergeCell ref="E37:F37"/>
    <mergeCell ref="L37:S37"/>
    <mergeCell ref="B38:D38"/>
    <mergeCell ref="E38:F38"/>
    <mergeCell ref="B39:D39"/>
    <mergeCell ref="E39:F39"/>
    <mergeCell ref="B33:D33"/>
    <mergeCell ref="E33:F33"/>
    <mergeCell ref="H33:J33"/>
    <mergeCell ref="K33:L33"/>
    <mergeCell ref="M33:S33"/>
    <mergeCell ref="B35:S35"/>
    <mergeCell ref="B46:E46"/>
    <mergeCell ref="R46:S46"/>
    <mergeCell ref="B47:E47"/>
    <mergeCell ref="R47:S47"/>
    <mergeCell ref="B48:E48"/>
    <mergeCell ref="R48:S48"/>
    <mergeCell ref="B41:D42"/>
    <mergeCell ref="E41:F41"/>
    <mergeCell ref="B43:S43"/>
    <mergeCell ref="B45:E45"/>
    <mergeCell ref="F45:J45"/>
    <mergeCell ref="L45:P45"/>
    <mergeCell ref="R45:S45"/>
    <mergeCell ref="B56:S56"/>
    <mergeCell ref="B58:D58"/>
    <mergeCell ref="E58:F58"/>
    <mergeCell ref="B60:E60"/>
    <mergeCell ref="F60:J60"/>
    <mergeCell ref="L60:P60"/>
    <mergeCell ref="R60:S60"/>
    <mergeCell ref="B50:E50"/>
    <mergeCell ref="F50:J50"/>
    <mergeCell ref="L50:P51"/>
    <mergeCell ref="B51:E51"/>
    <mergeCell ref="B52:E52"/>
    <mergeCell ref="B53:E53"/>
    <mergeCell ref="B65:E65"/>
    <mergeCell ref="F65:J65"/>
    <mergeCell ref="L65:P66"/>
    <mergeCell ref="B66:E66"/>
    <mergeCell ref="B67:E67"/>
    <mergeCell ref="B68:E68"/>
    <mergeCell ref="B61:E61"/>
    <mergeCell ref="R61:S61"/>
    <mergeCell ref="B62:E62"/>
    <mergeCell ref="R62:S62"/>
    <mergeCell ref="B63:E63"/>
    <mergeCell ref="R63:S63"/>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s>
  <conditionalFormatting sqref="L46:P48 L61:P63">
    <cfRule type="cellIs" dxfId="0" priority="1" stopIfTrue="1" operator="lessThan">
      <formula>0</formula>
    </cfRule>
  </conditionalFormatting>
  <pageMargins left="0.7" right="0.7" top="0.75" bottom="0.75" header="0.3" footer="0.3"/>
  <pageSetup scale="37"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Export Summary</vt:lpstr>
      <vt:lpstr>Guidance and version</vt:lpstr>
      <vt:lpstr>PF calculator</vt:lpstr>
      <vt:lpstr>Economic summary</vt:lpstr>
      <vt:lpstr>Policy assumptions and formulae</vt:lpstr>
      <vt:lpstr>pv calculator</vt:lpstr>
      <vt:lpstr>SA1</vt:lpstr>
      <vt:lpstr>SA2</vt:lpstr>
      <vt:lpstr>SA3</vt:lpstr>
      <vt:lpstr>SA4</vt:lpstr>
      <vt:lpstr>SA5</vt:lpstr>
      <vt:lpstr>SA6</vt:lpstr>
      <vt:lpstr>SA7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Stone</cp:lastModifiedBy>
  <dcterms:created xsi:type="dcterms:W3CDTF">2025-08-11T09:07:37Z</dcterms:created>
  <dcterms:modified xsi:type="dcterms:W3CDTF">2025-08-11T09:07:37Z</dcterms:modified>
</cp:coreProperties>
</file>