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selks\Desktop\samples\"/>
    </mc:Choice>
  </mc:AlternateContent>
  <bookViews>
    <workbookView xWindow="0" yWindow="0" windowWidth="12072" windowHeight="6036" tabRatio="854"/>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52511"/>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D9" i="1" l="1"/>
  <c r="C9" i="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s="1"/>
  <c r="J75" i="28" l="1"/>
  <c r="N75" i="28"/>
  <c r="D95" i="28" s="1"/>
  <c r="I95" i="28" s="1"/>
  <c r="J74" i="8"/>
  <c r="N74" i="8"/>
  <c r="D94" i="8" s="1"/>
  <c r="J73" i="30"/>
  <c r="N73" i="30"/>
  <c r="D93" i="30" s="1"/>
  <c r="D89" i="30" s="1"/>
  <c r="I89"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28" s="1"/>
  <c r="I89" i="28" s="1"/>
  <c r="D90" i="8" l="1"/>
  <c r="I90" i="8" s="1"/>
  <c r="D89" i="27"/>
  <c r="I89" i="27" s="1"/>
  <c r="C59" i="1"/>
  <c r="C65" i="31"/>
  <c r="F65" i="31" s="1"/>
  <c r="I93" i="27"/>
  <c r="D58" i="1"/>
  <c r="D59" i="1" s="1"/>
  <c r="I93" i="28"/>
  <c r="I97" i="28" s="1"/>
  <c r="D97" i="28"/>
  <c r="I94" i="8"/>
  <c r="I93" i="26"/>
  <c r="I97" i="26" s="1"/>
  <c r="D97" i="26"/>
  <c r="I93" i="30"/>
  <c r="I97" i="30" s="1"/>
  <c r="D97" i="30"/>
  <c r="I98" i="8" l="1"/>
  <c r="D97" i="27"/>
  <c r="I97" i="27"/>
  <c r="H15" i="27" s="1"/>
  <c r="I106" i="8" s="1"/>
  <c r="D98" i="8"/>
  <c r="H15" i="28"/>
  <c r="H19" i="28" s="1"/>
  <c r="H21" i="28" s="1"/>
  <c r="N14" i="28" s="1"/>
  <c r="H15" i="30"/>
  <c r="H19" i="30" s="1"/>
  <c r="H21" i="30" s="1"/>
  <c r="N14" i="30" s="1"/>
  <c r="H15" i="8"/>
  <c r="I104" i="8" s="1"/>
  <c r="H15" i="26"/>
  <c r="C60" i="1"/>
  <c r="D60" i="1" s="1"/>
  <c r="C66" i="31"/>
  <c r="F66" i="31" s="1"/>
  <c r="H19" i="8" l="1"/>
  <c r="H21" i="8" s="1"/>
  <c r="N14" i="8" s="1"/>
  <c r="H17" i="27"/>
  <c r="B45" i="27" s="1"/>
  <c r="H17" i="8"/>
  <c r="J104" i="8" s="1"/>
  <c r="H19" i="27"/>
  <c r="H21" i="27" s="1"/>
  <c r="N14" i="27" s="1"/>
  <c r="H17" i="30"/>
  <c r="I109" i="8"/>
  <c r="H17" i="28"/>
  <c r="I107" i="8"/>
  <c r="H17" i="26"/>
  <c r="I105" i="8"/>
  <c r="C61" i="1"/>
  <c r="C67" i="31"/>
  <c r="F67" i="31" s="1"/>
  <c r="B45" i="8" l="1"/>
  <c r="J106" i="8"/>
  <c r="C62" i="1"/>
  <c r="C68" i="31"/>
  <c r="F68" i="31" s="1"/>
  <c r="J105" i="8"/>
  <c r="H44" i="26"/>
  <c r="B45" i="28"/>
  <c r="J107" i="8"/>
  <c r="B45" i="30"/>
  <c r="J109" i="8"/>
  <c r="D61" i="1"/>
  <c r="D62" i="1" s="1"/>
  <c r="N15" i="26" l="1"/>
  <c r="H19" i="26"/>
  <c r="H21" i="26" s="1"/>
  <c r="N14" i="26" s="1"/>
  <c r="B45" i="26"/>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5" i="29"/>
  <c r="I108" i="8" s="1"/>
  <c r="H17" i="29" l="1"/>
  <c r="B45" i="29" s="1"/>
  <c r="H19" i="29"/>
  <c r="H21" i="29" s="1"/>
  <c r="N14" i="29" s="1"/>
  <c r="C72" i="1"/>
  <c r="C78" i="31"/>
  <c r="F78" i="31" s="1"/>
  <c r="J108" i="8" l="1"/>
  <c r="C73" i="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authors>
    <author>Daniel Johns</author>
  </authors>
  <commentList>
    <comment ref="B4" authorId="0" shapeId="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<sst xmlns="http://schemas.openxmlformats.org/spreadsheetml/2006/main" count="1017" uniqueCount="223">
  <si>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</si>
  <si>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</si>
  <si>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</si>
  <si>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</si>
  <si>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</si>
  <si>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</si>
  <si>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</si>
  <si>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</si>
  <si>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</si>
  <si>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</si>
  <si>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</si>
  <si>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</si>
  <si>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</si>
  <si>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</si>
  <si>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</si>
  <si>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</si>
  <si>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</si>
  <si>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</si>
  <si>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</si>
  <si>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</si>
  <si>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</si>
  <si>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</si>
  <si>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</si>
  <si>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</si>
  <si>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</si>
  <si>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</si>
  <si>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</si>
  <si>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</si>
  <si>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</si>
  <si>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</si>
  <si>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</si>
  <si>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</si>
  <si>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</si>
  <si>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</si>
  <si>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</si>
  <si>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</si>
  <si>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</si>
  <si>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</si>
  <si>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</si>
  <si>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</si>
  <si>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</si>
  <si>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</si>
  <si>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</si>
  <si>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</si>
  <si>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</si>
  <si>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</si>
  <si>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</si>
  <si>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</si>
  <si>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</si>
  <si>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</si>
  <si>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</si>
  <si>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</si>
  <si>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</si>
  <si>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</si>
  <si>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</si>
  <si>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</si>
  <si>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</si>
  <si>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</si>
  <si>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</si>
  <si>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</si>
  <si>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</si>
  <si>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</si>
  <si>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</si>
  <si>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</si>
  <si>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</si>
  <si>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</si>
  <si>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</si>
  <si>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</si>
  <si>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</si>
  <si>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</si>
  <si>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</si>
  <si>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</si>
  <si>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</si>
  <si>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</si>
  <si>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</si>
  <si>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</si>
  <si>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</si>
  <si>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</si>
  <si>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</si>
  <si>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</si>
  <si>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</si>
  <si>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</si>
  <si>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</si>
  <si>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</si>
  <si>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</si>
  <si>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</si>
  <si>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</si>
  <si>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</si>
  <si>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</si>
  <si>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</si>
  <si>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</si>
  <si>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</si>
  <si>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</si>
  <si>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</si>
  <si>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</si>
  <si>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</si>
  <si>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</si>
  <si>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</si>
  <si>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</si>
  <si>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</si>
  <si>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</si>
  <si>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</si>
  <si>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</si>
  <si>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</si>
  <si>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</si>
  <si>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</si>
  <si>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</si>
  <si>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</si>
  <si>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</si>
  <si>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</si>
  <si>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</si>
  <si>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</si>
  <si>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</si>
  <si>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</si>
  <si>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</si>
  <si>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</si>
  <si>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</si>
  <si>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</si>
  <si>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</si>
  <si>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</si>
  <si>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</si>
  <si>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</si>
  <si>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</si>
  <si>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</si>
  <si>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</si>
  <si>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</si>
  <si>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</si>
  <si>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</si>
  <si>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</si>
  <si>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</si>
  <si>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</si>
  <si>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</si>
  <si>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</si>
  <si>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</si>
  <si>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</si>
  <si>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</si>
  <si>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</si>
  <si>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</si>
  <si>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</si>
  <si>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</si>
  <si>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</si>
  <si>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</si>
  <si>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</si>
  <si>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</si>
  <si>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</si>
  <si>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</si>
  <si>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</si>
  <si>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</si>
  <si>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</si>
  <si>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</si>
  <si>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</si>
  <si>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</si>
  <si>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</si>
  <si>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</si>
  <si>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</si>
  <si>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</si>
  <si>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</si>
  <si>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</si>
  <si>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</si>
  <si>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</si>
  <si>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</si>
  <si>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</si>
  <si>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</si>
  <si>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</si>
  <si>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</si>
  <si>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</si>
  <si>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</si>
  <si>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</si>
  <si>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</si>
  <si>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</si>
  <si>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</si>
  <si>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</si>
  <si>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</si>
  <si>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</si>
  <si>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</si>
  <si>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</si>
  <si>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</si>
  <si>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</si>
  <si>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</si>
  <si>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</si>
  <si>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</si>
  <si>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</si>
  <si>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</si>
  <si>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</si>
  <si>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</si>
  <si>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</si>
  <si>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</si>
  <si>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</si>
  <si>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</si>
  <si>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</si>
  <si>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</si>
  <si>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</si>
  <si>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</si>
  <si>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</si>
  <si>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</si>
  <si>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</si>
  <si>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</si>
  <si>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</si>
  <si>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</si>
  <si>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</si>
  <si>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</si>
  <si>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</si>
  <si>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</si>
  <si>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</si>
  <si>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</si>
  <si>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</si>
  <si>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</si>
  <si>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</si>
  <si>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</si>
  <si>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</si>
  <si>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</si>
  <si>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</si>
  <si>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</si>
  <si>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</si>
  <si>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</si>
  <si>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</si>
  <si>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</si>
  <si>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</si>
  <si>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</si>
  <si>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</si>
  <si>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</si>
  <si>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Example2</t>
  </si>
  <si>
    <t>IDB</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</si>
</sst>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_-;\-* #,##0_-;_-* &quot;-&quot;??_-;_-@_-"/>
    <numFmt numFmtId="165" formatCode="0.0"/>
    <numFmt numFmtId="166" formatCode="0.0000"/>
    <numFmt numFmtId="167" formatCode="_-&quot;£&quot;* #,##0_-;\-&quot;£&quot;* #,##0_-;_-&quot;£&quot;* &quot;-&quot;??_-;_-@_-"/>
    <numFmt numFmtId="168" formatCode="_-[$£-809]* #,##0_-;\-[$£-809]* #,##0_-;_-[$£-809]* &quot;-&quot;??_-;_-@_-"/>
    <numFmt numFmtId="169" formatCode="#,##0_ ;[Red]\-#,##0\ "/>
    <numFmt numFmtId="170" formatCode="#,##0_ ;\-#,##0\ "/>
    <numFmt numFmtId="171" formatCode="#,##0.00_ ;\-#,##0.00\ "/>
    <numFmt numFmtId="172"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43" fontId="11"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66" fontId="0" fillId="2" borderId="0" xfId="0" applyNumberFormat="1" applyFill="1"/>
    <xf numFmtId="10" fontId="0" fillId="2" borderId="0" xfId="0" applyNumberFormat="1" applyFill="1"/>
    <xf numFmtId="10" fontId="12" fillId="2" borderId="0" xfId="0" applyNumberFormat="1" applyFont="1" applyFill="1"/>
    <xf numFmtId="166" fontId="12" fillId="2" borderId="0" xfId="0" applyNumberFormat="1" applyFont="1" applyFill="1"/>
    <xf numFmtId="0" fontId="12" fillId="2" borderId="0" xfId="0" applyFont="1" applyFill="1" applyAlignment="1">
      <alignment horizontal="center"/>
    </xf>
    <xf numFmtId="167" fontId="11" fillId="3" borderId="3" xfId="5" applyNumberFormat="1" applyFont="1" applyFill="1" applyBorder="1"/>
    <xf numFmtId="168" fontId="0" fillId="3" borderId="3" xfId="0" applyNumberFormat="1" applyFill="1" applyBorder="1"/>
    <xf numFmtId="9" fontId="0" fillId="3" borderId="3" xfId="0" applyNumberFormat="1" applyFill="1" applyBorder="1"/>
    <xf numFmtId="167" fontId="11" fillId="2" borderId="0" xfId="5" applyNumberFormat="1" applyFont="1" applyFill="1" applyBorder="1"/>
    <xf numFmtId="164"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66" fontId="14" fillId="2" borderId="0" xfId="0" applyNumberFormat="1" applyFont="1" applyFill="1"/>
    <xf numFmtId="166" fontId="0" fillId="2" borderId="0" xfId="0" applyNumberFormat="1" applyFill="1" applyBorder="1"/>
    <xf numFmtId="166" fontId="12" fillId="2" borderId="0" xfId="0" applyNumberFormat="1" applyFont="1" applyFill="1" applyBorder="1"/>
    <xf numFmtId="167"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0"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0" fontId="36" fillId="5" borderId="3" xfId="5" applyNumberFormat="1" applyFont="1" applyFill="1" applyBorder="1" applyAlignment="1" applyProtection="1">
      <alignment horizontal="right"/>
    </xf>
    <xf numFmtId="43" fontId="36" fillId="3" borderId="2" xfId="2" applyFont="1" applyFill="1" applyBorder="1" applyProtection="1"/>
    <xf numFmtId="167" fontId="0" fillId="3" borderId="1" xfId="0" applyNumberFormat="1" applyFont="1" applyFill="1" applyBorder="1" applyAlignment="1" applyProtection="1">
      <alignment horizontal="left"/>
    </xf>
    <xf numFmtId="43" fontId="12" fillId="3" borderId="2" xfId="2" applyFont="1" applyFill="1" applyBorder="1" applyProtection="1"/>
    <xf numFmtId="169" fontId="19" fillId="3" borderId="3" xfId="2" applyNumberFormat="1" applyFont="1" applyFill="1" applyBorder="1" applyProtection="1"/>
    <xf numFmtId="167" fontId="19" fillId="3" borderId="3" xfId="5" applyNumberFormat="1" applyFont="1" applyFill="1" applyBorder="1" applyProtection="1"/>
    <xf numFmtId="164" fontId="19" fillId="3" borderId="3" xfId="2" applyNumberFormat="1" applyFont="1" applyFill="1" applyBorder="1" applyAlignment="1" applyProtection="1">
      <alignment horizontal="center"/>
    </xf>
    <xf numFmtId="165" fontId="0" fillId="3" borderId="3" xfId="0" applyNumberFormat="1" applyFill="1" applyBorder="1" applyProtection="1"/>
    <xf numFmtId="171"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43" fontId="36" fillId="3" borderId="2" xfId="2" applyFont="1" applyFill="1" applyBorder="1" applyProtection="1">
      <protection hidden="1"/>
    </xf>
    <xf numFmtId="43"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0"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69" fontId="19" fillId="3" borderId="3" xfId="2" applyNumberFormat="1" applyFont="1" applyFill="1" applyBorder="1" applyProtection="1">
      <protection hidden="1"/>
    </xf>
    <xf numFmtId="167" fontId="19" fillId="3" borderId="3" xfId="5" applyNumberFormat="1" applyFont="1" applyFill="1" applyBorder="1" applyProtection="1">
      <protection hidden="1"/>
    </xf>
    <xf numFmtId="164"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5" fontId="0" fillId="3" borderId="3" xfId="0" applyNumberFormat="1" applyFill="1" applyBorder="1" applyProtection="1">
      <protection hidden="1"/>
    </xf>
    <xf numFmtId="170" fontId="19" fillId="3" borderId="3" xfId="5" applyNumberFormat="1" applyFont="1" applyFill="1" applyBorder="1" applyProtection="1">
      <protection hidden="1"/>
    </xf>
    <xf numFmtId="170"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67"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67" fontId="0" fillId="2" borderId="0" xfId="0" applyNumberFormat="1" applyFill="1" applyProtection="1"/>
    <xf numFmtId="0" fontId="9" fillId="2" borderId="0" xfId="0" applyFont="1" applyFill="1" applyAlignment="1" applyProtection="1">
      <alignment horizontal="right"/>
    </xf>
    <xf numFmtId="167" fontId="2" fillId="2" borderId="0" xfId="5" applyNumberFormat="1" applyFont="1" applyFill="1" applyBorder="1" applyAlignment="1" applyProtection="1">
      <alignment horizontal="center"/>
    </xf>
    <xf numFmtId="167"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43"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41"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66" fontId="45" fillId="0" borderId="0" xfId="0" applyNumberFormat="1" applyFont="1" applyAlignment="1" applyProtection="1">
      <alignment horizontal="center"/>
    </xf>
    <xf numFmtId="172"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66"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66"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2"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66" fontId="45" fillId="5" borderId="8" xfId="0" applyNumberFormat="1" applyFont="1" applyFill="1" applyBorder="1" applyAlignment="1" applyProtection="1">
      <alignment horizontal="center"/>
    </xf>
    <xf numFmtId="0" fontId="45" fillId="5" borderId="5" xfId="0" applyFont="1" applyFill="1" applyBorder="1" applyProtection="1"/>
    <xf numFmtId="172" fontId="45" fillId="5" borderId="13" xfId="0" applyNumberFormat="1" applyFont="1" applyFill="1" applyBorder="1" applyProtection="1"/>
    <xf numFmtId="0" fontId="45" fillId="5" borderId="6" xfId="0" applyFont="1" applyFill="1" applyBorder="1" applyProtection="1"/>
    <xf numFmtId="172"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4" fontId="19" fillId="8" borderId="3" xfId="2" applyNumberFormat="1" applyFont="1" applyFill="1" applyBorder="1" applyProtection="1"/>
    <xf numFmtId="171"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67" fontId="9" fillId="3" borderId="3" xfId="5" applyNumberFormat="1" applyFont="1" applyFill="1" applyBorder="1" applyAlignment="1" applyProtection="1">
      <alignment horizontal="right"/>
      <protection hidden="1"/>
    </xf>
    <xf numFmtId="167" fontId="2" fillId="3" borderId="3" xfId="5" applyNumberFormat="1" applyFont="1" applyFill="1" applyBorder="1" applyAlignment="1" applyProtection="1">
      <alignment horizontal="center"/>
      <protection hidden="1"/>
    </xf>
    <xf numFmtId="167"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67" fontId="11" fillId="3" borderId="3" xfId="5" applyNumberFormat="1" applyFont="1" applyFill="1" applyBorder="1" applyAlignment="1" applyProtection="1">
      <alignment horizontal="center"/>
      <protection hidden="1"/>
    </xf>
    <xf numFmtId="167" fontId="0" fillId="3" borderId="3" xfId="0" applyNumberFormat="1" applyFill="1" applyBorder="1" applyAlignment="1" applyProtection="1">
      <alignment horizontal="center"/>
      <protection hidden="1"/>
    </xf>
    <xf numFmtId="167"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67"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67"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67"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42"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42"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2"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67" fontId="2" fillId="3" borderId="3" xfId="5" applyNumberFormat="1" applyFont="1" applyFill="1" applyBorder="1" applyAlignment="1" applyProtection="1">
      <alignment horizontal="center"/>
    </xf>
    <xf numFmtId="167" fontId="2" fillId="3" borderId="3" xfId="5" applyNumberFormat="1" applyFont="1" applyFill="1" applyBorder="1" applyAlignment="1" applyProtection="1">
      <alignment horizontal="right"/>
    </xf>
    <xf numFmtId="167" fontId="9" fillId="3" borderId="3" xfId="5" applyNumberFormat="1" applyFont="1" applyFill="1" applyBorder="1" applyAlignment="1" applyProtection="1">
      <alignment horizontal="right"/>
    </xf>
    <xf numFmtId="167" fontId="2" fillId="3" borderId="3" xfId="0" applyNumberFormat="1" applyFont="1" applyFill="1" applyBorder="1" applyAlignment="1" applyProtection="1">
      <alignment horizontal="center"/>
    </xf>
    <xf numFmtId="167" fontId="0" fillId="3" borderId="3" xfId="0" applyNumberFormat="1" applyFill="1" applyBorder="1" applyAlignment="1" applyProtection="1">
      <alignment horizontal="center"/>
    </xf>
    <xf numFmtId="167" fontId="11" fillId="3" borderId="3" xfId="5" applyNumberFormat="1" applyFont="1" applyFill="1" applyBorder="1" applyAlignment="1" applyProtection="1">
      <alignment horizontal="center"/>
    </xf>
    <xf numFmtId="42" fontId="2" fillId="3" borderId="3" xfId="5" applyNumberFormat="1" applyFont="1" applyFill="1" applyBorder="1" applyAlignment="1" applyProtection="1">
      <alignment horizontal="center"/>
    </xf>
    <xf numFmtId="42" fontId="9" fillId="3" borderId="3" xfId="0" applyNumberFormat="1" applyFont="1" applyFill="1" applyBorder="1" applyAlignment="1" applyProtection="1">
      <alignment horizontal="center"/>
    </xf>
    <xf numFmtId="167"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67" fontId="0" fillId="3" borderId="2" xfId="0" applyNumberFormat="1" applyFill="1" applyBorder="1" applyAlignment="1" applyProtection="1">
      <alignment horizontal="center"/>
    </xf>
    <xf numFmtId="167"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cellStyle name="% 2" xfId="13"/>
    <cellStyle name="Comma" xfId="2" builtinId="3"/>
    <cellStyle name="Comma 2" xfId="3"/>
    <cellStyle name="Comma 3" xfId="4"/>
    <cellStyle name="Comma 3 2" xfId="15"/>
    <cellStyle name="Comma 4" xfId="14"/>
    <cellStyle name="Currency" xfId="5" builtinId="4"/>
    <cellStyle name="Currency 2" xfId="6"/>
    <cellStyle name="Currency 2 2" xfId="17"/>
    <cellStyle name="Currency 3" xfId="16"/>
    <cellStyle name="Hyperlink 2" xfId="7"/>
    <cellStyle name="Normal" xfId="0" builtinId="0"/>
    <cellStyle name="Normal 2" xfId="8"/>
    <cellStyle name="Normal 3" xfId="9"/>
    <cellStyle name="Normal 4" xfId="10"/>
    <cellStyle name="Percent" xfId="11" builtinId="5"/>
    <cellStyle name="Percent 2" xfId="12"/>
    <cellStyle name="Percent 3" xfId="18"/>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120"/>
  <sheetViews>
    <sheetView tabSelected="1" zoomScale="55" zoomScaleNormal="55" workbookViewId="0">
      <selection activeCell="C82" sqref="C82"/>
    </sheetView>
  </sheetViews>
  <sheetFormatPr defaultColWidth="8.90625" defaultRowHeight="15" x14ac:dyDescent="0.25"/>
  <cols>
    <col min="1" max="1" width="1.08984375" style="81" customWidth="1"/>
    <col min="2" max="2" width="16.54296875" style="84" customWidth="1"/>
    <col min="3" max="4" width="10.6328125" style="84" customWidth="1"/>
    <col min="5" max="6" width="14" style="84" customWidth="1"/>
    <col min="7" max="7" width="16.1796875" style="84" customWidth="1"/>
    <col min="8" max="8" width="14.453125" style="84" customWidth="1"/>
    <col min="9" max="13" width="10.6328125" style="84" customWidth="1"/>
    <col min="14" max="18" width="10.6328125" style="81" customWidth="1"/>
    <col min="19" max="16384" width="8.90625" style="81"/>
  </cols>
  <sheetData>
    <row r="2" spans="1:18" ht="21" x14ac:dyDescent="0.4">
      <c r="B2" s="82" t="s">
        <v>196</v>
      </c>
      <c r="C2" s="83"/>
      <c r="D2" s="83"/>
    </row>
    <row r="3" spans="1:18" ht="20.399999999999999" x14ac:dyDescent="0.35">
      <c r="B3" s="85" t="s">
        <v>211</v>
      </c>
      <c r="C3" s="83"/>
    </row>
    <row r="4" spans="1:18" x14ac:dyDescent="0.25">
      <c r="B4" s="86"/>
      <c r="C4" s="87"/>
      <c r="D4" s="87"/>
    </row>
    <row r="5" spans="1:18" ht="21" x14ac:dyDescent="0.4">
      <c r="B5" s="243" t="s">
        <v>132</v>
      </c>
      <c r="C5" s="243"/>
      <c r="D5" s="243"/>
      <c r="E5" s="58" t="s">
        <v>221</v>
      </c>
      <c r="F5" s="88"/>
      <c r="G5" s="88"/>
      <c r="H5" s="88"/>
      <c r="I5" s="88"/>
      <c r="J5" s="88"/>
      <c r="K5" s="88"/>
      <c r="L5" s="88"/>
      <c r="M5" s="88"/>
      <c r="N5" s="88"/>
      <c r="O5" s="88"/>
      <c r="P5" s="89"/>
      <c r="Q5" s="90"/>
      <c r="R5" s="90"/>
    </row>
    <row r="6" spans="1:18" ht="21" x14ac:dyDescent="0.4">
      <c r="B6" s="91" t="s">
        <v>208</v>
      </c>
      <c r="C6" s="91"/>
      <c r="D6" s="91"/>
      <c r="E6" s="59"/>
      <c r="F6" s="88"/>
      <c r="G6" s="88"/>
      <c r="H6" s="88"/>
      <c r="I6" s="88"/>
      <c r="J6" s="88"/>
      <c r="K6" s="88"/>
      <c r="L6" s="88"/>
      <c r="M6" s="88"/>
      <c r="N6" s="88"/>
      <c r="O6" s="88"/>
      <c r="P6" s="89"/>
      <c r="Q6" s="90"/>
      <c r="R6" s="90"/>
    </row>
    <row r="7" spans="1:18" x14ac:dyDescent="0.25">
      <c r="B7" s="92"/>
      <c r="C7" s="93"/>
      <c r="D7" s="93"/>
    </row>
    <row r="8" spans="1:18" ht="15.6" x14ac:dyDescent="0.3">
      <c r="C8" s="93"/>
      <c r="D8" s="93"/>
      <c r="L8" s="94" t="s">
        <v>13</v>
      </c>
      <c r="M8" s="244" t="s">
        <v>14</v>
      </c>
      <c r="N8" s="245"/>
      <c r="O8" s="246"/>
    </row>
    <row r="9" spans="1:18" ht="15.6" x14ac:dyDescent="0.3">
      <c r="B9" s="95" t="s">
        <v>203</v>
      </c>
      <c r="J9" s="84" t="s">
        <v>146</v>
      </c>
      <c r="L9" s="81"/>
      <c r="M9" s="247" t="s">
        <v>15</v>
      </c>
      <c r="N9" s="248"/>
      <c r="O9" s="249"/>
    </row>
    <row r="10" spans="1:18" ht="15.6" x14ac:dyDescent="0.3">
      <c r="B10" s="96" t="s">
        <v>217</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192</v>
      </c>
      <c r="C12" s="87"/>
      <c r="D12" s="87"/>
      <c r="E12" s="87"/>
      <c r="F12" s="103"/>
      <c r="G12" s="104"/>
      <c r="H12" s="81"/>
      <c r="I12" s="81"/>
      <c r="N12" s="84"/>
      <c r="O12" s="105"/>
      <c r="P12" s="105"/>
    </row>
    <row r="13" spans="1:18" ht="15" customHeight="1" x14ac:dyDescent="0.3">
      <c r="G13" s="106"/>
      <c r="I13" s="81"/>
      <c r="J13" s="105"/>
      <c r="K13" s="81"/>
      <c r="M13" s="107" t="s">
        <v>101</v>
      </c>
      <c r="N13" s="60">
        <f>H29/H37</f>
        <v>14.695094424798736</v>
      </c>
      <c r="O13" s="47" t="s">
        <v>17</v>
      </c>
    </row>
    <row r="14" spans="1:18" ht="15" customHeight="1" x14ac:dyDescent="0.3">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55.481580115401684</v>
      </c>
      <c r="O14" s="47" t="s">
        <v>17</v>
      </c>
    </row>
    <row r="15" spans="1:18" ht="15" customHeight="1" x14ac:dyDescent="0.3">
      <c r="B15" s="110" t="s">
        <v>153</v>
      </c>
      <c r="C15" s="111"/>
      <c r="D15" s="111"/>
      <c r="E15" s="111"/>
      <c r="F15" s="111"/>
      <c r="G15" s="111"/>
      <c r="H15" s="62">
        <f>IF(J25="yes",I98/MAX(H37,H34),IF(J25="Yes",I98/MAX(H37,H34),0.45*I98/MAX(H37,H34)))</f>
        <v>1.6788187091908211</v>
      </c>
      <c r="I15" s="108" t="s">
        <v>156</v>
      </c>
      <c r="K15" s="81"/>
      <c r="L15" s="81"/>
      <c r="M15" s="109" t="s">
        <v>210</v>
      </c>
      <c r="N15" s="61">
        <f>IF(H44&gt;0,H29/H44,"n/a")</f>
        <v>25</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63">
        <f>IF(J25="Yes",MAX(IF(Authority="EA",MAX(H37,H34)-MIN(I98,H37),H34*(1-(RawOMScore))),0),IF(Authority="EA",MAX(H37,H34)-MIN(I98*0.45,H37),H34*(1-(RawOMScore))))</f>
        <v>0</v>
      </c>
      <c r="I17" s="108" t="s">
        <v>157</v>
      </c>
      <c r="J17" s="256" t="s">
        <v>206</v>
      </c>
      <c r="K17" s="257"/>
      <c r="L17" s="257"/>
      <c r="M17" s="257"/>
      <c r="N17" s="257"/>
      <c r="O17" s="257"/>
      <c r="Q17" s="254"/>
      <c r="R17" s="255"/>
      <c r="S17" s="255"/>
      <c r="T17" s="255"/>
      <c r="U17" s="255"/>
      <c r="V17" s="255"/>
    </row>
    <row r="18" spans="2:22" ht="15" customHeight="1" x14ac:dyDescent="0.25">
      <c r="B18" s="110"/>
      <c r="C18" s="87"/>
      <c r="D18" s="87"/>
      <c r="E18" s="87"/>
      <c r="F18" s="87"/>
      <c r="G18" s="87"/>
      <c r="H18" s="87"/>
      <c r="J18" s="257"/>
      <c r="K18" s="257"/>
      <c r="L18" s="257"/>
      <c r="M18" s="257"/>
      <c r="N18" s="257"/>
      <c r="O18" s="257"/>
      <c r="Q18" s="255"/>
      <c r="R18" s="255"/>
      <c r="S18" s="255"/>
      <c r="T18" s="255"/>
      <c r="U18" s="255"/>
      <c r="V18" s="255"/>
    </row>
    <row r="19" spans="2:22" ht="15" customHeight="1" x14ac:dyDescent="0.3">
      <c r="B19" s="110" t="s">
        <v>134</v>
      </c>
      <c r="C19" s="113"/>
      <c r="D19" s="113"/>
      <c r="E19" s="113"/>
      <c r="F19" s="113"/>
      <c r="G19" s="113"/>
      <c r="H19" s="62">
        <f>IF(J25="Yes",IF(Authority="EA",I98/MAX(MAX(H37,H34)-H44,1),RawOMScore+H44/H34),IF(Authority="EA",I98*0.45/MAX(MAX(H37,H34)-H44,1),H15+H44/H34))</f>
        <v>2.3681886250876913</v>
      </c>
      <c r="I19" s="108" t="s">
        <v>158</v>
      </c>
      <c r="J19" s="257"/>
      <c r="K19" s="257"/>
      <c r="L19" s="257"/>
      <c r="M19" s="257"/>
      <c r="N19" s="257"/>
      <c r="O19" s="257"/>
      <c r="Q19" s="255"/>
      <c r="R19" s="255"/>
      <c r="S19" s="255"/>
      <c r="T19" s="255"/>
      <c r="U19" s="255"/>
      <c r="V19" s="255"/>
    </row>
    <row r="20" spans="2:22" ht="15" customHeight="1" x14ac:dyDescent="0.25">
      <c r="J20" s="257"/>
      <c r="K20" s="257"/>
      <c r="L20" s="257"/>
      <c r="M20" s="257"/>
      <c r="N20" s="257"/>
      <c r="O20" s="257"/>
      <c r="Q20" s="255"/>
      <c r="R20" s="255"/>
      <c r="S20" s="255"/>
      <c r="T20" s="255"/>
      <c r="U20" s="255"/>
      <c r="V20" s="255"/>
    </row>
    <row r="21" spans="2:22" ht="15" customHeight="1" x14ac:dyDescent="0.3">
      <c r="B21" s="114" t="s">
        <v>219</v>
      </c>
      <c r="C21" s="115"/>
      <c r="D21" s="115"/>
      <c r="E21" s="115"/>
      <c r="F21" s="115"/>
      <c r="G21" s="115"/>
      <c r="H21" s="64">
        <f>IF(ROUNDUP(AdjOMScore,4)&lt;100%,"-",H34-H44)</f>
        <v>450600</v>
      </c>
      <c r="I21" s="108" t="s">
        <v>159</v>
      </c>
      <c r="J21" s="257"/>
      <c r="K21" s="257"/>
      <c r="L21" s="257"/>
      <c r="M21" s="257"/>
      <c r="N21" s="257"/>
      <c r="O21" s="257"/>
      <c r="Q21" s="255"/>
      <c r="R21" s="255"/>
      <c r="S21" s="255"/>
      <c r="T21" s="255"/>
      <c r="U21" s="255"/>
      <c r="V21" s="255"/>
    </row>
    <row r="22" spans="2:22" ht="22.5" customHeight="1" x14ac:dyDescent="0.3">
      <c r="C22" s="81"/>
      <c r="D22" s="81"/>
      <c r="E22" s="81"/>
      <c r="G22" s="116"/>
      <c r="H22" s="116"/>
      <c r="I22" s="105"/>
      <c r="J22" s="265"/>
      <c r="K22" s="265"/>
      <c r="L22" s="265"/>
      <c r="M22" s="265"/>
      <c r="N22" s="265"/>
      <c r="O22" s="265"/>
      <c r="Q22" s="255"/>
      <c r="R22" s="255"/>
      <c r="S22" s="255"/>
      <c r="T22" s="255"/>
      <c r="U22" s="255"/>
      <c r="V22" s="255"/>
    </row>
    <row r="23" spans="2:22" ht="6.75" customHeight="1" x14ac:dyDescent="0.25">
      <c r="B23" s="117"/>
      <c r="C23" s="117"/>
      <c r="D23" s="117"/>
      <c r="E23" s="117"/>
      <c r="F23" s="117"/>
      <c r="G23" s="117"/>
      <c r="H23" s="117"/>
      <c r="I23" s="117"/>
      <c r="J23" s="118"/>
      <c r="K23" s="118"/>
      <c r="L23" s="118"/>
      <c r="M23" s="118"/>
      <c r="N23" s="118"/>
      <c r="O23" s="119"/>
      <c r="P23" s="101"/>
      <c r="Q23" s="255"/>
      <c r="R23" s="255"/>
      <c r="S23" s="255"/>
      <c r="T23" s="255"/>
      <c r="U23" s="255"/>
      <c r="V23" s="255"/>
    </row>
    <row r="24" spans="2:22" ht="15" customHeight="1" x14ac:dyDescent="0.3">
      <c r="B24" s="120" t="s">
        <v>97</v>
      </c>
      <c r="C24" s="121"/>
      <c r="D24" s="121"/>
      <c r="E24" s="81"/>
      <c r="F24" s="81"/>
      <c r="G24" s="81"/>
      <c r="H24" s="81"/>
      <c r="M24" s="122"/>
      <c r="N24" s="122"/>
      <c r="O24" s="122"/>
    </row>
    <row r="25" spans="2:22" ht="15.6" x14ac:dyDescent="0.3">
      <c r="B25" s="123" t="s">
        <v>128</v>
      </c>
      <c r="C25" s="121"/>
      <c r="D25" s="124"/>
      <c r="E25" s="81"/>
      <c r="F25" s="81"/>
      <c r="G25" s="81"/>
      <c r="H25" s="39" t="s">
        <v>222</v>
      </c>
      <c r="I25" s="108" t="s">
        <v>160</v>
      </c>
      <c r="J25" s="75" t="s">
        <v>218</v>
      </c>
      <c r="K25" s="125" t="s">
        <v>173</v>
      </c>
      <c r="L25" s="126"/>
      <c r="M25" s="126"/>
      <c r="N25" s="126"/>
      <c r="O25" s="126"/>
    </row>
    <row r="26" spans="2:22" x14ac:dyDescent="0.25">
      <c r="B26" s="121"/>
      <c r="C26" s="121"/>
      <c r="D26" s="124"/>
      <c r="E26" s="81"/>
      <c r="F26" s="81"/>
      <c r="G26" s="81"/>
      <c r="H26" s="107"/>
      <c r="I26" s="81"/>
      <c r="J26" s="267" t="s">
        <v>174</v>
      </c>
      <c r="K26" s="268"/>
      <c r="L26" s="268"/>
      <c r="M26" s="268"/>
      <c r="N26" s="268"/>
      <c r="O26" s="126"/>
      <c r="P26" s="127"/>
    </row>
    <row r="27" spans="2:22" ht="15.6" x14ac:dyDescent="0.3">
      <c r="B27" s="123" t="s">
        <v>124</v>
      </c>
      <c r="C27" s="121"/>
      <c r="D27" s="124"/>
      <c r="E27" s="81"/>
      <c r="F27" s="81"/>
      <c r="G27" s="81"/>
      <c r="H27" s="39">
        <v>50</v>
      </c>
      <c r="I27" s="108" t="s">
        <v>161</v>
      </c>
      <c r="J27" s="268"/>
      <c r="K27" s="268"/>
      <c r="L27" s="268"/>
      <c r="M27" s="268"/>
      <c r="N27" s="268"/>
      <c r="O27" s="84"/>
    </row>
    <row r="28" spans="2:22" x14ac:dyDescent="0.25">
      <c r="B28" s="123"/>
      <c r="C28" s="121"/>
      <c r="D28" s="124"/>
      <c r="E28" s="81"/>
      <c r="F28" s="81"/>
      <c r="G28" s="81"/>
      <c r="H28" s="81"/>
      <c r="I28" s="81"/>
      <c r="J28" s="122"/>
      <c r="K28" s="122"/>
      <c r="L28" s="122"/>
      <c r="M28" s="122"/>
      <c r="N28" s="122"/>
      <c r="O28" s="84"/>
    </row>
    <row r="29" spans="2:22" ht="15.6" x14ac:dyDescent="0.3">
      <c r="B29" s="123" t="s">
        <v>9</v>
      </c>
      <c r="C29" s="121"/>
      <c r="D29" s="124"/>
      <c r="E29" s="81"/>
      <c r="F29" s="81"/>
      <c r="G29" s="81"/>
      <c r="H29" s="43">
        <v>25000000</v>
      </c>
      <c r="I29" s="108" t="s">
        <v>162</v>
      </c>
      <c r="J29" s="122"/>
      <c r="K29" s="122"/>
      <c r="L29" s="122"/>
      <c r="M29" s="122"/>
      <c r="N29" s="122"/>
      <c r="O29" s="84"/>
    </row>
    <row r="30" spans="2:22" ht="15.75" customHeight="1" x14ac:dyDescent="0.25">
      <c r="B30" s="123"/>
      <c r="C30" s="121"/>
      <c r="D30" s="124"/>
      <c r="E30" s="81"/>
      <c r="F30" s="81"/>
      <c r="G30" s="81"/>
      <c r="H30" s="81"/>
      <c r="I30" s="81"/>
      <c r="J30" s="258" t="s">
        <v>197</v>
      </c>
      <c r="K30" s="259"/>
      <c r="L30" s="259"/>
      <c r="M30" s="259"/>
      <c r="N30" s="260"/>
      <c r="O30" s="122"/>
    </row>
    <row r="31" spans="2:22" x14ac:dyDescent="0.25">
      <c r="B31" s="128" t="s">
        <v>151</v>
      </c>
      <c r="C31" s="121"/>
      <c r="D31" s="124"/>
      <c r="E31" s="81"/>
      <c r="F31" s="81"/>
      <c r="G31" s="81"/>
      <c r="H31" s="107"/>
      <c r="I31" s="81"/>
      <c r="J31" s="261"/>
      <c r="K31" s="262"/>
      <c r="L31" s="262"/>
      <c r="M31" s="262"/>
      <c r="N31" s="263"/>
      <c r="O31" s="84"/>
    </row>
    <row r="32" spans="2:22" x14ac:dyDescent="0.25">
      <c r="B32" s="121" t="s">
        <v>118</v>
      </c>
      <c r="C32" s="121"/>
      <c r="D32" s="124"/>
      <c r="E32" s="81"/>
      <c r="F32" s="81"/>
      <c r="G32" s="81"/>
      <c r="H32" s="40">
        <v>250000</v>
      </c>
      <c r="I32" s="108" t="s">
        <v>163</v>
      </c>
      <c r="J32" s="261"/>
      <c r="K32" s="262"/>
      <c r="L32" s="262"/>
      <c r="M32" s="262"/>
      <c r="N32" s="263"/>
      <c r="O32" s="122"/>
    </row>
    <row r="33" spans="2:15" x14ac:dyDescent="0.25">
      <c r="B33" s="121" t="s">
        <v>125</v>
      </c>
      <c r="C33" s="121"/>
      <c r="D33" s="124"/>
      <c r="E33" s="81"/>
      <c r="F33" s="81"/>
      <c r="G33" s="81"/>
      <c r="H33" s="40">
        <v>1200600</v>
      </c>
      <c r="I33" s="108" t="s">
        <v>164</v>
      </c>
      <c r="J33" s="264"/>
      <c r="K33" s="265"/>
      <c r="L33" s="265"/>
      <c r="M33" s="265"/>
      <c r="N33" s="266"/>
      <c r="O33" s="122"/>
    </row>
    <row r="34" spans="2:15" ht="15.6" x14ac:dyDescent="0.3">
      <c r="B34" s="128" t="s">
        <v>154</v>
      </c>
      <c r="C34" s="121"/>
      <c r="D34" s="124"/>
      <c r="E34" s="81"/>
      <c r="F34" s="81"/>
      <c r="G34" s="81"/>
      <c r="H34" s="65">
        <f>SUM(H32:H33)</f>
        <v>1450600</v>
      </c>
      <c r="I34" s="108" t="s">
        <v>165</v>
      </c>
      <c r="J34" s="122"/>
      <c r="K34" s="122"/>
      <c r="L34" s="122"/>
      <c r="M34" s="122"/>
      <c r="N34" s="122"/>
      <c r="O34" s="122"/>
    </row>
    <row r="35" spans="2:15" ht="15" customHeight="1" x14ac:dyDescent="0.25">
      <c r="B35" s="128"/>
      <c r="C35" s="121"/>
      <c r="D35" s="124"/>
      <c r="E35" s="81"/>
      <c r="F35" s="81"/>
      <c r="G35" s="81"/>
      <c r="H35" s="129"/>
      <c r="I35" s="81"/>
      <c r="J35" s="122"/>
      <c r="K35" s="122"/>
      <c r="L35" s="122"/>
      <c r="M35" s="122"/>
      <c r="N35" s="122"/>
      <c r="O35" s="122"/>
    </row>
    <row r="36" spans="2:15" x14ac:dyDescent="0.25">
      <c r="B36" s="121" t="s">
        <v>126</v>
      </c>
      <c r="C36" s="121"/>
      <c r="D36" s="124"/>
      <c r="E36" s="81"/>
      <c r="F36" s="81"/>
      <c r="G36" s="81"/>
      <c r="H36" s="41">
        <v>250648</v>
      </c>
      <c r="I36" s="108" t="s">
        <v>166</v>
      </c>
      <c r="J36" s="122"/>
      <c r="K36" s="122"/>
      <c r="L36" s="122"/>
      <c r="M36" s="122"/>
      <c r="N36" s="122"/>
      <c r="O36" s="122"/>
    </row>
    <row r="37" spans="2:15" ht="15.6" x14ac:dyDescent="0.3">
      <c r="B37" s="123" t="s">
        <v>209</v>
      </c>
      <c r="C37" s="121"/>
      <c r="D37" s="124"/>
      <c r="E37" s="81"/>
      <c r="F37" s="81"/>
      <c r="G37" s="81"/>
      <c r="H37" s="66">
        <f>H36+H34</f>
        <v>1701248</v>
      </c>
      <c r="I37" s="108" t="s">
        <v>167</v>
      </c>
      <c r="J37" s="122"/>
      <c r="K37" s="122"/>
      <c r="L37" s="122"/>
      <c r="M37" s="122"/>
      <c r="N37" s="122"/>
      <c r="O37" s="122"/>
    </row>
    <row r="38" spans="2:15" ht="30" customHeight="1" x14ac:dyDescent="0.25">
      <c r="B38" s="121"/>
      <c r="C38" s="121"/>
      <c r="D38" s="124"/>
      <c r="E38" s="81"/>
      <c r="F38" s="81"/>
      <c r="G38" s="81"/>
      <c r="H38" s="129"/>
      <c r="I38" s="81"/>
      <c r="J38" s="253" t="s">
        <v>200</v>
      </c>
      <c r="K38" s="252"/>
      <c r="L38" s="252"/>
      <c r="M38" s="252"/>
      <c r="N38" s="252"/>
      <c r="O38" s="252"/>
    </row>
    <row r="39" spans="2:15" ht="15" customHeight="1" x14ac:dyDescent="0.25">
      <c r="B39" s="130" t="s">
        <v>152</v>
      </c>
      <c r="C39" s="121"/>
      <c r="D39" s="124"/>
      <c r="E39" s="81"/>
      <c r="F39" s="81"/>
      <c r="G39" s="81"/>
      <c r="H39" s="129"/>
      <c r="I39" s="81"/>
      <c r="J39" s="252"/>
      <c r="K39" s="252"/>
      <c r="L39" s="252"/>
      <c r="M39" s="252"/>
      <c r="N39" s="252"/>
      <c r="O39" s="252"/>
    </row>
    <row r="40" spans="2:15" ht="15" customHeight="1" x14ac:dyDescent="0.25">
      <c r="B40" s="121" t="s">
        <v>119</v>
      </c>
      <c r="C40" s="121"/>
      <c r="D40" s="124"/>
      <c r="E40" s="81"/>
      <c r="F40" s="81"/>
      <c r="G40" s="81"/>
      <c r="H40" s="42"/>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row>
    <row r="41" spans="2:15" ht="15" customHeight="1" x14ac:dyDescent="0.25">
      <c r="B41" s="121" t="s">
        <v>120</v>
      </c>
      <c r="C41" s="121"/>
      <c r="D41" s="124"/>
      <c r="E41" s="81"/>
      <c r="F41" s="81"/>
      <c r="G41" s="81"/>
      <c r="H41" s="40">
        <v>1000000</v>
      </c>
      <c r="I41" s="108" t="s">
        <v>169</v>
      </c>
      <c r="J41" s="252"/>
      <c r="K41" s="252"/>
      <c r="L41" s="252"/>
      <c r="M41" s="252"/>
      <c r="N41" s="252"/>
      <c r="O41" s="252"/>
    </row>
    <row r="42" spans="2:15" ht="15" customHeight="1" x14ac:dyDescent="0.25">
      <c r="B42" s="121" t="s">
        <v>121</v>
      </c>
      <c r="C42" s="121"/>
      <c r="D42" s="124"/>
      <c r="E42" s="81"/>
      <c r="F42" s="81"/>
      <c r="G42" s="81"/>
      <c r="H42" s="42"/>
      <c r="I42" s="108" t="s">
        <v>170</v>
      </c>
      <c r="J42" s="252"/>
      <c r="K42" s="252"/>
      <c r="L42" s="252"/>
      <c r="M42" s="252"/>
      <c r="N42" s="252"/>
      <c r="O42" s="252"/>
    </row>
    <row r="43" spans="2:15" ht="15" customHeight="1" x14ac:dyDescent="0.25">
      <c r="B43" s="121" t="s">
        <v>122</v>
      </c>
      <c r="C43" s="121"/>
      <c r="D43" s="124"/>
      <c r="E43" s="81"/>
      <c r="F43" s="81"/>
      <c r="G43" s="81"/>
      <c r="H43" s="42"/>
      <c r="I43" s="108" t="s">
        <v>171</v>
      </c>
      <c r="J43" s="252"/>
      <c r="K43" s="252"/>
      <c r="L43" s="252"/>
      <c r="M43" s="252"/>
      <c r="N43" s="252"/>
      <c r="O43" s="252"/>
    </row>
    <row r="44" spans="2:15" x14ac:dyDescent="0.25">
      <c r="B44" s="128" t="s">
        <v>123</v>
      </c>
      <c r="C44" s="121"/>
      <c r="D44" s="124"/>
      <c r="F44" s="81"/>
      <c r="G44" s="81"/>
      <c r="H44" s="67">
        <f>SUM(H40:H43)</f>
        <v>1000000</v>
      </c>
      <c r="I44" s="108" t="s">
        <v>172</v>
      </c>
      <c r="J44" s="252"/>
      <c r="K44" s="252"/>
      <c r="L44" s="252"/>
      <c r="M44" s="252"/>
      <c r="N44" s="252"/>
      <c r="O44" s="252"/>
    </row>
    <row r="45" spans="2:15"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15" x14ac:dyDescent="0.25">
      <c r="C46" s="121"/>
      <c r="D46" s="81"/>
      <c r="E46" s="81"/>
      <c r="F46" s="81"/>
      <c r="G46" s="81"/>
      <c r="H46" s="81"/>
      <c r="I46" s="108"/>
      <c r="J46" s="252"/>
      <c r="K46" s="252"/>
      <c r="L46" s="252"/>
      <c r="M46" s="252"/>
      <c r="N46" s="252"/>
      <c r="O46" s="252"/>
    </row>
    <row r="47" spans="2:15" ht="28.5" customHeight="1" x14ac:dyDescent="0.25">
      <c r="B47" s="128"/>
      <c r="C47" s="121"/>
      <c r="D47" s="124"/>
      <c r="E47" s="81"/>
      <c r="F47" s="81"/>
      <c r="G47" s="81"/>
      <c r="H47" s="81"/>
      <c r="I47" s="108"/>
      <c r="J47" s="252"/>
      <c r="K47" s="252"/>
      <c r="L47" s="252"/>
      <c r="M47" s="252"/>
      <c r="N47" s="252"/>
      <c r="O47" s="252"/>
    </row>
    <row r="48" spans="2:15" ht="3" customHeight="1" x14ac:dyDescent="0.25">
      <c r="B48" s="81"/>
      <c r="C48" s="81"/>
      <c r="D48" s="81"/>
      <c r="E48" s="131"/>
      <c r="F48" s="131"/>
      <c r="G48" s="131"/>
      <c r="H48" s="131"/>
      <c r="I48" s="131"/>
      <c r="J48" s="131"/>
    </row>
    <row r="49" spans="2:19" ht="7.5" customHeight="1" x14ac:dyDescent="0.25">
      <c r="B49" s="117"/>
      <c r="C49" s="117"/>
      <c r="D49" s="117"/>
      <c r="E49" s="117"/>
      <c r="F49" s="117"/>
      <c r="G49" s="117"/>
      <c r="H49" s="117"/>
      <c r="I49" s="117"/>
      <c r="J49" s="117"/>
      <c r="K49" s="132"/>
      <c r="L49" s="132"/>
      <c r="M49" s="132"/>
      <c r="N49" s="117"/>
      <c r="O49" s="117"/>
    </row>
    <row r="50" spans="2:19" ht="15.6" x14ac:dyDescent="0.3">
      <c r="B50" s="120" t="s">
        <v>98</v>
      </c>
      <c r="C50" s="81"/>
      <c r="D50" s="81"/>
      <c r="E50" s="81"/>
      <c r="F50" s="81"/>
      <c r="G50" s="81"/>
      <c r="H50" s="81"/>
      <c r="I50" s="81"/>
      <c r="J50" s="81"/>
      <c r="K50" s="81"/>
      <c r="L50" s="81"/>
      <c r="M50" s="81"/>
    </row>
    <row r="51" spans="2:19" x14ac:dyDescent="0.25">
      <c r="B51" s="122" t="s">
        <v>30</v>
      </c>
      <c r="C51" s="81"/>
      <c r="D51" s="81"/>
      <c r="F51" s="133" t="s">
        <v>19</v>
      </c>
      <c r="G51" s="81"/>
      <c r="H51" s="81"/>
      <c r="J51" s="133" t="s">
        <v>29</v>
      </c>
      <c r="K51" s="81"/>
      <c r="L51" s="81"/>
      <c r="M51" s="251" t="s">
        <v>54</v>
      </c>
      <c r="N51" s="251"/>
      <c r="O51" s="251"/>
    </row>
    <row r="52" spans="2:19" x14ac:dyDescent="0.25">
      <c r="B52" s="134" t="s">
        <v>21</v>
      </c>
      <c r="C52" s="81"/>
      <c r="D52" s="81"/>
      <c r="E52" s="24"/>
      <c r="F52" s="24"/>
      <c r="G52" s="24"/>
      <c r="H52" s="81"/>
      <c r="I52" s="24"/>
      <c r="J52" s="24"/>
      <c r="K52" s="24"/>
      <c r="L52" s="81"/>
      <c r="M52" s="68">
        <f t="shared" ref="M52:O54" si="0">I52-E52</f>
        <v>0</v>
      </c>
      <c r="N52" s="68">
        <f t="shared" si="0"/>
        <v>0</v>
      </c>
      <c r="O52" s="68">
        <f t="shared" si="0"/>
        <v>0</v>
      </c>
    </row>
    <row r="53" spans="2:19" x14ac:dyDescent="0.25">
      <c r="B53" s="134" t="s">
        <v>20</v>
      </c>
      <c r="C53" s="81"/>
      <c r="D53" s="81"/>
      <c r="E53" s="24"/>
      <c r="F53" s="24"/>
      <c r="G53" s="24"/>
      <c r="H53" s="81"/>
      <c r="I53" s="24"/>
      <c r="J53" s="24"/>
      <c r="K53" s="24"/>
      <c r="L53" s="81"/>
      <c r="M53" s="68">
        <f t="shared" si="0"/>
        <v>0</v>
      </c>
      <c r="N53" s="68">
        <f t="shared" si="0"/>
        <v>0</v>
      </c>
      <c r="O53" s="68">
        <f t="shared" si="0"/>
        <v>0</v>
      </c>
    </row>
    <row r="54" spans="2:19" x14ac:dyDescent="0.25">
      <c r="B54" s="134" t="s">
        <v>22</v>
      </c>
      <c r="C54" s="81"/>
      <c r="D54" s="81"/>
      <c r="E54" s="24">
        <v>60</v>
      </c>
      <c r="F54" s="24">
        <v>30</v>
      </c>
      <c r="G54" s="24">
        <v>420</v>
      </c>
      <c r="H54" s="81"/>
      <c r="I54" s="24">
        <v>50</v>
      </c>
      <c r="J54" s="24">
        <v>100</v>
      </c>
      <c r="K54" s="24">
        <v>100</v>
      </c>
      <c r="L54" s="81"/>
      <c r="M54" s="68">
        <f t="shared" si="0"/>
        <v>-10</v>
      </c>
      <c r="N54" s="68">
        <f t="shared" si="0"/>
        <v>70</v>
      </c>
      <c r="O54" s="68">
        <f t="shared" si="0"/>
        <v>-320</v>
      </c>
      <c r="Q54" s="135"/>
      <c r="R54" s="135"/>
      <c r="S54" s="135"/>
    </row>
    <row r="55" spans="2:19" ht="15.6" x14ac:dyDescent="0.3">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5">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5">
      <c r="B57" s="81"/>
      <c r="C57" s="81"/>
      <c r="D57" s="81"/>
      <c r="E57" s="135"/>
      <c r="F57" s="135"/>
      <c r="G57" s="135" t="s">
        <v>25</v>
      </c>
      <c r="H57" s="81"/>
      <c r="I57" s="135"/>
      <c r="J57" s="135"/>
      <c r="K57" s="135" t="s">
        <v>25</v>
      </c>
      <c r="L57" s="81"/>
      <c r="M57" s="135"/>
      <c r="N57" s="135"/>
      <c r="O57" s="135" t="s">
        <v>25</v>
      </c>
    </row>
    <row r="58" spans="2:19" x14ac:dyDescent="0.25">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5">
      <c r="B59" s="81"/>
      <c r="C59" s="81"/>
      <c r="D59" s="81"/>
      <c r="E59" s="81"/>
      <c r="F59" s="81"/>
      <c r="G59" s="81"/>
      <c r="H59" s="81"/>
      <c r="I59" s="81"/>
      <c r="J59" s="81"/>
      <c r="K59" s="81"/>
      <c r="L59" s="81"/>
      <c r="M59" s="81"/>
    </row>
    <row r="60" spans="2:19" ht="15.6" x14ac:dyDescent="0.3">
      <c r="B60" s="81" t="s">
        <v>57</v>
      </c>
      <c r="C60" s="81"/>
      <c r="D60" s="81"/>
      <c r="E60" s="81"/>
      <c r="F60" s="81"/>
      <c r="G60" s="81" t="s">
        <v>56</v>
      </c>
      <c r="H60" s="81"/>
      <c r="K60" s="107" t="s">
        <v>63</v>
      </c>
      <c r="O60" s="137" t="s">
        <v>79</v>
      </c>
    </row>
    <row r="61" spans="2:19" ht="15.6" x14ac:dyDescent="0.3">
      <c r="B61" s="134" t="str">
        <f>B52</f>
        <v>20% most deprived areas</v>
      </c>
      <c r="C61" s="81"/>
      <c r="D61" s="81"/>
      <c r="F61" s="227">
        <f>SUMPRODUCT($M52:$O52,$M$58:$O$58)</f>
        <v>0</v>
      </c>
      <c r="G61" s="227"/>
      <c r="H61" s="81"/>
      <c r="J61" s="228">
        <f>F61*Duration</f>
        <v>0</v>
      </c>
      <c r="K61" s="228"/>
      <c r="M61" s="137" t="s">
        <v>74</v>
      </c>
      <c r="N61" s="228">
        <f>-F61*VLOOKUP(Duration,'Discount Rates &amp; Assumptions'!$A$6:$D$105,4,FALSE)</f>
        <v>0</v>
      </c>
      <c r="O61" s="228"/>
    </row>
    <row r="62" spans="2:19" ht="15.6" x14ac:dyDescent="0.3">
      <c r="B62" s="134" t="str">
        <f>B53</f>
        <v>21-40% most deprived areas</v>
      </c>
      <c r="C62" s="81"/>
      <c r="D62" s="81"/>
      <c r="F62" s="227">
        <f>SUMPRODUCT($M53:$O53,$M$58:$O$58)</f>
        <v>0</v>
      </c>
      <c r="G62" s="227"/>
      <c r="H62" s="81"/>
      <c r="J62" s="228">
        <f>F62*Duration</f>
        <v>0</v>
      </c>
      <c r="K62" s="228"/>
      <c r="M62" s="137" t="s">
        <v>75</v>
      </c>
      <c r="N62" s="228">
        <f>-F62*VLOOKUP(Duration,'Discount Rates &amp; Assumptions'!$A$6:$D$105,4,FALSE)</f>
        <v>0</v>
      </c>
      <c r="O62" s="228"/>
    </row>
    <row r="63" spans="2:19" ht="15.6" x14ac:dyDescent="0.3">
      <c r="B63" s="134" t="str">
        <f>B54</f>
        <v>60% least deprived areas</v>
      </c>
      <c r="C63" s="81"/>
      <c r="D63" s="81"/>
      <c r="F63" s="227">
        <f>SUMPRODUCT($M54:$O54,$M$58:$O$58)</f>
        <v>-391500.00000000006</v>
      </c>
      <c r="G63" s="227"/>
      <c r="H63" s="81"/>
      <c r="J63" s="228">
        <f>F63*Duration</f>
        <v>-19575000.000000004</v>
      </c>
      <c r="K63" s="228"/>
      <c r="M63" s="137" t="s">
        <v>90</v>
      </c>
      <c r="N63" s="228">
        <f>-F63*VLOOKUP(Duration,'Discount Rates &amp; Assumptions'!$A$6:$D$105,4,FALSE)</f>
        <v>9667140.5710470714</v>
      </c>
      <c r="O63" s="228"/>
    </row>
    <row r="64" spans="2:19" ht="7.5" customHeight="1" x14ac:dyDescent="0.3">
      <c r="B64" s="134"/>
      <c r="C64" s="81"/>
      <c r="D64" s="81"/>
      <c r="F64" s="138"/>
      <c r="G64" s="138"/>
      <c r="H64" s="81"/>
      <c r="J64" s="139"/>
      <c r="K64" s="139"/>
      <c r="M64" s="137"/>
    </row>
    <row r="65" spans="2:16" ht="7.5" customHeight="1" x14ac:dyDescent="0.25">
      <c r="B65" s="132"/>
      <c r="C65" s="132"/>
      <c r="D65" s="132"/>
      <c r="E65" s="132"/>
      <c r="F65" s="132"/>
      <c r="G65" s="132"/>
      <c r="H65" s="117"/>
      <c r="I65" s="117"/>
      <c r="J65" s="117"/>
      <c r="K65" s="117"/>
      <c r="L65" s="117"/>
      <c r="M65" s="132"/>
      <c r="N65" s="117"/>
      <c r="O65" s="117"/>
    </row>
    <row r="66" spans="2:16" ht="15.6" x14ac:dyDescent="0.3">
      <c r="B66" s="120" t="s">
        <v>99</v>
      </c>
      <c r="H66" s="81"/>
      <c r="I66" s="81"/>
      <c r="J66" s="81"/>
      <c r="K66" s="81"/>
      <c r="L66" s="81"/>
    </row>
    <row r="67" spans="2:16" x14ac:dyDescent="0.25">
      <c r="B67" s="122" t="s">
        <v>30</v>
      </c>
      <c r="C67" s="81"/>
      <c r="D67" s="81"/>
      <c r="E67" s="133"/>
      <c r="F67" s="250" t="s">
        <v>19</v>
      </c>
      <c r="G67" s="250"/>
      <c r="H67" s="81"/>
      <c r="I67" s="140" t="s">
        <v>66</v>
      </c>
    </row>
    <row r="68" spans="2:16" x14ac:dyDescent="0.25">
      <c r="B68" s="134" t="s">
        <v>21</v>
      </c>
      <c r="C68" s="81"/>
      <c r="D68" s="81"/>
      <c r="E68" s="81"/>
      <c r="F68" s="24"/>
      <c r="G68" s="24"/>
      <c r="H68" s="81"/>
      <c r="I68" s="134" t="s">
        <v>55</v>
      </c>
      <c r="J68" s="134"/>
      <c r="K68" s="141"/>
      <c r="L68" s="134"/>
      <c r="M68" s="69">
        <f>AvCEDamages</f>
        <v>6000</v>
      </c>
      <c r="N68" s="69">
        <f>AvCEDamages</f>
        <v>6000</v>
      </c>
      <c r="O68" s="84"/>
    </row>
    <row r="69" spans="2:16" x14ac:dyDescent="0.25">
      <c r="B69" s="134" t="s">
        <v>20</v>
      </c>
      <c r="C69" s="81"/>
      <c r="D69" s="81"/>
      <c r="E69" s="81"/>
      <c r="F69" s="24"/>
      <c r="G69" s="24"/>
      <c r="H69" s="81"/>
      <c r="I69" s="142" t="s">
        <v>67</v>
      </c>
      <c r="M69" s="70">
        <v>50</v>
      </c>
      <c r="N69" s="70">
        <v>20</v>
      </c>
      <c r="O69" s="134" t="s">
        <v>8</v>
      </c>
    </row>
    <row r="70" spans="2:16" ht="15" customHeight="1" x14ac:dyDescent="0.25">
      <c r="B70" s="134" t="s">
        <v>22</v>
      </c>
      <c r="C70" s="81"/>
      <c r="D70" s="81"/>
      <c r="E70" s="81"/>
      <c r="F70" s="24"/>
      <c r="G70" s="24"/>
      <c r="H70" s="81"/>
      <c r="I70" s="229" t="s">
        <v>95</v>
      </c>
      <c r="J70" s="229"/>
      <c r="K70" s="229"/>
      <c r="L70" s="229"/>
      <c r="M70" s="69">
        <f>M68*VLOOKUP('Discount Rates &amp; Assumptions'!K39,'Discount Rates &amp; Assumptions'!$A$6:$D$105,3,FALSE)</f>
        <v>1183.5763061432306</v>
      </c>
      <c r="N70" s="69">
        <f>N68*VLOOKUP('Discount Rates &amp; Assumptions'!K38,'Discount Rates &amp; Assumptions'!$A$6:$D$105,3,FALSE)</f>
        <v>3015.3953065900237</v>
      </c>
    </row>
    <row r="71" spans="2:16" ht="27.6" x14ac:dyDescent="0.25">
      <c r="B71" s="81"/>
      <c r="C71" s="81"/>
      <c r="D71" s="143"/>
      <c r="E71" s="81"/>
      <c r="F71" s="144" t="s">
        <v>65</v>
      </c>
      <c r="G71" s="144" t="s">
        <v>64</v>
      </c>
      <c r="H71" s="81"/>
      <c r="I71" s="229"/>
      <c r="J71" s="229"/>
      <c r="K71" s="229"/>
      <c r="L71" s="229"/>
      <c r="M71" s="145" t="s">
        <v>65</v>
      </c>
      <c r="N71" s="145" t="s">
        <v>64</v>
      </c>
    </row>
    <row r="72" spans="2:16" x14ac:dyDescent="0.25">
      <c r="B72" s="146"/>
      <c r="C72" s="146"/>
      <c r="D72" s="146"/>
      <c r="E72" s="146"/>
      <c r="F72" s="135"/>
      <c r="G72" s="81"/>
      <c r="H72" s="81"/>
      <c r="I72" s="81"/>
      <c r="J72" s="81"/>
      <c r="K72" s="81"/>
      <c r="L72" s="81"/>
      <c r="M72" s="81"/>
    </row>
    <row r="73" spans="2:16" ht="15.6" x14ac:dyDescent="0.3">
      <c r="B73" s="81" t="s">
        <v>57</v>
      </c>
      <c r="C73" s="81"/>
      <c r="D73" s="81"/>
      <c r="E73" s="81"/>
      <c r="F73" s="81"/>
      <c r="G73" s="107" t="s">
        <v>96</v>
      </c>
      <c r="H73" s="81"/>
      <c r="K73" s="107" t="s">
        <v>73</v>
      </c>
      <c r="O73" s="137" t="s">
        <v>78</v>
      </c>
    </row>
    <row r="74" spans="2:16" ht="15.6" x14ac:dyDescent="0.3">
      <c r="B74" s="134" t="str">
        <f>B68</f>
        <v>20% most deprived areas</v>
      </c>
      <c r="C74" s="81"/>
      <c r="D74" s="81"/>
      <c r="F74" s="227">
        <f>-SUMPRODUCT($M$70:$N$70,F68:G68)</f>
        <v>0</v>
      </c>
      <c r="G74" s="227"/>
      <c r="H74" s="81"/>
      <c r="J74" s="228">
        <f>F74*Duration</f>
        <v>0</v>
      </c>
      <c r="K74" s="228"/>
      <c r="M74" s="137" t="s">
        <v>76</v>
      </c>
      <c r="N74" s="226">
        <f>-F74*VLOOKUP(Duration,'Discount Rates &amp; Assumptions'!$A$6:$D$105,4,FALSE)</f>
        <v>0</v>
      </c>
      <c r="O74" s="226"/>
    </row>
    <row r="75" spans="2:16" ht="15.6" x14ac:dyDescent="0.3">
      <c r="B75" s="134" t="str">
        <f>B69</f>
        <v>21-40% most deprived areas</v>
      </c>
      <c r="C75" s="81"/>
      <c r="D75" s="81"/>
      <c r="F75" s="227">
        <f>-SUMPRODUCT($M$70:$N$70,F69:G69)</f>
        <v>0</v>
      </c>
      <c r="G75" s="227"/>
      <c r="H75" s="81"/>
      <c r="J75" s="228">
        <f>F75*Duration</f>
        <v>0</v>
      </c>
      <c r="K75" s="228"/>
      <c r="M75" s="137" t="s">
        <v>77</v>
      </c>
      <c r="N75" s="226">
        <f>-F75*VLOOKUP(Duration,'Discount Rates &amp; Assumptions'!$A$6:$D$105,4,FALSE)</f>
        <v>0</v>
      </c>
      <c r="O75" s="226"/>
    </row>
    <row r="76" spans="2:16" ht="15.6" x14ac:dyDescent="0.3">
      <c r="B76" s="134" t="str">
        <f>B70</f>
        <v>60% least deprived areas</v>
      </c>
      <c r="C76" s="81"/>
      <c r="D76" s="81"/>
      <c r="F76" s="227">
        <f>-SUMPRODUCT($M$70:$N$70,F70:G70)</f>
        <v>0</v>
      </c>
      <c r="G76" s="227"/>
      <c r="H76" s="81"/>
      <c r="J76" s="228">
        <f>F76*Duration</f>
        <v>0</v>
      </c>
      <c r="K76" s="228"/>
      <c r="M76" s="137" t="s">
        <v>91</v>
      </c>
      <c r="N76" s="226">
        <f>-F76*VLOOKUP(Duration,'Discount Rates &amp; Assumptions'!$A$6:$D$105,4,FALSE)</f>
        <v>0</v>
      </c>
      <c r="O76" s="226"/>
    </row>
    <row r="77" spans="2:16" ht="7.5" customHeight="1" x14ac:dyDescent="0.25">
      <c r="H77" s="81"/>
      <c r="I77" s="81"/>
      <c r="J77" s="81"/>
      <c r="K77" s="81"/>
      <c r="L77" s="81"/>
    </row>
    <row r="78" spans="2:16" ht="7.5" customHeight="1" x14ac:dyDescent="0.25">
      <c r="B78" s="132"/>
      <c r="C78" s="132"/>
      <c r="D78" s="132"/>
      <c r="E78" s="132"/>
      <c r="F78" s="132"/>
      <c r="G78" s="132"/>
      <c r="H78" s="117"/>
      <c r="I78" s="117"/>
      <c r="J78" s="117"/>
      <c r="K78" s="117"/>
      <c r="L78" s="117"/>
      <c r="M78" s="132"/>
      <c r="N78" s="117"/>
      <c r="O78" s="117"/>
    </row>
    <row r="79" spans="2:16" ht="15.6" x14ac:dyDescent="0.3">
      <c r="B79" s="120" t="s">
        <v>100</v>
      </c>
      <c r="H79" s="81"/>
      <c r="I79" s="81"/>
      <c r="J79" s="81"/>
      <c r="K79" s="81"/>
      <c r="L79" s="81"/>
    </row>
    <row r="80" spans="2:16" ht="15.6" x14ac:dyDescent="0.3">
      <c r="B80" s="81" t="s">
        <v>70</v>
      </c>
      <c r="C80" s="81"/>
      <c r="D80" s="81"/>
      <c r="E80" s="147"/>
      <c r="F80" s="241"/>
      <c r="G80" s="241"/>
      <c r="H80" s="101"/>
      <c r="I80" s="140"/>
      <c r="K80" s="148" t="s">
        <v>89</v>
      </c>
      <c r="L80" s="140"/>
      <c r="M80" s="140"/>
      <c r="N80" s="140"/>
      <c r="O80" s="137" t="s">
        <v>78</v>
      </c>
      <c r="P80" s="140"/>
    </row>
    <row r="81" spans="1:16" x14ac:dyDescent="0.25">
      <c r="B81" s="140" t="s">
        <v>68</v>
      </c>
      <c r="C81" s="53">
        <v>5</v>
      </c>
      <c r="D81" s="122" t="s">
        <v>12</v>
      </c>
      <c r="E81" s="101"/>
      <c r="F81" s="101"/>
      <c r="G81" s="101"/>
      <c r="H81" s="101"/>
      <c r="I81" s="81"/>
      <c r="J81" s="230">
        <f>'Discount Rates &amp; Assumptions'!K14</f>
        <v>15000</v>
      </c>
      <c r="K81" s="230"/>
      <c r="M81" s="148" t="s">
        <v>68</v>
      </c>
      <c r="N81" s="240">
        <f>J81*C81</f>
        <v>75000</v>
      </c>
      <c r="O81" s="240"/>
      <c r="P81" s="84"/>
    </row>
    <row r="82" spans="1:16" x14ac:dyDescent="0.25">
      <c r="B82" s="140" t="s">
        <v>4</v>
      </c>
      <c r="C82" s="53"/>
      <c r="D82" s="122" t="s">
        <v>11</v>
      </c>
      <c r="E82" s="101"/>
      <c r="F82" s="101"/>
      <c r="G82" s="101"/>
      <c r="H82" s="101"/>
      <c r="I82" s="81"/>
      <c r="J82" s="230">
        <f>'Discount Rates &amp; Assumptions'!K15</f>
        <v>50000</v>
      </c>
      <c r="K82" s="230"/>
      <c r="M82" s="148" t="s">
        <v>4</v>
      </c>
      <c r="N82" s="240">
        <f>J82*C82</f>
        <v>0</v>
      </c>
      <c r="O82" s="240"/>
      <c r="P82" s="84"/>
    </row>
    <row r="83" spans="1:16" x14ac:dyDescent="0.25">
      <c r="B83" s="140" t="s">
        <v>69</v>
      </c>
      <c r="C83" s="53"/>
      <c r="D83" s="122" t="s">
        <v>10</v>
      </c>
      <c r="E83" s="81"/>
      <c r="F83" s="81"/>
      <c r="G83" s="81"/>
      <c r="H83" s="81"/>
      <c r="I83" s="81"/>
      <c r="J83" s="230">
        <f>'Discount Rates &amp; Assumptions'!K16</f>
        <v>80000</v>
      </c>
      <c r="K83" s="230"/>
      <c r="M83" s="148" t="s">
        <v>69</v>
      </c>
      <c r="N83" s="240">
        <f>J83*C83</f>
        <v>0</v>
      </c>
      <c r="O83" s="240"/>
      <c r="P83" s="84"/>
    </row>
    <row r="84" spans="1:16" ht="15.6" x14ac:dyDescent="0.3">
      <c r="B84" s="81"/>
      <c r="C84" s="81"/>
      <c r="D84" s="122"/>
      <c r="E84" s="81"/>
      <c r="F84" s="81"/>
      <c r="G84" s="81"/>
      <c r="H84" s="81"/>
      <c r="I84" s="81"/>
      <c r="J84" s="81"/>
      <c r="K84" s="81"/>
      <c r="L84" s="140"/>
      <c r="M84" s="137" t="s">
        <v>3</v>
      </c>
      <c r="N84" s="242">
        <f>SUM(N81:O83)</f>
        <v>75000</v>
      </c>
      <c r="O84" s="242"/>
      <c r="P84" s="84"/>
    </row>
    <row r="85" spans="1:16" ht="7.5" customHeight="1" x14ac:dyDescent="0.3">
      <c r="B85" s="81"/>
      <c r="C85" s="81"/>
      <c r="D85" s="143"/>
      <c r="E85" s="81"/>
      <c r="F85" s="81"/>
      <c r="G85" s="81"/>
      <c r="H85" s="81"/>
      <c r="I85" s="81"/>
      <c r="J85" s="81"/>
      <c r="K85" s="81"/>
      <c r="L85" s="140"/>
      <c r="M85" s="137"/>
      <c r="N85" s="140"/>
    </row>
    <row r="86" spans="1:16" ht="7.5" customHeight="1" x14ac:dyDescent="0.25">
      <c r="B86" s="117"/>
      <c r="C86" s="117"/>
      <c r="D86" s="149"/>
      <c r="E86" s="117"/>
      <c r="F86" s="117"/>
      <c r="G86" s="117"/>
      <c r="H86" s="117"/>
      <c r="I86" s="117"/>
      <c r="J86" s="117"/>
      <c r="K86" s="117"/>
      <c r="L86" s="150"/>
      <c r="M86" s="117"/>
      <c r="N86" s="117"/>
      <c r="O86" s="117"/>
    </row>
    <row r="87" spans="1:16" ht="15.6" x14ac:dyDescent="0.3">
      <c r="B87" s="120" t="s">
        <v>102</v>
      </c>
      <c r="C87" s="81"/>
      <c r="E87" s="81"/>
      <c r="F87" s="81"/>
      <c r="G87" s="81"/>
      <c r="H87" s="81"/>
      <c r="I87" s="81"/>
      <c r="J87" s="81"/>
      <c r="K87" s="81"/>
      <c r="L87" s="81"/>
      <c r="M87" s="81"/>
    </row>
    <row r="88" spans="1:16" ht="15.6" x14ac:dyDescent="0.3">
      <c r="B88" s="151"/>
      <c r="C88" s="81"/>
      <c r="E88" s="81"/>
      <c r="F88" s="81"/>
      <c r="G88" s="81"/>
      <c r="H88" s="81"/>
      <c r="I88" s="81"/>
      <c r="J88" s="81"/>
      <c r="K88" s="81"/>
      <c r="L88" s="81"/>
      <c r="M88" s="81"/>
    </row>
    <row r="89" spans="1:16" x14ac:dyDescent="0.25">
      <c r="B89" s="140" t="s">
        <v>83</v>
      </c>
      <c r="C89" s="140"/>
      <c r="D89" s="140" t="s">
        <v>92</v>
      </c>
      <c r="F89" s="122" t="s">
        <v>71</v>
      </c>
      <c r="G89" s="122"/>
      <c r="H89" s="122"/>
      <c r="I89" s="122" t="s">
        <v>191</v>
      </c>
      <c r="J89" s="122"/>
      <c r="K89" s="81"/>
      <c r="L89" s="81"/>
      <c r="M89" s="81"/>
    </row>
    <row r="90" spans="1:16" x14ac:dyDescent="0.25">
      <c r="A90" s="152"/>
      <c r="B90" s="153" t="s">
        <v>2</v>
      </c>
      <c r="C90" s="154"/>
      <c r="D90" s="232">
        <f>IF(H29=0,0,IF(MAX((H29-SUM(D91:E97)),0)&gt;0,H29-SUM(D91:E97),"Ltd by high OM2,3,4 values"))</f>
        <v>15257859.428952929</v>
      </c>
      <c r="E90" s="233"/>
      <c r="F90" s="71">
        <f>1/TargetBCRWLBs*100</f>
        <v>5.5555555555555554</v>
      </c>
      <c r="G90" s="152" t="s">
        <v>81</v>
      </c>
      <c r="H90" s="81"/>
      <c r="I90" s="231">
        <f>IF(D90="Ltd by high OM2,3,4 values",0,D90*F90/100)</f>
        <v>847658.8571640515</v>
      </c>
      <c r="J90" s="231"/>
      <c r="K90" s="81"/>
      <c r="L90" s="140"/>
      <c r="M90" s="81"/>
      <c r="N90" s="155"/>
    </row>
    <row r="91" spans="1:16" x14ac:dyDescent="0.25">
      <c r="B91" s="156" t="s">
        <v>1</v>
      </c>
      <c r="C91" s="157" t="s">
        <v>84</v>
      </c>
      <c r="D91" s="234">
        <f>N61</f>
        <v>0</v>
      </c>
      <c r="E91" s="234"/>
      <c r="F91" s="72">
        <f>1/TargetMinBCR*DeprivedScalar20*100</f>
        <v>45</v>
      </c>
      <c r="G91" s="81"/>
      <c r="H91" s="81"/>
      <c r="I91" s="231">
        <f t="shared" ref="I91:I97" si="1">D91*F91/100</f>
        <v>0</v>
      </c>
      <c r="J91" s="231"/>
      <c r="K91" s="81"/>
      <c r="L91" s="81"/>
      <c r="M91" s="81"/>
      <c r="N91" s="155"/>
    </row>
    <row r="92" spans="1:16" x14ac:dyDescent="0.25">
      <c r="B92" s="158"/>
      <c r="C92" s="159" t="s">
        <v>80</v>
      </c>
      <c r="D92" s="234">
        <f>N62</f>
        <v>0</v>
      </c>
      <c r="E92" s="234"/>
      <c r="F92" s="72">
        <f>1/TargetMinBCR*DeprivedScalar40*100</f>
        <v>30.000000000000004</v>
      </c>
      <c r="G92" s="81"/>
      <c r="H92" s="81"/>
      <c r="I92" s="231">
        <f t="shared" si="1"/>
        <v>0</v>
      </c>
      <c r="J92" s="231"/>
      <c r="M92" s="140"/>
    </row>
    <row r="93" spans="1:16" x14ac:dyDescent="0.25">
      <c r="B93" s="160"/>
      <c r="C93" s="161" t="s">
        <v>88</v>
      </c>
      <c r="D93" s="234">
        <f>N63</f>
        <v>9667140.5710470714</v>
      </c>
      <c r="E93" s="234"/>
      <c r="F93" s="72">
        <f>1/TargetMinBCR*DeprivedScalarOther*100</f>
        <v>20</v>
      </c>
      <c r="G93" s="81"/>
      <c r="H93" s="81"/>
      <c r="I93" s="231">
        <f t="shared" si="1"/>
        <v>1933428.1142094142</v>
      </c>
      <c r="J93" s="231"/>
    </row>
    <row r="94" spans="1:16" x14ac:dyDescent="0.25">
      <c r="B94" s="156" t="s">
        <v>0</v>
      </c>
      <c r="C94" s="157" t="s">
        <v>84</v>
      </c>
      <c r="D94" s="234">
        <f>N74</f>
        <v>0</v>
      </c>
      <c r="E94" s="234"/>
      <c r="F94" s="72">
        <f>1/TargetMinBCR*DeprivedScalar20*100</f>
        <v>45</v>
      </c>
      <c r="G94" s="81"/>
      <c r="H94" s="81"/>
      <c r="I94" s="231">
        <f t="shared" si="1"/>
        <v>0</v>
      </c>
      <c r="J94" s="231"/>
    </row>
    <row r="95" spans="1:16" x14ac:dyDescent="0.25">
      <c r="B95" s="162"/>
      <c r="C95" s="159" t="s">
        <v>80</v>
      </c>
      <c r="D95" s="234">
        <f>N75</f>
        <v>0</v>
      </c>
      <c r="E95" s="234"/>
      <c r="F95" s="72">
        <f>1/TargetMinBCR*DeprivedScalar40*100</f>
        <v>30.000000000000004</v>
      </c>
      <c r="G95" s="81"/>
      <c r="H95" s="81"/>
      <c r="I95" s="231">
        <f t="shared" si="1"/>
        <v>0</v>
      </c>
      <c r="J95" s="231"/>
    </row>
    <row r="96" spans="1:16" x14ac:dyDescent="0.25">
      <c r="B96" s="160"/>
      <c r="C96" s="161" t="s">
        <v>88</v>
      </c>
      <c r="D96" s="234">
        <f>N76</f>
        <v>0</v>
      </c>
      <c r="E96" s="234"/>
      <c r="F96" s="72">
        <f>1/TargetMinBCR*DeprivedScalarOther*100</f>
        <v>20</v>
      </c>
      <c r="G96" s="81"/>
      <c r="H96" s="81"/>
      <c r="I96" s="231">
        <f t="shared" si="1"/>
        <v>0</v>
      </c>
      <c r="J96" s="231"/>
    </row>
    <row r="97" spans="2:16" x14ac:dyDescent="0.25">
      <c r="B97" s="163" t="s">
        <v>3</v>
      </c>
      <c r="C97" s="164"/>
      <c r="D97" s="234">
        <f>N84</f>
        <v>75000</v>
      </c>
      <c r="E97" s="234"/>
      <c r="F97" s="72">
        <v>100</v>
      </c>
      <c r="G97" s="81"/>
      <c r="H97" s="81"/>
      <c r="I97" s="231">
        <f t="shared" si="1"/>
        <v>75000</v>
      </c>
      <c r="J97" s="231"/>
      <c r="P97" s="165"/>
    </row>
    <row r="98" spans="2:16" ht="15.75" customHeight="1" x14ac:dyDescent="0.3">
      <c r="B98" s="81" t="s">
        <v>7</v>
      </c>
      <c r="C98" s="81"/>
      <c r="D98" s="236">
        <f>SUM(D90:E97)</f>
        <v>25000000</v>
      </c>
      <c r="E98" s="237"/>
      <c r="F98" s="81"/>
      <c r="G98" s="81"/>
      <c r="H98" s="81"/>
      <c r="I98" s="238">
        <f>SUM(I90:J97)</f>
        <v>2856086.9713734658</v>
      </c>
      <c r="J98" s="239"/>
      <c r="K98" s="235" t="s">
        <v>213</v>
      </c>
      <c r="L98" s="235"/>
      <c r="M98" s="235"/>
      <c r="N98" s="235"/>
      <c r="O98" s="235"/>
    </row>
    <row r="99" spans="2:16" x14ac:dyDescent="0.25">
      <c r="B99" s="81"/>
      <c r="C99" s="81"/>
      <c r="D99" s="81"/>
      <c r="E99" s="81"/>
      <c r="F99" s="81"/>
      <c r="G99" s="81"/>
      <c r="H99" s="81"/>
      <c r="I99" s="81"/>
      <c r="K99" s="235"/>
      <c r="L99" s="235"/>
      <c r="M99" s="235"/>
      <c r="N99" s="235"/>
      <c r="O99" s="235"/>
    </row>
    <row r="100" spans="2:16" s="140" customFormat="1" x14ac:dyDescent="0.25">
      <c r="B100" s="223" t="s">
        <v>182</v>
      </c>
      <c r="C100" s="224"/>
      <c r="D100" s="224"/>
      <c r="E100" s="224"/>
      <c r="F100" s="224"/>
      <c r="G100" s="224"/>
      <c r="H100" s="224"/>
      <c r="I100" s="224"/>
      <c r="J100" s="224"/>
      <c r="K100" s="224"/>
      <c r="L100" s="224"/>
      <c r="M100" s="224"/>
      <c r="N100" s="224"/>
      <c r="O100" s="224"/>
      <c r="P100" s="84"/>
    </row>
    <row r="101" spans="2:16" s="166" customFormat="1" ht="13.2" x14ac:dyDescent="0.25">
      <c r="B101" s="225"/>
      <c r="C101" s="225"/>
      <c r="D101" s="225"/>
      <c r="E101" s="225"/>
      <c r="F101" s="225"/>
      <c r="G101" s="225"/>
      <c r="H101" s="225"/>
      <c r="I101" s="225"/>
      <c r="J101" s="225"/>
      <c r="K101" s="225"/>
      <c r="L101" s="225"/>
      <c r="M101" s="225"/>
      <c r="N101" s="225"/>
      <c r="O101" s="225"/>
    </row>
    <row r="102" spans="2:16" s="166" customFormat="1" ht="13.2" x14ac:dyDescent="0.25">
      <c r="B102" s="167"/>
    </row>
    <row r="103" spans="2:16" s="166" customFormat="1" ht="54" customHeight="1" x14ac:dyDescent="0.25">
      <c r="B103" s="167"/>
      <c r="I103" s="168" t="s">
        <v>131</v>
      </c>
      <c r="J103" s="168" t="s">
        <v>181</v>
      </c>
    </row>
    <row r="104" spans="2:16" s="166" customFormat="1" ht="13.2" x14ac:dyDescent="0.25">
      <c r="B104" s="169" t="s">
        <v>183</v>
      </c>
      <c r="I104" s="170">
        <f>RawOMScore</f>
        <v>1.6788187091908211</v>
      </c>
      <c r="J104" s="171">
        <f>H17</f>
        <v>0</v>
      </c>
    </row>
    <row r="105" spans="2:16" x14ac:dyDescent="0.25">
      <c r="B105" s="166" t="s">
        <v>143</v>
      </c>
      <c r="C105" s="166"/>
      <c r="D105" s="166"/>
      <c r="E105" s="166"/>
      <c r="F105" s="166"/>
      <c r="G105" s="166"/>
      <c r="H105" s="166"/>
      <c r="I105" s="170">
        <f>'Sensitivity 1'!RawOMScore</f>
        <v>0.60437473530869557</v>
      </c>
      <c r="J105" s="171">
        <f>'Sensitivity 1'!H17</f>
        <v>717367.51120150776</v>
      </c>
      <c r="M105" s="81"/>
    </row>
    <row r="106" spans="2:16" x14ac:dyDescent="0.25">
      <c r="B106" s="166" t="s">
        <v>136</v>
      </c>
      <c r="C106" s="166"/>
      <c r="D106" s="166"/>
      <c r="E106" s="166"/>
      <c r="F106" s="166"/>
      <c r="G106" s="166"/>
      <c r="H106" s="166"/>
      <c r="I106" s="172">
        <f>'Sensitivity 2'!RawOMScore</f>
        <v>1.3486164496927395</v>
      </c>
      <c r="J106" s="173">
        <f>'Sensitivity 2'!H17</f>
        <v>0</v>
      </c>
      <c r="M106" s="81"/>
    </row>
    <row r="107" spans="2:16" x14ac:dyDescent="0.25">
      <c r="B107" s="166" t="s">
        <v>144</v>
      </c>
      <c r="C107" s="166"/>
      <c r="D107" s="166"/>
      <c r="E107" s="166"/>
      <c r="F107" s="166"/>
      <c r="G107" s="166"/>
      <c r="H107" s="166"/>
      <c r="I107" s="172">
        <f>'Sensitivity 3'!RawOMScore</f>
        <v>1.6788187091908211</v>
      </c>
      <c r="J107" s="173">
        <f>'Sensitivity 3'!H17</f>
        <v>0</v>
      </c>
      <c r="M107" s="81"/>
    </row>
    <row r="108" spans="2:16" x14ac:dyDescent="0.25">
      <c r="B108" s="174" t="s">
        <v>141</v>
      </c>
      <c r="C108" s="175"/>
      <c r="D108" s="175"/>
      <c r="E108" s="175"/>
      <c r="F108" s="166"/>
      <c r="G108" s="166"/>
      <c r="H108" s="166"/>
      <c r="I108" s="172">
        <f>'Sensitivity 4'!RawOMScore</f>
        <v>1.270934268835501</v>
      </c>
      <c r="J108" s="173">
        <f>'Sensitivity 4'!H17</f>
        <v>0</v>
      </c>
      <c r="M108" s="81"/>
    </row>
    <row r="109" spans="2:16" x14ac:dyDescent="0.25">
      <c r="B109" s="174" t="s">
        <v>142</v>
      </c>
      <c r="C109" s="175"/>
      <c r="D109" s="175"/>
      <c r="E109" s="175"/>
      <c r="F109" s="166"/>
      <c r="G109" s="166"/>
      <c r="H109" s="166"/>
      <c r="I109" s="172">
        <f>'Sensitivity 5'!RawOMScore</f>
        <v>1.5764117230130237</v>
      </c>
      <c r="J109" s="173">
        <f>'Sensitivity 5'!H17</f>
        <v>0</v>
      </c>
      <c r="M109" s="81"/>
    </row>
    <row r="110" spans="2:16" x14ac:dyDescent="0.25">
      <c r="B110" s="166"/>
      <c r="C110" s="166"/>
      <c r="D110" s="166"/>
      <c r="E110" s="166"/>
      <c r="F110" s="166"/>
      <c r="G110" s="166"/>
      <c r="H110" s="166"/>
      <c r="I110" s="166"/>
      <c r="J110" s="166"/>
      <c r="K110" s="166"/>
    </row>
    <row r="111" spans="2:16" ht="15.6" x14ac:dyDescent="0.3">
      <c r="B111" s="176" t="s">
        <v>93</v>
      </c>
      <c r="C111" s="81"/>
      <c r="D111" s="81"/>
      <c r="E111" s="81"/>
      <c r="F111" s="81"/>
      <c r="G111" s="81"/>
      <c r="H111" s="81"/>
      <c r="I111" s="81"/>
      <c r="J111" s="81"/>
      <c r="K111" s="81"/>
      <c r="L111" s="81"/>
      <c r="M111" s="81"/>
    </row>
    <row r="113" spans="2:3" s="140" customFormat="1" ht="22.8" x14ac:dyDescent="0.4">
      <c r="B113" s="177"/>
      <c r="C113" s="178"/>
    </row>
    <row r="114" spans="2:3" s="140" customFormat="1" x14ac:dyDescent="0.25"/>
    <row r="115" spans="2:3" s="140" customFormat="1" x14ac:dyDescent="0.25"/>
    <row r="116" spans="2:3" s="140" customFormat="1" x14ac:dyDescent="0.25"/>
    <row r="117" spans="2:3" s="140" customFormat="1" x14ac:dyDescent="0.25"/>
    <row r="118" spans="2:3" s="140" customFormat="1" x14ac:dyDescent="0.25"/>
    <row r="119" spans="2:3" s="140" customFormat="1" x14ac:dyDescent="0.25"/>
    <row r="120" spans="2:3" s="140" customFormat="1" x14ac:dyDescent="0.25"/>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disablePrompts="1" count="3">
    <dataValidation type="list" allowBlank="1" showInputMessage="1" showErrorMessage="1" sqref="E48">
      <formula1>#REF!</formula1>
    </dataValidation>
    <dataValidation type="list" allowBlank="1" showInputMessage="1" showErrorMessage="1" sqref="J25">
      <formula1>"Yes,No"</formula1>
    </dataValidation>
    <dataValidation type="list" allowBlank="1" showInputMessage="1" showErrorMessage="1" sqref="H25">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
  <sheetViews>
    <sheetView zoomScale="90" zoomScaleNormal="90" workbookViewId="0">
      <selection sqref="A1:XFD1048576"/>
    </sheetView>
  </sheetViews>
  <sheetFormatPr defaultRowHeight="15" x14ac:dyDescent="0.25"/>
  <cols>
    <col min="1" max="1" width="1.453125" customWidth="1"/>
    <col min="2" max="2" width="1.54296875" customWidth="1"/>
  </cols>
  <sheetData>
    <row r="1" spans="3:3" ht="24.6" x14ac:dyDescent="0.4">
      <c r="C1" s="80" t="s">
        <v>214</v>
      </c>
    </row>
    <row r="2" spans="3:3" x14ac:dyDescent="0.25">
      <c r="C2" t="s">
        <v>215</v>
      </c>
    </row>
    <row r="3" spans="3:3" x14ac:dyDescent="0.25">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2"/>
  <sheetViews>
    <sheetView zoomScale="85" zoomScaleNormal="85" workbookViewId="0">
      <pane ySplit="11" topLeftCell="A15" activePane="bottomLeft" state="frozen"/>
      <selection activeCell="I13" sqref="I13"/>
      <selection pane="bottomLeft" activeCell="K23" sqref="K23"/>
    </sheetView>
  </sheetViews>
  <sheetFormatPr defaultColWidth="8.90625" defaultRowHeight="13.2" x14ac:dyDescent="0.25"/>
  <cols>
    <col min="1" max="1" width="2.453125" style="179" customWidth="1"/>
    <col min="2" max="2" width="8.90625" style="200"/>
    <col min="3" max="3" width="12" style="181" customWidth="1"/>
    <col min="4" max="4" width="8.90625" style="179"/>
    <col min="5" max="5" width="14.453125" style="182" customWidth="1"/>
    <col min="6" max="6" width="8.08984375" style="179" customWidth="1"/>
    <col min="7" max="16384" width="8.90625" style="179"/>
  </cols>
  <sheetData>
    <row r="2" spans="1:12" ht="15.6" x14ac:dyDescent="0.3">
      <c r="B2" s="180" t="s">
        <v>185</v>
      </c>
    </row>
    <row r="4" spans="1:12" ht="81" customHeight="1" x14ac:dyDescent="0.25">
      <c r="B4" s="269" t="s">
        <v>188</v>
      </c>
      <c r="C4" s="225"/>
      <c r="D4" s="225"/>
      <c r="E4" s="225"/>
      <c r="F4" s="225"/>
      <c r="G4" s="225"/>
      <c r="H4" s="225"/>
      <c r="I4" s="225"/>
      <c r="J4" s="225"/>
      <c r="K4" s="225"/>
      <c r="L4" s="225"/>
    </row>
    <row r="7" spans="1:12" x14ac:dyDescent="0.25">
      <c r="A7" s="183"/>
      <c r="B7" s="183" t="s">
        <v>190</v>
      </c>
    </row>
    <row r="10" spans="1:12" ht="25.5" customHeight="1" x14ac:dyDescent="0.3">
      <c r="B10" s="184" t="s">
        <v>59</v>
      </c>
      <c r="C10" s="185" t="s">
        <v>184</v>
      </c>
      <c r="D10" s="186" t="s">
        <v>186</v>
      </c>
      <c r="E10" s="270" t="s">
        <v>187</v>
      </c>
      <c r="F10" s="271"/>
      <c r="G10" s="187" t="s">
        <v>13</v>
      </c>
      <c r="H10" s="244" t="s">
        <v>14</v>
      </c>
      <c r="I10" s="245"/>
      <c r="J10" s="246"/>
    </row>
    <row r="11" spans="1:12" ht="12.75" customHeight="1" x14ac:dyDescent="0.25">
      <c r="B11" s="188"/>
      <c r="C11" s="189"/>
      <c r="D11" s="190"/>
      <c r="E11" s="191" t="s">
        <v>189</v>
      </c>
      <c r="F11" s="192">
        <f>SUM(F12:F112)</f>
        <v>0</v>
      </c>
      <c r="G11" s="193"/>
      <c r="H11" s="247" t="s">
        <v>15</v>
      </c>
      <c r="I11" s="248"/>
      <c r="J11" s="249"/>
    </row>
    <row r="12" spans="1:12" x14ac:dyDescent="0.25">
      <c r="B12" s="194">
        <f>'Discount Rates &amp; Assumptions'!A5</f>
        <v>0</v>
      </c>
      <c r="C12" s="195">
        <f>'Discount Rates &amp; Assumptions'!C5</f>
        <v>1</v>
      </c>
      <c r="D12" s="201"/>
      <c r="E12" s="196"/>
      <c r="F12" s="197">
        <f t="shared" ref="F12:F43" si="0">D12*C12</f>
        <v>0</v>
      </c>
    </row>
    <row r="13" spans="1:12" x14ac:dyDescent="0.25">
      <c r="B13" s="194">
        <f>'Discount Rates &amp; Assumptions'!A6</f>
        <v>1</v>
      </c>
      <c r="C13" s="195">
        <f>'Discount Rates &amp; Assumptions'!C6</f>
        <v>0.96618357487922713</v>
      </c>
      <c r="D13" s="201"/>
      <c r="E13" s="196"/>
      <c r="F13" s="197">
        <f t="shared" si="0"/>
        <v>0</v>
      </c>
    </row>
    <row r="14" spans="1:12" ht="12.75" customHeight="1" x14ac:dyDescent="0.25">
      <c r="B14" s="194">
        <f>'Discount Rates &amp; Assumptions'!A7</f>
        <v>2</v>
      </c>
      <c r="C14" s="195">
        <f>'Discount Rates &amp; Assumptions'!C7</f>
        <v>0.93351070036640305</v>
      </c>
      <c r="D14" s="201"/>
      <c r="E14" s="196"/>
      <c r="F14" s="197">
        <f t="shared" si="0"/>
        <v>0</v>
      </c>
    </row>
    <row r="15" spans="1:12" ht="12.75" customHeight="1" x14ac:dyDescent="0.25">
      <c r="B15" s="194">
        <f>'Discount Rates &amp; Assumptions'!A8</f>
        <v>3</v>
      </c>
      <c r="C15" s="195">
        <f>'Discount Rates &amp; Assumptions'!C8</f>
        <v>0.90194270566802237</v>
      </c>
      <c r="D15" s="201"/>
      <c r="E15" s="196"/>
      <c r="F15" s="197">
        <f t="shared" si="0"/>
        <v>0</v>
      </c>
    </row>
    <row r="16" spans="1:12" ht="12.75" customHeight="1" x14ac:dyDescent="0.25">
      <c r="B16" s="194">
        <f>'Discount Rates &amp; Assumptions'!A9</f>
        <v>4</v>
      </c>
      <c r="C16" s="195">
        <f>'Discount Rates &amp; Assumptions'!C9</f>
        <v>0.87144222769857238</v>
      </c>
      <c r="D16" s="201"/>
      <c r="E16" s="196"/>
      <c r="F16" s="197">
        <f t="shared" si="0"/>
        <v>0</v>
      </c>
    </row>
    <row r="17" spans="2:6" ht="12.75" customHeight="1" x14ac:dyDescent="0.25">
      <c r="B17" s="194">
        <f>'Discount Rates &amp; Assumptions'!A10</f>
        <v>5</v>
      </c>
      <c r="C17" s="195">
        <f>'Discount Rates &amp; Assumptions'!C10</f>
        <v>0.84197316685852408</v>
      </c>
      <c r="D17" s="201"/>
      <c r="E17" s="196"/>
      <c r="F17" s="197">
        <f t="shared" si="0"/>
        <v>0</v>
      </c>
    </row>
    <row r="18" spans="2:6" ht="12.75" customHeight="1" x14ac:dyDescent="0.25">
      <c r="B18" s="194">
        <f>'Discount Rates &amp; Assumptions'!A11</f>
        <v>6</v>
      </c>
      <c r="C18" s="195">
        <f>'Discount Rates &amp; Assumptions'!C11</f>
        <v>0.81350064430775282</v>
      </c>
      <c r="D18" s="201"/>
      <c r="E18" s="196"/>
      <c r="F18" s="197">
        <f t="shared" si="0"/>
        <v>0</v>
      </c>
    </row>
    <row r="19" spans="2:6" ht="12.75" customHeight="1" x14ac:dyDescent="0.25">
      <c r="B19" s="194">
        <f>'Discount Rates &amp; Assumptions'!A12</f>
        <v>7</v>
      </c>
      <c r="C19" s="195">
        <f>'Discount Rates &amp; Assumptions'!C12</f>
        <v>0.78599096068381924</v>
      </c>
      <c r="D19" s="201"/>
      <c r="E19" s="196"/>
      <c r="F19" s="197">
        <f t="shared" si="0"/>
        <v>0</v>
      </c>
    </row>
    <row r="20" spans="2:6" ht="12.75" customHeight="1" x14ac:dyDescent="0.25">
      <c r="B20" s="194">
        <f>'Discount Rates &amp; Assumptions'!A13</f>
        <v>8</v>
      </c>
      <c r="C20" s="195">
        <f>'Discount Rates &amp; Assumptions'!C13</f>
        <v>0.75941155621625056</v>
      </c>
      <c r="D20" s="201"/>
      <c r="E20" s="196"/>
      <c r="F20" s="197">
        <f t="shared" si="0"/>
        <v>0</v>
      </c>
    </row>
    <row r="21" spans="2:6" ht="12.75" customHeight="1" x14ac:dyDescent="0.25">
      <c r="B21" s="194">
        <f>'Discount Rates &amp; Assumptions'!A14</f>
        <v>9</v>
      </c>
      <c r="C21" s="195">
        <f>'Discount Rates &amp; Assumptions'!C14</f>
        <v>0.73373097218961414</v>
      </c>
      <c r="D21" s="201"/>
      <c r="E21" s="196"/>
      <c r="F21" s="197">
        <f t="shared" si="0"/>
        <v>0</v>
      </c>
    </row>
    <row r="22" spans="2:6" ht="12.75" customHeight="1" x14ac:dyDescent="0.25">
      <c r="B22" s="194">
        <f>'Discount Rates &amp; Assumptions'!A15</f>
        <v>10</v>
      </c>
      <c r="C22" s="195">
        <f>'Discount Rates &amp; Assumptions'!C15</f>
        <v>0.70891881370977217</v>
      </c>
      <c r="D22" s="201"/>
      <c r="E22" s="196"/>
      <c r="F22" s="197">
        <f t="shared" si="0"/>
        <v>0</v>
      </c>
    </row>
    <row r="23" spans="2:6" ht="12.75" customHeight="1" x14ac:dyDescent="0.25">
      <c r="B23" s="194">
        <f>'Discount Rates &amp; Assumptions'!A16</f>
        <v>11</v>
      </c>
      <c r="C23" s="195">
        <f>'Discount Rates &amp; Assumptions'!C16</f>
        <v>0.68494571372924851</v>
      </c>
      <c r="D23" s="201"/>
      <c r="E23" s="196"/>
      <c r="F23" s="197">
        <f t="shared" si="0"/>
        <v>0</v>
      </c>
    </row>
    <row r="24" spans="2:6" ht="12.75" customHeight="1" x14ac:dyDescent="0.25">
      <c r="B24" s="194">
        <f>'Discount Rates &amp; Assumptions'!A17</f>
        <v>12</v>
      </c>
      <c r="C24" s="195">
        <f>'Discount Rates &amp; Assumptions'!C17</f>
        <v>0.66178329828912907</v>
      </c>
      <c r="D24" s="201"/>
      <c r="E24" s="196"/>
      <c r="F24" s="197">
        <f t="shared" si="0"/>
        <v>0</v>
      </c>
    </row>
    <row r="25" spans="2:6" ht="12.75" customHeight="1" x14ac:dyDescent="0.25">
      <c r="B25" s="194">
        <f>'Discount Rates &amp; Assumptions'!A18</f>
        <v>13</v>
      </c>
      <c r="C25" s="195">
        <f>'Discount Rates &amp; Assumptions'!C18</f>
        <v>0.63940415293635666</v>
      </c>
      <c r="D25" s="201"/>
      <c r="E25" s="196"/>
      <c r="F25" s="197">
        <f t="shared" si="0"/>
        <v>0</v>
      </c>
    </row>
    <row r="26" spans="2:6" ht="12.75" customHeight="1" x14ac:dyDescent="0.25">
      <c r="B26" s="194">
        <f>'Discount Rates &amp; Assumptions'!A19</f>
        <v>14</v>
      </c>
      <c r="C26" s="195">
        <f>'Discount Rates &amp; Assumptions'!C19</f>
        <v>0.61778179027667313</v>
      </c>
      <c r="D26" s="201"/>
      <c r="E26" s="196"/>
      <c r="F26" s="197">
        <f t="shared" si="0"/>
        <v>0</v>
      </c>
    </row>
    <row r="27" spans="2:6" ht="12.75" customHeight="1" x14ac:dyDescent="0.25">
      <c r="B27" s="194">
        <f>'Discount Rates &amp; Assumptions'!A20</f>
        <v>15</v>
      </c>
      <c r="C27" s="195">
        <f>'Discount Rates &amp; Assumptions'!C20</f>
        <v>0.59689061862480497</v>
      </c>
      <c r="D27" s="201"/>
      <c r="E27" s="196"/>
      <c r="F27" s="197">
        <f t="shared" si="0"/>
        <v>0</v>
      </c>
    </row>
    <row r="28" spans="2:6" ht="12.75" customHeight="1" x14ac:dyDescent="0.25">
      <c r="B28" s="194">
        <f>'Discount Rates &amp; Assumptions'!A21</f>
        <v>16</v>
      </c>
      <c r="C28" s="195">
        <f>'Discount Rates &amp; Assumptions'!C21</f>
        <v>0.57670591171478747</v>
      </c>
      <c r="D28" s="201"/>
      <c r="E28" s="196"/>
      <c r="F28" s="197">
        <f t="shared" si="0"/>
        <v>0</v>
      </c>
    </row>
    <row r="29" spans="2:6" ht="12.75" customHeight="1" x14ac:dyDescent="0.25">
      <c r="B29" s="194">
        <f>'Discount Rates &amp; Assumptions'!A22</f>
        <v>17</v>
      </c>
      <c r="C29" s="195">
        <f>'Discount Rates &amp; Assumptions'!C22</f>
        <v>0.55720377943457733</v>
      </c>
      <c r="D29" s="201"/>
      <c r="E29" s="196"/>
      <c r="F29" s="197">
        <f t="shared" si="0"/>
        <v>0</v>
      </c>
    </row>
    <row r="30" spans="2:6" ht="12.75" customHeight="1" x14ac:dyDescent="0.25">
      <c r="B30" s="194">
        <f>'Discount Rates &amp; Assumptions'!A23</f>
        <v>18</v>
      </c>
      <c r="C30" s="195">
        <f>'Discount Rates &amp; Assumptions'!C23</f>
        <v>0.53836113955031628</v>
      </c>
      <c r="D30" s="201"/>
      <c r="E30" s="196"/>
      <c r="F30" s="197">
        <f t="shared" si="0"/>
        <v>0</v>
      </c>
    </row>
    <row r="31" spans="2:6" ht="12.75" customHeight="1" x14ac:dyDescent="0.25">
      <c r="B31" s="194">
        <f>'Discount Rates &amp; Assumptions'!A24</f>
        <v>19</v>
      </c>
      <c r="C31" s="195">
        <f>'Discount Rates &amp; Assumptions'!C24</f>
        <v>0.520155690386779</v>
      </c>
      <c r="D31" s="201"/>
      <c r="E31" s="196"/>
      <c r="F31" s="197">
        <f t="shared" si="0"/>
        <v>0</v>
      </c>
    </row>
    <row r="32" spans="2:6" ht="12.75" customHeight="1" x14ac:dyDescent="0.25">
      <c r="B32" s="194">
        <f>'Discount Rates &amp; Assumptions'!A25</f>
        <v>20</v>
      </c>
      <c r="C32" s="195">
        <f>'Discount Rates &amp; Assumptions'!C25</f>
        <v>0.50256588443167061</v>
      </c>
      <c r="D32" s="201"/>
      <c r="E32" s="196"/>
      <c r="F32" s="197">
        <f t="shared" si="0"/>
        <v>0</v>
      </c>
    </row>
    <row r="33" spans="2:6" ht="12.75" customHeight="1" x14ac:dyDescent="0.25">
      <c r="B33" s="194">
        <f>'Discount Rates &amp; Assumptions'!A26</f>
        <v>21</v>
      </c>
      <c r="C33" s="195">
        <f>'Discount Rates &amp; Assumptions'!C26</f>
        <v>0.48557090283253201</v>
      </c>
      <c r="D33" s="201"/>
      <c r="E33" s="196"/>
      <c r="F33" s="197">
        <f t="shared" si="0"/>
        <v>0</v>
      </c>
    </row>
    <row r="34" spans="2:6" ht="12.75" customHeight="1" x14ac:dyDescent="0.25">
      <c r="B34" s="194">
        <f>'Discount Rates &amp; Assumptions'!A27</f>
        <v>22</v>
      </c>
      <c r="C34" s="195">
        <f>'Discount Rates &amp; Assumptions'!C27</f>
        <v>0.46915063075606961</v>
      </c>
      <c r="D34" s="201"/>
      <c r="E34" s="196"/>
      <c r="F34" s="197">
        <f t="shared" si="0"/>
        <v>0</v>
      </c>
    </row>
    <row r="35" spans="2:6" ht="12.75" customHeight="1" x14ac:dyDescent="0.25">
      <c r="B35" s="194">
        <f>'Discount Rates &amp; Assumptions'!A28</f>
        <v>23</v>
      </c>
      <c r="C35" s="195">
        <f>'Discount Rates &amp; Assumptions'!C28</f>
        <v>0.45328563358074364</v>
      </c>
      <c r="D35" s="201"/>
      <c r="E35" s="196"/>
      <c r="F35" s="197">
        <f t="shared" si="0"/>
        <v>0</v>
      </c>
    </row>
    <row r="36" spans="2:6" ht="12.75" customHeight="1" x14ac:dyDescent="0.25">
      <c r="B36" s="194">
        <f>'Discount Rates &amp; Assumptions'!A29</f>
        <v>24</v>
      </c>
      <c r="C36" s="195">
        <f>'Discount Rates &amp; Assumptions'!C29</f>
        <v>0.43795713389443836</v>
      </c>
      <c r="D36" s="201"/>
      <c r="E36" s="196"/>
      <c r="F36" s="197">
        <f t="shared" si="0"/>
        <v>0</v>
      </c>
    </row>
    <row r="37" spans="2:6" ht="12.75" customHeight="1" x14ac:dyDescent="0.25">
      <c r="B37" s="194">
        <f>'Discount Rates &amp; Assumptions'!A30</f>
        <v>25</v>
      </c>
      <c r="C37" s="195">
        <f>'Discount Rates &amp; Assumptions'!C30</f>
        <v>0.42314698926998878</v>
      </c>
      <c r="D37" s="201"/>
      <c r="E37" s="196"/>
      <c r="F37" s="197">
        <f t="shared" si="0"/>
        <v>0</v>
      </c>
    </row>
    <row r="38" spans="2:6" ht="12.75" customHeight="1" x14ac:dyDescent="0.25">
      <c r="B38" s="194">
        <f>'Discount Rates &amp; Assumptions'!A31</f>
        <v>26</v>
      </c>
      <c r="C38" s="195">
        <f>'Discount Rates &amp; Assumptions'!C31</f>
        <v>0.40883767079225974</v>
      </c>
      <c r="D38" s="201"/>
      <c r="E38" s="196"/>
      <c r="F38" s="197">
        <f t="shared" si="0"/>
        <v>0</v>
      </c>
    </row>
    <row r="39" spans="2:6" ht="12.75" customHeight="1" x14ac:dyDescent="0.25">
      <c r="B39" s="194">
        <f>'Discount Rates &amp; Assumptions'!A32</f>
        <v>27</v>
      </c>
      <c r="C39" s="195">
        <f>'Discount Rates &amp; Assumptions'!C32</f>
        <v>0.39501224231136212</v>
      </c>
      <c r="D39" s="201"/>
      <c r="E39" s="196"/>
      <c r="F39" s="197">
        <f t="shared" si="0"/>
        <v>0</v>
      </c>
    </row>
    <row r="40" spans="2:6" ht="12.75" customHeight="1" x14ac:dyDescent="0.25">
      <c r="B40" s="194">
        <f>'Discount Rates &amp; Assumptions'!A33</f>
        <v>28</v>
      </c>
      <c r="C40" s="195">
        <f>'Discount Rates &amp; Assumptions'!C33</f>
        <v>0.38165434039745133</v>
      </c>
      <c r="D40" s="201"/>
      <c r="E40" s="196"/>
      <c r="F40" s="197">
        <f t="shared" si="0"/>
        <v>0</v>
      </c>
    </row>
    <row r="41" spans="2:6" ht="12.75" customHeight="1" x14ac:dyDescent="0.25">
      <c r="B41" s="194">
        <f>'Discount Rates &amp; Assumptions'!A34</f>
        <v>29</v>
      </c>
      <c r="C41" s="195">
        <f>'Discount Rates &amp; Assumptions'!C34</f>
        <v>0.36874815497338298</v>
      </c>
      <c r="D41" s="201"/>
      <c r="E41" s="196"/>
      <c r="F41" s="197">
        <f t="shared" si="0"/>
        <v>0</v>
      </c>
    </row>
    <row r="42" spans="2:6" ht="12.75" customHeight="1" x14ac:dyDescent="0.25">
      <c r="B42" s="194">
        <f>'Discount Rates &amp; Assumptions'!A35</f>
        <v>30</v>
      </c>
      <c r="C42" s="195">
        <f>'Discount Rates &amp; Assumptions'!C35</f>
        <v>0.35627841060230242</v>
      </c>
      <c r="D42" s="201"/>
      <c r="E42" s="196"/>
      <c r="F42" s="197">
        <f t="shared" si="0"/>
        <v>0</v>
      </c>
    </row>
    <row r="43" spans="2:6" ht="12.75" customHeight="1" x14ac:dyDescent="0.25">
      <c r="B43" s="194">
        <f>'Discount Rates &amp; Assumptions'!A36</f>
        <v>31</v>
      </c>
      <c r="C43" s="195">
        <f>'Discount Rates &amp; Assumptions'!C36</f>
        <v>0.34590136951679845</v>
      </c>
      <c r="D43" s="201"/>
      <c r="E43" s="196"/>
      <c r="F43" s="197">
        <f t="shared" si="0"/>
        <v>0</v>
      </c>
    </row>
    <row r="44" spans="2:6" ht="12.75" customHeight="1" x14ac:dyDescent="0.25">
      <c r="B44" s="194">
        <f>'Discount Rates &amp; Assumptions'!A37</f>
        <v>32</v>
      </c>
      <c r="C44" s="195">
        <f>'Discount Rates &amp; Assumptions'!C37</f>
        <v>0.33582657234640628</v>
      </c>
      <c r="D44" s="201"/>
      <c r="E44" s="196"/>
      <c r="F44" s="197">
        <f t="shared" ref="F44:F75" si="1">D44*C44</f>
        <v>0</v>
      </c>
    </row>
    <row r="45" spans="2:6" ht="12.75" customHeight="1" x14ac:dyDescent="0.25">
      <c r="B45" s="194">
        <f>'Discount Rates &amp; Assumptions'!A38</f>
        <v>33</v>
      </c>
      <c r="C45" s="195">
        <f>'Discount Rates &amp; Assumptions'!C38</f>
        <v>0.32604521587029733</v>
      </c>
      <c r="D45" s="201"/>
      <c r="E45" s="196"/>
      <c r="F45" s="197">
        <f t="shared" si="1"/>
        <v>0</v>
      </c>
    </row>
    <row r="46" spans="2:6" ht="12.75" customHeight="1" x14ac:dyDescent="0.25">
      <c r="B46" s="194">
        <f>'Discount Rates &amp; Assumptions'!A39</f>
        <v>34</v>
      </c>
      <c r="C46" s="195">
        <f>'Discount Rates &amp; Assumptions'!C39</f>
        <v>0.31654875327213333</v>
      </c>
      <c r="D46" s="201"/>
      <c r="E46" s="196"/>
      <c r="F46" s="197">
        <f t="shared" si="1"/>
        <v>0</v>
      </c>
    </row>
    <row r="47" spans="2:6" ht="12.75" customHeight="1" x14ac:dyDescent="0.25">
      <c r="B47" s="194">
        <f>'Discount Rates &amp; Assumptions'!A40</f>
        <v>35</v>
      </c>
      <c r="C47" s="195">
        <f>'Discount Rates &amp; Assumptions'!C40</f>
        <v>0.30732888667197411</v>
      </c>
      <c r="D47" s="201"/>
      <c r="E47" s="196"/>
      <c r="F47" s="197">
        <f t="shared" si="1"/>
        <v>0</v>
      </c>
    </row>
    <row r="48" spans="2:6" ht="12.75" customHeight="1" x14ac:dyDescent="0.25">
      <c r="B48" s="194">
        <f>'Discount Rates &amp; Assumptions'!A41</f>
        <v>36</v>
      </c>
      <c r="C48" s="195">
        <f>'Discount Rates &amp; Assumptions'!C41</f>
        <v>0.29837755987570302</v>
      </c>
      <c r="D48" s="201"/>
      <c r="E48" s="196"/>
      <c r="F48" s="197">
        <f t="shared" si="1"/>
        <v>0</v>
      </c>
    </row>
    <row r="49" spans="2:6" ht="12.75" customHeight="1" x14ac:dyDescent="0.25">
      <c r="B49" s="194">
        <f>'Discount Rates &amp; Assumptions'!A42</f>
        <v>37</v>
      </c>
      <c r="C49" s="195">
        <f>'Discount Rates &amp; Assumptions'!C42</f>
        <v>0.28968695133563399</v>
      </c>
      <c r="D49" s="201"/>
      <c r="E49" s="196"/>
      <c r="F49" s="197">
        <f t="shared" si="1"/>
        <v>0</v>
      </c>
    </row>
    <row r="50" spans="2:6" ht="12.75" customHeight="1" x14ac:dyDescent="0.25">
      <c r="B50" s="194">
        <f>'Discount Rates &amp; Assumptions'!A43</f>
        <v>38</v>
      </c>
      <c r="C50" s="195">
        <f>'Discount Rates &amp; Assumptions'!C43</f>
        <v>0.28124946731614953</v>
      </c>
      <c r="D50" s="201"/>
      <c r="E50" s="196"/>
      <c r="F50" s="197">
        <f t="shared" si="1"/>
        <v>0</v>
      </c>
    </row>
    <row r="51" spans="2:6" ht="12.75" customHeight="1" x14ac:dyDescent="0.25">
      <c r="B51" s="194">
        <f>'Discount Rates &amp; Assumptions'!A44</f>
        <v>39</v>
      </c>
      <c r="C51" s="195">
        <f>'Discount Rates &amp; Assumptions'!C44</f>
        <v>0.2730577352583976</v>
      </c>
      <c r="D51" s="201"/>
      <c r="E51" s="196"/>
      <c r="F51" s="197">
        <f t="shared" si="1"/>
        <v>0</v>
      </c>
    </row>
    <row r="52" spans="2:6" ht="12.75" customHeight="1" x14ac:dyDescent="0.25">
      <c r="B52" s="194">
        <f>'Discount Rates &amp; Assumptions'!A45</f>
        <v>40</v>
      </c>
      <c r="C52" s="195">
        <f>'Discount Rates &amp; Assumptions'!C45</f>
        <v>0.26510459733825009</v>
      </c>
      <c r="D52" s="201"/>
      <c r="E52" s="196"/>
      <c r="F52" s="197">
        <f t="shared" si="1"/>
        <v>0</v>
      </c>
    </row>
    <row r="53" spans="2:6" ht="12.75" customHeight="1" x14ac:dyDescent="0.25">
      <c r="B53" s="194">
        <f>'Discount Rates &amp; Assumptions'!A46</f>
        <v>41</v>
      </c>
      <c r="C53" s="195">
        <f>'Discount Rates &amp; Assumptions'!C46</f>
        <v>0.25738310421189331</v>
      </c>
      <c r="D53" s="201"/>
      <c r="E53" s="196"/>
      <c r="F53" s="197">
        <f t="shared" si="1"/>
        <v>0</v>
      </c>
    </row>
    <row r="54" spans="2:6" ht="12.75" customHeight="1" x14ac:dyDescent="0.25">
      <c r="B54" s="194">
        <f>'Discount Rates &amp; Assumptions'!A47</f>
        <v>42</v>
      </c>
      <c r="C54" s="195">
        <f>'Discount Rates &amp; Assumptions'!C47</f>
        <v>0.24988650894358574</v>
      </c>
      <c r="D54" s="201"/>
      <c r="E54" s="196"/>
      <c r="F54" s="197">
        <f t="shared" si="1"/>
        <v>0</v>
      </c>
    </row>
    <row r="55" spans="2:6" ht="12.75" customHeight="1" x14ac:dyDescent="0.25">
      <c r="B55" s="194">
        <f>'Discount Rates &amp; Assumptions'!A48</f>
        <v>43</v>
      </c>
      <c r="C55" s="195">
        <f>'Discount Rates &amp; Assumptions'!C48</f>
        <v>0.24260826111027742</v>
      </c>
      <c r="D55" s="201"/>
      <c r="E55" s="196"/>
      <c r="F55" s="197">
        <f t="shared" si="1"/>
        <v>0</v>
      </c>
    </row>
    <row r="56" spans="2:6" ht="12.75" customHeight="1" x14ac:dyDescent="0.25">
      <c r="B56" s="194">
        <f>'Discount Rates &amp; Assumptions'!A49</f>
        <v>44</v>
      </c>
      <c r="C56" s="195">
        <f>'Discount Rates &amp; Assumptions'!C49</f>
        <v>0.23554200107793924</v>
      </c>
      <c r="D56" s="201"/>
      <c r="E56" s="196"/>
      <c r="F56" s="197">
        <f t="shared" si="1"/>
        <v>0</v>
      </c>
    </row>
    <row r="57" spans="2:6" ht="12.75" customHeight="1" x14ac:dyDescent="0.25">
      <c r="B57" s="194">
        <f>'Discount Rates &amp; Assumptions'!A50</f>
        <v>45</v>
      </c>
      <c r="C57" s="195">
        <f>'Discount Rates &amp; Assumptions'!C50</f>
        <v>0.2286815544446012</v>
      </c>
      <c r="D57" s="201"/>
      <c r="E57" s="196"/>
      <c r="F57" s="197">
        <f t="shared" si="1"/>
        <v>0</v>
      </c>
    </row>
    <row r="58" spans="2:6" ht="12.75" customHeight="1" x14ac:dyDescent="0.25">
      <c r="B58" s="194">
        <f>'Discount Rates &amp; Assumptions'!A51</f>
        <v>46</v>
      </c>
      <c r="C58" s="195">
        <f>'Discount Rates &amp; Assumptions'!C51</f>
        <v>0.22202092664524387</v>
      </c>
      <c r="D58" s="201"/>
      <c r="E58" s="196"/>
      <c r="F58" s="197">
        <f t="shared" si="1"/>
        <v>0</v>
      </c>
    </row>
    <row r="59" spans="2:6" ht="12.75" customHeight="1" x14ac:dyDescent="0.25">
      <c r="B59" s="194">
        <f>'Discount Rates &amp; Assumptions'!A52</f>
        <v>47</v>
      </c>
      <c r="C59" s="195">
        <f>'Discount Rates &amp; Assumptions'!C52</f>
        <v>0.215554297713829</v>
      </c>
      <c r="D59" s="201"/>
      <c r="E59" s="196"/>
      <c r="F59" s="197">
        <f t="shared" si="1"/>
        <v>0</v>
      </c>
    </row>
    <row r="60" spans="2:6" ht="12.75" customHeight="1" x14ac:dyDescent="0.25">
      <c r="B60" s="194">
        <f>'Discount Rates &amp; Assumptions'!A53</f>
        <v>48</v>
      </c>
      <c r="C60" s="195">
        <f>'Discount Rates &amp; Assumptions'!C53</f>
        <v>0.20927601719789224</v>
      </c>
      <c r="D60" s="201"/>
      <c r="E60" s="196"/>
      <c r="F60" s="197">
        <f t="shared" si="1"/>
        <v>0</v>
      </c>
    </row>
    <row r="61" spans="2:6" ht="12.75" customHeight="1" x14ac:dyDescent="0.25">
      <c r="B61" s="194">
        <f>'Discount Rates &amp; Assumptions'!A54</f>
        <v>49</v>
      </c>
      <c r="C61" s="195">
        <f>'Discount Rates &amp; Assumptions'!C54</f>
        <v>0.20318059922125459</v>
      </c>
      <c r="D61" s="201"/>
      <c r="E61" s="196"/>
      <c r="F61" s="197">
        <f t="shared" si="1"/>
        <v>0</v>
      </c>
    </row>
    <row r="62" spans="2:6" ht="12.75" customHeight="1" x14ac:dyDescent="0.25">
      <c r="B62" s="194">
        <f>'Discount Rates &amp; Assumptions'!A55</f>
        <v>50</v>
      </c>
      <c r="C62" s="195">
        <f>'Discount Rates &amp; Assumptions'!C55</f>
        <v>0.19726271769053844</v>
      </c>
      <c r="D62" s="201"/>
      <c r="E62" s="196"/>
      <c r="F62" s="197">
        <f t="shared" si="1"/>
        <v>0</v>
      </c>
    </row>
    <row r="63" spans="2:6" ht="12.75" customHeight="1" x14ac:dyDescent="0.25">
      <c r="B63" s="194">
        <f>'Discount Rates &amp; Assumptions'!A56</f>
        <v>51</v>
      </c>
      <c r="C63" s="195">
        <f>'Discount Rates &amp; Assumptions'!C56</f>
        <v>0.19151720164129946</v>
      </c>
      <c r="D63" s="201"/>
      <c r="E63" s="196"/>
      <c r="F63" s="197">
        <f t="shared" si="1"/>
        <v>0</v>
      </c>
    </row>
    <row r="64" spans="2:6" ht="12.75" customHeight="1" x14ac:dyDescent="0.25">
      <c r="B64" s="194">
        <f>'Discount Rates &amp; Assumptions'!A57</f>
        <v>52</v>
      </c>
      <c r="C64" s="195">
        <f>'Discount Rates &amp; Assumptions'!C57</f>
        <v>0.18593903071970821</v>
      </c>
      <c r="D64" s="201"/>
      <c r="E64" s="196"/>
      <c r="F64" s="197">
        <f t="shared" si="1"/>
        <v>0</v>
      </c>
    </row>
    <row r="65" spans="2:6" ht="12.75" customHeight="1" x14ac:dyDescent="0.25">
      <c r="B65" s="194">
        <f>'Discount Rates &amp; Assumptions'!A58</f>
        <v>53</v>
      </c>
      <c r="C65" s="195">
        <f>'Discount Rates &amp; Assumptions'!C58</f>
        <v>0.18052333079583321</v>
      </c>
      <c r="D65" s="201"/>
      <c r="E65" s="196"/>
      <c r="F65" s="197">
        <f t="shared" si="1"/>
        <v>0</v>
      </c>
    </row>
    <row r="66" spans="2:6" ht="12.75" customHeight="1" x14ac:dyDescent="0.25">
      <c r="B66" s="194">
        <f>'Discount Rates &amp; Assumptions'!A59</f>
        <v>54</v>
      </c>
      <c r="C66" s="195">
        <f>'Discount Rates &amp; Assumptions'!C59</f>
        <v>0.17526536970469245</v>
      </c>
      <c r="D66" s="201"/>
      <c r="E66" s="196"/>
      <c r="F66" s="197">
        <f t="shared" si="1"/>
        <v>0</v>
      </c>
    </row>
    <row r="67" spans="2:6" ht="12.75" customHeight="1" x14ac:dyDescent="0.25">
      <c r="B67" s="194">
        <f>'Discount Rates &amp; Assumptions'!A60</f>
        <v>55</v>
      </c>
      <c r="C67" s="195">
        <f>'Discount Rates &amp; Assumptions'!C60</f>
        <v>0.17016055311135189</v>
      </c>
      <c r="D67" s="201"/>
      <c r="E67" s="196"/>
      <c r="F67" s="197">
        <f t="shared" si="1"/>
        <v>0</v>
      </c>
    </row>
    <row r="68" spans="2:6" ht="12.75" customHeight="1" x14ac:dyDescent="0.25">
      <c r="B68" s="194">
        <f>'Discount Rates &amp; Assumptions'!A61</f>
        <v>56</v>
      </c>
      <c r="C68" s="195">
        <f>'Discount Rates &amp; Assumptions'!C61</f>
        <v>0.16520442049645814</v>
      </c>
      <c r="D68" s="201"/>
      <c r="E68" s="196"/>
      <c r="F68" s="197">
        <f t="shared" si="1"/>
        <v>0</v>
      </c>
    </row>
    <row r="69" spans="2:6" ht="12.75" customHeight="1" x14ac:dyDescent="0.25">
      <c r="B69" s="194">
        <f>'Discount Rates &amp; Assumptions'!A62</f>
        <v>57</v>
      </c>
      <c r="C69" s="195">
        <f>'Discount Rates &amp; Assumptions'!C62</f>
        <v>0.16039264125869723</v>
      </c>
      <c r="D69" s="201"/>
      <c r="E69" s="196"/>
      <c r="F69" s="197">
        <f t="shared" si="1"/>
        <v>0</v>
      </c>
    </row>
    <row r="70" spans="2:6" ht="12.75" customHeight="1" x14ac:dyDescent="0.25">
      <c r="B70" s="194">
        <f>'Discount Rates &amp; Assumptions'!A63</f>
        <v>58</v>
      </c>
      <c r="C70" s="195">
        <f>'Discount Rates &amp; Assumptions'!C63</f>
        <v>0.15572101093077401</v>
      </c>
      <c r="D70" s="201"/>
      <c r="E70" s="196"/>
      <c r="F70" s="197">
        <f t="shared" si="1"/>
        <v>0</v>
      </c>
    </row>
    <row r="71" spans="2:6" ht="12.75" customHeight="1" x14ac:dyDescent="0.25">
      <c r="B71" s="194">
        <f>'Discount Rates &amp; Assumptions'!A64</f>
        <v>59</v>
      </c>
      <c r="C71" s="195">
        <f>'Discount Rates &amp; Assumptions'!C64</f>
        <v>0.15118544750560584</v>
      </c>
      <c r="D71" s="201"/>
      <c r="E71" s="196"/>
      <c r="F71" s="197">
        <f t="shared" si="1"/>
        <v>0</v>
      </c>
    </row>
    <row r="72" spans="2:6" ht="12.75" customHeight="1" x14ac:dyDescent="0.25">
      <c r="B72" s="194">
        <f>'Discount Rates &amp; Assumptions'!A65</f>
        <v>60</v>
      </c>
      <c r="C72" s="195">
        <f>'Discount Rates &amp; Assumptions'!C65</f>
        <v>0.14678198786952024</v>
      </c>
      <c r="D72" s="201"/>
      <c r="E72" s="196"/>
      <c r="F72" s="197">
        <f t="shared" si="1"/>
        <v>0</v>
      </c>
    </row>
    <row r="73" spans="2:6" ht="12.75" customHeight="1" x14ac:dyDescent="0.25">
      <c r="B73" s="194">
        <f>'Discount Rates &amp; Assumptions'!A66</f>
        <v>61</v>
      </c>
      <c r="C73" s="195">
        <f>'Discount Rates &amp; Assumptions'!C66</f>
        <v>0.14250678433934003</v>
      </c>
      <c r="D73" s="201"/>
      <c r="E73" s="196"/>
      <c r="F73" s="197">
        <f t="shared" si="1"/>
        <v>0</v>
      </c>
    </row>
    <row r="74" spans="2:6" ht="12.75" customHeight="1" x14ac:dyDescent="0.25">
      <c r="B74" s="194">
        <f>'Discount Rates &amp; Assumptions'!A67</f>
        <v>62</v>
      </c>
      <c r="C74" s="195">
        <f>'Discount Rates &amp; Assumptions'!C67</f>
        <v>0.13835610130033013</v>
      </c>
      <c r="D74" s="201"/>
      <c r="E74" s="196"/>
      <c r="F74" s="197">
        <f t="shared" si="1"/>
        <v>0</v>
      </c>
    </row>
    <row r="75" spans="2:6" ht="12.75" customHeight="1" x14ac:dyDescent="0.25">
      <c r="B75" s="194">
        <f>'Discount Rates &amp; Assumptions'!A68</f>
        <v>63</v>
      </c>
      <c r="C75" s="195">
        <f>'Discount Rates &amp; Assumptions'!C68</f>
        <v>0.13432631194206809</v>
      </c>
      <c r="D75" s="201"/>
      <c r="E75" s="196"/>
      <c r="F75" s="197">
        <f t="shared" si="1"/>
        <v>0</v>
      </c>
    </row>
    <row r="76" spans="2:6" ht="12.75" customHeight="1" x14ac:dyDescent="0.25">
      <c r="B76" s="194">
        <f>'Discount Rates &amp; Assumptions'!A69</f>
        <v>64</v>
      </c>
      <c r="C76" s="195">
        <f>'Discount Rates &amp; Assumptions'!C69</f>
        <v>0.1304138950893865</v>
      </c>
      <c r="D76" s="201"/>
      <c r="E76" s="196"/>
      <c r="F76" s="197">
        <f t="shared" ref="F76:F112" si="2">D76*C76</f>
        <v>0</v>
      </c>
    </row>
    <row r="77" spans="2:6" ht="12.75" customHeight="1" x14ac:dyDescent="0.25">
      <c r="B77" s="194">
        <f>'Discount Rates &amp; Assumptions'!A70</f>
        <v>65</v>
      </c>
      <c r="C77" s="195">
        <f>'Discount Rates &amp; Assumptions'!C70</f>
        <v>0.12661543212561796</v>
      </c>
      <c r="D77" s="201"/>
      <c r="E77" s="196"/>
      <c r="F77" s="197">
        <f t="shared" si="2"/>
        <v>0</v>
      </c>
    </row>
    <row r="78" spans="2:6" ht="12.75" customHeight="1" x14ac:dyDescent="0.25">
      <c r="B78" s="194">
        <f>'Discount Rates &amp; Assumptions'!A71</f>
        <v>66</v>
      </c>
      <c r="C78" s="195">
        <f>'Discount Rates &amp; Assumptions'!C71</f>
        <v>0.12292760400545433</v>
      </c>
      <c r="D78" s="201"/>
      <c r="E78" s="196"/>
      <c r="F78" s="197">
        <f t="shared" si="2"/>
        <v>0</v>
      </c>
    </row>
    <row r="79" spans="2:6" ht="12.75" customHeight="1" x14ac:dyDescent="0.25">
      <c r="B79" s="194">
        <f>'Discount Rates &amp; Assumptions'!A72</f>
        <v>67</v>
      </c>
      <c r="C79" s="195">
        <f>'Discount Rates &amp; Assumptions'!C72</f>
        <v>0.11934718835481002</v>
      </c>
      <c r="D79" s="201"/>
      <c r="E79" s="196"/>
      <c r="F79" s="197">
        <f t="shared" si="2"/>
        <v>0</v>
      </c>
    </row>
    <row r="80" spans="2:6" ht="12.75" customHeight="1" x14ac:dyDescent="0.25">
      <c r="B80" s="194">
        <f>'Discount Rates &amp; Assumptions'!A73</f>
        <v>68</v>
      </c>
      <c r="C80" s="195">
        <f>'Discount Rates &amp; Assumptions'!C73</f>
        <v>0.11587105665515536</v>
      </c>
      <c r="D80" s="201"/>
      <c r="E80" s="196"/>
      <c r="F80" s="197">
        <f t="shared" si="2"/>
        <v>0</v>
      </c>
    </row>
    <row r="81" spans="2:6" ht="12.75" customHeight="1" x14ac:dyDescent="0.25">
      <c r="B81" s="194">
        <f>'Discount Rates &amp; Assumptions'!A74</f>
        <v>69</v>
      </c>
      <c r="C81" s="195">
        <f>'Discount Rates &amp; Assumptions'!C74</f>
        <v>0.11249617150985958</v>
      </c>
      <c r="D81" s="201"/>
      <c r="E81" s="196"/>
      <c r="F81" s="197">
        <f t="shared" si="2"/>
        <v>0</v>
      </c>
    </row>
    <row r="82" spans="2:6" ht="12.75" customHeight="1" x14ac:dyDescent="0.25">
      <c r="B82" s="194">
        <f>'Discount Rates &amp; Assumptions'!A75</f>
        <v>70</v>
      </c>
      <c r="C82" s="195">
        <f>'Discount Rates &amp; Assumptions'!C75</f>
        <v>0.10921958399015493</v>
      </c>
      <c r="D82" s="201"/>
      <c r="E82" s="196"/>
      <c r="F82" s="197">
        <f t="shared" si="2"/>
        <v>0</v>
      </c>
    </row>
    <row r="83" spans="2:6" ht="12.75" customHeight="1" x14ac:dyDescent="0.25">
      <c r="B83" s="194">
        <f>'Discount Rates &amp; Assumptions'!A76</f>
        <v>71</v>
      </c>
      <c r="C83" s="195">
        <f>'Discount Rates &amp; Assumptions'!C76</f>
        <v>0.10603843105840284</v>
      </c>
      <c r="D83" s="201"/>
      <c r="E83" s="196"/>
      <c r="F83" s="197">
        <f t="shared" si="2"/>
        <v>0</v>
      </c>
    </row>
    <row r="84" spans="2:6" ht="12.75" customHeight="1" x14ac:dyDescent="0.25">
      <c r="B84" s="194">
        <f>'Discount Rates &amp; Assumptions'!A77</f>
        <v>72</v>
      </c>
      <c r="C84" s="195">
        <f>'Discount Rates &amp; Assumptions'!C77</f>
        <v>0.10294993306641052</v>
      </c>
      <c r="D84" s="201"/>
      <c r="E84" s="196"/>
      <c r="F84" s="197">
        <f t="shared" si="2"/>
        <v>0</v>
      </c>
    </row>
    <row r="85" spans="2:6" ht="12.75" customHeight="1" x14ac:dyDescent="0.25">
      <c r="B85" s="194">
        <f>'Discount Rates &amp; Assumptions'!A78</f>
        <v>73</v>
      </c>
      <c r="C85" s="195">
        <f>'Discount Rates &amp; Assumptions'!C78</f>
        <v>9.9951391326612155E-2</v>
      </c>
      <c r="D85" s="201"/>
      <c r="E85" s="196"/>
      <c r="F85" s="197">
        <f t="shared" si="2"/>
        <v>0</v>
      </c>
    </row>
    <row r="86" spans="2:6" ht="12.75" customHeight="1" x14ac:dyDescent="0.25">
      <c r="B86" s="194">
        <f>'Discount Rates &amp; Assumptions'!A79</f>
        <v>74</v>
      </c>
      <c r="C86" s="195">
        <f>'Discount Rates &amp; Assumptions'!C79</f>
        <v>9.7040185753992383E-2</v>
      </c>
      <c r="D86" s="201"/>
      <c r="E86" s="196"/>
      <c r="F86" s="197">
        <f t="shared" si="2"/>
        <v>0</v>
      </c>
    </row>
    <row r="87" spans="2:6" ht="12.75" customHeight="1" x14ac:dyDescent="0.25">
      <c r="B87" s="194">
        <f>'Discount Rates &amp; Assumptions'!A80</f>
        <v>75</v>
      </c>
      <c r="C87" s="195">
        <f>'Discount Rates &amp; Assumptions'!C80</f>
        <v>9.4213772576691626E-2</v>
      </c>
      <c r="D87" s="201"/>
      <c r="E87" s="196"/>
      <c r="F87" s="197">
        <f t="shared" si="2"/>
        <v>0</v>
      </c>
    </row>
    <row r="88" spans="2:6" ht="12.75" customHeight="1" x14ac:dyDescent="0.25">
      <c r="B88" s="194">
        <f>'Discount Rates &amp; Assumptions'!A81</f>
        <v>76</v>
      </c>
      <c r="C88" s="195">
        <f>'Discount Rates &amp; Assumptions'!C81</f>
        <v>9.1915875684577208E-2</v>
      </c>
      <c r="D88" s="201"/>
      <c r="E88" s="196"/>
      <c r="F88" s="197">
        <f t="shared" si="2"/>
        <v>0</v>
      </c>
    </row>
    <row r="89" spans="2:6" ht="12.75" customHeight="1" x14ac:dyDescent="0.25">
      <c r="B89" s="194">
        <f>'Discount Rates &amp; Assumptions'!A82</f>
        <v>77</v>
      </c>
      <c r="C89" s="195">
        <f>'Discount Rates &amp; Assumptions'!C82</f>
        <v>8.9674025058124107E-2</v>
      </c>
      <c r="D89" s="201"/>
      <c r="E89" s="196"/>
      <c r="F89" s="197">
        <f t="shared" si="2"/>
        <v>0</v>
      </c>
    </row>
    <row r="90" spans="2:6" ht="12.75" customHeight="1" x14ac:dyDescent="0.25">
      <c r="B90" s="194">
        <f>'Discount Rates &amp; Assumptions'!A83</f>
        <v>78</v>
      </c>
      <c r="C90" s="195">
        <f>'Discount Rates &amp; Assumptions'!C83</f>
        <v>8.7486853715243035E-2</v>
      </c>
      <c r="D90" s="201"/>
      <c r="E90" s="196"/>
      <c r="F90" s="197">
        <f t="shared" si="2"/>
        <v>0</v>
      </c>
    </row>
    <row r="91" spans="2:6" ht="12.75" customHeight="1" x14ac:dyDescent="0.25">
      <c r="B91" s="194">
        <f>'Discount Rates &amp; Assumptions'!A84</f>
        <v>79</v>
      </c>
      <c r="C91" s="195">
        <f>'Discount Rates &amp; Assumptions'!C84</f>
        <v>8.5353028014871254E-2</v>
      </c>
      <c r="D91" s="201"/>
      <c r="E91" s="196"/>
      <c r="F91" s="197">
        <f t="shared" si="2"/>
        <v>0</v>
      </c>
    </row>
    <row r="92" spans="2:6" ht="12.75" customHeight="1" x14ac:dyDescent="0.25">
      <c r="B92" s="194">
        <f>'Discount Rates &amp; Assumptions'!A85</f>
        <v>80</v>
      </c>
      <c r="C92" s="195">
        <f>'Discount Rates &amp; Assumptions'!C85</f>
        <v>8.3271246843776847E-2</v>
      </c>
      <c r="D92" s="201"/>
      <c r="E92" s="196"/>
      <c r="F92" s="197">
        <f t="shared" si="2"/>
        <v>0</v>
      </c>
    </row>
    <row r="93" spans="2:6" ht="12.75" customHeight="1" x14ac:dyDescent="0.25">
      <c r="B93" s="194">
        <f>'Discount Rates &amp; Assumptions'!A86</f>
        <v>81</v>
      </c>
      <c r="C93" s="195">
        <f>'Discount Rates &amp; Assumptions'!C86</f>
        <v>8.1240240823196933E-2</v>
      </c>
      <c r="D93" s="201"/>
      <c r="E93" s="196"/>
      <c r="F93" s="197">
        <f t="shared" si="2"/>
        <v>0</v>
      </c>
    </row>
    <row r="94" spans="2:6" ht="12.75" customHeight="1" x14ac:dyDescent="0.25">
      <c r="B94" s="194">
        <f>'Discount Rates &amp; Assumptions'!A87</f>
        <v>82</v>
      </c>
      <c r="C94" s="195">
        <f>'Discount Rates &amp; Assumptions'!C87</f>
        <v>7.9258771534826286E-2</v>
      </c>
      <c r="D94" s="201"/>
      <c r="E94" s="196"/>
      <c r="F94" s="197">
        <f t="shared" si="2"/>
        <v>0</v>
      </c>
    </row>
    <row r="95" spans="2:6" ht="12.75" customHeight="1" x14ac:dyDescent="0.25">
      <c r="B95" s="194">
        <f>'Discount Rates &amp; Assumptions'!A88</f>
        <v>83</v>
      </c>
      <c r="C95" s="195">
        <f>'Discount Rates &amp; Assumptions'!C88</f>
        <v>7.7325630765684189E-2</v>
      </c>
      <c r="D95" s="201"/>
      <c r="E95" s="196"/>
      <c r="F95" s="197">
        <f t="shared" si="2"/>
        <v>0</v>
      </c>
    </row>
    <row r="96" spans="2:6" ht="12.75" customHeight="1" x14ac:dyDescent="0.25">
      <c r="B96" s="194">
        <f>'Discount Rates &amp; Assumptions'!A89</f>
        <v>84</v>
      </c>
      <c r="C96" s="195">
        <f>'Discount Rates &amp; Assumptions'!C89</f>
        <v>7.5439639771399211E-2</v>
      </c>
      <c r="D96" s="201"/>
      <c r="E96" s="196"/>
      <c r="F96" s="197">
        <f t="shared" si="2"/>
        <v>0</v>
      </c>
    </row>
    <row r="97" spans="2:6" ht="12.75" customHeight="1" x14ac:dyDescent="0.25">
      <c r="B97" s="194">
        <f>'Discount Rates &amp; Assumptions'!A90</f>
        <v>85</v>
      </c>
      <c r="C97" s="195">
        <f>'Discount Rates &amp; Assumptions'!C90</f>
        <v>7.3599648557462649E-2</v>
      </c>
      <c r="D97" s="201"/>
      <c r="E97" s="196"/>
      <c r="F97" s="197">
        <f t="shared" si="2"/>
        <v>0</v>
      </c>
    </row>
    <row r="98" spans="2:6" ht="12.75" customHeight="1" x14ac:dyDescent="0.25">
      <c r="B98" s="194">
        <f>'Discount Rates &amp; Assumptions'!A91</f>
        <v>86</v>
      </c>
      <c r="C98" s="195">
        <f>'Discount Rates &amp; Assumptions'!C91</f>
        <v>7.1804535178012344E-2</v>
      </c>
      <c r="D98" s="201"/>
      <c r="E98" s="196"/>
      <c r="F98" s="197">
        <f t="shared" si="2"/>
        <v>0</v>
      </c>
    </row>
    <row r="99" spans="2:6" ht="12.75" customHeight="1" x14ac:dyDescent="0.25">
      <c r="B99" s="194">
        <f>'Discount Rates &amp; Assumptions'!A92</f>
        <v>87</v>
      </c>
      <c r="C99" s="195">
        <f>'Discount Rates &amp; Assumptions'!C92</f>
        <v>7.0053205051719372E-2</v>
      </c>
      <c r="D99" s="201"/>
      <c r="E99" s="196"/>
      <c r="F99" s="197">
        <f t="shared" si="2"/>
        <v>0</v>
      </c>
    </row>
    <row r="100" spans="2:6" ht="12.75" customHeight="1" x14ac:dyDescent="0.25">
      <c r="B100" s="194">
        <f>'Discount Rates &amp; Assumptions'!A93</f>
        <v>88</v>
      </c>
      <c r="C100" s="195">
        <f>'Discount Rates &amp; Assumptions'!C93</f>
        <v>6.8344590294360366E-2</v>
      </c>
      <c r="D100" s="201"/>
      <c r="E100" s="196"/>
      <c r="F100" s="197">
        <f t="shared" si="2"/>
        <v>0</v>
      </c>
    </row>
    <row r="101" spans="2:6" ht="12.75" customHeight="1" x14ac:dyDescent="0.25">
      <c r="B101" s="194">
        <f>'Discount Rates &amp; Assumptions'!A94</f>
        <v>89</v>
      </c>
      <c r="C101" s="195">
        <f>'Discount Rates &amp; Assumptions'!C94</f>
        <v>6.6677649067668654E-2</v>
      </c>
      <c r="D101" s="201"/>
      <c r="E101" s="196"/>
      <c r="F101" s="197">
        <f t="shared" si="2"/>
        <v>0</v>
      </c>
    </row>
    <row r="102" spans="2:6" ht="12.75" customHeight="1" x14ac:dyDescent="0.25">
      <c r="B102" s="194">
        <f>'Discount Rates &amp; Assumptions'!A95</f>
        <v>90</v>
      </c>
      <c r="C102" s="195">
        <f>'Discount Rates &amp; Assumptions'!C95</f>
        <v>6.5051364944066992E-2</v>
      </c>
      <c r="D102" s="201"/>
      <c r="E102" s="196"/>
      <c r="F102" s="197">
        <f t="shared" si="2"/>
        <v>0</v>
      </c>
    </row>
    <row r="103" spans="2:6" ht="12.75" customHeight="1" x14ac:dyDescent="0.25">
      <c r="B103" s="194">
        <f>'Discount Rates &amp; Assumptions'!A96</f>
        <v>91</v>
      </c>
      <c r="C103" s="195">
        <f>'Discount Rates &amp; Assumptions'!C96</f>
        <v>6.3464746286894635E-2</v>
      </c>
      <c r="D103" s="201"/>
      <c r="E103" s="196"/>
      <c r="F103" s="197">
        <f t="shared" si="2"/>
        <v>0</v>
      </c>
    </row>
    <row r="104" spans="2:6" ht="12.75" customHeight="1" x14ac:dyDescent="0.25">
      <c r="B104" s="194">
        <f>'Discount Rates &amp; Assumptions'!A97</f>
        <v>92</v>
      </c>
      <c r="C104" s="195">
        <f>'Discount Rates &amp; Assumptions'!C97</f>
        <v>6.1916825645750871E-2</v>
      </c>
      <c r="D104" s="201"/>
      <c r="E104" s="196"/>
      <c r="F104" s="197">
        <f t="shared" si="2"/>
        <v>0</v>
      </c>
    </row>
    <row r="105" spans="2:6" ht="12.75" customHeight="1" x14ac:dyDescent="0.25">
      <c r="B105" s="194">
        <f>'Discount Rates &amp; Assumptions'!A98</f>
        <v>93</v>
      </c>
      <c r="C105" s="195">
        <f>'Discount Rates &amp; Assumptions'!C98</f>
        <v>6.0406659166586218E-2</v>
      </c>
      <c r="D105" s="201"/>
      <c r="E105" s="196"/>
      <c r="F105" s="197">
        <f t="shared" si="2"/>
        <v>0</v>
      </c>
    </row>
    <row r="106" spans="2:6" ht="12.75" customHeight="1" x14ac:dyDescent="0.25">
      <c r="B106" s="194">
        <f>'Discount Rates &amp; Assumptions'!A99</f>
        <v>94</v>
      </c>
      <c r="C106" s="195">
        <f>'Discount Rates &amp; Assumptions'!C99</f>
        <v>5.8933326016181682E-2</v>
      </c>
      <c r="D106" s="201"/>
      <c r="E106" s="196"/>
      <c r="F106" s="197">
        <f t="shared" si="2"/>
        <v>0</v>
      </c>
    </row>
    <row r="107" spans="2:6" ht="12.75" customHeight="1" x14ac:dyDescent="0.25">
      <c r="B107" s="194">
        <f>'Discount Rates &amp; Assumptions'!A100</f>
        <v>95</v>
      </c>
      <c r="C107" s="195">
        <f>'Discount Rates &amp; Assumptions'!C100</f>
        <v>5.7495927820665059E-2</v>
      </c>
      <c r="D107" s="201"/>
      <c r="E107" s="196"/>
      <c r="F107" s="197">
        <f t="shared" si="2"/>
        <v>0</v>
      </c>
    </row>
    <row r="108" spans="2:6" ht="12.75" customHeight="1" x14ac:dyDescent="0.25">
      <c r="B108" s="194">
        <f>'Discount Rates &amp; Assumptions'!A101</f>
        <v>96</v>
      </c>
      <c r="C108" s="195">
        <f>'Discount Rates &amp; Assumptions'!C101</f>
        <v>5.6093588117722012E-2</v>
      </c>
      <c r="D108" s="201"/>
      <c r="E108" s="196"/>
      <c r="F108" s="197">
        <f t="shared" si="2"/>
        <v>0</v>
      </c>
    </row>
    <row r="109" spans="2:6" ht="12.75" customHeight="1" x14ac:dyDescent="0.25">
      <c r="B109" s="194">
        <f>'Discount Rates &amp; Assumptions'!A102</f>
        <v>97</v>
      </c>
      <c r="C109" s="195">
        <f>'Discount Rates &amp; Assumptions'!C102</f>
        <v>5.4725451822167821E-2</v>
      </c>
      <c r="D109" s="201"/>
      <c r="E109" s="196"/>
      <c r="F109" s="197">
        <f t="shared" si="2"/>
        <v>0</v>
      </c>
    </row>
    <row r="110" spans="2:6" ht="12.75" customHeight="1" x14ac:dyDescent="0.25">
      <c r="B110" s="194">
        <f>'Discount Rates &amp; Assumptions'!A103</f>
        <v>98</v>
      </c>
      <c r="C110" s="195">
        <f>'Discount Rates &amp; Assumptions'!C103</f>
        <v>5.3390684704553978E-2</v>
      </c>
      <c r="D110" s="201"/>
      <c r="E110" s="196"/>
      <c r="F110" s="197">
        <f t="shared" si="2"/>
        <v>0</v>
      </c>
    </row>
    <row r="111" spans="2:6" ht="12.75" customHeight="1" x14ac:dyDescent="0.25">
      <c r="B111" s="194">
        <f>'Discount Rates &amp; Assumptions'!A104</f>
        <v>99</v>
      </c>
      <c r="C111" s="195">
        <f>'Discount Rates &amp; Assumptions'!C104</f>
        <v>5.2088472882491688E-2</v>
      </c>
      <c r="D111" s="201"/>
      <c r="E111" s="196"/>
      <c r="F111" s="197">
        <f t="shared" si="2"/>
        <v>0</v>
      </c>
    </row>
    <row r="112" spans="2:6" ht="12.75" customHeight="1" x14ac:dyDescent="0.2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Q107"/>
  <sheetViews>
    <sheetView topLeftCell="C7" zoomScale="55" zoomScaleNormal="55" workbookViewId="0">
      <selection activeCell="R14" sqref="R14"/>
    </sheetView>
  </sheetViews>
  <sheetFormatPr defaultColWidth="8.90625" defaultRowHeight="15" x14ac:dyDescent="0.25"/>
  <cols>
    <col min="1" max="1" width="8.90625" style="2"/>
    <col min="2" max="2" width="10.90625" style="2" bestFit="1" customWidth="1"/>
    <col min="3" max="3" width="11.54296875" style="15" customWidth="1"/>
    <col min="4" max="4" width="9.90625" style="2" customWidth="1"/>
    <col min="5" max="5" width="8.90625" style="2"/>
    <col min="6" max="6" width="14.36328125" style="2" customWidth="1"/>
    <col min="7" max="7" width="13.54296875" style="2" customWidth="1"/>
    <col min="8" max="8" width="8.81640625" style="2" customWidth="1"/>
    <col min="9" max="9" width="10.1796875" style="2" customWidth="1"/>
    <col min="10" max="10" width="12.81640625" style="2" customWidth="1"/>
    <col min="11" max="11" width="8.81640625" style="2" customWidth="1"/>
    <col min="12" max="12" width="8.90625" style="2"/>
    <col min="13" max="13" width="10" style="2" bestFit="1" customWidth="1"/>
    <col min="14" max="16384" width="8.90625" style="2"/>
  </cols>
  <sheetData>
    <row r="1" spans="1:13" ht="17.399999999999999" x14ac:dyDescent="0.3">
      <c r="A1" s="5"/>
      <c r="F1" s="5"/>
    </row>
    <row r="3" spans="1:13" ht="15.6" x14ac:dyDescent="0.3">
      <c r="A3" s="8" t="s">
        <v>58</v>
      </c>
      <c r="F3" s="8" t="s">
        <v>48</v>
      </c>
    </row>
    <row r="4" spans="1:13" ht="15.6" x14ac:dyDescent="0.3">
      <c r="A4" s="3" t="s">
        <v>59</v>
      </c>
      <c r="B4" s="3" t="s">
        <v>60</v>
      </c>
      <c r="C4" s="33" t="s">
        <v>61</v>
      </c>
      <c r="D4" s="3" t="s">
        <v>62</v>
      </c>
      <c r="F4" s="2" t="s">
        <v>36</v>
      </c>
    </row>
    <row r="5" spans="1:13" x14ac:dyDescent="0.25">
      <c r="A5" s="9">
        <v>0</v>
      </c>
      <c r="B5" s="16">
        <v>3.5000000000000003E-2</v>
      </c>
      <c r="C5" s="34">
        <f>1/((1+B5)^A5)</f>
        <v>1</v>
      </c>
      <c r="D5" s="15">
        <f>C5</f>
        <v>1</v>
      </c>
      <c r="H5" s="2" t="s">
        <v>37</v>
      </c>
      <c r="K5" s="14">
        <v>5</v>
      </c>
    </row>
    <row r="6" spans="1:13" x14ac:dyDescent="0.25">
      <c r="A6" s="9">
        <v>1</v>
      </c>
      <c r="B6" s="16">
        <v>3.5000000000000003E-2</v>
      </c>
      <c r="C6" s="34">
        <f t="shared" ref="C6:C37" si="0">C5/(1+B6)</f>
        <v>0.96618357487922713</v>
      </c>
      <c r="D6" s="15">
        <f t="shared" ref="D6:D37" si="1">D5+C6</f>
        <v>1.9661835748792271</v>
      </c>
      <c r="H6" s="2" t="s">
        <v>38</v>
      </c>
      <c r="K6" s="14">
        <v>18</v>
      </c>
    </row>
    <row r="7" spans="1:13" x14ac:dyDescent="0.25">
      <c r="A7" s="9">
        <v>2</v>
      </c>
      <c r="B7" s="16">
        <v>3.5000000000000003E-2</v>
      </c>
      <c r="C7" s="34">
        <f t="shared" si="0"/>
        <v>0.93351070036640305</v>
      </c>
      <c r="D7" s="15">
        <f t="shared" si="1"/>
        <v>2.8996942752456301</v>
      </c>
    </row>
    <row r="8" spans="1:13" x14ac:dyDescent="0.25">
      <c r="A8" s="9">
        <v>3</v>
      </c>
      <c r="B8" s="16">
        <v>3.5000000000000003E-2</v>
      </c>
      <c r="C8" s="34">
        <f t="shared" si="0"/>
        <v>0.90194270566802237</v>
      </c>
      <c r="D8" s="15">
        <f t="shared" si="1"/>
        <v>3.8016369809136523</v>
      </c>
      <c r="F8" s="2" t="s">
        <v>32</v>
      </c>
    </row>
    <row r="9" spans="1:13" x14ac:dyDescent="0.25">
      <c r="A9" s="9">
        <v>4</v>
      </c>
      <c r="B9" s="16">
        <v>3.5000000000000003E-2</v>
      </c>
      <c r="C9" s="34">
        <f t="shared" si="0"/>
        <v>0.87144222769857238</v>
      </c>
      <c r="D9" s="15">
        <f t="shared" si="1"/>
        <v>4.6730792086122248</v>
      </c>
      <c r="H9" s="2" t="s">
        <v>35</v>
      </c>
      <c r="K9" s="14">
        <v>2.25</v>
      </c>
    </row>
    <row r="10" spans="1:13" x14ac:dyDescent="0.25">
      <c r="A10" s="9">
        <v>5</v>
      </c>
      <c r="B10" s="16">
        <v>3.5000000000000003E-2</v>
      </c>
      <c r="C10" s="34">
        <f t="shared" si="0"/>
        <v>0.84197316685852408</v>
      </c>
      <c r="D10" s="15">
        <f t="shared" si="1"/>
        <v>5.5150523754707486</v>
      </c>
      <c r="H10" s="2" t="s">
        <v>33</v>
      </c>
      <c r="K10" s="14">
        <v>1.5</v>
      </c>
    </row>
    <row r="11" spans="1:13" x14ac:dyDescent="0.25">
      <c r="A11" s="9">
        <v>6</v>
      </c>
      <c r="B11" s="16">
        <v>3.5000000000000003E-2</v>
      </c>
      <c r="C11" s="34">
        <f t="shared" si="0"/>
        <v>0.81350064430775282</v>
      </c>
      <c r="D11" s="15">
        <f t="shared" si="1"/>
        <v>6.3285530197785018</v>
      </c>
      <c r="H11" s="2" t="s">
        <v>34</v>
      </c>
      <c r="K11" s="14">
        <v>1</v>
      </c>
    </row>
    <row r="12" spans="1:13" x14ac:dyDescent="0.25">
      <c r="A12" s="9">
        <v>7</v>
      </c>
      <c r="B12" s="16">
        <v>3.5000000000000003E-2</v>
      </c>
      <c r="C12" s="34">
        <f t="shared" si="0"/>
        <v>0.78599096068381924</v>
      </c>
      <c r="D12" s="15">
        <f t="shared" si="1"/>
        <v>7.1145439804623214</v>
      </c>
    </row>
    <row r="13" spans="1:13" x14ac:dyDescent="0.25">
      <c r="A13" s="9">
        <v>8</v>
      </c>
      <c r="B13" s="16">
        <v>3.5000000000000003E-2</v>
      </c>
      <c r="C13" s="34">
        <f t="shared" si="0"/>
        <v>0.75941155621625056</v>
      </c>
      <c r="D13" s="15">
        <f t="shared" si="1"/>
        <v>7.8739555366785723</v>
      </c>
      <c r="F13" s="2" t="s">
        <v>72</v>
      </c>
    </row>
    <row r="14" spans="1:13" x14ac:dyDescent="0.25">
      <c r="A14" s="9">
        <v>9</v>
      </c>
      <c r="B14" s="16">
        <v>3.5000000000000003E-2</v>
      </c>
      <c r="C14" s="34">
        <f t="shared" si="0"/>
        <v>0.73373097218961414</v>
      </c>
      <c r="D14" s="15">
        <f t="shared" si="1"/>
        <v>8.607686508868186</v>
      </c>
      <c r="J14" s="6" t="s">
        <v>87</v>
      </c>
      <c r="K14" s="20">
        <v>15000</v>
      </c>
      <c r="M14" s="4"/>
    </row>
    <row r="15" spans="1:13" x14ac:dyDescent="0.25">
      <c r="A15" s="9">
        <v>10</v>
      </c>
      <c r="B15" s="16">
        <v>3.5000000000000003E-2</v>
      </c>
      <c r="C15" s="34">
        <f t="shared" si="0"/>
        <v>0.70891881370977217</v>
      </c>
      <c r="D15" s="15">
        <f t="shared" si="1"/>
        <v>9.3166053225779581</v>
      </c>
      <c r="J15" s="6" t="s">
        <v>86</v>
      </c>
      <c r="K15" s="20">
        <v>50000</v>
      </c>
      <c r="M15" s="4"/>
    </row>
    <row r="16" spans="1:13" x14ac:dyDescent="0.25">
      <c r="A16" s="9">
        <v>11</v>
      </c>
      <c r="B16" s="16">
        <v>3.5000000000000003E-2</v>
      </c>
      <c r="C16" s="34">
        <f t="shared" si="0"/>
        <v>0.68494571372924851</v>
      </c>
      <c r="D16" s="15">
        <f t="shared" si="1"/>
        <v>10.001551036307207</v>
      </c>
      <c r="J16" s="6" t="s">
        <v>85</v>
      </c>
      <c r="K16" s="20">
        <v>80000</v>
      </c>
      <c r="L16" s="6"/>
      <c r="M16" s="23"/>
    </row>
    <row r="17" spans="1:17" x14ac:dyDescent="0.25">
      <c r="A17" s="9">
        <v>12</v>
      </c>
      <c r="B17" s="16">
        <v>3.5000000000000003E-2</v>
      </c>
      <c r="C17" s="34">
        <f t="shared" si="0"/>
        <v>0.66178329828912907</v>
      </c>
      <c r="D17" s="15">
        <f t="shared" si="1"/>
        <v>10.663334334596335</v>
      </c>
      <c r="M17" s="4"/>
    </row>
    <row r="18" spans="1:17" ht="15.6" x14ac:dyDescent="0.3">
      <c r="A18" s="9">
        <v>13</v>
      </c>
      <c r="B18" s="16">
        <v>3.5000000000000003E-2</v>
      </c>
      <c r="C18" s="34">
        <f t="shared" si="0"/>
        <v>0.63940415293635666</v>
      </c>
      <c r="D18" s="15">
        <f t="shared" si="1"/>
        <v>11.302738487532691</v>
      </c>
      <c r="F18" s="8" t="s">
        <v>49</v>
      </c>
    </row>
    <row r="19" spans="1:17" ht="15.6" x14ac:dyDescent="0.3">
      <c r="A19" s="9">
        <v>14</v>
      </c>
      <c r="B19" s="16">
        <v>3.5000000000000003E-2</v>
      </c>
      <c r="C19" s="34">
        <f t="shared" si="0"/>
        <v>0.61778179027667313</v>
      </c>
      <c r="D19" s="15">
        <f t="shared" si="1"/>
        <v>11.920520277809365</v>
      </c>
      <c r="F19" s="2" t="s">
        <v>103</v>
      </c>
    </row>
    <row r="20" spans="1:17" x14ac:dyDescent="0.25">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5">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5">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5">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5">
      <c r="A24" s="9">
        <v>19</v>
      </c>
      <c r="B24" s="16">
        <v>3.5000000000000003E-2</v>
      </c>
      <c r="C24" s="34">
        <f t="shared" si="0"/>
        <v>0.520155690386779</v>
      </c>
      <c r="D24" s="15">
        <f t="shared" si="1"/>
        <v>14.70983741752063</v>
      </c>
    </row>
    <row r="25" spans="1:17" ht="15.6" x14ac:dyDescent="0.3">
      <c r="A25" s="9">
        <v>20</v>
      </c>
      <c r="B25" s="16">
        <v>3.5000000000000003E-2</v>
      </c>
      <c r="C25" s="34">
        <f t="shared" si="0"/>
        <v>0.50256588443167061</v>
      </c>
      <c r="D25" s="15">
        <f t="shared" si="1"/>
        <v>15.2124033019523</v>
      </c>
      <c r="F25" s="1" t="s">
        <v>94</v>
      </c>
      <c r="I25" s="8"/>
    </row>
    <row r="26" spans="1:17" ht="15" customHeight="1" x14ac:dyDescent="0.3">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5">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5">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5">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5">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ht="15.6" x14ac:dyDescent="0.25">
      <c r="A31" s="9">
        <v>26</v>
      </c>
      <c r="B31" s="16">
        <v>3.5000000000000003E-2</v>
      </c>
      <c r="C31" s="34">
        <f t="shared" si="0"/>
        <v>0.40883767079225974</v>
      </c>
      <c r="D31" s="15">
        <f t="shared" si="1"/>
        <v>17.890352263078331</v>
      </c>
      <c r="I31" s="13"/>
      <c r="J31" s="12"/>
      <c r="K31" s="12"/>
      <c r="L31" s="12"/>
      <c r="M31" s="12"/>
      <c r="O31" s="272"/>
      <c r="P31" s="272"/>
      <c r="Q31" s="272"/>
    </row>
    <row r="32" spans="1:17" ht="15.6" x14ac:dyDescent="0.25">
      <c r="A32" s="9">
        <v>27</v>
      </c>
      <c r="B32" s="16">
        <v>3.5000000000000003E-2</v>
      </c>
      <c r="C32" s="34">
        <f t="shared" si="0"/>
        <v>0.39501224231136212</v>
      </c>
      <c r="D32" s="15">
        <f t="shared" si="1"/>
        <v>18.285364505389694</v>
      </c>
      <c r="I32" s="13"/>
      <c r="J32" s="38" t="s">
        <v>127</v>
      </c>
      <c r="K32" s="36">
        <v>30000</v>
      </c>
      <c r="L32" s="12"/>
      <c r="M32" s="37"/>
      <c r="O32" s="76"/>
      <c r="P32" s="76"/>
      <c r="Q32" s="76"/>
    </row>
    <row r="33" spans="1:17" ht="15.6" x14ac:dyDescent="0.25">
      <c r="A33" s="9">
        <v>28</v>
      </c>
      <c r="B33" s="16">
        <v>3.5000000000000003E-2</v>
      </c>
      <c r="C33" s="34">
        <f t="shared" si="0"/>
        <v>0.38165434039745133</v>
      </c>
      <c r="D33" s="15">
        <f t="shared" si="1"/>
        <v>18.667018845787144</v>
      </c>
      <c r="I33" s="13"/>
      <c r="J33" s="12"/>
      <c r="K33" s="12"/>
      <c r="L33" s="12"/>
      <c r="M33" s="12"/>
      <c r="O33" s="76"/>
      <c r="P33" s="76"/>
      <c r="Q33" s="76"/>
    </row>
    <row r="34" spans="1:17" ht="15.6" x14ac:dyDescent="0.3">
      <c r="A34" s="9">
        <v>29</v>
      </c>
      <c r="B34" s="16">
        <v>3.5000000000000003E-2</v>
      </c>
      <c r="C34" s="34">
        <f t="shared" si="0"/>
        <v>0.36874815497338298</v>
      </c>
      <c r="D34" s="15">
        <f t="shared" si="1"/>
        <v>19.035767000760526</v>
      </c>
      <c r="F34" s="8" t="s">
        <v>53</v>
      </c>
      <c r="I34" s="10"/>
      <c r="J34" s="10"/>
      <c r="K34" s="10"/>
    </row>
    <row r="35" spans="1:17" x14ac:dyDescent="0.25">
      <c r="A35" s="9">
        <v>30</v>
      </c>
      <c r="B35" s="16">
        <v>3.5000000000000003E-2</v>
      </c>
      <c r="C35" s="34">
        <f t="shared" si="0"/>
        <v>0.35627841060230242</v>
      </c>
      <c r="D35" s="15">
        <f t="shared" si="1"/>
        <v>19.39204541136283</v>
      </c>
      <c r="F35" s="2" t="s">
        <v>43</v>
      </c>
      <c r="K35" s="21">
        <v>6000</v>
      </c>
    </row>
    <row r="36" spans="1:17" x14ac:dyDescent="0.25">
      <c r="A36" s="9">
        <v>31</v>
      </c>
      <c r="B36" s="16">
        <v>0.03</v>
      </c>
      <c r="C36" s="34">
        <f t="shared" si="0"/>
        <v>0.34590136951679845</v>
      </c>
      <c r="D36" s="15">
        <f t="shared" si="1"/>
        <v>19.737946780879629</v>
      </c>
    </row>
    <row r="37" spans="1:17" x14ac:dyDescent="0.25">
      <c r="A37" s="9">
        <v>32</v>
      </c>
      <c r="B37" s="16">
        <v>0.03</v>
      </c>
      <c r="C37" s="34">
        <f t="shared" si="0"/>
        <v>0.33582657234640628</v>
      </c>
      <c r="D37" s="15">
        <f t="shared" si="1"/>
        <v>20.073773353226034</v>
      </c>
      <c r="F37" s="2" t="s">
        <v>44</v>
      </c>
    </row>
    <row r="38" spans="1:17" x14ac:dyDescent="0.25">
      <c r="A38" s="9">
        <v>33</v>
      </c>
      <c r="B38" s="16">
        <v>0.03</v>
      </c>
      <c r="C38" s="34">
        <f t="shared" ref="C38:C69" si="2">C37/(1+B38)</f>
        <v>0.32604521587029733</v>
      </c>
      <c r="D38" s="15">
        <f t="shared" ref="D38:D69" si="3">D37+C38</f>
        <v>20.399818569096333</v>
      </c>
      <c r="H38" s="2" t="s">
        <v>45</v>
      </c>
      <c r="K38" s="14">
        <v>20</v>
      </c>
      <c r="L38" s="2" t="s">
        <v>47</v>
      </c>
    </row>
    <row r="39" spans="1:17" x14ac:dyDescent="0.25">
      <c r="A39" s="9">
        <v>34</v>
      </c>
      <c r="B39" s="16">
        <v>0.03</v>
      </c>
      <c r="C39" s="34">
        <f t="shared" si="2"/>
        <v>0.31654875327213333</v>
      </c>
      <c r="D39" s="15">
        <f t="shared" si="3"/>
        <v>20.716367322368466</v>
      </c>
      <c r="H39" s="2" t="s">
        <v>46</v>
      </c>
      <c r="K39" s="14">
        <v>50</v>
      </c>
      <c r="L39" s="2" t="s">
        <v>47</v>
      </c>
    </row>
    <row r="40" spans="1:17" x14ac:dyDescent="0.25">
      <c r="A40" s="9">
        <v>35</v>
      </c>
      <c r="B40" s="16">
        <v>0.03</v>
      </c>
      <c r="C40" s="34">
        <f t="shared" si="2"/>
        <v>0.30732888667197411</v>
      </c>
      <c r="D40" s="15">
        <f t="shared" si="3"/>
        <v>21.023696209040441</v>
      </c>
    </row>
    <row r="41" spans="1:17" ht="15.6" x14ac:dyDescent="0.3">
      <c r="A41" s="9">
        <v>36</v>
      </c>
      <c r="B41" s="16">
        <v>0.03</v>
      </c>
      <c r="C41" s="34">
        <f t="shared" si="2"/>
        <v>0.29837755987570302</v>
      </c>
      <c r="D41" s="15">
        <f t="shared" si="3"/>
        <v>21.322073768916145</v>
      </c>
      <c r="F41" s="8" t="s">
        <v>50</v>
      </c>
    </row>
    <row r="42" spans="1:17" x14ac:dyDescent="0.25">
      <c r="A42" s="9">
        <v>37</v>
      </c>
      <c r="B42" s="16">
        <v>0.03</v>
      </c>
      <c r="C42" s="34">
        <f t="shared" si="2"/>
        <v>0.28968695133563399</v>
      </c>
      <c r="D42" s="15">
        <f t="shared" si="3"/>
        <v>21.61176072025178</v>
      </c>
      <c r="F42" s="2" t="s">
        <v>5</v>
      </c>
      <c r="J42" s="22">
        <v>1.2</v>
      </c>
    </row>
    <row r="43" spans="1:17" x14ac:dyDescent="0.25">
      <c r="A43" s="9">
        <v>38</v>
      </c>
      <c r="B43" s="16">
        <v>0.03</v>
      </c>
      <c r="C43" s="34">
        <f t="shared" si="2"/>
        <v>0.28124946731614953</v>
      </c>
      <c r="D43" s="15">
        <f t="shared" si="3"/>
        <v>21.893010187567931</v>
      </c>
      <c r="F43" s="2" t="s">
        <v>6</v>
      </c>
      <c r="J43" s="22">
        <v>1</v>
      </c>
    </row>
    <row r="44" spans="1:17" x14ac:dyDescent="0.25">
      <c r="A44" s="9">
        <v>39</v>
      </c>
      <c r="B44" s="16">
        <v>0.03</v>
      </c>
      <c r="C44" s="34">
        <f t="shared" si="2"/>
        <v>0.2730577352583976</v>
      </c>
      <c r="D44" s="15">
        <f t="shared" si="3"/>
        <v>22.166067922826329</v>
      </c>
    </row>
    <row r="45" spans="1:17" ht="15.6" x14ac:dyDescent="0.3">
      <c r="A45" s="9">
        <v>40</v>
      </c>
      <c r="B45" s="16">
        <v>0.03</v>
      </c>
      <c r="C45" s="34">
        <f t="shared" si="2"/>
        <v>0.26510459733825009</v>
      </c>
      <c r="D45" s="15">
        <f t="shared" si="3"/>
        <v>22.43117252016458</v>
      </c>
      <c r="F45" s="8" t="s">
        <v>93</v>
      </c>
    </row>
    <row r="46" spans="1:17" x14ac:dyDescent="0.25">
      <c r="A46" s="9">
        <v>41</v>
      </c>
      <c r="B46" s="16">
        <v>0.03</v>
      </c>
      <c r="C46" s="34">
        <f t="shared" si="2"/>
        <v>0.25738310421189331</v>
      </c>
      <c r="D46" s="15">
        <f t="shared" si="3"/>
        <v>22.688555624376473</v>
      </c>
    </row>
    <row r="47" spans="1:17" x14ac:dyDescent="0.25">
      <c r="A47" s="9">
        <v>42</v>
      </c>
      <c r="B47" s="16">
        <v>0.03</v>
      </c>
      <c r="C47" s="34">
        <f t="shared" si="2"/>
        <v>0.24988650894358574</v>
      </c>
      <c r="D47" s="15">
        <f t="shared" si="3"/>
        <v>22.938442133320059</v>
      </c>
    </row>
    <row r="48" spans="1:17" x14ac:dyDescent="0.25">
      <c r="A48" s="9">
        <v>43</v>
      </c>
      <c r="B48" s="16">
        <v>0.03</v>
      </c>
      <c r="C48" s="34">
        <f t="shared" si="2"/>
        <v>0.24260826111027742</v>
      </c>
      <c r="D48" s="15">
        <f t="shared" si="3"/>
        <v>23.181050394430336</v>
      </c>
    </row>
    <row r="49" spans="1:4" x14ac:dyDescent="0.25">
      <c r="A49" s="9">
        <v>44</v>
      </c>
      <c r="B49" s="16">
        <v>0.03</v>
      </c>
      <c r="C49" s="34">
        <f t="shared" si="2"/>
        <v>0.23554200107793924</v>
      </c>
      <c r="D49" s="15">
        <f t="shared" si="3"/>
        <v>23.416592395508275</v>
      </c>
    </row>
    <row r="50" spans="1:4" x14ac:dyDescent="0.25">
      <c r="A50" s="9">
        <v>45</v>
      </c>
      <c r="B50" s="16">
        <v>0.03</v>
      </c>
      <c r="C50" s="34">
        <f t="shared" si="2"/>
        <v>0.2286815544446012</v>
      </c>
      <c r="D50" s="15">
        <f t="shared" si="3"/>
        <v>23.645273949952877</v>
      </c>
    </row>
    <row r="51" spans="1:4" x14ac:dyDescent="0.25">
      <c r="A51" s="9">
        <v>46</v>
      </c>
      <c r="B51" s="16">
        <v>0.03</v>
      </c>
      <c r="C51" s="34">
        <f t="shared" si="2"/>
        <v>0.22202092664524387</v>
      </c>
      <c r="D51" s="15">
        <f t="shared" si="3"/>
        <v>23.86729487659812</v>
      </c>
    </row>
    <row r="52" spans="1:4" x14ac:dyDescent="0.25">
      <c r="A52" s="9">
        <v>47</v>
      </c>
      <c r="B52" s="16">
        <v>0.03</v>
      </c>
      <c r="C52" s="34">
        <f t="shared" si="2"/>
        <v>0.215554297713829</v>
      </c>
      <c r="D52" s="15">
        <f t="shared" si="3"/>
        <v>24.082849174311949</v>
      </c>
    </row>
    <row r="53" spans="1:4" x14ac:dyDescent="0.25">
      <c r="A53" s="9">
        <v>48</v>
      </c>
      <c r="B53" s="16">
        <v>0.03</v>
      </c>
      <c r="C53" s="34">
        <f t="shared" si="2"/>
        <v>0.20927601719789224</v>
      </c>
      <c r="D53" s="15">
        <f t="shared" si="3"/>
        <v>24.292125191509843</v>
      </c>
    </row>
    <row r="54" spans="1:4" x14ac:dyDescent="0.25">
      <c r="A54" s="9">
        <v>49</v>
      </c>
      <c r="B54" s="16">
        <v>0.03</v>
      </c>
      <c r="C54" s="34">
        <f t="shared" si="2"/>
        <v>0.20318059922125459</v>
      </c>
      <c r="D54" s="15">
        <f t="shared" si="3"/>
        <v>24.495305790731098</v>
      </c>
    </row>
    <row r="55" spans="1:4" ht="15.6" x14ac:dyDescent="0.3">
      <c r="A55" s="19">
        <v>50</v>
      </c>
      <c r="B55" s="17">
        <v>0.03</v>
      </c>
      <c r="C55" s="35">
        <f t="shared" si="2"/>
        <v>0.19726271769053844</v>
      </c>
      <c r="D55" s="18">
        <f t="shared" si="3"/>
        <v>24.692568508421637</v>
      </c>
    </row>
    <row r="56" spans="1:4" x14ac:dyDescent="0.25">
      <c r="A56" s="9">
        <v>51</v>
      </c>
      <c r="B56" s="16">
        <v>0.03</v>
      </c>
      <c r="C56" s="34">
        <f t="shared" si="2"/>
        <v>0.19151720164129946</v>
      </c>
      <c r="D56" s="15">
        <f t="shared" si="3"/>
        <v>24.884085710062937</v>
      </c>
    </row>
    <row r="57" spans="1:4" x14ac:dyDescent="0.25">
      <c r="A57" s="9">
        <v>52</v>
      </c>
      <c r="B57" s="16">
        <v>0.03</v>
      </c>
      <c r="C57" s="34">
        <f t="shared" si="2"/>
        <v>0.18593903071970821</v>
      </c>
      <c r="D57" s="15">
        <f t="shared" si="3"/>
        <v>25.070024740782646</v>
      </c>
    </row>
    <row r="58" spans="1:4" x14ac:dyDescent="0.25">
      <c r="A58" s="9">
        <v>53</v>
      </c>
      <c r="B58" s="16">
        <v>0.03</v>
      </c>
      <c r="C58" s="34">
        <f t="shared" si="2"/>
        <v>0.18052333079583321</v>
      </c>
      <c r="D58" s="15">
        <f t="shared" si="3"/>
        <v>25.250548071578478</v>
      </c>
    </row>
    <row r="59" spans="1:4" x14ac:dyDescent="0.25">
      <c r="A59" s="9">
        <v>54</v>
      </c>
      <c r="B59" s="16">
        <v>0.03</v>
      </c>
      <c r="C59" s="34">
        <f t="shared" si="2"/>
        <v>0.17526536970469245</v>
      </c>
      <c r="D59" s="15">
        <f t="shared" si="3"/>
        <v>25.425813441283172</v>
      </c>
    </row>
    <row r="60" spans="1:4" x14ac:dyDescent="0.25">
      <c r="A60" s="9">
        <v>55</v>
      </c>
      <c r="B60" s="16">
        <v>0.03</v>
      </c>
      <c r="C60" s="34">
        <f t="shared" si="2"/>
        <v>0.17016055311135189</v>
      </c>
      <c r="D60" s="15">
        <f t="shared" si="3"/>
        <v>25.595973994394523</v>
      </c>
    </row>
    <row r="61" spans="1:4" x14ac:dyDescent="0.25">
      <c r="A61" s="9">
        <v>56</v>
      </c>
      <c r="B61" s="16">
        <v>0.03</v>
      </c>
      <c r="C61" s="34">
        <f t="shared" si="2"/>
        <v>0.16520442049645814</v>
      </c>
      <c r="D61" s="15">
        <f t="shared" si="3"/>
        <v>25.761178414890981</v>
      </c>
    </row>
    <row r="62" spans="1:4" x14ac:dyDescent="0.25">
      <c r="A62" s="9">
        <v>57</v>
      </c>
      <c r="B62" s="16">
        <v>0.03</v>
      </c>
      <c r="C62" s="34">
        <f t="shared" si="2"/>
        <v>0.16039264125869723</v>
      </c>
      <c r="D62" s="15">
        <f t="shared" si="3"/>
        <v>25.921571056149677</v>
      </c>
    </row>
    <row r="63" spans="1:4" x14ac:dyDescent="0.25">
      <c r="A63" s="9">
        <v>58</v>
      </c>
      <c r="B63" s="16">
        <v>0.03</v>
      </c>
      <c r="C63" s="34">
        <f t="shared" si="2"/>
        <v>0.15572101093077401</v>
      </c>
      <c r="D63" s="15">
        <f t="shared" si="3"/>
        <v>26.07729206708045</v>
      </c>
    </row>
    <row r="64" spans="1:4" x14ac:dyDescent="0.25">
      <c r="A64" s="9">
        <v>59</v>
      </c>
      <c r="B64" s="16">
        <v>0.03</v>
      </c>
      <c r="C64" s="34">
        <f t="shared" si="2"/>
        <v>0.15118544750560584</v>
      </c>
      <c r="D64" s="15">
        <f t="shared" si="3"/>
        <v>26.228477514586057</v>
      </c>
    </row>
    <row r="65" spans="1:4" x14ac:dyDescent="0.25">
      <c r="A65" s="9">
        <v>60</v>
      </c>
      <c r="B65" s="16">
        <v>0.03</v>
      </c>
      <c r="C65" s="34">
        <f t="shared" si="2"/>
        <v>0.14678198786952024</v>
      </c>
      <c r="D65" s="15">
        <f t="shared" si="3"/>
        <v>26.375259502455577</v>
      </c>
    </row>
    <row r="66" spans="1:4" x14ac:dyDescent="0.25">
      <c r="A66" s="9">
        <v>61</v>
      </c>
      <c r="B66" s="16">
        <v>0.03</v>
      </c>
      <c r="C66" s="34">
        <f t="shared" si="2"/>
        <v>0.14250678433934003</v>
      </c>
      <c r="D66" s="15">
        <f t="shared" si="3"/>
        <v>26.517766286794917</v>
      </c>
    </row>
    <row r="67" spans="1:4" x14ac:dyDescent="0.25">
      <c r="A67" s="9">
        <v>62</v>
      </c>
      <c r="B67" s="16">
        <v>0.03</v>
      </c>
      <c r="C67" s="34">
        <f t="shared" si="2"/>
        <v>0.13835610130033013</v>
      </c>
      <c r="D67" s="15">
        <f t="shared" si="3"/>
        <v>26.656122388095248</v>
      </c>
    </row>
    <row r="68" spans="1:4" x14ac:dyDescent="0.25">
      <c r="A68" s="9">
        <v>63</v>
      </c>
      <c r="B68" s="16">
        <v>0.03</v>
      </c>
      <c r="C68" s="34">
        <f t="shared" si="2"/>
        <v>0.13432631194206809</v>
      </c>
      <c r="D68" s="15">
        <f t="shared" si="3"/>
        <v>26.790448700037317</v>
      </c>
    </row>
    <row r="69" spans="1:4" x14ac:dyDescent="0.25">
      <c r="A69" s="9">
        <v>64</v>
      </c>
      <c r="B69" s="16">
        <v>0.03</v>
      </c>
      <c r="C69" s="34">
        <f t="shared" si="2"/>
        <v>0.1304138950893865</v>
      </c>
      <c r="D69" s="15">
        <f t="shared" si="3"/>
        <v>26.920862595126703</v>
      </c>
    </row>
    <row r="70" spans="1:4" x14ac:dyDescent="0.25">
      <c r="A70" s="9">
        <v>65</v>
      </c>
      <c r="B70" s="16">
        <v>0.03</v>
      </c>
      <c r="C70" s="34">
        <f t="shared" ref="C70:C101" si="4">C69/(1+B70)</f>
        <v>0.12661543212561796</v>
      </c>
      <c r="D70" s="15">
        <f t="shared" ref="D70:D101" si="5">D69+C70</f>
        <v>27.047478027252321</v>
      </c>
    </row>
    <row r="71" spans="1:4" x14ac:dyDescent="0.25">
      <c r="A71" s="9">
        <v>66</v>
      </c>
      <c r="B71" s="16">
        <v>0.03</v>
      </c>
      <c r="C71" s="34">
        <f t="shared" si="4"/>
        <v>0.12292760400545433</v>
      </c>
      <c r="D71" s="15">
        <f t="shared" si="5"/>
        <v>27.170405631257776</v>
      </c>
    </row>
    <row r="72" spans="1:4" x14ac:dyDescent="0.25">
      <c r="A72" s="9">
        <v>67</v>
      </c>
      <c r="B72" s="16">
        <v>0.03</v>
      </c>
      <c r="C72" s="34">
        <f t="shared" si="4"/>
        <v>0.11934718835481002</v>
      </c>
      <c r="D72" s="15">
        <f t="shared" si="5"/>
        <v>27.289752819612584</v>
      </c>
    </row>
    <row r="73" spans="1:4" x14ac:dyDescent="0.25">
      <c r="A73" s="9">
        <v>68</v>
      </c>
      <c r="B73" s="16">
        <v>0.03</v>
      </c>
      <c r="C73" s="34">
        <f t="shared" si="4"/>
        <v>0.11587105665515536</v>
      </c>
      <c r="D73" s="15">
        <f t="shared" si="5"/>
        <v>27.40562387626774</v>
      </c>
    </row>
    <row r="74" spans="1:4" x14ac:dyDescent="0.25">
      <c r="A74" s="9">
        <v>69</v>
      </c>
      <c r="B74" s="16">
        <v>0.03</v>
      </c>
      <c r="C74" s="34">
        <f t="shared" si="4"/>
        <v>0.11249617150985958</v>
      </c>
      <c r="D74" s="15">
        <f t="shared" si="5"/>
        <v>27.5181200477776</v>
      </c>
    </row>
    <row r="75" spans="1:4" x14ac:dyDescent="0.25">
      <c r="A75" s="9">
        <v>70</v>
      </c>
      <c r="B75" s="16">
        <v>0.03</v>
      </c>
      <c r="C75" s="34">
        <f t="shared" si="4"/>
        <v>0.10921958399015493</v>
      </c>
      <c r="D75" s="15">
        <f t="shared" si="5"/>
        <v>27.627339631767754</v>
      </c>
    </row>
    <row r="76" spans="1:4" x14ac:dyDescent="0.25">
      <c r="A76" s="9">
        <v>71</v>
      </c>
      <c r="B76" s="16">
        <v>0.03</v>
      </c>
      <c r="C76" s="34">
        <f t="shared" si="4"/>
        <v>0.10603843105840284</v>
      </c>
      <c r="D76" s="15">
        <f t="shared" si="5"/>
        <v>27.733378062826155</v>
      </c>
    </row>
    <row r="77" spans="1:4" x14ac:dyDescent="0.25">
      <c r="A77" s="9">
        <v>72</v>
      </c>
      <c r="B77" s="16">
        <v>0.03</v>
      </c>
      <c r="C77" s="34">
        <f t="shared" si="4"/>
        <v>0.10294993306641052</v>
      </c>
      <c r="D77" s="15">
        <f t="shared" si="5"/>
        <v>27.836327995892564</v>
      </c>
    </row>
    <row r="78" spans="1:4" x14ac:dyDescent="0.25">
      <c r="A78" s="9">
        <v>73</v>
      </c>
      <c r="B78" s="16">
        <v>0.03</v>
      </c>
      <c r="C78" s="34">
        <f t="shared" si="4"/>
        <v>9.9951391326612155E-2</v>
      </c>
      <c r="D78" s="15">
        <f t="shared" si="5"/>
        <v>27.936279387219177</v>
      </c>
    </row>
    <row r="79" spans="1:4" x14ac:dyDescent="0.25">
      <c r="A79" s="9">
        <v>74</v>
      </c>
      <c r="B79" s="16">
        <v>0.03</v>
      </c>
      <c r="C79" s="34">
        <f t="shared" si="4"/>
        <v>9.7040185753992383E-2</v>
      </c>
      <c r="D79" s="15">
        <f t="shared" si="5"/>
        <v>28.03331957297317</v>
      </c>
    </row>
    <row r="80" spans="1:4" x14ac:dyDescent="0.25">
      <c r="A80" s="9">
        <v>75</v>
      </c>
      <c r="B80" s="16">
        <v>0.03</v>
      </c>
      <c r="C80" s="34">
        <f t="shared" si="4"/>
        <v>9.4213772576691626E-2</v>
      </c>
      <c r="D80" s="15">
        <f t="shared" si="5"/>
        <v>28.12753334554986</v>
      </c>
    </row>
    <row r="81" spans="1:4" x14ac:dyDescent="0.25">
      <c r="A81" s="9">
        <v>76</v>
      </c>
      <c r="B81" s="16">
        <v>2.5000000000000001E-2</v>
      </c>
      <c r="C81" s="34">
        <f t="shared" si="4"/>
        <v>9.1915875684577208E-2</v>
      </c>
      <c r="D81" s="15">
        <f t="shared" si="5"/>
        <v>28.219449221234438</v>
      </c>
    </row>
    <row r="82" spans="1:4" x14ac:dyDescent="0.25">
      <c r="A82" s="9">
        <v>77</v>
      </c>
      <c r="B82" s="16">
        <v>2.5000000000000001E-2</v>
      </c>
      <c r="C82" s="34">
        <f t="shared" si="4"/>
        <v>8.9674025058124107E-2</v>
      </c>
      <c r="D82" s="15">
        <f t="shared" si="5"/>
        <v>28.309123246292561</v>
      </c>
    </row>
    <row r="83" spans="1:4" x14ac:dyDescent="0.25">
      <c r="A83" s="9">
        <v>78</v>
      </c>
      <c r="B83" s="16">
        <v>2.5000000000000001E-2</v>
      </c>
      <c r="C83" s="34">
        <f t="shared" si="4"/>
        <v>8.7486853715243035E-2</v>
      </c>
      <c r="D83" s="15">
        <f t="shared" si="5"/>
        <v>28.396610100007805</v>
      </c>
    </row>
    <row r="84" spans="1:4" x14ac:dyDescent="0.25">
      <c r="A84" s="9">
        <v>79</v>
      </c>
      <c r="B84" s="16">
        <v>2.5000000000000001E-2</v>
      </c>
      <c r="C84" s="34">
        <f t="shared" si="4"/>
        <v>8.5353028014871254E-2</v>
      </c>
      <c r="D84" s="15">
        <f t="shared" si="5"/>
        <v>28.481963128022677</v>
      </c>
    </row>
    <row r="85" spans="1:4" x14ac:dyDescent="0.25">
      <c r="A85" s="9">
        <v>80</v>
      </c>
      <c r="B85" s="16">
        <v>2.5000000000000001E-2</v>
      </c>
      <c r="C85" s="34">
        <f t="shared" si="4"/>
        <v>8.3271246843776847E-2</v>
      </c>
      <c r="D85" s="15">
        <f t="shared" si="5"/>
        <v>28.565234374866453</v>
      </c>
    </row>
    <row r="86" spans="1:4" x14ac:dyDescent="0.25">
      <c r="A86" s="9">
        <v>81</v>
      </c>
      <c r="B86" s="16">
        <v>2.5000000000000001E-2</v>
      </c>
      <c r="C86" s="34">
        <f t="shared" si="4"/>
        <v>8.1240240823196933E-2</v>
      </c>
      <c r="D86" s="15">
        <f t="shared" si="5"/>
        <v>28.646474615689648</v>
      </c>
    </row>
    <row r="87" spans="1:4" x14ac:dyDescent="0.25">
      <c r="A87" s="9">
        <v>82</v>
      </c>
      <c r="B87" s="16">
        <v>2.5000000000000001E-2</v>
      </c>
      <c r="C87" s="34">
        <f t="shared" si="4"/>
        <v>7.9258771534826286E-2</v>
      </c>
      <c r="D87" s="15">
        <f t="shared" si="5"/>
        <v>28.725733387224473</v>
      </c>
    </row>
    <row r="88" spans="1:4" x14ac:dyDescent="0.25">
      <c r="A88" s="9">
        <v>83</v>
      </c>
      <c r="B88" s="16">
        <v>2.5000000000000001E-2</v>
      </c>
      <c r="C88" s="34">
        <f t="shared" si="4"/>
        <v>7.7325630765684189E-2</v>
      </c>
      <c r="D88" s="15">
        <f t="shared" si="5"/>
        <v>28.803059017990158</v>
      </c>
    </row>
    <row r="89" spans="1:4" x14ac:dyDescent="0.25">
      <c r="A89" s="9">
        <v>84</v>
      </c>
      <c r="B89" s="16">
        <v>2.5000000000000001E-2</v>
      </c>
      <c r="C89" s="34">
        <f t="shared" si="4"/>
        <v>7.5439639771399211E-2</v>
      </c>
      <c r="D89" s="15">
        <f t="shared" si="5"/>
        <v>28.878498657761558</v>
      </c>
    </row>
    <row r="90" spans="1:4" x14ac:dyDescent="0.25">
      <c r="A90" s="9">
        <v>85</v>
      </c>
      <c r="B90" s="16">
        <v>2.5000000000000001E-2</v>
      </c>
      <c r="C90" s="34">
        <f t="shared" si="4"/>
        <v>7.3599648557462649E-2</v>
      </c>
      <c r="D90" s="15">
        <f t="shared" si="5"/>
        <v>28.952098306319019</v>
      </c>
    </row>
    <row r="91" spans="1:4" x14ac:dyDescent="0.25">
      <c r="A91" s="9">
        <v>86</v>
      </c>
      <c r="B91" s="16">
        <v>2.5000000000000001E-2</v>
      </c>
      <c r="C91" s="34">
        <f t="shared" si="4"/>
        <v>7.1804535178012344E-2</v>
      </c>
      <c r="D91" s="15">
        <f t="shared" si="5"/>
        <v>29.023902841497033</v>
      </c>
    </row>
    <row r="92" spans="1:4" x14ac:dyDescent="0.25">
      <c r="A92" s="9">
        <v>87</v>
      </c>
      <c r="B92" s="16">
        <v>2.5000000000000001E-2</v>
      </c>
      <c r="C92" s="34">
        <f t="shared" si="4"/>
        <v>7.0053205051719372E-2</v>
      </c>
      <c r="D92" s="15">
        <f t="shared" si="5"/>
        <v>29.093956046548755</v>
      </c>
    </row>
    <row r="93" spans="1:4" x14ac:dyDescent="0.25">
      <c r="A93" s="9">
        <v>88</v>
      </c>
      <c r="B93" s="16">
        <v>2.5000000000000001E-2</v>
      </c>
      <c r="C93" s="34">
        <f t="shared" si="4"/>
        <v>6.8344590294360366E-2</v>
      </c>
      <c r="D93" s="15">
        <f t="shared" si="5"/>
        <v>29.162300636843113</v>
      </c>
    </row>
    <row r="94" spans="1:4" x14ac:dyDescent="0.25">
      <c r="A94" s="9">
        <v>89</v>
      </c>
      <c r="B94" s="16">
        <v>2.5000000000000001E-2</v>
      </c>
      <c r="C94" s="34">
        <f t="shared" si="4"/>
        <v>6.6677649067668654E-2</v>
      </c>
      <c r="D94" s="15">
        <f t="shared" si="5"/>
        <v>29.228978285910781</v>
      </c>
    </row>
    <row r="95" spans="1:4" x14ac:dyDescent="0.25">
      <c r="A95" s="9">
        <v>90</v>
      </c>
      <c r="B95" s="16">
        <v>2.5000000000000001E-2</v>
      </c>
      <c r="C95" s="34">
        <f t="shared" si="4"/>
        <v>6.5051364944066992E-2</v>
      </c>
      <c r="D95" s="15">
        <f t="shared" si="5"/>
        <v>29.294029650854849</v>
      </c>
    </row>
    <row r="96" spans="1:4" x14ac:dyDescent="0.25">
      <c r="A96" s="9">
        <v>91</v>
      </c>
      <c r="B96" s="16">
        <v>2.5000000000000001E-2</v>
      </c>
      <c r="C96" s="34">
        <f t="shared" si="4"/>
        <v>6.3464746286894635E-2</v>
      </c>
      <c r="D96" s="15">
        <f t="shared" si="5"/>
        <v>29.357494397141743</v>
      </c>
    </row>
    <row r="97" spans="1:4" x14ac:dyDescent="0.25">
      <c r="A97" s="9">
        <v>92</v>
      </c>
      <c r="B97" s="16">
        <v>2.5000000000000001E-2</v>
      </c>
      <c r="C97" s="34">
        <f t="shared" si="4"/>
        <v>6.1916825645750871E-2</v>
      </c>
      <c r="D97" s="15">
        <f t="shared" si="5"/>
        <v>29.419411222787492</v>
      </c>
    </row>
    <row r="98" spans="1:4" x14ac:dyDescent="0.25">
      <c r="A98" s="9">
        <v>93</v>
      </c>
      <c r="B98" s="16">
        <v>2.5000000000000001E-2</v>
      </c>
      <c r="C98" s="34">
        <f t="shared" si="4"/>
        <v>6.0406659166586218E-2</v>
      </c>
      <c r="D98" s="15">
        <f t="shared" si="5"/>
        <v>29.479817881954077</v>
      </c>
    </row>
    <row r="99" spans="1:4" x14ac:dyDescent="0.25">
      <c r="A99" s="9">
        <v>94</v>
      </c>
      <c r="B99" s="16">
        <v>2.5000000000000001E-2</v>
      </c>
      <c r="C99" s="34">
        <f t="shared" si="4"/>
        <v>5.8933326016181682E-2</v>
      </c>
      <c r="D99" s="15">
        <f t="shared" si="5"/>
        <v>29.538751207970257</v>
      </c>
    </row>
    <row r="100" spans="1:4" x14ac:dyDescent="0.25">
      <c r="A100" s="9">
        <v>95</v>
      </c>
      <c r="B100" s="16">
        <v>2.5000000000000001E-2</v>
      </c>
      <c r="C100" s="34">
        <f t="shared" si="4"/>
        <v>5.7495927820665059E-2</v>
      </c>
      <c r="D100" s="15">
        <f t="shared" si="5"/>
        <v>29.596247135790922</v>
      </c>
    </row>
    <row r="101" spans="1:4" x14ac:dyDescent="0.25">
      <c r="A101" s="9">
        <v>96</v>
      </c>
      <c r="B101" s="16">
        <v>2.5000000000000001E-2</v>
      </c>
      <c r="C101" s="34">
        <f t="shared" si="4"/>
        <v>5.6093588117722012E-2</v>
      </c>
      <c r="D101" s="15">
        <f t="shared" si="5"/>
        <v>29.652340723908644</v>
      </c>
    </row>
    <row r="102" spans="1:4" x14ac:dyDescent="0.25">
      <c r="A102" s="9">
        <v>97</v>
      </c>
      <c r="B102" s="16">
        <v>2.5000000000000001E-2</v>
      </c>
      <c r="C102" s="34">
        <f t="shared" ref="C102:C105" si="6">C101/(1+B102)</f>
        <v>5.4725451822167821E-2</v>
      </c>
      <c r="D102" s="15">
        <f t="shared" ref="D102:D105" si="7">D101+C102</f>
        <v>29.707066175730812</v>
      </c>
    </row>
    <row r="103" spans="1:4" x14ac:dyDescent="0.25">
      <c r="A103" s="9">
        <v>98</v>
      </c>
      <c r="B103" s="16">
        <v>2.5000000000000001E-2</v>
      </c>
      <c r="C103" s="34">
        <f t="shared" si="6"/>
        <v>5.3390684704553978E-2</v>
      </c>
      <c r="D103" s="15">
        <f t="shared" si="7"/>
        <v>29.760456860435365</v>
      </c>
    </row>
    <row r="104" spans="1:4" x14ac:dyDescent="0.25">
      <c r="A104" s="9">
        <v>99</v>
      </c>
      <c r="B104" s="16">
        <v>2.5000000000000001E-2</v>
      </c>
      <c r="C104" s="34">
        <f t="shared" si="6"/>
        <v>5.2088472882491688E-2</v>
      </c>
      <c r="D104" s="15">
        <f t="shared" si="7"/>
        <v>29.812545333317857</v>
      </c>
    </row>
    <row r="105" spans="1:4" ht="15.6" x14ac:dyDescent="0.3">
      <c r="A105" s="19">
        <v>100</v>
      </c>
      <c r="B105" s="17">
        <v>2.5000000000000001E-2</v>
      </c>
      <c r="C105" s="35">
        <f t="shared" si="6"/>
        <v>5.0818022324382137E-2</v>
      </c>
      <c r="D105" s="18">
        <f t="shared" si="7"/>
        <v>29.863363355642239</v>
      </c>
    </row>
    <row r="107" spans="1:4" ht="15.6" x14ac:dyDescent="0.3">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3"/>
  <sheetViews>
    <sheetView zoomScale="85" workbookViewId="0">
      <selection activeCell="G6" sqref="G6"/>
    </sheetView>
  </sheetViews>
  <sheetFormatPr defaultColWidth="8.90625" defaultRowHeight="15" x14ac:dyDescent="0.25"/>
  <cols>
    <col min="1" max="1" width="8.90625" style="26"/>
    <col min="2" max="2" width="19.1796875" style="26" customWidth="1"/>
    <col min="3" max="3" width="12.08984375" style="26" customWidth="1"/>
    <col min="4" max="4" width="68" style="77" customWidth="1"/>
    <col min="5" max="16384" width="8.90625" style="2"/>
  </cols>
  <sheetData>
    <row r="1" spans="1:14" ht="17.399999999999999" x14ac:dyDescent="0.25">
      <c r="A1" s="25" t="s">
        <v>108</v>
      </c>
    </row>
    <row r="3" spans="1:14" ht="49.5" customHeight="1" x14ac:dyDescent="0.25">
      <c r="A3" s="273" t="s">
        <v>116</v>
      </c>
      <c r="B3" s="273"/>
      <c r="C3" s="273"/>
      <c r="D3" s="273"/>
      <c r="E3" s="77"/>
      <c r="F3" s="77"/>
      <c r="G3" s="77"/>
      <c r="H3" s="77"/>
      <c r="I3" s="77"/>
      <c r="J3" s="77"/>
      <c r="K3" s="77"/>
      <c r="L3" s="77"/>
      <c r="M3" s="77"/>
      <c r="N3" s="77"/>
    </row>
    <row r="5" spans="1:14" ht="15.6" x14ac:dyDescent="0.3">
      <c r="A5" s="27" t="s">
        <v>109</v>
      </c>
      <c r="B5" s="27" t="s">
        <v>111</v>
      </c>
      <c r="C5" s="27" t="s">
        <v>112</v>
      </c>
      <c r="D5" s="28" t="s">
        <v>110</v>
      </c>
    </row>
    <row r="6" spans="1:14" x14ac:dyDescent="0.25">
      <c r="A6" s="29">
        <v>2</v>
      </c>
      <c r="B6" s="29" t="s">
        <v>113</v>
      </c>
      <c r="C6" s="30">
        <v>40690</v>
      </c>
      <c r="D6" s="31" t="s">
        <v>115</v>
      </c>
    </row>
    <row r="7" spans="1:14" ht="105.6" x14ac:dyDescent="0.25">
      <c r="A7" s="29">
        <v>3</v>
      </c>
      <c r="B7" s="29" t="s">
        <v>114</v>
      </c>
      <c r="C7" s="30">
        <v>40701</v>
      </c>
      <c r="D7" s="32" t="s">
        <v>117</v>
      </c>
    </row>
    <row r="8" spans="1:14" ht="66" x14ac:dyDescent="0.25">
      <c r="A8" s="29" t="s">
        <v>147</v>
      </c>
      <c r="B8" s="29" t="s">
        <v>148</v>
      </c>
      <c r="C8" s="30">
        <v>40965</v>
      </c>
      <c r="D8" s="32" t="s">
        <v>149</v>
      </c>
    </row>
    <row r="9" spans="1:14" ht="39.6" x14ac:dyDescent="0.25">
      <c r="A9" s="29">
        <v>4</v>
      </c>
      <c r="B9" s="57" t="s">
        <v>175</v>
      </c>
      <c r="C9" s="30" t="s">
        <v>194</v>
      </c>
      <c r="D9" s="32" t="s">
        <v>176</v>
      </c>
    </row>
    <row r="10" spans="1:14" ht="39.75" customHeight="1" x14ac:dyDescent="0.25">
      <c r="A10" s="29">
        <v>5</v>
      </c>
      <c r="B10" s="57" t="s">
        <v>193</v>
      </c>
      <c r="C10" s="30">
        <v>41353</v>
      </c>
      <c r="D10" s="32" t="s">
        <v>195</v>
      </c>
    </row>
    <row r="11" spans="1:14" ht="39.6" x14ac:dyDescent="0.25">
      <c r="A11" s="29">
        <v>6</v>
      </c>
      <c r="B11" s="57" t="s">
        <v>198</v>
      </c>
      <c r="C11" s="30">
        <v>41358</v>
      </c>
      <c r="D11" s="32" t="s">
        <v>199</v>
      </c>
    </row>
    <row r="12" spans="1:14" ht="39.6" x14ac:dyDescent="0.25">
      <c r="A12" s="29">
        <v>7</v>
      </c>
      <c r="B12" s="57" t="s">
        <v>201</v>
      </c>
      <c r="C12" s="30"/>
      <c r="D12" s="32"/>
    </row>
    <row r="13" spans="1:14" ht="39.6" x14ac:dyDescent="0.25">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8"/>
  <sheetViews>
    <sheetView zoomScale="70" zoomScaleNormal="70" workbookViewId="0">
      <selection activeCell="Q17" sqref="Q17:V23"/>
    </sheetView>
  </sheetViews>
  <sheetFormatPr defaultColWidth="8.90625" defaultRowHeight="15" x14ac:dyDescent="0.25"/>
  <cols>
    <col min="1" max="1" width="2" style="81" customWidth="1"/>
    <col min="2" max="2" width="16.54296875" style="84" customWidth="1"/>
    <col min="3" max="13" width="10.6328125" style="84" customWidth="1"/>
    <col min="14" max="18" width="10.6328125" style="81" customWidth="1"/>
    <col min="19" max="16384" width="8.90625" style="81"/>
  </cols>
  <sheetData>
    <row r="2" spans="1:18" ht="21" x14ac:dyDescent="0.4">
      <c r="B2" s="82" t="s">
        <v>212</v>
      </c>
      <c r="C2" s="83"/>
      <c r="D2" s="83"/>
    </row>
    <row r="3" spans="1:18" ht="20.399999999999999" x14ac:dyDescent="0.35">
      <c r="B3" s="85" t="str">
        <f>'PF Calculator'!B3</f>
        <v>Version 8 January 2014</v>
      </c>
      <c r="C3" s="83"/>
      <c r="D3" s="83"/>
    </row>
    <row r="4" spans="1:18" x14ac:dyDescent="0.25">
      <c r="B4" s="86"/>
      <c r="C4" s="87"/>
      <c r="D4" s="87"/>
    </row>
    <row r="5" spans="1:18" ht="21" x14ac:dyDescent="0.4">
      <c r="B5" s="243" t="s">
        <v>132</v>
      </c>
      <c r="C5" s="243"/>
      <c r="D5" s="243"/>
      <c r="E5" s="203" t="str">
        <f>'PF Calculator'!E5</f>
        <v>Example2</v>
      </c>
      <c r="F5" s="204"/>
      <c r="G5" s="204"/>
      <c r="H5" s="204"/>
      <c r="I5" s="204"/>
      <c r="J5" s="204"/>
      <c r="K5" s="204"/>
      <c r="L5" s="204"/>
      <c r="M5" s="204"/>
      <c r="N5" s="204"/>
      <c r="O5" s="204"/>
      <c r="P5" s="89"/>
      <c r="Q5" s="90"/>
      <c r="R5" s="90"/>
    </row>
    <row r="6" spans="1:18" ht="21" x14ac:dyDescent="0.4">
      <c r="B6" s="91" t="s">
        <v>133</v>
      </c>
      <c r="C6" s="91"/>
      <c r="D6" s="91"/>
      <c r="E6" s="205" t="s">
        <v>138</v>
      </c>
      <c r="F6" s="204"/>
      <c r="G6" s="204"/>
      <c r="H6" s="204"/>
      <c r="I6" s="204"/>
      <c r="J6" s="204"/>
      <c r="K6" s="204"/>
      <c r="L6" s="204"/>
      <c r="M6" s="204"/>
      <c r="N6" s="204"/>
      <c r="O6" s="204"/>
      <c r="P6" s="89"/>
      <c r="Q6" s="90"/>
      <c r="R6" s="90"/>
    </row>
    <row r="7" spans="1:18" x14ac:dyDescent="0.25">
      <c r="B7" s="92"/>
      <c r="C7" s="93"/>
      <c r="D7" s="93"/>
    </row>
    <row r="8" spans="1:18" ht="15.6" x14ac:dyDescent="0.3">
      <c r="B8" s="206"/>
      <c r="C8" s="93"/>
      <c r="D8" s="93"/>
      <c r="L8" s="94" t="s">
        <v>13</v>
      </c>
      <c r="M8" s="275" t="s">
        <v>135</v>
      </c>
      <c r="N8" s="276"/>
      <c r="O8" s="277"/>
    </row>
    <row r="9" spans="1:18" ht="15.6" x14ac:dyDescent="0.3">
      <c r="B9" s="95" t="s">
        <v>203</v>
      </c>
      <c r="J9" s="84" t="s">
        <v>146</v>
      </c>
      <c r="L9" s="81"/>
      <c r="M9" s="247" t="s">
        <v>15</v>
      </c>
      <c r="N9" s="248"/>
      <c r="O9" s="249"/>
    </row>
    <row r="10" spans="1:18" ht="15.6" x14ac:dyDescent="0.3">
      <c r="B10" s="96" t="s">
        <v>129</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130</v>
      </c>
      <c r="C12" s="87"/>
      <c r="D12" s="87"/>
      <c r="E12" s="87"/>
      <c r="F12" s="103"/>
      <c r="G12" s="104"/>
      <c r="H12" s="81"/>
      <c r="I12" s="81"/>
      <c r="O12" s="105"/>
      <c r="P12" s="105"/>
    </row>
    <row r="13" spans="1:18" ht="15" customHeight="1" x14ac:dyDescent="0.3">
      <c r="G13" s="106"/>
      <c r="I13" s="81"/>
      <c r="J13" s="105"/>
      <c r="K13" s="81"/>
      <c r="M13" s="107" t="s">
        <v>101</v>
      </c>
      <c r="N13" s="46">
        <f>H29/H37</f>
        <v>11.756075539838989</v>
      </c>
      <c r="O13" s="47" t="s">
        <v>17</v>
      </c>
    </row>
    <row r="14" spans="1:18" ht="15" customHeight="1" x14ac:dyDescent="0.3">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11.756075539838989</v>
      </c>
      <c r="O14" s="47" t="s">
        <v>17</v>
      </c>
    </row>
    <row r="15" spans="1:18" ht="15" customHeight="1" x14ac:dyDescent="0.3">
      <c r="B15" s="110" t="s">
        <v>153</v>
      </c>
      <c r="C15" s="111"/>
      <c r="D15" s="111"/>
      <c r="E15" s="111"/>
      <c r="F15" s="111"/>
      <c r="G15" s="111"/>
      <c r="H15" s="54">
        <f>IF(J25="yes",I97/MAX(H37,H34),IF(J25="Yes",I97/MAX(H37,H34),0.45*I97/MAX(H37,H34)))</f>
        <v>0.60437473530869557</v>
      </c>
      <c r="I15" s="108" t="s">
        <v>156</v>
      </c>
      <c r="K15" s="81"/>
      <c r="L15" s="81"/>
      <c r="M15" s="109" t="s">
        <v>18</v>
      </c>
      <c r="N15" s="48">
        <f>IF(H44&gt;0,H29/H44,"n/a")</f>
        <v>34.849640678775494</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207">
        <f>IF(J25="Yes",MAX(IF(Authority="EA",MAX(H37,H34)-MIN(I97,H37),H34*(1-(RawOMScore))),0),IF(Authority="EA",MAX(H37,H34)-MIN(I97*0.45,H37),H34*(1-(RawOMScore))))</f>
        <v>717367.51120150776</v>
      </c>
      <c r="I17" s="108" t="s">
        <v>157</v>
      </c>
      <c r="J17" s="256" t="s">
        <v>179</v>
      </c>
      <c r="K17" s="278"/>
      <c r="L17" s="278"/>
      <c r="M17" s="278"/>
      <c r="N17" s="278"/>
      <c r="O17" s="278"/>
      <c r="Q17" s="254"/>
      <c r="R17" s="255"/>
      <c r="S17" s="255"/>
      <c r="T17" s="255"/>
      <c r="U17" s="255"/>
      <c r="V17" s="255"/>
    </row>
    <row r="18" spans="2:22" ht="15" customHeight="1" x14ac:dyDescent="0.25">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3">
      <c r="B19" s="110" t="s">
        <v>134</v>
      </c>
      <c r="C19" s="113"/>
      <c r="D19" s="113"/>
      <c r="E19" s="113"/>
      <c r="F19" s="113"/>
      <c r="G19" s="113"/>
      <c r="H19" s="54">
        <f>IF(J25="Yes",IF(Authority="EA",I97/MAX(MAX(H37,H34)-H44,1),RawOMScore+H44/H34),IF(Authority="EA",I97*0.45/MAX(MAX(H37,H34)-H44,1),I15+H44/H34))</f>
        <v>-0.60437473530869557</v>
      </c>
      <c r="I19" s="108" t="s">
        <v>158</v>
      </c>
      <c r="J19" s="278"/>
      <c r="K19" s="278"/>
      <c r="L19" s="278"/>
      <c r="M19" s="278"/>
      <c r="N19" s="278"/>
      <c r="O19" s="278"/>
      <c r="Q19" s="255"/>
      <c r="R19" s="255"/>
      <c r="S19" s="255"/>
      <c r="T19" s="255"/>
      <c r="U19" s="255"/>
      <c r="V19" s="255"/>
    </row>
    <row r="20" spans="2:22" ht="15" customHeight="1" x14ac:dyDescent="0.25">
      <c r="J20" s="278"/>
      <c r="K20" s="278"/>
      <c r="L20" s="278"/>
      <c r="M20" s="278"/>
      <c r="N20" s="278"/>
      <c r="O20" s="278"/>
      <c r="Q20" s="255"/>
      <c r="R20" s="255"/>
      <c r="S20" s="255"/>
      <c r="T20" s="255"/>
      <c r="U20" s="255"/>
      <c r="V20" s="255"/>
    </row>
    <row r="21" spans="2:22" ht="15" customHeight="1" x14ac:dyDescent="0.3">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3">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5">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3">
      <c r="B24" s="120" t="s">
        <v>97</v>
      </c>
      <c r="C24" s="121"/>
      <c r="D24" s="121"/>
      <c r="E24" s="81"/>
      <c r="F24" s="81"/>
      <c r="G24" s="81"/>
      <c r="H24" s="81"/>
      <c r="M24" s="81"/>
    </row>
    <row r="25" spans="2:22" ht="15.6" x14ac:dyDescent="0.3">
      <c r="B25" s="123" t="s">
        <v>128</v>
      </c>
      <c r="C25" s="121"/>
      <c r="D25" s="124"/>
      <c r="E25" s="81"/>
      <c r="F25" s="81"/>
      <c r="G25" s="81"/>
      <c r="H25" s="210" t="str">
        <f>'PF Calculator'!H25</f>
        <v>IDB</v>
      </c>
      <c r="I25" s="108" t="s">
        <v>160</v>
      </c>
      <c r="J25" s="211" t="s">
        <v>207</v>
      </c>
      <c r="K25" s="212" t="s">
        <v>173</v>
      </c>
      <c r="L25" s="213"/>
      <c r="M25" s="213"/>
      <c r="N25" s="213"/>
      <c r="O25" s="213"/>
    </row>
    <row r="26" spans="2:22" x14ac:dyDescent="0.25">
      <c r="B26" s="121"/>
      <c r="C26" s="121"/>
      <c r="D26" s="124"/>
      <c r="E26" s="81"/>
      <c r="F26" s="81"/>
      <c r="G26" s="81"/>
      <c r="H26" s="107"/>
      <c r="I26" s="81"/>
      <c r="J26" s="279" t="s">
        <v>174</v>
      </c>
      <c r="K26" s="225"/>
      <c r="L26" s="225"/>
      <c r="M26" s="225"/>
      <c r="N26" s="225"/>
      <c r="O26" s="213"/>
      <c r="P26" s="127"/>
    </row>
    <row r="27" spans="2:22" ht="15.6" x14ac:dyDescent="0.3">
      <c r="B27" s="123" t="s">
        <v>124</v>
      </c>
      <c r="C27" s="121"/>
      <c r="D27" s="124"/>
      <c r="E27" s="81"/>
      <c r="F27" s="81"/>
      <c r="G27" s="81"/>
      <c r="H27" s="210">
        <f>'PF Calculator'!H27</f>
        <v>50</v>
      </c>
      <c r="I27" s="108" t="s">
        <v>161</v>
      </c>
      <c r="J27" s="225"/>
      <c r="K27" s="225"/>
      <c r="L27" s="225"/>
      <c r="M27" s="225"/>
      <c r="N27" s="225"/>
      <c r="O27" s="84"/>
    </row>
    <row r="28" spans="2:22" x14ac:dyDescent="0.25">
      <c r="B28" s="123"/>
      <c r="C28" s="121"/>
      <c r="D28" s="124"/>
      <c r="E28" s="81"/>
      <c r="F28" s="81"/>
      <c r="G28" s="81"/>
      <c r="H28" s="81"/>
      <c r="I28" s="81"/>
      <c r="J28" s="81"/>
      <c r="K28" s="81"/>
      <c r="L28" s="81"/>
      <c r="M28" s="81"/>
      <c r="O28" s="84"/>
    </row>
    <row r="29" spans="2:22" ht="15.6" x14ac:dyDescent="0.3">
      <c r="B29" s="123" t="s">
        <v>9</v>
      </c>
      <c r="C29" s="121"/>
      <c r="D29" s="124"/>
      <c r="E29" s="81"/>
      <c r="F29" s="81"/>
      <c r="G29" s="81"/>
      <c r="H29" s="214">
        <f>'PF Calculator'!H29</f>
        <v>25000000</v>
      </c>
      <c r="I29" s="108" t="s">
        <v>162</v>
      </c>
      <c r="J29" s="81"/>
      <c r="K29" s="81"/>
      <c r="L29" s="81"/>
      <c r="M29" s="81"/>
      <c r="O29" s="84"/>
    </row>
    <row r="30" spans="2:22" x14ac:dyDescent="0.25">
      <c r="B30" s="123"/>
      <c r="C30" s="121"/>
      <c r="D30" s="124"/>
      <c r="E30" s="81"/>
      <c r="F30" s="81"/>
      <c r="G30" s="81"/>
      <c r="H30" s="81"/>
      <c r="I30" s="81"/>
      <c r="J30" s="280" t="s">
        <v>155</v>
      </c>
      <c r="K30" s="281"/>
      <c r="L30" s="281"/>
      <c r="M30" s="281"/>
      <c r="N30" s="282"/>
    </row>
    <row r="31" spans="2:22" x14ac:dyDescent="0.25">
      <c r="B31" s="128" t="s">
        <v>151</v>
      </c>
      <c r="C31" s="121"/>
      <c r="D31" s="124"/>
      <c r="E31" s="81"/>
      <c r="F31" s="81"/>
      <c r="G31" s="81"/>
      <c r="H31" s="107"/>
      <c r="I31" s="81"/>
      <c r="J31" s="283"/>
      <c r="K31" s="284"/>
      <c r="L31" s="284"/>
      <c r="M31" s="284"/>
      <c r="N31" s="285"/>
      <c r="O31" s="84"/>
    </row>
    <row r="32" spans="2:22" ht="15.6" x14ac:dyDescent="0.3">
      <c r="B32" s="121" t="s">
        <v>118</v>
      </c>
      <c r="C32" s="121"/>
      <c r="D32" s="124"/>
      <c r="E32" s="81"/>
      <c r="F32" s="81"/>
      <c r="G32" s="81"/>
      <c r="H32" s="214">
        <f>'PF Calculator'!H32*1.25</f>
        <v>312500</v>
      </c>
      <c r="I32" s="108" t="s">
        <v>163</v>
      </c>
      <c r="J32" s="283"/>
      <c r="K32" s="284"/>
      <c r="L32" s="284"/>
      <c r="M32" s="284"/>
      <c r="N32" s="285"/>
    </row>
    <row r="33" spans="2:21" ht="15.6" x14ac:dyDescent="0.3">
      <c r="B33" s="121" t="s">
        <v>125</v>
      </c>
      <c r="C33" s="121"/>
      <c r="D33" s="124"/>
      <c r="E33" s="81"/>
      <c r="F33" s="81"/>
      <c r="G33" s="81"/>
      <c r="H33" s="214">
        <f>'PF Calculator'!H33*1.25</f>
        <v>1500750</v>
      </c>
      <c r="I33" s="108" t="s">
        <v>164</v>
      </c>
      <c r="J33" s="286"/>
      <c r="K33" s="287"/>
      <c r="L33" s="287"/>
      <c r="M33" s="287"/>
      <c r="N33" s="288"/>
    </row>
    <row r="34" spans="2:21" ht="15.6" x14ac:dyDescent="0.3">
      <c r="B34" s="128" t="s">
        <v>154</v>
      </c>
      <c r="C34" s="121"/>
      <c r="D34" s="124"/>
      <c r="E34" s="81"/>
      <c r="F34" s="81"/>
      <c r="G34" s="81"/>
      <c r="H34" s="55">
        <f>SUM(H32:H33)</f>
        <v>1813250</v>
      </c>
      <c r="I34" s="108" t="s">
        <v>165</v>
      </c>
      <c r="J34" s="81"/>
      <c r="K34" s="81"/>
      <c r="L34" s="81"/>
      <c r="M34" s="81"/>
    </row>
    <row r="35" spans="2:21" ht="15" customHeight="1" x14ac:dyDescent="0.25">
      <c r="B35" s="128"/>
      <c r="C35" s="121"/>
      <c r="D35" s="124"/>
      <c r="E35" s="81"/>
      <c r="F35" s="81"/>
      <c r="G35" s="81"/>
      <c r="H35" s="129"/>
      <c r="I35" s="81"/>
      <c r="J35" s="81"/>
      <c r="K35" s="81"/>
      <c r="L35" s="81"/>
      <c r="M35" s="81"/>
    </row>
    <row r="36" spans="2:21" ht="15.6" x14ac:dyDescent="0.3">
      <c r="B36" s="121" t="s">
        <v>126</v>
      </c>
      <c r="C36" s="121"/>
      <c r="D36" s="124"/>
      <c r="E36" s="81"/>
      <c r="F36" s="81"/>
      <c r="G36" s="81"/>
      <c r="H36" s="214">
        <f>'PF Calculator'!H36*1.25</f>
        <v>313310</v>
      </c>
      <c r="I36" s="108" t="s">
        <v>166</v>
      </c>
      <c r="J36" s="81"/>
      <c r="K36" s="81"/>
      <c r="L36" s="81"/>
      <c r="M36" s="81"/>
    </row>
    <row r="37" spans="2:21" ht="15.6" x14ac:dyDescent="0.3">
      <c r="B37" s="123" t="s">
        <v>209</v>
      </c>
      <c r="C37" s="121"/>
      <c r="D37" s="124"/>
      <c r="E37" s="81"/>
      <c r="F37" s="81"/>
      <c r="G37" s="81"/>
      <c r="H37" s="45">
        <f>H36+H34</f>
        <v>2126560</v>
      </c>
      <c r="I37" s="108" t="s">
        <v>167</v>
      </c>
      <c r="J37" s="81"/>
      <c r="K37" s="81"/>
      <c r="L37" s="81"/>
      <c r="M37" s="81"/>
    </row>
    <row r="38" spans="2:21" ht="15" customHeight="1" x14ac:dyDescent="0.25">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5">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3">
      <c r="B40" s="121" t="s">
        <v>119</v>
      </c>
      <c r="C40" s="121"/>
      <c r="D40" s="124"/>
      <c r="E40" s="81"/>
      <c r="F40" s="81"/>
      <c r="G40" s="81"/>
      <c r="H40" s="214">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3">
      <c r="B41" s="121" t="s">
        <v>120</v>
      </c>
      <c r="C41" s="121"/>
      <c r="D41" s="124"/>
      <c r="E41" s="81"/>
      <c r="F41" s="81"/>
      <c r="G41" s="81"/>
      <c r="H41" s="214">
        <f>'PF Calculator'!H41</f>
        <v>1000000</v>
      </c>
      <c r="I41" s="108" t="s">
        <v>169</v>
      </c>
      <c r="J41" s="252"/>
      <c r="K41" s="252"/>
      <c r="L41" s="252"/>
      <c r="M41" s="252"/>
      <c r="N41" s="252"/>
      <c r="O41" s="252"/>
      <c r="P41" s="289"/>
      <c r="Q41" s="289"/>
      <c r="R41" s="289"/>
      <c r="S41" s="289"/>
      <c r="T41" s="289"/>
      <c r="U41" s="289"/>
    </row>
    <row r="42" spans="2:21" ht="15" customHeight="1" x14ac:dyDescent="0.3">
      <c r="B42" s="121" t="s">
        <v>121</v>
      </c>
      <c r="C42" s="121"/>
      <c r="D42" s="124"/>
      <c r="E42" s="81"/>
      <c r="F42" s="81"/>
      <c r="G42" s="81"/>
      <c r="H42" s="214">
        <f>'PF Calculator'!H42</f>
        <v>0</v>
      </c>
      <c r="I42" s="108" t="s">
        <v>170</v>
      </c>
      <c r="J42" s="252"/>
      <c r="K42" s="252"/>
      <c r="L42" s="252"/>
      <c r="M42" s="252"/>
      <c r="N42" s="252"/>
      <c r="O42" s="252"/>
      <c r="P42" s="289"/>
      <c r="Q42" s="289"/>
      <c r="R42" s="289"/>
      <c r="S42" s="289"/>
      <c r="T42" s="289"/>
      <c r="U42" s="289"/>
    </row>
    <row r="43" spans="2:21" ht="15" customHeight="1" x14ac:dyDescent="0.3">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5">
      <c r="B44" s="128" t="s">
        <v>123</v>
      </c>
      <c r="C44" s="121"/>
      <c r="D44" s="124"/>
      <c r="E44" s="81"/>
      <c r="F44" s="81"/>
      <c r="G44" s="81"/>
      <c r="H44" s="44">
        <f>H17</f>
        <v>717367.51120150776</v>
      </c>
      <c r="I44" s="108" t="s">
        <v>172</v>
      </c>
      <c r="J44" s="252"/>
      <c r="K44" s="252"/>
      <c r="L44" s="252"/>
      <c r="M44" s="252"/>
      <c r="N44" s="252"/>
      <c r="O44" s="252"/>
    </row>
    <row r="45" spans="2:21"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5.5" customHeight="1" x14ac:dyDescent="0.25">
      <c r="B46" s="128"/>
      <c r="C46" s="121"/>
      <c r="D46" s="124"/>
      <c r="E46" s="81"/>
      <c r="F46" s="81"/>
      <c r="G46" s="81"/>
      <c r="H46" s="81"/>
      <c r="I46" s="108"/>
      <c r="J46" s="252"/>
      <c r="K46" s="252"/>
      <c r="L46" s="252"/>
      <c r="M46" s="252"/>
      <c r="N46" s="252"/>
      <c r="O46" s="252"/>
    </row>
    <row r="47" spans="2:21" ht="7.5" customHeight="1" x14ac:dyDescent="0.25">
      <c r="B47" s="81"/>
      <c r="C47" s="81"/>
      <c r="D47" s="81"/>
      <c r="E47" s="131"/>
      <c r="F47" s="131"/>
      <c r="G47" s="131"/>
      <c r="H47" s="131"/>
      <c r="I47" s="131"/>
      <c r="J47" s="252"/>
      <c r="K47" s="252"/>
      <c r="L47" s="252"/>
      <c r="M47" s="252"/>
      <c r="N47" s="252"/>
      <c r="O47" s="252"/>
    </row>
    <row r="48" spans="2:21" ht="7.5" customHeight="1" x14ac:dyDescent="0.25">
      <c r="B48" s="117"/>
      <c r="C48" s="117"/>
      <c r="D48" s="117"/>
      <c r="E48" s="117"/>
      <c r="F48" s="117"/>
      <c r="G48" s="117"/>
      <c r="H48" s="117"/>
      <c r="I48" s="117"/>
      <c r="J48" s="117"/>
      <c r="K48" s="132"/>
      <c r="L48" s="132"/>
      <c r="M48" s="132"/>
      <c r="N48" s="117"/>
      <c r="O48" s="117"/>
    </row>
    <row r="49" spans="2:19" ht="15.6" x14ac:dyDescent="0.3">
      <c r="B49" s="120" t="s">
        <v>98</v>
      </c>
      <c r="C49" s="81"/>
      <c r="D49" s="81"/>
      <c r="E49" s="81"/>
      <c r="F49" s="81"/>
      <c r="G49" s="81"/>
      <c r="H49" s="81"/>
      <c r="I49" s="81"/>
      <c r="J49" s="81"/>
      <c r="K49" s="81"/>
      <c r="L49" s="81"/>
      <c r="M49" s="81"/>
    </row>
    <row r="50" spans="2:19" x14ac:dyDescent="0.25">
      <c r="B50" s="122" t="s">
        <v>30</v>
      </c>
      <c r="C50" s="81"/>
      <c r="D50" s="81"/>
      <c r="F50" s="133" t="s">
        <v>19</v>
      </c>
      <c r="G50" s="81"/>
      <c r="H50" s="81"/>
      <c r="J50" s="133" t="s">
        <v>29</v>
      </c>
      <c r="K50" s="81"/>
      <c r="L50" s="81"/>
      <c r="M50" s="251" t="s">
        <v>54</v>
      </c>
      <c r="N50" s="251"/>
      <c r="O50" s="251"/>
    </row>
    <row r="51" spans="2:19" x14ac:dyDescent="0.25">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5">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5">
      <c r="B53" s="134" t="s">
        <v>22</v>
      </c>
      <c r="C53" s="81"/>
      <c r="D53" s="81"/>
      <c r="E53" s="215">
        <f>'PF Calculator'!E54</f>
        <v>60</v>
      </c>
      <c r="F53" s="215">
        <f>'PF Calculator'!F54</f>
        <v>30</v>
      </c>
      <c r="G53" s="215">
        <f>'PF Calculator'!G54</f>
        <v>420</v>
      </c>
      <c r="H53" s="81"/>
      <c r="I53" s="215">
        <f>'PF Calculator'!I54</f>
        <v>50</v>
      </c>
      <c r="J53" s="215">
        <f>'PF Calculator'!J54</f>
        <v>100</v>
      </c>
      <c r="K53" s="215">
        <f>'PF Calculator'!K54</f>
        <v>100</v>
      </c>
      <c r="L53" s="81"/>
      <c r="M53" s="49">
        <f t="shared" si="0"/>
        <v>-10</v>
      </c>
      <c r="N53" s="49">
        <f t="shared" si="0"/>
        <v>70</v>
      </c>
      <c r="O53" s="49">
        <f t="shared" si="0"/>
        <v>-320</v>
      </c>
      <c r="Q53" s="135"/>
      <c r="R53" s="135"/>
      <c r="S53" s="135"/>
    </row>
    <row r="54" spans="2:19" ht="15.6" x14ac:dyDescent="0.3">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5">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5">
      <c r="B56" s="81"/>
      <c r="C56" s="81"/>
      <c r="D56" s="81"/>
      <c r="E56" s="135"/>
      <c r="F56" s="135"/>
      <c r="G56" s="135" t="s">
        <v>25</v>
      </c>
      <c r="H56" s="81"/>
      <c r="I56" s="135"/>
      <c r="J56" s="135"/>
      <c r="K56" s="135" t="s">
        <v>25</v>
      </c>
      <c r="L56" s="81"/>
      <c r="M56" s="135"/>
      <c r="N56" s="135"/>
      <c r="O56" s="135" t="s">
        <v>25</v>
      </c>
    </row>
    <row r="57" spans="2:19" x14ac:dyDescent="0.25">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5">
      <c r="B58" s="81"/>
      <c r="C58" s="81"/>
      <c r="D58" s="81"/>
      <c r="E58" s="81"/>
      <c r="F58" s="81"/>
      <c r="G58" s="81"/>
      <c r="H58" s="81"/>
      <c r="I58" s="81"/>
      <c r="J58" s="81"/>
      <c r="K58" s="81"/>
      <c r="L58" s="81"/>
      <c r="M58" s="81"/>
    </row>
    <row r="59" spans="2:19" ht="15.6" x14ac:dyDescent="0.3">
      <c r="B59" s="81" t="s">
        <v>57</v>
      </c>
      <c r="C59" s="81"/>
      <c r="D59" s="81"/>
      <c r="E59" s="81"/>
      <c r="F59" s="81"/>
      <c r="G59" s="81" t="s">
        <v>56</v>
      </c>
      <c r="H59" s="81"/>
      <c r="K59" s="107" t="s">
        <v>63</v>
      </c>
      <c r="O59" s="137" t="s">
        <v>79</v>
      </c>
    </row>
    <row r="60" spans="2:19" ht="15.6" x14ac:dyDescent="0.3">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ht="15.6" x14ac:dyDescent="0.3">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ht="15.6" x14ac:dyDescent="0.3">
      <c r="B62" s="134" t="str">
        <f>B53</f>
        <v>60% least deprived areas</v>
      </c>
      <c r="C62" s="81"/>
      <c r="D62" s="81"/>
      <c r="F62" s="290">
        <f>SUMPRODUCT($M53:$O53,$M$57:$O$57)</f>
        <v>-391500.00000000006</v>
      </c>
      <c r="G62" s="290"/>
      <c r="H62" s="81"/>
      <c r="J62" s="291">
        <f>F62*Duration</f>
        <v>-19575000.000000004</v>
      </c>
      <c r="K62" s="291"/>
      <c r="M62" s="137" t="s">
        <v>90</v>
      </c>
      <c r="N62" s="291">
        <f>-F62*VLOOKUP(Duration,'Discount Rates &amp; Assumptions'!$A$6:$D$105,4,FALSE)</f>
        <v>9667140.5710470714</v>
      </c>
      <c r="O62" s="291"/>
    </row>
    <row r="63" spans="2:19" ht="7.5" customHeight="1" x14ac:dyDescent="0.3">
      <c r="B63" s="134"/>
      <c r="C63" s="81"/>
      <c r="D63" s="81"/>
      <c r="F63" s="138"/>
      <c r="G63" s="138"/>
      <c r="H63" s="81"/>
      <c r="J63" s="139"/>
      <c r="K63" s="139"/>
      <c r="M63" s="137"/>
    </row>
    <row r="64" spans="2:19" ht="7.5" customHeight="1" x14ac:dyDescent="0.25">
      <c r="B64" s="132"/>
      <c r="C64" s="132"/>
      <c r="D64" s="132"/>
      <c r="E64" s="132"/>
      <c r="F64" s="132"/>
      <c r="G64" s="132"/>
      <c r="H64" s="117"/>
      <c r="I64" s="117"/>
      <c r="J64" s="117"/>
      <c r="K64" s="117"/>
      <c r="L64" s="117"/>
      <c r="M64" s="132"/>
      <c r="N64" s="117"/>
      <c r="O64" s="117"/>
    </row>
    <row r="65" spans="2:16" ht="15.6" x14ac:dyDescent="0.3">
      <c r="B65" s="120" t="s">
        <v>99</v>
      </c>
      <c r="H65" s="81"/>
      <c r="I65" s="81"/>
      <c r="J65" s="81"/>
      <c r="K65" s="81"/>
      <c r="L65" s="81"/>
    </row>
    <row r="66" spans="2:16" x14ac:dyDescent="0.25">
      <c r="B66" s="122" t="s">
        <v>30</v>
      </c>
      <c r="C66" s="81"/>
      <c r="D66" s="81"/>
      <c r="E66" s="133"/>
      <c r="F66" s="250" t="s">
        <v>19</v>
      </c>
      <c r="G66" s="250"/>
      <c r="H66" s="81"/>
      <c r="I66" s="140" t="s">
        <v>66</v>
      </c>
    </row>
    <row r="67" spans="2:16" x14ac:dyDescent="0.25">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5">
      <c r="B68" s="134" t="s">
        <v>20</v>
      </c>
      <c r="C68" s="81"/>
      <c r="D68" s="81"/>
      <c r="E68" s="81"/>
      <c r="F68" s="215">
        <f>'PF Calculator'!F69</f>
        <v>0</v>
      </c>
      <c r="G68" s="215">
        <f>'PF Calculator'!G69</f>
        <v>0</v>
      </c>
      <c r="H68" s="81"/>
      <c r="I68" s="142" t="s">
        <v>67</v>
      </c>
      <c r="M68" s="51">
        <v>50</v>
      </c>
      <c r="N68" s="51">
        <v>20</v>
      </c>
      <c r="O68" s="134" t="s">
        <v>8</v>
      </c>
    </row>
    <row r="69" spans="2:16" ht="15" customHeight="1" x14ac:dyDescent="0.25">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6" x14ac:dyDescent="0.25">
      <c r="B70" s="81"/>
      <c r="C70" s="81"/>
      <c r="D70" s="143"/>
      <c r="E70" s="81"/>
      <c r="F70" s="144" t="s">
        <v>65</v>
      </c>
      <c r="G70" s="144" t="s">
        <v>64</v>
      </c>
      <c r="H70" s="81"/>
      <c r="I70" s="229"/>
      <c r="J70" s="229"/>
      <c r="K70" s="229"/>
      <c r="L70" s="229"/>
      <c r="M70" s="145" t="s">
        <v>65</v>
      </c>
      <c r="N70" s="145" t="s">
        <v>64</v>
      </c>
    </row>
    <row r="71" spans="2:16" x14ac:dyDescent="0.25">
      <c r="B71" s="146"/>
      <c r="C71" s="146"/>
      <c r="D71" s="146"/>
      <c r="E71" s="146"/>
      <c r="F71" s="135"/>
      <c r="G71" s="81"/>
      <c r="H71" s="81"/>
      <c r="I71" s="81"/>
      <c r="J71" s="81"/>
      <c r="K71" s="81"/>
      <c r="L71" s="81"/>
      <c r="M71" s="81"/>
    </row>
    <row r="72" spans="2:16" ht="15.6" x14ac:dyDescent="0.3">
      <c r="B72" s="81" t="s">
        <v>57</v>
      </c>
      <c r="C72" s="81"/>
      <c r="D72" s="81"/>
      <c r="E72" s="81"/>
      <c r="F72" s="81"/>
      <c r="G72" s="107" t="s">
        <v>96</v>
      </c>
      <c r="H72" s="81"/>
      <c r="K72" s="107" t="s">
        <v>73</v>
      </c>
      <c r="O72" s="137" t="s">
        <v>78</v>
      </c>
    </row>
    <row r="73" spans="2:16" ht="15.6" x14ac:dyDescent="0.3">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ht="15.6" x14ac:dyDescent="0.3">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ht="15.6" x14ac:dyDescent="0.3">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5">
      <c r="H76" s="81"/>
      <c r="I76" s="81"/>
      <c r="J76" s="81"/>
      <c r="K76" s="81"/>
      <c r="L76" s="81"/>
    </row>
    <row r="77" spans="2:16" ht="7.5" customHeight="1" x14ac:dyDescent="0.25">
      <c r="B77" s="132"/>
      <c r="C77" s="132"/>
      <c r="D77" s="132"/>
      <c r="E77" s="132"/>
      <c r="F77" s="132"/>
      <c r="G77" s="132"/>
      <c r="H77" s="117"/>
      <c r="I77" s="117"/>
      <c r="J77" s="117"/>
      <c r="K77" s="117"/>
      <c r="L77" s="117"/>
      <c r="M77" s="132"/>
      <c r="N77" s="117"/>
      <c r="O77" s="117"/>
    </row>
    <row r="78" spans="2:16" ht="15.6" x14ac:dyDescent="0.3">
      <c r="B78" s="120" t="s">
        <v>100</v>
      </c>
      <c r="H78" s="81"/>
      <c r="I78" s="81"/>
      <c r="J78" s="81"/>
      <c r="K78" s="81"/>
      <c r="L78" s="81"/>
    </row>
    <row r="79" spans="2:16" ht="15.6" x14ac:dyDescent="0.3">
      <c r="B79" s="81" t="s">
        <v>70</v>
      </c>
      <c r="C79" s="81"/>
      <c r="D79" s="81"/>
      <c r="E79" s="147"/>
      <c r="F79" s="241"/>
      <c r="G79" s="241"/>
      <c r="H79" s="101"/>
      <c r="I79" s="140"/>
      <c r="K79" s="148" t="s">
        <v>89</v>
      </c>
      <c r="L79" s="140"/>
      <c r="M79" s="140"/>
      <c r="N79" s="140"/>
      <c r="O79" s="137" t="s">
        <v>78</v>
      </c>
      <c r="P79" s="140"/>
    </row>
    <row r="80" spans="2:16" x14ac:dyDescent="0.25">
      <c r="B80" s="140" t="s">
        <v>68</v>
      </c>
      <c r="C80" s="216">
        <f>'PF Calculator'!C81</f>
        <v>5</v>
      </c>
      <c r="D80" s="122" t="s">
        <v>12</v>
      </c>
      <c r="E80" s="101"/>
      <c r="F80" s="101"/>
      <c r="G80" s="101"/>
      <c r="H80" s="101"/>
      <c r="I80" s="81"/>
      <c r="J80" s="295">
        <f>'Discount Rates &amp; Assumptions'!K14</f>
        <v>15000</v>
      </c>
      <c r="K80" s="295"/>
      <c r="L80" s="140"/>
      <c r="M80" s="148" t="s">
        <v>68</v>
      </c>
      <c r="N80" s="296">
        <f>J80*C80</f>
        <v>75000</v>
      </c>
      <c r="O80" s="296"/>
      <c r="P80" s="140"/>
    </row>
    <row r="81" spans="1:16" x14ac:dyDescent="0.25">
      <c r="B81" s="140" t="s">
        <v>4</v>
      </c>
      <c r="C81" s="216">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5">
      <c r="B82" s="140" t="s">
        <v>69</v>
      </c>
      <c r="C82" s="216">
        <f>'PF Calculator'!C83</f>
        <v>0</v>
      </c>
      <c r="D82" s="122" t="s">
        <v>10</v>
      </c>
      <c r="E82" s="81"/>
      <c r="F82" s="81"/>
      <c r="G82" s="81"/>
      <c r="H82" s="81"/>
      <c r="I82" s="81"/>
      <c r="J82" s="295">
        <f>'Discount Rates &amp; Assumptions'!K16</f>
        <v>80000</v>
      </c>
      <c r="K82" s="295"/>
      <c r="L82" s="140"/>
      <c r="M82" s="148" t="s">
        <v>69</v>
      </c>
      <c r="N82" s="296">
        <f>J82*C82</f>
        <v>0</v>
      </c>
      <c r="O82" s="296"/>
      <c r="P82" s="140"/>
    </row>
    <row r="83" spans="1:16" ht="15.6" x14ac:dyDescent="0.3">
      <c r="B83" s="81"/>
      <c r="C83" s="81"/>
      <c r="D83" s="122"/>
      <c r="E83" s="81"/>
      <c r="F83" s="81"/>
      <c r="G83" s="81"/>
      <c r="H83" s="81"/>
      <c r="I83" s="81"/>
      <c r="J83" s="81"/>
      <c r="K83" s="81"/>
      <c r="L83" s="140"/>
      <c r="M83" s="137" t="s">
        <v>3</v>
      </c>
      <c r="N83" s="297">
        <f>SUM(N80:O82)</f>
        <v>75000</v>
      </c>
      <c r="O83" s="297"/>
      <c r="P83" s="140"/>
    </row>
    <row r="84" spans="1:16" ht="7.5" customHeight="1" x14ac:dyDescent="0.3">
      <c r="B84" s="81"/>
      <c r="C84" s="81"/>
      <c r="D84" s="143"/>
      <c r="E84" s="81"/>
      <c r="F84" s="81"/>
      <c r="G84" s="81"/>
      <c r="H84" s="81"/>
      <c r="I84" s="81"/>
      <c r="J84" s="81"/>
      <c r="K84" s="81"/>
      <c r="L84" s="140"/>
      <c r="M84" s="137"/>
      <c r="N84" s="140"/>
    </row>
    <row r="85" spans="1:16" ht="7.5" customHeight="1" x14ac:dyDescent="0.25">
      <c r="B85" s="117"/>
      <c r="C85" s="117"/>
      <c r="D85" s="149"/>
      <c r="E85" s="117"/>
      <c r="F85" s="117"/>
      <c r="G85" s="117"/>
      <c r="H85" s="117"/>
      <c r="I85" s="117"/>
      <c r="J85" s="117"/>
      <c r="K85" s="117"/>
      <c r="L85" s="150"/>
      <c r="M85" s="117"/>
      <c r="N85" s="117"/>
      <c r="O85" s="117"/>
    </row>
    <row r="86" spans="1:16" ht="15.6" x14ac:dyDescent="0.3">
      <c r="B86" s="120" t="s">
        <v>102</v>
      </c>
      <c r="C86" s="81"/>
      <c r="E86" s="81"/>
      <c r="F86" s="81"/>
      <c r="G86" s="81"/>
      <c r="H86" s="81"/>
      <c r="I86" s="81"/>
      <c r="J86" s="81"/>
      <c r="K86" s="81"/>
      <c r="L86" s="81"/>
      <c r="M86" s="81"/>
    </row>
    <row r="87" spans="1:16" ht="15.6" x14ac:dyDescent="0.3">
      <c r="B87" s="151"/>
      <c r="C87" s="81"/>
      <c r="E87" s="81"/>
      <c r="F87" s="81"/>
      <c r="G87" s="81"/>
      <c r="H87" s="81"/>
      <c r="I87" s="81"/>
      <c r="J87" s="81"/>
      <c r="K87" s="81"/>
      <c r="L87" s="81"/>
      <c r="M87" s="81"/>
    </row>
    <row r="88" spans="1:16" x14ac:dyDescent="0.25">
      <c r="B88" s="140" t="s">
        <v>83</v>
      </c>
      <c r="C88" s="140"/>
      <c r="D88" s="140" t="s">
        <v>92</v>
      </c>
      <c r="F88" s="122" t="s">
        <v>71</v>
      </c>
      <c r="G88" s="122"/>
      <c r="H88" s="122"/>
      <c r="I88" s="122" t="s">
        <v>82</v>
      </c>
      <c r="J88" s="122"/>
      <c r="K88" s="81"/>
      <c r="L88" s="81"/>
      <c r="M88" s="81"/>
    </row>
    <row r="89" spans="1:16" x14ac:dyDescent="0.25">
      <c r="A89" s="152"/>
      <c r="B89" s="153" t="s">
        <v>2</v>
      </c>
      <c r="C89" s="154"/>
      <c r="D89" s="298">
        <f>IF(H29=0,0,IF(MAX((H29-SUM(D90:E96)),0)&gt;0,H29-SUM(D90:E96),"Ltd by high OM2,3,4 values"))</f>
        <v>15257859.428952929</v>
      </c>
      <c r="E89" s="299"/>
      <c r="F89" s="56">
        <f>1/TargetBCRWLBs*100</f>
        <v>5.5555555555555554</v>
      </c>
      <c r="G89" s="152" t="s">
        <v>81</v>
      </c>
      <c r="H89" s="81"/>
      <c r="I89" s="294">
        <f>IF(D89="Ltd by high OM2,3,4 values",0,D89*F89/100)</f>
        <v>847658.8571640515</v>
      </c>
      <c r="J89" s="294"/>
      <c r="K89" s="81"/>
      <c r="L89" s="140"/>
      <c r="M89" s="81"/>
      <c r="N89" s="155"/>
    </row>
    <row r="90" spans="1:16" x14ac:dyDescent="0.25">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5">
      <c r="B91" s="158"/>
      <c r="C91" s="159" t="s">
        <v>80</v>
      </c>
      <c r="D91" s="293">
        <f>N61</f>
        <v>0</v>
      </c>
      <c r="E91" s="293"/>
      <c r="F91" s="52">
        <f>1/TargetMinBCR*DeprivedScalar40*100</f>
        <v>30.000000000000004</v>
      </c>
      <c r="G91" s="81"/>
      <c r="H91" s="81"/>
      <c r="I91" s="294">
        <f t="shared" si="1"/>
        <v>0</v>
      </c>
      <c r="J91" s="294"/>
      <c r="M91" s="140"/>
    </row>
    <row r="92" spans="1:16" x14ac:dyDescent="0.25">
      <c r="B92" s="160"/>
      <c r="C92" s="161" t="s">
        <v>88</v>
      </c>
      <c r="D92" s="293">
        <f>N62</f>
        <v>9667140.5710470714</v>
      </c>
      <c r="E92" s="293"/>
      <c r="F92" s="52">
        <f>1/TargetMinBCR*DeprivedScalarOther*100</f>
        <v>20</v>
      </c>
      <c r="G92" s="81"/>
      <c r="H92" s="81"/>
      <c r="I92" s="294">
        <f t="shared" si="1"/>
        <v>1933428.1142094142</v>
      </c>
      <c r="J92" s="294"/>
    </row>
    <row r="93" spans="1:16" x14ac:dyDescent="0.25">
      <c r="B93" s="156" t="s">
        <v>0</v>
      </c>
      <c r="C93" s="157" t="s">
        <v>84</v>
      </c>
      <c r="D93" s="293">
        <f>N73</f>
        <v>0</v>
      </c>
      <c r="E93" s="293"/>
      <c r="F93" s="52">
        <f>1/TargetMinBCR*DeprivedScalar20*100</f>
        <v>45</v>
      </c>
      <c r="G93" s="81"/>
      <c r="H93" s="81"/>
      <c r="I93" s="294">
        <f t="shared" si="1"/>
        <v>0</v>
      </c>
      <c r="J93" s="294"/>
    </row>
    <row r="94" spans="1:16" x14ac:dyDescent="0.25">
      <c r="B94" s="162"/>
      <c r="C94" s="159" t="s">
        <v>80</v>
      </c>
      <c r="D94" s="293">
        <f>N74</f>
        <v>0</v>
      </c>
      <c r="E94" s="293"/>
      <c r="F94" s="52">
        <f>1/TargetMinBCR*DeprivedScalar40*100</f>
        <v>30.000000000000004</v>
      </c>
      <c r="G94" s="81"/>
      <c r="H94" s="81"/>
      <c r="I94" s="294">
        <f t="shared" si="1"/>
        <v>0</v>
      </c>
      <c r="J94" s="294"/>
    </row>
    <row r="95" spans="1:16" x14ac:dyDescent="0.25">
      <c r="B95" s="160"/>
      <c r="C95" s="161" t="s">
        <v>88</v>
      </c>
      <c r="D95" s="293">
        <f>N75</f>
        <v>0</v>
      </c>
      <c r="E95" s="293"/>
      <c r="F95" s="52">
        <f>1/TargetMinBCR*DeprivedScalarOther*100</f>
        <v>20</v>
      </c>
      <c r="G95" s="81"/>
      <c r="H95" s="81"/>
      <c r="I95" s="294">
        <f t="shared" si="1"/>
        <v>0</v>
      </c>
      <c r="J95" s="294"/>
    </row>
    <row r="96" spans="1:16" x14ac:dyDescent="0.25">
      <c r="B96" s="163" t="s">
        <v>3</v>
      </c>
      <c r="C96" s="164"/>
      <c r="D96" s="293">
        <f>N83</f>
        <v>75000</v>
      </c>
      <c r="E96" s="293"/>
      <c r="F96" s="52">
        <v>100</v>
      </c>
      <c r="G96" s="81"/>
      <c r="H96" s="81"/>
      <c r="I96" s="294">
        <f t="shared" si="1"/>
        <v>75000</v>
      </c>
      <c r="J96" s="294"/>
      <c r="P96" s="165"/>
    </row>
    <row r="97" spans="2:16" ht="15.6" x14ac:dyDescent="0.3">
      <c r="B97" s="81" t="s">
        <v>7</v>
      </c>
      <c r="C97" s="81"/>
      <c r="D97" s="300">
        <f>SUM(D89:E96)</f>
        <v>25000000</v>
      </c>
      <c r="E97" s="249"/>
      <c r="F97" s="81"/>
      <c r="G97" s="81"/>
      <c r="H97" s="81"/>
      <c r="I97" s="301">
        <f>SUM(I89:J96)</f>
        <v>2856086.9713734658</v>
      </c>
      <c r="J97" s="302"/>
      <c r="K97" s="235" t="s">
        <v>213</v>
      </c>
      <c r="L97" s="235"/>
      <c r="M97" s="235"/>
      <c r="N97" s="235"/>
      <c r="O97" s="235"/>
    </row>
    <row r="98" spans="2:16" x14ac:dyDescent="0.25">
      <c r="B98" s="81"/>
      <c r="C98" s="81"/>
      <c r="D98" s="81"/>
      <c r="E98" s="81"/>
      <c r="F98" s="81"/>
      <c r="G98" s="81"/>
      <c r="H98" s="81"/>
      <c r="I98" s="81"/>
      <c r="K98" s="235"/>
      <c r="L98" s="235"/>
      <c r="M98" s="235"/>
      <c r="N98" s="235"/>
      <c r="O98" s="235"/>
    </row>
    <row r="99" spans="2:16" s="140" customFormat="1" ht="15.6" x14ac:dyDescent="0.3">
      <c r="B99" s="217"/>
      <c r="C99" s="117"/>
      <c r="D99" s="149"/>
      <c r="E99" s="117"/>
      <c r="F99" s="117"/>
      <c r="G99" s="117"/>
      <c r="H99" s="117"/>
      <c r="I99" s="117"/>
      <c r="J99" s="117"/>
      <c r="K99" s="117"/>
      <c r="L99" s="150"/>
      <c r="M99" s="117"/>
      <c r="N99" s="117"/>
      <c r="O99" s="117"/>
      <c r="P99" s="84"/>
    </row>
    <row r="100" spans="2:16" s="166" customFormat="1" ht="13.2" x14ac:dyDescent="0.25">
      <c r="B100" s="167"/>
    </row>
    <row r="101" spans="2:16" s="166" customFormat="1" ht="13.2" x14ac:dyDescent="0.25">
      <c r="B101" s="167"/>
    </row>
    <row r="102" spans="2:16" ht="15.6" x14ac:dyDescent="0.3">
      <c r="B102" s="176" t="s">
        <v>93</v>
      </c>
      <c r="C102" s="81"/>
      <c r="D102" s="81"/>
      <c r="E102" s="81"/>
      <c r="F102" s="81"/>
      <c r="G102" s="81"/>
      <c r="H102" s="81"/>
      <c r="I102" s="81"/>
      <c r="J102" s="81"/>
      <c r="K102" s="81"/>
      <c r="L102" s="81"/>
      <c r="M102" s="81"/>
    </row>
    <row r="104" spans="2:16" x14ac:dyDescent="0.25">
      <c r="B104" s="140"/>
      <c r="C104" s="140"/>
      <c r="D104" s="140"/>
      <c r="E104" s="140"/>
      <c r="F104" s="140"/>
      <c r="G104" s="140"/>
      <c r="H104" s="140"/>
      <c r="I104" s="140"/>
    </row>
    <row r="107" spans="2:16" ht="22.8" x14ac:dyDescent="0.4">
      <c r="B107" s="177"/>
    </row>
    <row r="109" spans="2:16" ht="22.8" x14ac:dyDescent="0.4">
      <c r="D109" s="177"/>
    </row>
    <row r="110" spans="2:16" s="140" customFormat="1" ht="22.8" x14ac:dyDescent="0.4">
      <c r="I110" s="177"/>
    </row>
    <row r="111" spans="2:16" s="140" customFormat="1" ht="22.8" x14ac:dyDescent="0.4">
      <c r="B111" s="177"/>
      <c r="C111" s="178"/>
    </row>
    <row r="112" spans="2:16" s="140" customFormat="1" x14ac:dyDescent="0.25"/>
    <row r="113" s="140" customFormat="1" x14ac:dyDescent="0.25"/>
    <row r="114" s="140" customFormat="1" x14ac:dyDescent="0.25"/>
    <row r="115" s="140" customFormat="1" x14ac:dyDescent="0.25"/>
    <row r="116" s="140" customFormat="1" x14ac:dyDescent="0.25"/>
    <row r="117" s="140" customFormat="1" x14ac:dyDescent="0.25"/>
    <row r="118" s="140" customFormat="1" x14ac:dyDescent="0.25"/>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formula1>"EA,LA,IDB,HA,WC"</formula1>
    </dataValidation>
    <dataValidation type="list" allowBlank="1" showInputMessage="1" showErrorMessage="1" sqref="J25">
      <formula1>"Yes,No"</formula1>
    </dataValidation>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2"/>
  <sheetViews>
    <sheetView topLeftCell="A13" zoomScale="70" zoomScaleNormal="70" workbookViewId="0">
      <selection activeCell="A13" sqref="A1:XFD1048576"/>
    </sheetView>
  </sheetViews>
  <sheetFormatPr defaultColWidth="8.90625" defaultRowHeight="15" x14ac:dyDescent="0.25"/>
  <cols>
    <col min="1" max="1" width="2" style="81" customWidth="1"/>
    <col min="2" max="2" width="16.54296875" style="84" customWidth="1"/>
    <col min="3" max="13" width="10.6328125" style="84" customWidth="1"/>
    <col min="14" max="18" width="10.6328125" style="81" customWidth="1"/>
    <col min="19" max="16384" width="8.90625" style="81"/>
  </cols>
  <sheetData>
    <row r="2" spans="1:18" ht="21" x14ac:dyDescent="0.4">
      <c r="B2" s="82" t="s">
        <v>178</v>
      </c>
      <c r="C2" s="83"/>
      <c r="D2" s="83"/>
    </row>
    <row r="3" spans="1:18" ht="20.399999999999999" x14ac:dyDescent="0.35">
      <c r="B3" s="85" t="str">
        <f>'PF Calculator'!B3</f>
        <v>Version 8 January 2014</v>
      </c>
      <c r="C3" s="83"/>
      <c r="D3" s="83"/>
    </row>
    <row r="4" spans="1:18" x14ac:dyDescent="0.25">
      <c r="B4" s="86"/>
      <c r="C4" s="87"/>
      <c r="D4" s="87"/>
    </row>
    <row r="5" spans="1:18" ht="21" x14ac:dyDescent="0.4">
      <c r="B5" s="243" t="s">
        <v>132</v>
      </c>
      <c r="C5" s="243"/>
      <c r="D5" s="243"/>
      <c r="E5" s="203" t="str">
        <f>'PF Calculator'!E5</f>
        <v>Example2</v>
      </c>
      <c r="F5" s="204"/>
      <c r="G5" s="204"/>
      <c r="H5" s="204"/>
      <c r="I5" s="204"/>
      <c r="J5" s="204"/>
      <c r="K5" s="204"/>
      <c r="L5" s="204"/>
      <c r="M5" s="204"/>
      <c r="N5" s="204"/>
      <c r="O5" s="204"/>
      <c r="P5" s="89"/>
      <c r="Q5" s="90"/>
      <c r="R5" s="90"/>
    </row>
    <row r="6" spans="1:18" ht="21" x14ac:dyDescent="0.4">
      <c r="B6" s="91" t="s">
        <v>133</v>
      </c>
      <c r="C6" s="91"/>
      <c r="D6" s="91"/>
      <c r="E6" s="218" t="s">
        <v>137</v>
      </c>
      <c r="F6" s="204"/>
      <c r="G6" s="204"/>
      <c r="H6" s="204"/>
      <c r="I6" s="204"/>
      <c r="J6" s="204"/>
      <c r="K6" s="204"/>
      <c r="L6" s="204"/>
      <c r="M6" s="204"/>
      <c r="N6" s="204"/>
      <c r="O6" s="204"/>
      <c r="P6" s="89"/>
      <c r="Q6" s="90"/>
      <c r="R6" s="90"/>
    </row>
    <row r="7" spans="1:18" x14ac:dyDescent="0.25">
      <c r="B7" s="92"/>
      <c r="C7" s="93"/>
      <c r="D7" s="93"/>
    </row>
    <row r="8" spans="1:18" ht="15.6" x14ac:dyDescent="0.3">
      <c r="B8" s="206"/>
      <c r="C8" s="93"/>
      <c r="D8" s="93"/>
      <c r="L8" s="94" t="s">
        <v>13</v>
      </c>
      <c r="M8" s="275" t="s">
        <v>180</v>
      </c>
      <c r="N8" s="276"/>
      <c r="O8" s="277"/>
    </row>
    <row r="9" spans="1:18" ht="15.6" x14ac:dyDescent="0.3">
      <c r="B9" s="95" t="s">
        <v>203</v>
      </c>
      <c r="J9" s="84" t="s">
        <v>146</v>
      </c>
      <c r="L9" s="81"/>
      <c r="M9" s="247" t="s">
        <v>15</v>
      </c>
      <c r="N9" s="248"/>
      <c r="O9" s="249"/>
    </row>
    <row r="10" spans="1:18" ht="15.6" x14ac:dyDescent="0.3">
      <c r="B10" s="96" t="s">
        <v>129</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130</v>
      </c>
      <c r="C12" s="87"/>
      <c r="D12" s="87"/>
      <c r="E12" s="87"/>
      <c r="F12" s="103"/>
      <c r="G12" s="104"/>
      <c r="H12" s="81"/>
      <c r="I12" s="81"/>
      <c r="O12" s="105"/>
      <c r="P12" s="105"/>
    </row>
    <row r="13" spans="1:18" ht="15" customHeight="1" x14ac:dyDescent="0.3">
      <c r="G13" s="106"/>
      <c r="I13" s="81"/>
      <c r="J13" s="105"/>
      <c r="K13" s="81"/>
      <c r="M13" s="107" t="s">
        <v>101</v>
      </c>
      <c r="N13" s="46">
        <f>H29/H37</f>
        <v>14.695094424798736</v>
      </c>
      <c r="O13" s="47" t="s">
        <v>17</v>
      </c>
    </row>
    <row r="14" spans="1:18" ht="15" customHeight="1" x14ac:dyDescent="0.3">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55.481580115401684</v>
      </c>
      <c r="O14" s="47" t="s">
        <v>17</v>
      </c>
    </row>
    <row r="15" spans="1:18" ht="15" customHeight="1" x14ac:dyDescent="0.3">
      <c r="B15" s="110" t="s">
        <v>153</v>
      </c>
      <c r="C15" s="111"/>
      <c r="D15" s="111"/>
      <c r="E15" s="111"/>
      <c r="F15" s="111"/>
      <c r="G15" s="111"/>
      <c r="H15" s="54">
        <f>IF(J25="yes",I97/MAX(H37,H34),IF(J25="Yes",I97/MAX(H37,H34),0.45*I97/MAX(H37,H34)))</f>
        <v>1.3486164496927395</v>
      </c>
      <c r="I15" s="108" t="s">
        <v>156</v>
      </c>
      <c r="K15" s="81"/>
      <c r="L15" s="81"/>
      <c r="M15" s="109" t="s">
        <v>18</v>
      </c>
      <c r="N15" s="48">
        <f>IF(H44&gt;0,H29/H44,"n/a")</f>
        <v>25</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25">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3">
      <c r="B19" s="110" t="s">
        <v>134</v>
      </c>
      <c r="C19" s="113"/>
      <c r="D19" s="113"/>
      <c r="E19" s="113"/>
      <c r="F19" s="113"/>
      <c r="G19" s="113"/>
      <c r="H19" s="54">
        <f>IF(J25="Yes",IF(Authority="EA",I97/MAX(MAX(H37,H34)-H44,1),RawOMScore+H44/H34),IF(Authority="EA",I97*0.45/MAX(MAX(H37,H34)-H44,1),I15+H44/H34))</f>
        <v>2.0379863655896098</v>
      </c>
      <c r="I19" s="108" t="s">
        <v>158</v>
      </c>
      <c r="J19" s="278"/>
      <c r="K19" s="278"/>
      <c r="L19" s="278"/>
      <c r="M19" s="278"/>
      <c r="N19" s="278"/>
      <c r="O19" s="278"/>
      <c r="Q19" s="255"/>
      <c r="R19" s="255"/>
      <c r="S19" s="255"/>
      <c r="T19" s="255"/>
      <c r="U19" s="255"/>
      <c r="V19" s="255"/>
    </row>
    <row r="20" spans="2:22" ht="15" customHeight="1" x14ac:dyDescent="0.25">
      <c r="J20" s="278"/>
      <c r="K20" s="278"/>
      <c r="L20" s="278"/>
      <c r="M20" s="278"/>
      <c r="N20" s="278"/>
      <c r="O20" s="278"/>
      <c r="Q20" s="255"/>
      <c r="R20" s="255"/>
      <c r="S20" s="255"/>
      <c r="T20" s="255"/>
      <c r="U20" s="255"/>
      <c r="V20" s="255"/>
    </row>
    <row r="21" spans="2:22" ht="15" customHeight="1" x14ac:dyDescent="0.3">
      <c r="B21" s="114" t="s">
        <v>205</v>
      </c>
      <c r="C21" s="115"/>
      <c r="D21" s="115"/>
      <c r="E21" s="115"/>
      <c r="F21" s="115"/>
      <c r="G21" s="115"/>
      <c r="H21" s="208">
        <f>IF(ROUNDUP(AdjOMScore,4)&lt;100%,"-",H34-H44)</f>
        <v>450600</v>
      </c>
      <c r="I21" s="108" t="s">
        <v>159</v>
      </c>
      <c r="J21" s="278"/>
      <c r="K21" s="278"/>
      <c r="L21" s="278"/>
      <c r="M21" s="278"/>
      <c r="N21" s="278"/>
      <c r="O21" s="278"/>
      <c r="Q21" s="255"/>
      <c r="R21" s="255"/>
      <c r="S21" s="255"/>
      <c r="T21" s="255"/>
      <c r="U21" s="255"/>
      <c r="V21" s="255"/>
    </row>
    <row r="22" spans="2:22" ht="22.5" customHeight="1" x14ac:dyDescent="0.3">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5">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3">
      <c r="B24" s="120" t="s">
        <v>97</v>
      </c>
      <c r="C24" s="121"/>
      <c r="D24" s="121"/>
      <c r="E24" s="81"/>
      <c r="F24" s="81"/>
      <c r="G24" s="81"/>
      <c r="H24" s="81"/>
      <c r="M24" s="81"/>
    </row>
    <row r="25" spans="2:22" ht="15.6" x14ac:dyDescent="0.3">
      <c r="B25" s="123" t="s">
        <v>128</v>
      </c>
      <c r="C25" s="121"/>
      <c r="D25" s="124"/>
      <c r="E25" s="81"/>
      <c r="F25" s="81"/>
      <c r="G25" s="81"/>
      <c r="H25" s="210" t="str">
        <f>'PF Calculator'!H25</f>
        <v>IDB</v>
      </c>
      <c r="I25" s="108" t="s">
        <v>160</v>
      </c>
      <c r="J25" s="210" t="str">
        <f>'PF Calculator'!J25</f>
        <v>Yes</v>
      </c>
      <c r="K25" s="212" t="s">
        <v>173</v>
      </c>
      <c r="L25" s="213"/>
      <c r="M25" s="213"/>
      <c r="N25" s="213"/>
      <c r="O25" s="213"/>
    </row>
    <row r="26" spans="2:22" x14ac:dyDescent="0.25">
      <c r="B26" s="121"/>
      <c r="C26" s="121"/>
      <c r="D26" s="124"/>
      <c r="E26" s="81"/>
      <c r="F26" s="81"/>
      <c r="G26" s="81"/>
      <c r="H26" s="107"/>
      <c r="I26" s="81"/>
      <c r="J26" s="279" t="s">
        <v>174</v>
      </c>
      <c r="K26" s="225"/>
      <c r="L26" s="225"/>
      <c r="M26" s="225"/>
      <c r="N26" s="225"/>
      <c r="O26" s="213"/>
      <c r="P26" s="127"/>
    </row>
    <row r="27" spans="2:22" ht="15.6" x14ac:dyDescent="0.3">
      <c r="B27" s="123" t="s">
        <v>124</v>
      </c>
      <c r="C27" s="121"/>
      <c r="D27" s="124"/>
      <c r="E27" s="81"/>
      <c r="F27" s="81"/>
      <c r="G27" s="81"/>
      <c r="H27" s="210">
        <f>'PF Calculator'!H27</f>
        <v>50</v>
      </c>
      <c r="I27" s="108" t="s">
        <v>161</v>
      </c>
      <c r="J27" s="225"/>
      <c r="K27" s="225"/>
      <c r="L27" s="225"/>
      <c r="M27" s="225"/>
      <c r="N27" s="225"/>
      <c r="O27" s="84"/>
    </row>
    <row r="28" spans="2:22" x14ac:dyDescent="0.25">
      <c r="B28" s="123"/>
      <c r="C28" s="121"/>
      <c r="D28" s="124"/>
      <c r="E28" s="81"/>
      <c r="F28" s="81"/>
      <c r="G28" s="81"/>
      <c r="H28" s="81"/>
      <c r="I28" s="81"/>
      <c r="J28" s="81"/>
      <c r="K28" s="81"/>
      <c r="L28" s="81"/>
      <c r="M28" s="81"/>
      <c r="O28" s="84"/>
    </row>
    <row r="29" spans="2:22" ht="15.6" x14ac:dyDescent="0.3">
      <c r="B29" s="123" t="s">
        <v>9</v>
      </c>
      <c r="C29" s="121"/>
      <c r="D29" s="124"/>
      <c r="E29" s="81"/>
      <c r="F29" s="81"/>
      <c r="G29" s="81"/>
      <c r="H29" s="214">
        <f>'PF Calculator'!H29</f>
        <v>25000000</v>
      </c>
      <c r="I29" s="108" t="s">
        <v>162</v>
      </c>
      <c r="J29" s="81"/>
      <c r="K29" s="81"/>
      <c r="L29" s="81"/>
      <c r="M29" s="81"/>
      <c r="O29" s="84"/>
    </row>
    <row r="30" spans="2:22" x14ac:dyDescent="0.25">
      <c r="B30" s="123"/>
      <c r="C30" s="121"/>
      <c r="D30" s="124"/>
      <c r="E30" s="81"/>
      <c r="F30" s="81"/>
      <c r="G30" s="81"/>
      <c r="H30" s="81"/>
      <c r="I30" s="81"/>
      <c r="J30" s="280" t="s">
        <v>155</v>
      </c>
      <c r="K30" s="281"/>
      <c r="L30" s="281"/>
      <c r="M30" s="281"/>
      <c r="N30" s="282"/>
    </row>
    <row r="31" spans="2:22" x14ac:dyDescent="0.25">
      <c r="B31" s="128" t="s">
        <v>151</v>
      </c>
      <c r="C31" s="121"/>
      <c r="D31" s="124"/>
      <c r="E31" s="81"/>
      <c r="F31" s="81"/>
      <c r="G31" s="81"/>
      <c r="H31" s="107"/>
      <c r="I31" s="81"/>
      <c r="J31" s="283"/>
      <c r="K31" s="284"/>
      <c r="L31" s="284"/>
      <c r="M31" s="284"/>
      <c r="N31" s="285"/>
      <c r="O31" s="84"/>
    </row>
    <row r="32" spans="2:22" ht="15.6" x14ac:dyDescent="0.3">
      <c r="B32" s="121" t="s">
        <v>118</v>
      </c>
      <c r="C32" s="121"/>
      <c r="D32" s="124"/>
      <c r="E32" s="81"/>
      <c r="F32" s="81"/>
      <c r="G32" s="81"/>
      <c r="H32" s="214">
        <f>'PF Calculator'!H32</f>
        <v>250000</v>
      </c>
      <c r="I32" s="108" t="s">
        <v>163</v>
      </c>
      <c r="J32" s="283"/>
      <c r="K32" s="284"/>
      <c r="L32" s="284"/>
      <c r="M32" s="284"/>
      <c r="N32" s="285"/>
    </row>
    <row r="33" spans="2:21" ht="15.6" x14ac:dyDescent="0.3">
      <c r="B33" s="121" t="s">
        <v>125</v>
      </c>
      <c r="C33" s="121"/>
      <c r="D33" s="124"/>
      <c r="E33" s="81"/>
      <c r="F33" s="81"/>
      <c r="G33" s="81"/>
      <c r="H33" s="214">
        <f>'PF Calculator'!H33</f>
        <v>1200600</v>
      </c>
      <c r="I33" s="108" t="s">
        <v>164</v>
      </c>
      <c r="J33" s="286"/>
      <c r="K33" s="287"/>
      <c r="L33" s="287"/>
      <c r="M33" s="287"/>
      <c r="N33" s="288"/>
    </row>
    <row r="34" spans="2:21" ht="15.6" x14ac:dyDescent="0.3">
      <c r="B34" s="128" t="s">
        <v>154</v>
      </c>
      <c r="C34" s="121"/>
      <c r="D34" s="124"/>
      <c r="E34" s="81"/>
      <c r="F34" s="81"/>
      <c r="G34" s="81"/>
      <c r="H34" s="55">
        <f>SUM(H32:H33)</f>
        <v>1450600</v>
      </c>
      <c r="I34" s="108" t="s">
        <v>165</v>
      </c>
      <c r="J34" s="81"/>
      <c r="K34" s="81"/>
      <c r="L34" s="81"/>
      <c r="M34" s="81"/>
    </row>
    <row r="35" spans="2:21" ht="15" customHeight="1" x14ac:dyDescent="0.25">
      <c r="B35" s="128"/>
      <c r="C35" s="121"/>
      <c r="D35" s="124"/>
      <c r="E35" s="81"/>
      <c r="F35" s="81"/>
      <c r="G35" s="81"/>
      <c r="H35" s="129"/>
      <c r="I35" s="81"/>
      <c r="J35" s="81"/>
      <c r="K35" s="81"/>
      <c r="L35" s="81"/>
      <c r="M35" s="81"/>
    </row>
    <row r="36" spans="2:21" ht="15.6" x14ac:dyDescent="0.3">
      <c r="B36" s="121" t="s">
        <v>126</v>
      </c>
      <c r="C36" s="121"/>
      <c r="D36" s="124"/>
      <c r="E36" s="81"/>
      <c r="F36" s="81"/>
      <c r="G36" s="81"/>
      <c r="H36" s="214">
        <f>'PF Calculator'!H36</f>
        <v>250648</v>
      </c>
      <c r="I36" s="108" t="s">
        <v>166</v>
      </c>
      <c r="J36" s="81"/>
      <c r="K36" s="81"/>
      <c r="L36" s="81"/>
      <c r="M36" s="81"/>
    </row>
    <row r="37" spans="2:21" ht="15.6" x14ac:dyDescent="0.3">
      <c r="B37" s="123" t="s">
        <v>209</v>
      </c>
      <c r="C37" s="121"/>
      <c r="D37" s="124"/>
      <c r="E37" s="81"/>
      <c r="F37" s="81"/>
      <c r="G37" s="81"/>
      <c r="H37" s="45">
        <f>H36+H34</f>
        <v>1701248</v>
      </c>
      <c r="I37" s="108" t="s">
        <v>167</v>
      </c>
      <c r="J37" s="81"/>
      <c r="K37" s="81"/>
      <c r="L37" s="81"/>
      <c r="M37" s="81"/>
    </row>
    <row r="38" spans="2:21" ht="15" customHeight="1" x14ac:dyDescent="0.25">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5">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3">
      <c r="B40" s="121" t="s">
        <v>119</v>
      </c>
      <c r="C40" s="121"/>
      <c r="D40" s="124"/>
      <c r="E40" s="81"/>
      <c r="F40" s="81"/>
      <c r="G40" s="81"/>
      <c r="H40" s="214">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3">
      <c r="B41" s="121" t="s">
        <v>120</v>
      </c>
      <c r="C41" s="121"/>
      <c r="D41" s="124"/>
      <c r="E41" s="81"/>
      <c r="F41" s="81"/>
      <c r="G41" s="81"/>
      <c r="H41" s="214">
        <f>'PF Calculator'!H41</f>
        <v>1000000</v>
      </c>
      <c r="I41" s="108" t="s">
        <v>169</v>
      </c>
      <c r="J41" s="252"/>
      <c r="K41" s="252"/>
      <c r="L41" s="252"/>
      <c r="M41" s="252"/>
      <c r="N41" s="252"/>
      <c r="O41" s="252"/>
      <c r="P41" s="289"/>
      <c r="Q41" s="289"/>
      <c r="R41" s="289"/>
      <c r="S41" s="289"/>
      <c r="T41" s="289"/>
      <c r="U41" s="289"/>
    </row>
    <row r="42" spans="2:21" ht="15" customHeight="1" x14ac:dyDescent="0.3">
      <c r="B42" s="121" t="s">
        <v>121</v>
      </c>
      <c r="C42" s="121"/>
      <c r="D42" s="124"/>
      <c r="E42" s="81"/>
      <c r="F42" s="81"/>
      <c r="G42" s="81"/>
      <c r="H42" s="214">
        <f>'PF Calculator'!H42</f>
        <v>0</v>
      </c>
      <c r="I42" s="108" t="s">
        <v>170</v>
      </c>
      <c r="J42" s="252"/>
      <c r="K42" s="252"/>
      <c r="L42" s="252"/>
      <c r="M42" s="252"/>
      <c r="N42" s="252"/>
      <c r="O42" s="252"/>
      <c r="P42" s="289"/>
      <c r="Q42" s="289"/>
      <c r="R42" s="289"/>
      <c r="S42" s="289"/>
      <c r="T42" s="289"/>
      <c r="U42" s="289"/>
    </row>
    <row r="43" spans="2:21" ht="15" customHeight="1" x14ac:dyDescent="0.3">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5">
      <c r="B44" s="128" t="s">
        <v>123</v>
      </c>
      <c r="C44" s="121"/>
      <c r="D44" s="124"/>
      <c r="E44" s="81"/>
      <c r="F44" s="81"/>
      <c r="G44" s="81"/>
      <c r="H44" s="44">
        <f>SUM(H40:H43)</f>
        <v>1000000</v>
      </c>
      <c r="I44" s="108" t="s">
        <v>172</v>
      </c>
      <c r="J44" s="252"/>
      <c r="K44" s="252"/>
      <c r="L44" s="252"/>
      <c r="M44" s="252"/>
      <c r="N44" s="252"/>
      <c r="O44" s="252"/>
    </row>
    <row r="45" spans="2:21"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x14ac:dyDescent="0.25">
      <c r="B46" s="128"/>
      <c r="C46" s="121"/>
      <c r="D46" s="124"/>
      <c r="E46" s="81"/>
      <c r="F46" s="81"/>
      <c r="G46" s="81"/>
      <c r="H46" s="81"/>
      <c r="I46" s="108"/>
      <c r="J46" s="252"/>
      <c r="K46" s="252"/>
      <c r="L46" s="252"/>
      <c r="M46" s="252"/>
      <c r="N46" s="252"/>
      <c r="O46" s="252"/>
    </row>
    <row r="47" spans="2:21" ht="17.25" customHeight="1" x14ac:dyDescent="0.25">
      <c r="B47" s="81"/>
      <c r="C47" s="81"/>
      <c r="D47" s="81"/>
      <c r="E47" s="131"/>
      <c r="F47" s="131"/>
      <c r="G47" s="131"/>
      <c r="H47" s="131"/>
      <c r="I47" s="131"/>
      <c r="J47" s="252"/>
      <c r="K47" s="252"/>
      <c r="L47" s="252"/>
      <c r="M47" s="252"/>
      <c r="N47" s="252"/>
      <c r="O47" s="252"/>
    </row>
    <row r="48" spans="2:21" ht="7.5" customHeight="1" x14ac:dyDescent="0.25">
      <c r="B48" s="117"/>
      <c r="C48" s="117"/>
      <c r="D48" s="117"/>
      <c r="E48" s="117"/>
      <c r="F48" s="117"/>
      <c r="G48" s="117"/>
      <c r="H48" s="117"/>
      <c r="I48" s="117"/>
      <c r="J48" s="117"/>
      <c r="K48" s="132"/>
      <c r="L48" s="132"/>
      <c r="M48" s="132"/>
      <c r="N48" s="117"/>
      <c r="O48" s="117"/>
    </row>
    <row r="49" spans="2:19" ht="15.6" x14ac:dyDescent="0.3">
      <c r="B49" s="120" t="s">
        <v>98</v>
      </c>
      <c r="C49" s="81"/>
      <c r="D49" s="81"/>
      <c r="E49" s="81"/>
      <c r="F49" s="81"/>
      <c r="G49" s="81"/>
      <c r="H49" s="81"/>
      <c r="I49" s="81"/>
      <c r="J49" s="81"/>
      <c r="K49" s="81"/>
      <c r="L49" s="81"/>
      <c r="M49" s="81"/>
    </row>
    <row r="50" spans="2:19" x14ac:dyDescent="0.25">
      <c r="B50" s="122" t="s">
        <v>30</v>
      </c>
      <c r="C50" s="81"/>
      <c r="D50" s="81"/>
      <c r="F50" s="133" t="s">
        <v>19</v>
      </c>
      <c r="G50" s="81"/>
      <c r="H50" s="81"/>
      <c r="J50" s="133" t="s">
        <v>29</v>
      </c>
      <c r="K50" s="81"/>
      <c r="L50" s="81"/>
      <c r="M50" s="251" t="s">
        <v>54</v>
      </c>
      <c r="N50" s="251"/>
      <c r="O50" s="251"/>
    </row>
    <row r="51" spans="2:19" x14ac:dyDescent="0.25">
      <c r="B51" s="134" t="s">
        <v>21</v>
      </c>
      <c r="C51" s="81"/>
      <c r="D51" s="81"/>
      <c r="E51" s="215">
        <f>'PF Calculator'!E52</f>
        <v>0</v>
      </c>
      <c r="F51" s="215">
        <f>'PF Calculator'!F52+'PF Calculator'!G52*0.5</f>
        <v>0</v>
      </c>
      <c r="G51" s="215">
        <f>'PF Calculator'!G52*0.5</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5">
      <c r="B52" s="134" t="s">
        <v>20</v>
      </c>
      <c r="C52" s="81"/>
      <c r="D52" s="81"/>
      <c r="E52" s="215">
        <f>'PF Calculator'!E53</f>
        <v>0</v>
      </c>
      <c r="F52" s="215">
        <f>'PF Calculator'!F53+'PF Calculator'!G53*0.5</f>
        <v>0</v>
      </c>
      <c r="G52" s="215">
        <f>'PF Calculator'!G53*0.5</f>
        <v>0</v>
      </c>
      <c r="H52" s="81"/>
      <c r="I52" s="215">
        <f>'PF Calculator'!I53</f>
        <v>0</v>
      </c>
      <c r="J52" s="215">
        <f>'PF Calculator'!J53</f>
        <v>0</v>
      </c>
      <c r="K52" s="215">
        <f>'PF Calculator'!K53</f>
        <v>0</v>
      </c>
      <c r="L52" s="81"/>
      <c r="M52" s="49">
        <f t="shared" si="0"/>
        <v>0</v>
      </c>
      <c r="N52" s="49">
        <f t="shared" si="0"/>
        <v>0</v>
      </c>
      <c r="O52" s="49">
        <f t="shared" si="0"/>
        <v>0</v>
      </c>
    </row>
    <row r="53" spans="2:19" x14ac:dyDescent="0.25">
      <c r="B53" s="134" t="s">
        <v>22</v>
      </c>
      <c r="C53" s="81"/>
      <c r="D53" s="81"/>
      <c r="E53" s="215">
        <f>'PF Calculator'!E54</f>
        <v>60</v>
      </c>
      <c r="F53" s="215">
        <f>'PF Calculator'!F54+'PF Calculator'!G54*0.5</f>
        <v>240</v>
      </c>
      <c r="G53" s="215">
        <f>'PF Calculator'!G54*0.5</f>
        <v>210</v>
      </c>
      <c r="H53" s="81"/>
      <c r="I53" s="215">
        <f>'PF Calculator'!I54</f>
        <v>50</v>
      </c>
      <c r="J53" s="215">
        <f>'PF Calculator'!J54</f>
        <v>100</v>
      </c>
      <c r="K53" s="215">
        <f>'PF Calculator'!K54</f>
        <v>100</v>
      </c>
      <c r="L53" s="81"/>
      <c r="M53" s="49">
        <f t="shared" si="0"/>
        <v>-10</v>
      </c>
      <c r="N53" s="49">
        <f t="shared" si="0"/>
        <v>-140</v>
      </c>
      <c r="O53" s="49">
        <f t="shared" si="0"/>
        <v>-110</v>
      </c>
      <c r="Q53" s="135"/>
      <c r="R53" s="135"/>
      <c r="S53" s="135"/>
    </row>
    <row r="54" spans="2:19" ht="15.6" x14ac:dyDescent="0.3">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5">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5">
      <c r="B56" s="81"/>
      <c r="C56" s="81"/>
      <c r="D56" s="81"/>
      <c r="E56" s="135"/>
      <c r="F56" s="135"/>
      <c r="G56" s="135" t="s">
        <v>25</v>
      </c>
      <c r="H56" s="81"/>
      <c r="I56" s="135"/>
      <c r="J56" s="135"/>
      <c r="K56" s="135" t="s">
        <v>25</v>
      </c>
      <c r="L56" s="81"/>
      <c r="M56" s="135"/>
      <c r="N56" s="135"/>
      <c r="O56" s="135" t="s">
        <v>25</v>
      </c>
    </row>
    <row r="57" spans="2:19" x14ac:dyDescent="0.25">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5">
      <c r="B58" s="81"/>
      <c r="C58" s="81"/>
      <c r="D58" s="81"/>
      <c r="E58" s="81"/>
      <c r="F58" s="81"/>
      <c r="G58" s="81"/>
      <c r="H58" s="81"/>
      <c r="I58" s="81"/>
      <c r="J58" s="81"/>
      <c r="K58" s="81"/>
      <c r="L58" s="81"/>
      <c r="M58" s="81"/>
    </row>
    <row r="59" spans="2:19" ht="15.6" x14ac:dyDescent="0.3">
      <c r="B59" s="81" t="s">
        <v>57</v>
      </c>
      <c r="C59" s="81"/>
      <c r="D59" s="81"/>
      <c r="E59" s="81"/>
      <c r="F59" s="81"/>
      <c r="G59" s="81" t="s">
        <v>56</v>
      </c>
      <c r="H59" s="81"/>
      <c r="K59" s="107" t="s">
        <v>63</v>
      </c>
      <c r="O59" s="137" t="s">
        <v>79</v>
      </c>
    </row>
    <row r="60" spans="2:19" ht="15.6" x14ac:dyDescent="0.3">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ht="15.6" x14ac:dyDescent="0.3">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ht="15.6" x14ac:dyDescent="0.3">
      <c r="B62" s="134" t="str">
        <f>B53</f>
        <v>60% least deprived areas</v>
      </c>
      <c r="C62" s="81"/>
      <c r="D62" s="81"/>
      <c r="F62" s="290">
        <f>SUMPRODUCT($M53:$O53,$M$57:$O$57)</f>
        <v>-234000.00000000003</v>
      </c>
      <c r="G62" s="290"/>
      <c r="H62" s="81"/>
      <c r="J62" s="291">
        <f>F62*Duration</f>
        <v>-11700000.000000002</v>
      </c>
      <c r="K62" s="291"/>
      <c r="M62" s="137" t="s">
        <v>90</v>
      </c>
      <c r="N62" s="291">
        <f>-F62*VLOOKUP(Duration,'Discount Rates &amp; Assumptions'!$A$6:$D$105,4,FALSE)</f>
        <v>5778061.0309706638</v>
      </c>
      <c r="O62" s="291"/>
    </row>
    <row r="63" spans="2:19" ht="7.5" customHeight="1" x14ac:dyDescent="0.3">
      <c r="B63" s="134"/>
      <c r="C63" s="81"/>
      <c r="D63" s="81"/>
      <c r="F63" s="138"/>
      <c r="G63" s="138"/>
      <c r="H63" s="81"/>
      <c r="J63" s="139"/>
      <c r="K63" s="139"/>
      <c r="M63" s="137"/>
    </row>
    <row r="64" spans="2:19" ht="7.5" customHeight="1" x14ac:dyDescent="0.25">
      <c r="B64" s="132"/>
      <c r="C64" s="132"/>
      <c r="D64" s="132"/>
      <c r="E64" s="132"/>
      <c r="F64" s="132"/>
      <c r="G64" s="132"/>
      <c r="H64" s="117"/>
      <c r="I64" s="117"/>
      <c r="J64" s="117"/>
      <c r="K64" s="117"/>
      <c r="L64" s="117"/>
      <c r="M64" s="132"/>
      <c r="N64" s="117"/>
      <c r="O64" s="117"/>
    </row>
    <row r="65" spans="2:16" ht="15.6" x14ac:dyDescent="0.3">
      <c r="B65" s="120" t="s">
        <v>99</v>
      </c>
      <c r="H65" s="81"/>
      <c r="I65" s="81"/>
      <c r="J65" s="81"/>
      <c r="K65" s="81"/>
      <c r="L65" s="81"/>
    </row>
    <row r="66" spans="2:16" x14ac:dyDescent="0.25">
      <c r="B66" s="122" t="s">
        <v>30</v>
      </c>
      <c r="C66" s="81"/>
      <c r="D66" s="81"/>
      <c r="E66" s="133"/>
      <c r="F66" s="250" t="s">
        <v>19</v>
      </c>
      <c r="G66" s="250"/>
      <c r="H66" s="81"/>
      <c r="I66" s="140" t="s">
        <v>66</v>
      </c>
    </row>
    <row r="67" spans="2:16" x14ac:dyDescent="0.25">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5">
      <c r="B68" s="134" t="s">
        <v>20</v>
      </c>
      <c r="C68" s="81"/>
      <c r="D68" s="81"/>
      <c r="E68" s="81"/>
      <c r="F68" s="215">
        <f>'PF Calculator'!F69</f>
        <v>0</v>
      </c>
      <c r="G68" s="215">
        <f>'PF Calculator'!G69</f>
        <v>0</v>
      </c>
      <c r="H68" s="81"/>
      <c r="I68" s="142" t="s">
        <v>67</v>
      </c>
      <c r="M68" s="51">
        <v>50</v>
      </c>
      <c r="N68" s="51">
        <v>20</v>
      </c>
      <c r="O68" s="134" t="s">
        <v>8</v>
      </c>
    </row>
    <row r="69" spans="2:16" ht="15" customHeight="1" x14ac:dyDescent="0.25">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6" x14ac:dyDescent="0.25">
      <c r="B70" s="81"/>
      <c r="C70" s="81"/>
      <c r="D70" s="143"/>
      <c r="E70" s="81"/>
      <c r="F70" s="144" t="s">
        <v>65</v>
      </c>
      <c r="G70" s="144" t="s">
        <v>64</v>
      </c>
      <c r="H70" s="81"/>
      <c r="I70" s="229"/>
      <c r="J70" s="229"/>
      <c r="K70" s="229"/>
      <c r="L70" s="229"/>
      <c r="M70" s="145" t="s">
        <v>65</v>
      </c>
      <c r="N70" s="145" t="s">
        <v>64</v>
      </c>
    </row>
    <row r="71" spans="2:16" x14ac:dyDescent="0.25">
      <c r="B71" s="146"/>
      <c r="C71" s="146"/>
      <c r="D71" s="146"/>
      <c r="E71" s="146"/>
      <c r="F71" s="135"/>
      <c r="G71" s="81"/>
      <c r="H71" s="81"/>
      <c r="I71" s="81"/>
      <c r="J71" s="81"/>
      <c r="K71" s="81"/>
      <c r="L71" s="81"/>
      <c r="M71" s="81"/>
    </row>
    <row r="72" spans="2:16" ht="15.6" x14ac:dyDescent="0.3">
      <c r="B72" s="81" t="s">
        <v>57</v>
      </c>
      <c r="C72" s="81"/>
      <c r="D72" s="81"/>
      <c r="E72" s="81"/>
      <c r="F72" s="81"/>
      <c r="G72" s="107" t="s">
        <v>96</v>
      </c>
      <c r="H72" s="81"/>
      <c r="K72" s="107" t="s">
        <v>73</v>
      </c>
      <c r="O72" s="137" t="s">
        <v>78</v>
      </c>
    </row>
    <row r="73" spans="2:16" ht="15.6" x14ac:dyDescent="0.3">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ht="15.6" x14ac:dyDescent="0.3">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ht="15.6" x14ac:dyDescent="0.3">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5">
      <c r="H76" s="81"/>
      <c r="I76" s="81"/>
      <c r="J76" s="81"/>
      <c r="K76" s="81"/>
      <c r="L76" s="81"/>
    </row>
    <row r="77" spans="2:16" ht="7.5" customHeight="1" x14ac:dyDescent="0.25">
      <c r="B77" s="132"/>
      <c r="C77" s="132"/>
      <c r="D77" s="132"/>
      <c r="E77" s="132"/>
      <c r="F77" s="132"/>
      <c r="G77" s="132"/>
      <c r="H77" s="117"/>
      <c r="I77" s="117"/>
      <c r="J77" s="117"/>
      <c r="K77" s="117"/>
      <c r="L77" s="117"/>
      <c r="M77" s="132"/>
      <c r="N77" s="117"/>
      <c r="O77" s="117"/>
    </row>
    <row r="78" spans="2:16" ht="15.6" x14ac:dyDescent="0.3">
      <c r="B78" s="120" t="s">
        <v>100</v>
      </c>
      <c r="H78" s="81"/>
      <c r="I78" s="81"/>
      <c r="J78" s="81"/>
      <c r="K78" s="81"/>
      <c r="L78" s="81"/>
    </row>
    <row r="79" spans="2:16" ht="15.6" x14ac:dyDescent="0.3">
      <c r="B79" s="81" t="s">
        <v>70</v>
      </c>
      <c r="C79" s="81"/>
      <c r="D79" s="81"/>
      <c r="E79" s="147"/>
      <c r="F79" s="241"/>
      <c r="G79" s="241"/>
      <c r="H79" s="101"/>
      <c r="I79" s="140"/>
      <c r="K79" s="148" t="s">
        <v>89</v>
      </c>
      <c r="L79" s="140"/>
      <c r="M79" s="140"/>
      <c r="N79" s="140"/>
      <c r="O79" s="137" t="s">
        <v>78</v>
      </c>
      <c r="P79" s="140"/>
    </row>
    <row r="80" spans="2:16" x14ac:dyDescent="0.25">
      <c r="B80" s="140" t="s">
        <v>68</v>
      </c>
      <c r="C80" s="222">
        <f>'PF Calculator'!C81</f>
        <v>5</v>
      </c>
      <c r="D80" s="122" t="s">
        <v>12</v>
      </c>
      <c r="E80" s="101"/>
      <c r="F80" s="101"/>
      <c r="G80" s="101"/>
      <c r="H80" s="101"/>
      <c r="I80" s="81"/>
      <c r="J80" s="295">
        <f>'Discount Rates &amp; Assumptions'!K14</f>
        <v>15000</v>
      </c>
      <c r="K80" s="295"/>
      <c r="L80" s="140"/>
      <c r="M80" s="148" t="s">
        <v>68</v>
      </c>
      <c r="N80" s="296">
        <f>J80*C80</f>
        <v>75000</v>
      </c>
      <c r="O80" s="296"/>
      <c r="P80" s="140"/>
    </row>
    <row r="81" spans="1:16" x14ac:dyDescent="0.25">
      <c r="B81" s="140" t="s">
        <v>4</v>
      </c>
      <c r="C81" s="222">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5">
      <c r="B82" s="140" t="s">
        <v>69</v>
      </c>
      <c r="C82" s="222">
        <f>'PF Calculator'!C83</f>
        <v>0</v>
      </c>
      <c r="D82" s="122" t="s">
        <v>10</v>
      </c>
      <c r="E82" s="81"/>
      <c r="F82" s="81"/>
      <c r="G82" s="81"/>
      <c r="H82" s="81"/>
      <c r="I82" s="81"/>
      <c r="J82" s="295">
        <f>'Discount Rates &amp; Assumptions'!K16</f>
        <v>80000</v>
      </c>
      <c r="K82" s="295"/>
      <c r="L82" s="140"/>
      <c r="M82" s="148" t="s">
        <v>69</v>
      </c>
      <c r="N82" s="296">
        <f>J82*C82</f>
        <v>0</v>
      </c>
      <c r="O82" s="296"/>
      <c r="P82" s="140"/>
    </row>
    <row r="83" spans="1:16" ht="15.6" x14ac:dyDescent="0.3">
      <c r="B83" s="81"/>
      <c r="C83" s="81"/>
      <c r="D83" s="122"/>
      <c r="E83" s="81"/>
      <c r="F83" s="81"/>
      <c r="G83" s="81"/>
      <c r="H83" s="81"/>
      <c r="I83" s="81"/>
      <c r="J83" s="81"/>
      <c r="K83" s="81"/>
      <c r="L83" s="140"/>
      <c r="M83" s="137" t="s">
        <v>3</v>
      </c>
      <c r="N83" s="297">
        <f>SUM(N80:O82)</f>
        <v>75000</v>
      </c>
      <c r="O83" s="297"/>
      <c r="P83" s="140"/>
    </row>
    <row r="84" spans="1:16" ht="7.5" customHeight="1" x14ac:dyDescent="0.3">
      <c r="B84" s="81"/>
      <c r="C84" s="81"/>
      <c r="D84" s="143"/>
      <c r="E84" s="81"/>
      <c r="F84" s="81"/>
      <c r="G84" s="81"/>
      <c r="H84" s="81"/>
      <c r="I84" s="81"/>
      <c r="J84" s="81"/>
      <c r="K84" s="81"/>
      <c r="L84" s="140"/>
      <c r="M84" s="137"/>
      <c r="N84" s="140"/>
    </row>
    <row r="85" spans="1:16" ht="7.5" customHeight="1" x14ac:dyDescent="0.25">
      <c r="B85" s="117"/>
      <c r="C85" s="117"/>
      <c r="D85" s="149"/>
      <c r="E85" s="117"/>
      <c r="F85" s="117"/>
      <c r="G85" s="117"/>
      <c r="H85" s="117"/>
      <c r="I85" s="117"/>
      <c r="J85" s="117"/>
      <c r="K85" s="117"/>
      <c r="L85" s="150"/>
      <c r="M85" s="117"/>
      <c r="N85" s="117"/>
      <c r="O85" s="117"/>
    </row>
    <row r="86" spans="1:16" ht="15.6" x14ac:dyDescent="0.3">
      <c r="B86" s="120" t="s">
        <v>102</v>
      </c>
      <c r="C86" s="81"/>
      <c r="E86" s="81"/>
      <c r="F86" s="81"/>
      <c r="G86" s="81"/>
      <c r="H86" s="81"/>
      <c r="I86" s="81"/>
      <c r="J86" s="81"/>
      <c r="K86" s="81"/>
      <c r="L86" s="81"/>
      <c r="M86" s="81"/>
    </row>
    <row r="87" spans="1:16" ht="15.6" x14ac:dyDescent="0.3">
      <c r="B87" s="151"/>
      <c r="C87" s="81"/>
      <c r="E87" s="81"/>
      <c r="F87" s="81"/>
      <c r="G87" s="81"/>
      <c r="H87" s="81"/>
      <c r="I87" s="81"/>
      <c r="J87" s="81"/>
      <c r="K87" s="81"/>
      <c r="L87" s="81"/>
      <c r="M87" s="81"/>
    </row>
    <row r="88" spans="1:16" x14ac:dyDescent="0.25">
      <c r="B88" s="140" t="s">
        <v>83</v>
      </c>
      <c r="C88" s="140"/>
      <c r="D88" s="140" t="s">
        <v>92</v>
      </c>
      <c r="F88" s="122" t="s">
        <v>71</v>
      </c>
      <c r="G88" s="122"/>
      <c r="H88" s="122"/>
      <c r="I88" s="122" t="s">
        <v>82</v>
      </c>
      <c r="J88" s="122"/>
      <c r="K88" s="81"/>
      <c r="L88" s="81"/>
      <c r="M88" s="81"/>
    </row>
    <row r="89" spans="1:16" x14ac:dyDescent="0.25">
      <c r="A89" s="152"/>
      <c r="B89" s="153" t="s">
        <v>2</v>
      </c>
      <c r="C89" s="154"/>
      <c r="D89" s="298">
        <f>IF(H29=0,0,IF(MAX((H29-SUM(D90:E96)),0)&gt;0,H29-SUM(D90:E96),"Ltd by high OM2,3,4 values"))</f>
        <v>19146938.969029337</v>
      </c>
      <c r="E89" s="299"/>
      <c r="F89" s="56">
        <f>1/TargetBCRWLBs*100</f>
        <v>5.5555555555555554</v>
      </c>
      <c r="G89" s="152" t="s">
        <v>81</v>
      </c>
      <c r="H89" s="81"/>
      <c r="I89" s="294">
        <f>IF(D89="Ltd by high OM2,3,4 values",0,D89*F89/100)</f>
        <v>1063718.8316127409</v>
      </c>
      <c r="J89" s="294"/>
      <c r="K89" s="81"/>
      <c r="L89" s="140"/>
      <c r="M89" s="81"/>
      <c r="N89" s="155"/>
    </row>
    <row r="90" spans="1:16" x14ac:dyDescent="0.25">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5">
      <c r="B91" s="158"/>
      <c r="C91" s="159" t="s">
        <v>80</v>
      </c>
      <c r="D91" s="293">
        <f>N61</f>
        <v>0</v>
      </c>
      <c r="E91" s="293"/>
      <c r="F91" s="52">
        <f>1/TargetMinBCR*DeprivedScalar40*100</f>
        <v>30.000000000000004</v>
      </c>
      <c r="G91" s="81"/>
      <c r="H91" s="81"/>
      <c r="I91" s="294">
        <f t="shared" si="1"/>
        <v>0</v>
      </c>
      <c r="J91" s="294"/>
      <c r="M91" s="140"/>
    </row>
    <row r="92" spans="1:16" x14ac:dyDescent="0.25">
      <c r="B92" s="160"/>
      <c r="C92" s="161" t="s">
        <v>88</v>
      </c>
      <c r="D92" s="293">
        <f>N62</f>
        <v>5778061.0309706638</v>
      </c>
      <c r="E92" s="293"/>
      <c r="F92" s="52">
        <f>1/TargetMinBCR*DeprivedScalarOther*100</f>
        <v>20</v>
      </c>
      <c r="G92" s="81"/>
      <c r="H92" s="81"/>
      <c r="I92" s="294">
        <f t="shared" si="1"/>
        <v>1155612.2061941328</v>
      </c>
      <c r="J92" s="294"/>
    </row>
    <row r="93" spans="1:16" x14ac:dyDescent="0.25">
      <c r="B93" s="156" t="s">
        <v>0</v>
      </c>
      <c r="C93" s="157" t="s">
        <v>84</v>
      </c>
      <c r="D93" s="293">
        <f>N73</f>
        <v>0</v>
      </c>
      <c r="E93" s="293"/>
      <c r="F93" s="52">
        <f>1/TargetMinBCR*DeprivedScalar20*100</f>
        <v>45</v>
      </c>
      <c r="G93" s="81"/>
      <c r="H93" s="81"/>
      <c r="I93" s="294">
        <f t="shared" si="1"/>
        <v>0</v>
      </c>
      <c r="J93" s="294"/>
    </row>
    <row r="94" spans="1:16" x14ac:dyDescent="0.25">
      <c r="B94" s="162"/>
      <c r="C94" s="159" t="s">
        <v>80</v>
      </c>
      <c r="D94" s="293">
        <f>N74</f>
        <v>0</v>
      </c>
      <c r="E94" s="293"/>
      <c r="F94" s="52">
        <f>1/TargetMinBCR*DeprivedScalar40*100</f>
        <v>30.000000000000004</v>
      </c>
      <c r="G94" s="81"/>
      <c r="H94" s="81"/>
      <c r="I94" s="294">
        <f t="shared" si="1"/>
        <v>0</v>
      </c>
      <c r="J94" s="294"/>
    </row>
    <row r="95" spans="1:16" x14ac:dyDescent="0.25">
      <c r="B95" s="160"/>
      <c r="C95" s="161" t="s">
        <v>88</v>
      </c>
      <c r="D95" s="293">
        <f>N75</f>
        <v>0</v>
      </c>
      <c r="E95" s="293"/>
      <c r="F95" s="52">
        <f>1/TargetMinBCR*DeprivedScalarOther*100</f>
        <v>20</v>
      </c>
      <c r="G95" s="81"/>
      <c r="H95" s="81"/>
      <c r="I95" s="294">
        <f t="shared" si="1"/>
        <v>0</v>
      </c>
      <c r="J95" s="294"/>
    </row>
    <row r="96" spans="1:16" x14ac:dyDescent="0.25">
      <c r="B96" s="163" t="s">
        <v>3</v>
      </c>
      <c r="C96" s="164"/>
      <c r="D96" s="293">
        <f>N83</f>
        <v>75000</v>
      </c>
      <c r="E96" s="293"/>
      <c r="F96" s="52">
        <v>100</v>
      </c>
      <c r="G96" s="81"/>
      <c r="H96" s="81"/>
      <c r="I96" s="294">
        <f t="shared" si="1"/>
        <v>75000</v>
      </c>
      <c r="J96" s="294"/>
      <c r="P96" s="165"/>
    </row>
    <row r="97" spans="2:16" ht="15.75" customHeight="1" x14ac:dyDescent="0.3">
      <c r="B97" s="81" t="s">
        <v>7</v>
      </c>
      <c r="C97" s="81"/>
      <c r="D97" s="300">
        <f>SUM(D89:E96)</f>
        <v>25000000</v>
      </c>
      <c r="E97" s="249"/>
      <c r="F97" s="81"/>
      <c r="G97" s="81"/>
      <c r="H97" s="81"/>
      <c r="I97" s="301">
        <f>SUM(I89:J96)</f>
        <v>2294331.0378068737</v>
      </c>
      <c r="J97" s="302"/>
      <c r="K97" s="235" t="s">
        <v>213</v>
      </c>
      <c r="L97" s="235"/>
      <c r="M97" s="235"/>
      <c r="N97" s="235"/>
      <c r="O97" s="235"/>
    </row>
    <row r="98" spans="2:16" x14ac:dyDescent="0.25">
      <c r="B98" s="81"/>
      <c r="C98" s="81"/>
      <c r="D98" s="81"/>
      <c r="E98" s="81"/>
      <c r="F98" s="81"/>
      <c r="G98" s="81"/>
      <c r="H98" s="81"/>
      <c r="I98" s="81"/>
      <c r="K98" s="235"/>
      <c r="L98" s="235"/>
      <c r="M98" s="235"/>
      <c r="N98" s="235"/>
      <c r="O98" s="235"/>
    </row>
    <row r="99" spans="2:16" s="140" customFormat="1" ht="15.6" x14ac:dyDescent="0.3">
      <c r="B99" s="217"/>
      <c r="C99" s="117"/>
      <c r="D99" s="149"/>
      <c r="E99" s="117"/>
      <c r="F99" s="117"/>
      <c r="G99" s="117"/>
      <c r="H99" s="117"/>
      <c r="I99" s="117"/>
      <c r="J99" s="117"/>
      <c r="K99" s="117"/>
      <c r="L99" s="150"/>
      <c r="M99" s="117"/>
      <c r="N99" s="117"/>
      <c r="O99" s="117"/>
      <c r="P99" s="84"/>
    </row>
    <row r="100" spans="2:16" s="166" customFormat="1" ht="13.2" x14ac:dyDescent="0.25">
      <c r="B100" s="167"/>
    </row>
    <row r="101" spans="2:16" s="166" customFormat="1" ht="13.2" x14ac:dyDescent="0.25">
      <c r="B101" s="167"/>
    </row>
    <row r="102" spans="2:16" x14ac:dyDescent="0.25">
      <c r="B102" s="166"/>
      <c r="C102" s="166"/>
      <c r="D102" s="166"/>
      <c r="E102" s="166"/>
      <c r="F102" s="166"/>
      <c r="G102" s="166"/>
      <c r="H102" s="166"/>
      <c r="I102" s="166"/>
      <c r="J102" s="166"/>
      <c r="K102" s="166"/>
      <c r="N102" s="84"/>
      <c r="O102" s="84"/>
    </row>
    <row r="103" spans="2:16" ht="15.6" x14ac:dyDescent="0.3">
      <c r="B103" s="176" t="s">
        <v>93</v>
      </c>
      <c r="C103" s="81"/>
      <c r="D103" s="81"/>
      <c r="E103" s="81"/>
      <c r="F103" s="81"/>
      <c r="G103" s="81"/>
      <c r="H103" s="81"/>
      <c r="I103" s="81"/>
      <c r="J103" s="81"/>
      <c r="K103" s="81"/>
      <c r="L103" s="81"/>
      <c r="M103" s="81"/>
    </row>
    <row r="104" spans="2:16" s="140" customFormat="1" ht="22.8" x14ac:dyDescent="0.4">
      <c r="I104" s="177"/>
    </row>
    <row r="105" spans="2:16" s="140" customFormat="1" ht="22.8" x14ac:dyDescent="0.4">
      <c r="B105" s="177"/>
      <c r="C105" s="178"/>
    </row>
    <row r="106" spans="2:16" s="140" customFormat="1" x14ac:dyDescent="0.25"/>
    <row r="107" spans="2:16" s="140" customFormat="1" x14ac:dyDescent="0.25"/>
    <row r="108" spans="2:16" s="140" customFormat="1" x14ac:dyDescent="0.25"/>
    <row r="109" spans="2:16" s="140" customFormat="1" x14ac:dyDescent="0.25"/>
    <row r="110" spans="2:16" s="140" customFormat="1" x14ac:dyDescent="0.25"/>
    <row r="111" spans="2:16" s="140" customFormat="1" x14ac:dyDescent="0.25"/>
    <row r="112" spans="2:16" s="140" customFormat="1" x14ac:dyDescent="0.25"/>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9"/>
  <sheetViews>
    <sheetView topLeftCell="A25" zoomScale="70" zoomScaleNormal="70" workbookViewId="0">
      <selection activeCell="Q17" sqref="Q17:V23"/>
    </sheetView>
  </sheetViews>
  <sheetFormatPr defaultColWidth="8.90625" defaultRowHeight="15" x14ac:dyDescent="0.25"/>
  <cols>
    <col min="1" max="1" width="2" style="81" customWidth="1"/>
    <col min="2" max="2" width="16.54296875" style="84" customWidth="1"/>
    <col min="3" max="13" width="10.6328125" style="84" customWidth="1"/>
    <col min="14" max="18" width="10.6328125" style="81" customWidth="1"/>
    <col min="19" max="16384" width="8.90625" style="81"/>
  </cols>
  <sheetData>
    <row r="2" spans="1:18" ht="21" x14ac:dyDescent="0.4">
      <c r="B2" s="82" t="s">
        <v>178</v>
      </c>
      <c r="C2" s="83"/>
      <c r="D2" s="83"/>
    </row>
    <row r="3" spans="1:18" ht="20.399999999999999" x14ac:dyDescent="0.35">
      <c r="B3" s="85" t="str">
        <f>'PF Calculator'!B3</f>
        <v>Version 8 January 2014</v>
      </c>
      <c r="C3" s="83"/>
      <c r="D3" s="83"/>
    </row>
    <row r="4" spans="1:18" x14ac:dyDescent="0.25">
      <c r="B4" s="86"/>
      <c r="C4" s="87"/>
      <c r="D4" s="87"/>
    </row>
    <row r="5" spans="1:18" ht="21" x14ac:dyDescent="0.4">
      <c r="B5" s="243" t="s">
        <v>132</v>
      </c>
      <c r="C5" s="243"/>
      <c r="D5" s="243"/>
      <c r="E5" s="203" t="str">
        <f>'PF Calculator'!E5</f>
        <v>Example2</v>
      </c>
      <c r="F5" s="204"/>
      <c r="G5" s="204"/>
      <c r="H5" s="204"/>
      <c r="I5" s="204"/>
      <c r="J5" s="204"/>
      <c r="K5" s="204"/>
      <c r="L5" s="204"/>
      <c r="M5" s="204"/>
      <c r="N5" s="204"/>
      <c r="O5" s="204"/>
      <c r="P5" s="89"/>
      <c r="Q5" s="90"/>
      <c r="R5" s="90"/>
    </row>
    <row r="6" spans="1:18" ht="21" x14ac:dyDescent="0.4">
      <c r="B6" s="91" t="s">
        <v>133</v>
      </c>
      <c r="C6" s="91"/>
      <c r="D6" s="91"/>
      <c r="E6" s="221" t="s">
        <v>139</v>
      </c>
      <c r="F6" s="204"/>
      <c r="G6" s="204"/>
      <c r="H6" s="204"/>
      <c r="I6" s="204"/>
      <c r="J6" s="204"/>
      <c r="K6" s="204"/>
      <c r="L6" s="204"/>
      <c r="M6" s="204"/>
      <c r="N6" s="204"/>
      <c r="O6" s="204"/>
      <c r="P6" s="89"/>
      <c r="Q6" s="90"/>
      <c r="R6" s="90"/>
    </row>
    <row r="7" spans="1:18" x14ac:dyDescent="0.25">
      <c r="B7" s="92"/>
      <c r="C7" s="93"/>
      <c r="D7" s="93"/>
    </row>
    <row r="8" spans="1:18" ht="15.6" x14ac:dyDescent="0.3">
      <c r="B8" s="206"/>
      <c r="C8" s="93"/>
      <c r="D8" s="93"/>
      <c r="L8" s="94" t="s">
        <v>13</v>
      </c>
      <c r="M8" s="275" t="s">
        <v>180</v>
      </c>
      <c r="N8" s="276"/>
      <c r="O8" s="277"/>
    </row>
    <row r="9" spans="1:18" ht="15.6" x14ac:dyDescent="0.3">
      <c r="B9" s="95" t="s">
        <v>203</v>
      </c>
      <c r="J9" s="84" t="s">
        <v>146</v>
      </c>
      <c r="L9" s="81"/>
      <c r="M9" s="247" t="s">
        <v>15</v>
      </c>
      <c r="N9" s="248"/>
      <c r="O9" s="249"/>
    </row>
    <row r="10" spans="1:18" ht="15.6" x14ac:dyDescent="0.3">
      <c r="B10" s="96" t="s">
        <v>129</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130</v>
      </c>
      <c r="C12" s="87"/>
      <c r="D12" s="87"/>
      <c r="E12" s="87"/>
      <c r="F12" s="103"/>
      <c r="G12" s="104"/>
      <c r="H12" s="81"/>
      <c r="I12" s="81"/>
      <c r="O12" s="105"/>
      <c r="P12" s="105"/>
    </row>
    <row r="13" spans="1:18" ht="15" customHeight="1" x14ac:dyDescent="0.3">
      <c r="G13" s="106"/>
      <c r="I13" s="81"/>
      <c r="J13" s="105"/>
      <c r="K13" s="81"/>
      <c r="M13" s="107" t="s">
        <v>101</v>
      </c>
      <c r="N13" s="46">
        <f>H29/H37</f>
        <v>14.695094424798736</v>
      </c>
      <c r="O13" s="47" t="s">
        <v>17</v>
      </c>
    </row>
    <row r="14" spans="1:18" ht="15" customHeight="1" x14ac:dyDescent="0.3">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55.481580115401684</v>
      </c>
      <c r="O14" s="47" t="s">
        <v>17</v>
      </c>
    </row>
    <row r="15" spans="1:18" ht="15" customHeight="1" x14ac:dyDescent="0.3">
      <c r="B15" s="110" t="s">
        <v>153</v>
      </c>
      <c r="C15" s="111"/>
      <c r="D15" s="111"/>
      <c r="E15" s="111"/>
      <c r="F15" s="111"/>
      <c r="G15" s="111"/>
      <c r="H15" s="54">
        <f>IF(J25="yes",I97/MAX(H37,H34),IF(J25="Yes",I97/MAX(H37,H34),0.45*I97/MAX(H37,H34)))</f>
        <v>1.6788187091908211</v>
      </c>
      <c r="I15" s="108" t="s">
        <v>156</v>
      </c>
      <c r="K15" s="81"/>
      <c r="L15" s="81"/>
      <c r="M15" s="109" t="s">
        <v>18</v>
      </c>
      <c r="N15" s="48">
        <f>IF(H44&gt;0,H29/H44,"n/a")</f>
        <v>25</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25">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3">
      <c r="B19" s="110" t="s">
        <v>134</v>
      </c>
      <c r="C19" s="113"/>
      <c r="D19" s="113"/>
      <c r="E19" s="113"/>
      <c r="F19" s="113"/>
      <c r="G19" s="113"/>
      <c r="H19" s="54">
        <f>IF(J25="Yes",IF(Authority="EA",I97/MAX(MAX(H37,H34)-H44,1),RawOMScore+H44/H34),IF(Authority="EA",I97*0.45/MAX(MAX(H37,H34)-H44,1),I15+H44/H34))</f>
        <v>2.3681886250876913</v>
      </c>
      <c r="I19" s="108" t="s">
        <v>158</v>
      </c>
      <c r="J19" s="278"/>
      <c r="K19" s="278"/>
      <c r="L19" s="278"/>
      <c r="M19" s="278"/>
      <c r="N19" s="278"/>
      <c r="O19" s="278"/>
      <c r="Q19" s="255"/>
      <c r="R19" s="255"/>
      <c r="S19" s="255"/>
      <c r="T19" s="255"/>
      <c r="U19" s="255"/>
      <c r="V19" s="255"/>
    </row>
    <row r="20" spans="2:22" ht="15" customHeight="1" x14ac:dyDescent="0.25">
      <c r="J20" s="278"/>
      <c r="K20" s="278"/>
      <c r="L20" s="278"/>
      <c r="M20" s="278"/>
      <c r="N20" s="278"/>
      <c r="O20" s="278"/>
      <c r="Q20" s="255"/>
      <c r="R20" s="255"/>
      <c r="S20" s="255"/>
      <c r="T20" s="255"/>
      <c r="U20" s="255"/>
      <c r="V20" s="255"/>
    </row>
    <row r="21" spans="2:22" ht="15" customHeight="1" x14ac:dyDescent="0.3">
      <c r="B21" s="114" t="s">
        <v>205</v>
      </c>
      <c r="C21" s="115"/>
      <c r="D21" s="115"/>
      <c r="E21" s="115"/>
      <c r="F21" s="115"/>
      <c r="G21" s="115"/>
      <c r="H21" s="208">
        <f>IF(ROUNDUP(AdjOMScore,4)&lt;100%,"-",H34-H44)</f>
        <v>450600</v>
      </c>
      <c r="I21" s="108" t="s">
        <v>159</v>
      </c>
      <c r="J21" s="278"/>
      <c r="K21" s="278"/>
      <c r="L21" s="278"/>
      <c r="M21" s="278"/>
      <c r="N21" s="278"/>
      <c r="O21" s="278"/>
      <c r="Q21" s="255"/>
      <c r="R21" s="255"/>
      <c r="S21" s="255"/>
      <c r="T21" s="255"/>
      <c r="U21" s="255"/>
      <c r="V21" s="255"/>
    </row>
    <row r="22" spans="2:22" ht="22.5" customHeight="1" x14ac:dyDescent="0.3">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5">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3">
      <c r="B24" s="120" t="s">
        <v>97</v>
      </c>
      <c r="C24" s="121"/>
      <c r="D24" s="121"/>
      <c r="E24" s="81"/>
      <c r="F24" s="81"/>
      <c r="G24" s="81"/>
      <c r="H24" s="81"/>
      <c r="M24" s="81"/>
    </row>
    <row r="25" spans="2:22" ht="15.6" x14ac:dyDescent="0.3">
      <c r="B25" s="123" t="s">
        <v>128</v>
      </c>
      <c r="C25" s="121"/>
      <c r="D25" s="124"/>
      <c r="E25" s="81"/>
      <c r="F25" s="81"/>
      <c r="G25" s="81"/>
      <c r="H25" s="210" t="str">
        <f>'PF Calculator'!H25</f>
        <v>IDB</v>
      </c>
      <c r="I25" s="108" t="s">
        <v>160</v>
      </c>
      <c r="J25" s="210" t="str">
        <f>'PF Calculator'!J25</f>
        <v>Yes</v>
      </c>
      <c r="K25" s="212" t="s">
        <v>173</v>
      </c>
      <c r="L25" s="213"/>
      <c r="M25" s="213"/>
      <c r="N25" s="213"/>
      <c r="O25" s="213"/>
    </row>
    <row r="26" spans="2:22" x14ac:dyDescent="0.25">
      <c r="B26" s="121"/>
      <c r="C26" s="121"/>
      <c r="D26" s="124"/>
      <c r="E26" s="81"/>
      <c r="F26" s="81"/>
      <c r="G26" s="81"/>
      <c r="H26" s="107"/>
      <c r="I26" s="81"/>
      <c r="J26" s="279" t="s">
        <v>174</v>
      </c>
      <c r="K26" s="225"/>
      <c r="L26" s="225"/>
      <c r="M26" s="225"/>
      <c r="N26" s="225"/>
      <c r="O26" s="213"/>
      <c r="P26" s="127"/>
    </row>
    <row r="27" spans="2:22" ht="15.6" x14ac:dyDescent="0.3">
      <c r="B27" s="123" t="s">
        <v>124</v>
      </c>
      <c r="C27" s="121"/>
      <c r="D27" s="124"/>
      <c r="E27" s="81"/>
      <c r="F27" s="81"/>
      <c r="G27" s="81"/>
      <c r="H27" s="210">
        <f>'PF Calculator'!H27</f>
        <v>50</v>
      </c>
      <c r="I27" s="108" t="s">
        <v>161</v>
      </c>
      <c r="J27" s="225"/>
      <c r="K27" s="225"/>
      <c r="L27" s="225"/>
      <c r="M27" s="225"/>
      <c r="N27" s="225"/>
      <c r="O27" s="84"/>
    </row>
    <row r="28" spans="2:22" x14ac:dyDescent="0.25">
      <c r="B28" s="123"/>
      <c r="C28" s="121"/>
      <c r="D28" s="124"/>
      <c r="E28" s="81"/>
      <c r="F28" s="81"/>
      <c r="G28" s="81"/>
      <c r="H28" s="81"/>
      <c r="I28" s="81"/>
      <c r="J28" s="81"/>
      <c r="K28" s="81"/>
      <c r="L28" s="81"/>
      <c r="M28" s="81"/>
      <c r="O28" s="84"/>
    </row>
    <row r="29" spans="2:22" ht="15.6" x14ac:dyDescent="0.3">
      <c r="B29" s="123" t="s">
        <v>9</v>
      </c>
      <c r="C29" s="121"/>
      <c r="D29" s="124"/>
      <c r="E29" s="81"/>
      <c r="F29" s="81"/>
      <c r="G29" s="81"/>
      <c r="H29" s="210">
        <f>'PF Calculator'!H29</f>
        <v>25000000</v>
      </c>
      <c r="I29" s="108" t="s">
        <v>162</v>
      </c>
      <c r="J29" s="81"/>
      <c r="K29" s="81"/>
      <c r="L29" s="81"/>
      <c r="M29" s="81"/>
      <c r="O29" s="84"/>
    </row>
    <row r="30" spans="2:22" x14ac:dyDescent="0.25">
      <c r="B30" s="123"/>
      <c r="C30" s="121"/>
      <c r="D30" s="124"/>
      <c r="E30" s="81"/>
      <c r="F30" s="81"/>
      <c r="G30" s="81"/>
      <c r="H30" s="81"/>
      <c r="I30" s="81"/>
      <c r="J30" s="280" t="s">
        <v>155</v>
      </c>
      <c r="K30" s="281"/>
      <c r="L30" s="281"/>
      <c r="M30" s="281"/>
      <c r="N30" s="282"/>
    </row>
    <row r="31" spans="2:22" x14ac:dyDescent="0.25">
      <c r="B31" s="128" t="s">
        <v>151</v>
      </c>
      <c r="C31" s="121"/>
      <c r="D31" s="124"/>
      <c r="E31" s="81"/>
      <c r="F31" s="81"/>
      <c r="G31" s="81"/>
      <c r="H31" s="107"/>
      <c r="I31" s="81"/>
      <c r="J31" s="283"/>
      <c r="K31" s="284"/>
      <c r="L31" s="284"/>
      <c r="M31" s="284"/>
      <c r="N31" s="285"/>
      <c r="O31" s="84"/>
    </row>
    <row r="32" spans="2:22" ht="15.6" x14ac:dyDescent="0.3">
      <c r="B32" s="121" t="s">
        <v>118</v>
      </c>
      <c r="C32" s="121"/>
      <c r="D32" s="124"/>
      <c r="E32" s="81"/>
      <c r="F32" s="81"/>
      <c r="G32" s="81"/>
      <c r="H32" s="210">
        <f>'PF Calculator'!H32</f>
        <v>250000</v>
      </c>
      <c r="I32" s="108" t="s">
        <v>163</v>
      </c>
      <c r="J32" s="283"/>
      <c r="K32" s="284"/>
      <c r="L32" s="284"/>
      <c r="M32" s="284"/>
      <c r="N32" s="285"/>
    </row>
    <row r="33" spans="2:21" ht="15.6" x14ac:dyDescent="0.3">
      <c r="B33" s="121" t="s">
        <v>125</v>
      </c>
      <c r="C33" s="121"/>
      <c r="D33" s="124"/>
      <c r="E33" s="81"/>
      <c r="F33" s="81"/>
      <c r="G33" s="81"/>
      <c r="H33" s="210">
        <f>'PF Calculator'!H33</f>
        <v>1200600</v>
      </c>
      <c r="I33" s="108" t="s">
        <v>164</v>
      </c>
      <c r="J33" s="286"/>
      <c r="K33" s="287"/>
      <c r="L33" s="287"/>
      <c r="M33" s="287"/>
      <c r="N33" s="288"/>
    </row>
    <row r="34" spans="2:21" ht="15.6" x14ac:dyDescent="0.3">
      <c r="B34" s="128" t="s">
        <v>154</v>
      </c>
      <c r="C34" s="121"/>
      <c r="D34" s="124"/>
      <c r="E34" s="81"/>
      <c r="F34" s="81"/>
      <c r="G34" s="81"/>
      <c r="H34" s="55">
        <f>SUM(H32:H33)</f>
        <v>1450600</v>
      </c>
      <c r="I34" s="108" t="s">
        <v>165</v>
      </c>
      <c r="J34" s="81"/>
      <c r="K34" s="81"/>
      <c r="L34" s="81"/>
      <c r="M34" s="81"/>
    </row>
    <row r="35" spans="2:21" ht="15" customHeight="1" x14ac:dyDescent="0.25">
      <c r="B35" s="128"/>
      <c r="C35" s="121"/>
      <c r="D35" s="124"/>
      <c r="E35" s="81"/>
      <c r="F35" s="81"/>
      <c r="G35" s="81"/>
      <c r="H35" s="129"/>
      <c r="I35" s="81"/>
      <c r="J35" s="81"/>
      <c r="K35" s="81"/>
      <c r="L35" s="81"/>
      <c r="M35" s="81"/>
    </row>
    <row r="36" spans="2:21" ht="15.6" x14ac:dyDescent="0.3">
      <c r="B36" s="121" t="s">
        <v>126</v>
      </c>
      <c r="C36" s="121"/>
      <c r="D36" s="124"/>
      <c r="E36" s="81"/>
      <c r="F36" s="81"/>
      <c r="G36" s="81"/>
      <c r="H36" s="210">
        <f>'PF Calculator'!H36</f>
        <v>250648</v>
      </c>
      <c r="I36" s="108" t="s">
        <v>166</v>
      </c>
      <c r="J36" s="81"/>
      <c r="K36" s="81"/>
      <c r="L36" s="81"/>
      <c r="M36" s="81"/>
    </row>
    <row r="37" spans="2:21" ht="15.6" x14ac:dyDescent="0.3">
      <c r="B37" s="123" t="s">
        <v>209</v>
      </c>
      <c r="C37" s="121"/>
      <c r="D37" s="124"/>
      <c r="E37" s="81"/>
      <c r="F37" s="81"/>
      <c r="G37" s="81"/>
      <c r="H37" s="45">
        <f>H36+H34</f>
        <v>1701248</v>
      </c>
      <c r="I37" s="108" t="s">
        <v>167</v>
      </c>
      <c r="J37" s="81"/>
      <c r="K37" s="81"/>
      <c r="L37" s="81"/>
      <c r="M37" s="81"/>
    </row>
    <row r="38" spans="2:21" ht="15" customHeight="1" x14ac:dyDescent="0.25">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5">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3">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3">
      <c r="B41" s="121" t="s">
        <v>120</v>
      </c>
      <c r="C41" s="121"/>
      <c r="D41" s="124"/>
      <c r="E41" s="81"/>
      <c r="F41" s="81"/>
      <c r="G41" s="81"/>
      <c r="H41" s="210">
        <f>'PF Calculator'!H41</f>
        <v>1000000</v>
      </c>
      <c r="I41" s="108" t="s">
        <v>169</v>
      </c>
      <c r="J41" s="252"/>
      <c r="K41" s="252"/>
      <c r="L41" s="252"/>
      <c r="M41" s="252"/>
      <c r="N41" s="252"/>
      <c r="O41" s="252"/>
      <c r="P41" s="289"/>
      <c r="Q41" s="289"/>
      <c r="R41" s="289"/>
      <c r="S41" s="289"/>
      <c r="T41" s="289"/>
      <c r="U41" s="289"/>
    </row>
    <row r="42" spans="2:21" ht="15" customHeight="1" x14ac:dyDescent="0.3">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3">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5">
      <c r="B44" s="128" t="s">
        <v>123</v>
      </c>
      <c r="C44" s="121"/>
      <c r="D44" s="124"/>
      <c r="E44" s="81"/>
      <c r="F44" s="81"/>
      <c r="G44" s="81"/>
      <c r="H44" s="44">
        <f>SUM(H40:H43)</f>
        <v>1000000</v>
      </c>
      <c r="I44" s="108" t="s">
        <v>172</v>
      </c>
      <c r="J44" s="252"/>
      <c r="K44" s="252"/>
      <c r="L44" s="252"/>
      <c r="M44" s="252"/>
      <c r="N44" s="252"/>
      <c r="O44" s="252"/>
    </row>
    <row r="45" spans="2:21"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6.5" customHeight="1" x14ac:dyDescent="0.25">
      <c r="B46" s="128"/>
      <c r="C46" s="121"/>
      <c r="D46" s="124"/>
      <c r="E46" s="81"/>
      <c r="F46" s="81"/>
      <c r="G46" s="81"/>
      <c r="H46" s="81"/>
      <c r="I46" s="108"/>
      <c r="J46" s="252"/>
      <c r="K46" s="252"/>
      <c r="L46" s="252"/>
      <c r="M46" s="252"/>
      <c r="N46" s="252"/>
      <c r="O46" s="252"/>
    </row>
    <row r="47" spans="2:21" ht="18" customHeight="1" x14ac:dyDescent="0.25">
      <c r="B47" s="81"/>
      <c r="C47" s="81"/>
      <c r="D47" s="81"/>
      <c r="E47" s="131"/>
      <c r="F47" s="131"/>
      <c r="G47" s="131"/>
      <c r="H47" s="131"/>
      <c r="I47" s="131"/>
      <c r="J47" s="252"/>
      <c r="K47" s="252"/>
      <c r="L47" s="252"/>
      <c r="M47" s="252"/>
      <c r="N47" s="252"/>
      <c r="O47" s="252"/>
    </row>
    <row r="48" spans="2:21" ht="7.5" customHeight="1" x14ac:dyDescent="0.25">
      <c r="B48" s="117"/>
      <c r="C48" s="117"/>
      <c r="D48" s="117"/>
      <c r="E48" s="117"/>
      <c r="F48" s="117"/>
      <c r="G48" s="117"/>
      <c r="H48" s="117"/>
      <c r="I48" s="117"/>
      <c r="J48" s="117"/>
      <c r="K48" s="132"/>
      <c r="L48" s="132"/>
      <c r="M48" s="132"/>
      <c r="N48" s="117"/>
      <c r="O48" s="117"/>
    </row>
    <row r="49" spans="2:19" ht="15.6" x14ac:dyDescent="0.3">
      <c r="B49" s="120" t="s">
        <v>98</v>
      </c>
      <c r="C49" s="81"/>
      <c r="D49" s="81"/>
      <c r="E49" s="81"/>
      <c r="F49" s="81"/>
      <c r="G49" s="81"/>
      <c r="H49" s="81"/>
      <c r="I49" s="81"/>
      <c r="J49" s="81"/>
      <c r="K49" s="81"/>
      <c r="L49" s="81"/>
      <c r="M49" s="81"/>
    </row>
    <row r="50" spans="2:19" x14ac:dyDescent="0.25">
      <c r="B50" s="122" t="s">
        <v>30</v>
      </c>
      <c r="C50" s="81"/>
      <c r="D50" s="81"/>
      <c r="F50" s="133" t="s">
        <v>19</v>
      </c>
      <c r="G50" s="81"/>
      <c r="H50" s="81"/>
      <c r="J50" s="133" t="s">
        <v>29</v>
      </c>
      <c r="K50" s="81"/>
      <c r="L50" s="81"/>
      <c r="M50" s="251" t="s">
        <v>54</v>
      </c>
      <c r="N50" s="251"/>
      <c r="O50" s="251"/>
    </row>
    <row r="51" spans="2:19" x14ac:dyDescent="0.25">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5">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5">
      <c r="B53" s="134" t="s">
        <v>22</v>
      </c>
      <c r="C53" s="81"/>
      <c r="D53" s="81"/>
      <c r="E53" s="215">
        <f>'PF Calculator'!E54</f>
        <v>60</v>
      </c>
      <c r="F53" s="215">
        <f>'PF Calculator'!F54</f>
        <v>30</v>
      </c>
      <c r="G53" s="215">
        <f>'PF Calculator'!G54</f>
        <v>420</v>
      </c>
      <c r="H53" s="81"/>
      <c r="I53" s="215">
        <f>'PF Calculator'!I54</f>
        <v>50</v>
      </c>
      <c r="J53" s="215">
        <f>'PF Calculator'!J54</f>
        <v>100</v>
      </c>
      <c r="K53" s="215">
        <f>'PF Calculator'!K54</f>
        <v>100</v>
      </c>
      <c r="L53" s="81"/>
      <c r="M53" s="49">
        <f t="shared" si="0"/>
        <v>-10</v>
      </c>
      <c r="N53" s="49">
        <f t="shared" si="0"/>
        <v>70</v>
      </c>
      <c r="O53" s="49">
        <f t="shared" si="0"/>
        <v>-320</v>
      </c>
      <c r="Q53" s="135"/>
      <c r="R53" s="135"/>
      <c r="S53" s="135"/>
    </row>
    <row r="54" spans="2:19" ht="15.6" x14ac:dyDescent="0.3">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5">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5">
      <c r="B56" s="81"/>
      <c r="C56" s="81"/>
      <c r="D56" s="81"/>
      <c r="E56" s="135"/>
      <c r="F56" s="135"/>
      <c r="G56" s="135" t="s">
        <v>25</v>
      </c>
      <c r="H56" s="81"/>
      <c r="I56" s="135"/>
      <c r="J56" s="135"/>
      <c r="K56" s="135" t="s">
        <v>25</v>
      </c>
      <c r="L56" s="81"/>
      <c r="M56" s="135"/>
      <c r="N56" s="135"/>
      <c r="O56" s="135" t="s">
        <v>25</v>
      </c>
    </row>
    <row r="57" spans="2:19" x14ac:dyDescent="0.25">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5">
      <c r="B58" s="81"/>
      <c r="C58" s="81"/>
      <c r="D58" s="81"/>
      <c r="E58" s="81"/>
      <c r="F58" s="81"/>
      <c r="G58" s="81"/>
      <c r="H58" s="81"/>
      <c r="I58" s="81"/>
      <c r="J58" s="81"/>
      <c r="K58" s="81"/>
      <c r="L58" s="81"/>
      <c r="M58" s="81"/>
    </row>
    <row r="59" spans="2:19" ht="15.6" x14ac:dyDescent="0.3">
      <c r="B59" s="81" t="s">
        <v>57</v>
      </c>
      <c r="C59" s="81"/>
      <c r="D59" s="81"/>
      <c r="E59" s="81"/>
      <c r="F59" s="81"/>
      <c r="G59" s="81" t="s">
        <v>56</v>
      </c>
      <c r="H59" s="81"/>
      <c r="K59" s="107" t="s">
        <v>63</v>
      </c>
      <c r="O59" s="137" t="s">
        <v>79</v>
      </c>
    </row>
    <row r="60" spans="2:19" ht="15.6" x14ac:dyDescent="0.3">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ht="15.6" x14ac:dyDescent="0.3">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ht="15.6" x14ac:dyDescent="0.3">
      <c r="B62" s="134" t="str">
        <f>B53</f>
        <v>60% least deprived areas</v>
      </c>
      <c r="C62" s="81"/>
      <c r="D62" s="81"/>
      <c r="F62" s="290">
        <f>SUMPRODUCT($M53:$O53,$M$57:$O$57)</f>
        <v>-391500.00000000006</v>
      </c>
      <c r="G62" s="290"/>
      <c r="H62" s="81"/>
      <c r="J62" s="291">
        <f>F62*Duration</f>
        <v>-19575000.000000004</v>
      </c>
      <c r="K62" s="291"/>
      <c r="M62" s="137" t="s">
        <v>90</v>
      </c>
      <c r="N62" s="291">
        <f>-F62*VLOOKUP(Duration,'Discount Rates &amp; Assumptions'!$A$6:$D$105,4,FALSE)</f>
        <v>9667140.5710470714</v>
      </c>
      <c r="O62" s="291"/>
    </row>
    <row r="63" spans="2:19" ht="7.5" customHeight="1" x14ac:dyDescent="0.3">
      <c r="B63" s="134"/>
      <c r="C63" s="81"/>
      <c r="D63" s="81"/>
      <c r="F63" s="138"/>
      <c r="G63" s="138"/>
      <c r="H63" s="81"/>
      <c r="J63" s="139"/>
      <c r="K63" s="139"/>
      <c r="M63" s="137"/>
    </row>
    <row r="64" spans="2:19" ht="7.5" customHeight="1" x14ac:dyDescent="0.25">
      <c r="B64" s="132"/>
      <c r="C64" s="132"/>
      <c r="D64" s="132"/>
      <c r="E64" s="132"/>
      <c r="F64" s="132"/>
      <c r="G64" s="132"/>
      <c r="H64" s="117"/>
      <c r="I64" s="117"/>
      <c r="J64" s="117"/>
      <c r="K64" s="117"/>
      <c r="L64" s="117"/>
      <c r="M64" s="132"/>
      <c r="N64" s="117"/>
      <c r="O64" s="117"/>
    </row>
    <row r="65" spans="2:16" ht="15.6" x14ac:dyDescent="0.3">
      <c r="B65" s="120" t="s">
        <v>99</v>
      </c>
      <c r="H65" s="81"/>
      <c r="I65" s="81"/>
      <c r="J65" s="81"/>
      <c r="K65" s="81"/>
      <c r="L65" s="81"/>
    </row>
    <row r="66" spans="2:16" x14ac:dyDescent="0.25">
      <c r="B66" s="122" t="s">
        <v>30</v>
      </c>
      <c r="C66" s="81"/>
      <c r="D66" s="81"/>
      <c r="E66" s="133"/>
      <c r="F66" s="250" t="s">
        <v>19</v>
      </c>
      <c r="G66" s="250"/>
      <c r="H66" s="81"/>
      <c r="I66" s="140" t="s">
        <v>66</v>
      </c>
    </row>
    <row r="67" spans="2:16" x14ac:dyDescent="0.25">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5">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5">
      <c r="B69" s="134" t="s">
        <v>22</v>
      </c>
      <c r="C69" s="81"/>
      <c r="D69" s="81"/>
      <c r="E69" s="81"/>
      <c r="F69" s="215">
        <f>'PF Calculator'!F70+0.5*'PF Calculator'!G70</f>
        <v>0</v>
      </c>
      <c r="G69" s="215">
        <f>'PF Calculator'!G70*0.5</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6" x14ac:dyDescent="0.25">
      <c r="B70" s="81"/>
      <c r="C70" s="81"/>
      <c r="D70" s="143"/>
      <c r="E70" s="81"/>
      <c r="F70" s="144" t="s">
        <v>65</v>
      </c>
      <c r="G70" s="144" t="s">
        <v>64</v>
      </c>
      <c r="H70" s="81"/>
      <c r="I70" s="229"/>
      <c r="J70" s="229"/>
      <c r="K70" s="229"/>
      <c r="L70" s="229"/>
      <c r="M70" s="145" t="s">
        <v>65</v>
      </c>
      <c r="N70" s="145" t="s">
        <v>64</v>
      </c>
    </row>
    <row r="71" spans="2:16" x14ac:dyDescent="0.25">
      <c r="B71" s="146"/>
      <c r="C71" s="146"/>
      <c r="D71" s="146"/>
      <c r="E71" s="146"/>
      <c r="F71" s="135"/>
      <c r="G71" s="81"/>
      <c r="H71" s="81"/>
      <c r="I71" s="81"/>
      <c r="J71" s="81"/>
      <c r="K71" s="81"/>
      <c r="L71" s="81"/>
      <c r="M71" s="81"/>
    </row>
    <row r="72" spans="2:16" ht="15.6" x14ac:dyDescent="0.3">
      <c r="B72" s="81" t="s">
        <v>57</v>
      </c>
      <c r="C72" s="81"/>
      <c r="D72" s="81"/>
      <c r="E72" s="81"/>
      <c r="F72" s="81"/>
      <c r="G72" s="107" t="s">
        <v>96</v>
      </c>
      <c r="H72" s="81"/>
      <c r="K72" s="107" t="s">
        <v>73</v>
      </c>
      <c r="O72" s="137" t="s">
        <v>78</v>
      </c>
    </row>
    <row r="73" spans="2:16" ht="15.6" x14ac:dyDescent="0.3">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ht="15.6" x14ac:dyDescent="0.3">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ht="15.6" x14ac:dyDescent="0.3">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5">
      <c r="H76" s="81"/>
      <c r="I76" s="81"/>
      <c r="J76" s="81"/>
      <c r="K76" s="81"/>
      <c r="L76" s="81"/>
    </row>
    <row r="77" spans="2:16" ht="7.5" customHeight="1" x14ac:dyDescent="0.25">
      <c r="B77" s="132"/>
      <c r="C77" s="132"/>
      <c r="D77" s="132"/>
      <c r="E77" s="132"/>
      <c r="F77" s="132"/>
      <c r="G77" s="132"/>
      <c r="H77" s="117"/>
      <c r="I77" s="117"/>
      <c r="J77" s="117"/>
      <c r="K77" s="117"/>
      <c r="L77" s="117"/>
      <c r="M77" s="132"/>
      <c r="N77" s="117"/>
      <c r="O77" s="117"/>
    </row>
    <row r="78" spans="2:16" ht="15.6" x14ac:dyDescent="0.3">
      <c r="B78" s="120" t="s">
        <v>100</v>
      </c>
      <c r="H78" s="81"/>
      <c r="I78" s="81"/>
      <c r="J78" s="81"/>
      <c r="K78" s="81"/>
      <c r="L78" s="81"/>
    </row>
    <row r="79" spans="2:16" ht="15.6" x14ac:dyDescent="0.3">
      <c r="B79" s="81" t="s">
        <v>70</v>
      </c>
      <c r="C79" s="81"/>
      <c r="D79" s="81"/>
      <c r="E79" s="147"/>
      <c r="F79" s="241"/>
      <c r="G79" s="241"/>
      <c r="H79" s="101"/>
      <c r="I79" s="140"/>
      <c r="K79" s="148" t="s">
        <v>89</v>
      </c>
      <c r="L79" s="140"/>
      <c r="M79" s="140"/>
      <c r="N79" s="140"/>
      <c r="O79" s="137" t="s">
        <v>78</v>
      </c>
      <c r="P79" s="140"/>
    </row>
    <row r="80" spans="2:16" x14ac:dyDescent="0.25">
      <c r="B80" s="140" t="s">
        <v>68</v>
      </c>
      <c r="C80" s="220">
        <f>'PF Calculator'!C81</f>
        <v>5</v>
      </c>
      <c r="D80" s="122" t="s">
        <v>12</v>
      </c>
      <c r="E80" s="101"/>
      <c r="F80" s="101"/>
      <c r="G80" s="101"/>
      <c r="H80" s="101"/>
      <c r="I80" s="81"/>
      <c r="J80" s="295">
        <f>'Discount Rates &amp; Assumptions'!K14</f>
        <v>15000</v>
      </c>
      <c r="K80" s="295"/>
      <c r="L80" s="140"/>
      <c r="M80" s="148" t="s">
        <v>68</v>
      </c>
      <c r="N80" s="296">
        <f>J80*C80</f>
        <v>75000</v>
      </c>
      <c r="O80" s="296"/>
      <c r="P80" s="140"/>
    </row>
    <row r="81" spans="1:16" x14ac:dyDescent="0.25">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5">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ht="15.6" x14ac:dyDescent="0.3">
      <c r="B83" s="81"/>
      <c r="C83" s="81"/>
      <c r="D83" s="122"/>
      <c r="E83" s="81"/>
      <c r="F83" s="81"/>
      <c r="G83" s="81"/>
      <c r="H83" s="81"/>
      <c r="I83" s="81"/>
      <c r="J83" s="81"/>
      <c r="K83" s="81"/>
      <c r="L83" s="140"/>
      <c r="M83" s="137" t="s">
        <v>3</v>
      </c>
      <c r="N83" s="297">
        <f>SUM(N80:O82)</f>
        <v>75000</v>
      </c>
      <c r="O83" s="297"/>
      <c r="P83" s="140"/>
    </row>
    <row r="84" spans="1:16" ht="7.5" customHeight="1" x14ac:dyDescent="0.3">
      <c r="B84" s="81"/>
      <c r="C84" s="81"/>
      <c r="D84" s="143"/>
      <c r="E84" s="81"/>
      <c r="F84" s="81"/>
      <c r="G84" s="81"/>
      <c r="H84" s="81"/>
      <c r="I84" s="81"/>
      <c r="J84" s="81"/>
      <c r="K84" s="81"/>
      <c r="L84" s="140"/>
      <c r="M84" s="137"/>
      <c r="N84" s="140"/>
    </row>
    <row r="85" spans="1:16" ht="7.5" customHeight="1" x14ac:dyDescent="0.25">
      <c r="B85" s="117"/>
      <c r="C85" s="117"/>
      <c r="D85" s="149"/>
      <c r="E85" s="117"/>
      <c r="F85" s="117"/>
      <c r="G85" s="117"/>
      <c r="H85" s="117"/>
      <c r="I85" s="117"/>
      <c r="J85" s="117"/>
      <c r="K85" s="117"/>
      <c r="L85" s="150"/>
      <c r="M85" s="117"/>
      <c r="N85" s="117"/>
      <c r="O85" s="117"/>
    </row>
    <row r="86" spans="1:16" ht="15.6" x14ac:dyDescent="0.3">
      <c r="B86" s="120" t="s">
        <v>102</v>
      </c>
      <c r="C86" s="81"/>
      <c r="E86" s="81"/>
      <c r="F86" s="81"/>
      <c r="G86" s="81"/>
      <c r="H86" s="81"/>
      <c r="I86" s="81"/>
      <c r="J86" s="81"/>
      <c r="K86" s="81"/>
      <c r="L86" s="81"/>
      <c r="M86" s="81"/>
    </row>
    <row r="87" spans="1:16" ht="15.6" x14ac:dyDescent="0.3">
      <c r="B87" s="151"/>
      <c r="C87" s="81"/>
      <c r="E87" s="81"/>
      <c r="F87" s="81"/>
      <c r="G87" s="81"/>
      <c r="H87" s="81"/>
      <c r="I87" s="81"/>
      <c r="J87" s="81"/>
      <c r="K87" s="81"/>
      <c r="L87" s="81"/>
      <c r="M87" s="81"/>
    </row>
    <row r="88" spans="1:16" x14ac:dyDescent="0.25">
      <c r="B88" s="140" t="s">
        <v>83</v>
      </c>
      <c r="C88" s="140"/>
      <c r="D88" s="140" t="s">
        <v>92</v>
      </c>
      <c r="F88" s="122" t="s">
        <v>71</v>
      </c>
      <c r="G88" s="122"/>
      <c r="H88" s="122"/>
      <c r="I88" s="122" t="s">
        <v>82</v>
      </c>
      <c r="J88" s="122"/>
      <c r="K88" s="81"/>
      <c r="L88" s="81"/>
      <c r="M88" s="81"/>
    </row>
    <row r="89" spans="1:16" x14ac:dyDescent="0.25">
      <c r="A89" s="152"/>
      <c r="B89" s="153" t="s">
        <v>2</v>
      </c>
      <c r="C89" s="154"/>
      <c r="D89" s="298">
        <f>IF(H29=0,0,IF(MAX((H29-SUM(D90:E96)),0)&gt;0,H29-SUM(D90:E96),"Ltd by high OM2,3,4 values"))</f>
        <v>15257859.428952929</v>
      </c>
      <c r="E89" s="299"/>
      <c r="F89" s="56">
        <f>1/TargetBCRWLBs*100</f>
        <v>5.5555555555555554</v>
      </c>
      <c r="G89" s="152" t="s">
        <v>81</v>
      </c>
      <c r="H89" s="81"/>
      <c r="I89" s="294">
        <f>IF(D89="Ltd by high OM2,3,4 values",0,D89*F89/100)</f>
        <v>847658.8571640515</v>
      </c>
      <c r="J89" s="294"/>
      <c r="K89" s="81"/>
      <c r="L89" s="140"/>
      <c r="M89" s="81"/>
      <c r="N89" s="155"/>
    </row>
    <row r="90" spans="1:16" x14ac:dyDescent="0.25">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5">
      <c r="B91" s="158"/>
      <c r="C91" s="159" t="s">
        <v>80</v>
      </c>
      <c r="D91" s="293">
        <f>N61</f>
        <v>0</v>
      </c>
      <c r="E91" s="293"/>
      <c r="F91" s="52">
        <f>1/TargetMinBCR*DeprivedScalar40*100</f>
        <v>30.000000000000004</v>
      </c>
      <c r="G91" s="81"/>
      <c r="H91" s="81"/>
      <c r="I91" s="294">
        <f t="shared" si="1"/>
        <v>0</v>
      </c>
      <c r="J91" s="294"/>
      <c r="M91" s="140"/>
    </row>
    <row r="92" spans="1:16" x14ac:dyDescent="0.25">
      <c r="B92" s="160"/>
      <c r="C92" s="161" t="s">
        <v>88</v>
      </c>
      <c r="D92" s="293">
        <f>N62</f>
        <v>9667140.5710470714</v>
      </c>
      <c r="E92" s="293"/>
      <c r="F92" s="52">
        <f>1/TargetMinBCR*DeprivedScalarOther*100</f>
        <v>20</v>
      </c>
      <c r="G92" s="81"/>
      <c r="H92" s="81"/>
      <c r="I92" s="294">
        <f t="shared" si="1"/>
        <v>1933428.1142094142</v>
      </c>
      <c r="J92" s="294"/>
    </row>
    <row r="93" spans="1:16" x14ac:dyDescent="0.25">
      <c r="B93" s="156" t="s">
        <v>0</v>
      </c>
      <c r="C93" s="157" t="s">
        <v>84</v>
      </c>
      <c r="D93" s="293">
        <f>N73</f>
        <v>0</v>
      </c>
      <c r="E93" s="293"/>
      <c r="F93" s="52">
        <f>1/TargetMinBCR*DeprivedScalar20*100</f>
        <v>45</v>
      </c>
      <c r="G93" s="81"/>
      <c r="H93" s="81"/>
      <c r="I93" s="294">
        <f t="shared" si="1"/>
        <v>0</v>
      </c>
      <c r="J93" s="294"/>
    </row>
    <row r="94" spans="1:16" x14ac:dyDescent="0.25">
      <c r="B94" s="162"/>
      <c r="C94" s="159" t="s">
        <v>80</v>
      </c>
      <c r="D94" s="293">
        <f>N74</f>
        <v>0</v>
      </c>
      <c r="E94" s="293"/>
      <c r="F94" s="52">
        <f>1/TargetMinBCR*DeprivedScalar40*100</f>
        <v>30.000000000000004</v>
      </c>
      <c r="G94" s="81"/>
      <c r="H94" s="81"/>
      <c r="I94" s="294">
        <f t="shared" si="1"/>
        <v>0</v>
      </c>
      <c r="J94" s="294"/>
    </row>
    <row r="95" spans="1:16" x14ac:dyDescent="0.25">
      <c r="B95" s="160"/>
      <c r="C95" s="161" t="s">
        <v>88</v>
      </c>
      <c r="D95" s="293">
        <f>N75</f>
        <v>0</v>
      </c>
      <c r="E95" s="293"/>
      <c r="F95" s="52">
        <f>1/TargetMinBCR*DeprivedScalarOther*100</f>
        <v>20</v>
      </c>
      <c r="G95" s="81"/>
      <c r="H95" s="81"/>
      <c r="I95" s="294">
        <f t="shared" si="1"/>
        <v>0</v>
      </c>
      <c r="J95" s="294"/>
    </row>
    <row r="96" spans="1:16" x14ac:dyDescent="0.25">
      <c r="B96" s="163" t="s">
        <v>3</v>
      </c>
      <c r="C96" s="164"/>
      <c r="D96" s="293">
        <f>N83</f>
        <v>75000</v>
      </c>
      <c r="E96" s="293"/>
      <c r="F96" s="52">
        <v>100</v>
      </c>
      <c r="G96" s="81"/>
      <c r="H96" s="81"/>
      <c r="I96" s="294">
        <f t="shared" si="1"/>
        <v>75000</v>
      </c>
      <c r="J96" s="294"/>
      <c r="P96" s="165"/>
    </row>
    <row r="97" spans="1:22" ht="15.75" customHeight="1" x14ac:dyDescent="0.3">
      <c r="B97" s="81" t="s">
        <v>7</v>
      </c>
      <c r="C97" s="81"/>
      <c r="D97" s="300">
        <f>SUM(D89:E96)</f>
        <v>25000000</v>
      </c>
      <c r="E97" s="249"/>
      <c r="F97" s="81"/>
      <c r="G97" s="81"/>
      <c r="H97" s="81"/>
      <c r="I97" s="301">
        <f>SUM(I89:J96)</f>
        <v>2856086.9713734658</v>
      </c>
      <c r="J97" s="302"/>
      <c r="K97" s="235" t="s">
        <v>213</v>
      </c>
      <c r="L97" s="235"/>
      <c r="M97" s="235"/>
      <c r="N97" s="235"/>
      <c r="O97" s="235"/>
    </row>
    <row r="98" spans="1:22" x14ac:dyDescent="0.25">
      <c r="B98" s="81"/>
      <c r="C98" s="81"/>
      <c r="D98" s="81"/>
      <c r="E98" s="81"/>
      <c r="F98" s="81"/>
      <c r="G98" s="81"/>
      <c r="H98" s="81"/>
      <c r="I98" s="81"/>
      <c r="K98" s="235"/>
      <c r="L98" s="235"/>
      <c r="M98" s="235"/>
      <c r="N98" s="235"/>
      <c r="O98" s="235"/>
    </row>
    <row r="99" spans="1:22" s="140" customFormat="1" ht="15.6" x14ac:dyDescent="0.3">
      <c r="B99" s="217"/>
      <c r="C99" s="117"/>
      <c r="D99" s="149"/>
      <c r="E99" s="117"/>
      <c r="F99" s="117"/>
      <c r="G99" s="117"/>
      <c r="H99" s="117"/>
      <c r="I99" s="117"/>
      <c r="J99" s="117"/>
      <c r="K99" s="117"/>
      <c r="L99" s="150"/>
      <c r="M99" s="117"/>
      <c r="N99" s="117"/>
      <c r="O99" s="117"/>
      <c r="P99" s="84"/>
    </row>
    <row r="100" spans="1:22" s="166" customFormat="1" ht="13.2" x14ac:dyDescent="0.25">
      <c r="B100" s="167"/>
    </row>
    <row r="101" spans="1:22" s="166" customFormat="1" ht="13.2" x14ac:dyDescent="0.25">
      <c r="B101" s="167"/>
    </row>
    <row r="102" spans="1:22" s="166" customFormat="1" ht="25.2" customHeight="1" x14ac:dyDescent="0.25">
      <c r="B102" s="167"/>
    </row>
    <row r="103" spans="1:22" ht="15.6" x14ac:dyDescent="0.3">
      <c r="B103" s="176" t="s">
        <v>93</v>
      </c>
      <c r="C103" s="81"/>
      <c r="D103" s="81"/>
      <c r="E103" s="81"/>
      <c r="F103" s="81"/>
      <c r="H103" s="81"/>
      <c r="I103" s="81"/>
      <c r="J103" s="81"/>
      <c r="K103" s="81"/>
      <c r="L103" s="81"/>
      <c r="M103" s="81"/>
    </row>
    <row r="105" spans="1:22" x14ac:dyDescent="0.25">
      <c r="B105" s="140"/>
      <c r="C105" s="140"/>
      <c r="D105" s="140"/>
      <c r="E105" s="140"/>
      <c r="F105" s="140"/>
      <c r="H105" s="140"/>
      <c r="I105" s="140"/>
    </row>
    <row r="106" spans="1:22" s="84" customFormat="1" x14ac:dyDescent="0.25">
      <c r="A106" s="81"/>
      <c r="N106" s="81"/>
      <c r="O106" s="81"/>
      <c r="P106" s="81"/>
      <c r="Q106" s="81"/>
      <c r="R106" s="81"/>
      <c r="S106" s="81"/>
      <c r="T106" s="81"/>
      <c r="U106" s="81"/>
      <c r="V106" s="81"/>
    </row>
    <row r="107" spans="1:22" s="84" customFormat="1" x14ac:dyDescent="0.25">
      <c r="A107" s="81"/>
      <c r="N107" s="81"/>
      <c r="O107" s="81"/>
      <c r="P107" s="81"/>
      <c r="Q107" s="81"/>
      <c r="R107" s="81"/>
      <c r="S107" s="81"/>
      <c r="T107" s="81"/>
      <c r="U107" s="81"/>
      <c r="V107" s="81"/>
    </row>
    <row r="108" spans="1:22" s="84" customFormat="1" ht="22.8" x14ac:dyDescent="0.4">
      <c r="A108" s="81"/>
      <c r="B108" s="177"/>
      <c r="N108" s="81"/>
      <c r="O108" s="81"/>
      <c r="P108" s="81"/>
      <c r="Q108" s="81"/>
      <c r="R108" s="81"/>
      <c r="S108" s="81"/>
      <c r="T108" s="81"/>
      <c r="U108" s="81"/>
      <c r="V108" s="81"/>
    </row>
    <row r="109" spans="1:22" s="84" customFormat="1" x14ac:dyDescent="0.25">
      <c r="A109" s="81"/>
      <c r="N109" s="81"/>
      <c r="O109" s="81"/>
      <c r="P109" s="81"/>
      <c r="Q109" s="81"/>
      <c r="R109" s="81"/>
      <c r="S109" s="81"/>
      <c r="T109" s="81"/>
      <c r="U109" s="81"/>
      <c r="V109" s="81"/>
    </row>
    <row r="110" spans="1:22" s="84" customFormat="1" ht="22.8" x14ac:dyDescent="0.4">
      <c r="A110" s="81"/>
      <c r="D110" s="177"/>
      <c r="N110" s="81"/>
      <c r="O110" s="81"/>
      <c r="P110" s="81"/>
      <c r="Q110" s="81"/>
      <c r="R110" s="81"/>
      <c r="S110" s="81"/>
      <c r="T110" s="81"/>
      <c r="U110" s="81"/>
      <c r="V110" s="81"/>
    </row>
    <row r="111" spans="1:22" s="140" customFormat="1" ht="22.8" x14ac:dyDescent="0.4">
      <c r="I111" s="177"/>
    </row>
    <row r="112" spans="1:22" s="140" customFormat="1" ht="22.8" x14ac:dyDescent="0.4">
      <c r="B112" s="177"/>
      <c r="C112" s="178"/>
    </row>
    <row r="113" s="140" customFormat="1" x14ac:dyDescent="0.25"/>
    <row r="114" s="140" customFormat="1" x14ac:dyDescent="0.25"/>
    <row r="115" s="140" customFormat="1" x14ac:dyDescent="0.25"/>
    <row r="116" s="140" customFormat="1" x14ac:dyDescent="0.25"/>
    <row r="117" s="140" customFormat="1" x14ac:dyDescent="0.25"/>
    <row r="118" s="140" customFormat="1" x14ac:dyDescent="0.25"/>
    <row r="119" s="140" customFormat="1" x14ac:dyDescent="0.25"/>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topLeftCell="B34" zoomScale="70" zoomScaleNormal="70" workbookViewId="0">
      <selection activeCell="Q17" sqref="Q17:V23"/>
    </sheetView>
  </sheetViews>
  <sheetFormatPr defaultColWidth="8.90625" defaultRowHeight="15" x14ac:dyDescent="0.25"/>
  <cols>
    <col min="1" max="1" width="2" style="81" customWidth="1"/>
    <col min="2" max="2" width="16.54296875" style="84" customWidth="1"/>
    <col min="3" max="13" width="10.6328125" style="84" customWidth="1"/>
    <col min="14" max="18" width="10.6328125" style="81" customWidth="1"/>
    <col min="19" max="16384" width="8.90625" style="81"/>
  </cols>
  <sheetData>
    <row r="2" spans="1:18" ht="21" x14ac:dyDescent="0.4">
      <c r="B2" s="82" t="s">
        <v>178</v>
      </c>
      <c r="C2" s="83"/>
      <c r="D2" s="83"/>
    </row>
    <row r="3" spans="1:18" ht="20.399999999999999" x14ac:dyDescent="0.35">
      <c r="B3" s="85" t="str">
        <f>'PF Calculator'!B3</f>
        <v>Version 8 January 2014</v>
      </c>
      <c r="C3" s="83"/>
      <c r="D3" s="83"/>
    </row>
    <row r="4" spans="1:18" x14ac:dyDescent="0.25">
      <c r="B4" s="86"/>
      <c r="C4" s="87"/>
      <c r="D4" s="87"/>
    </row>
    <row r="5" spans="1:18" ht="21" x14ac:dyDescent="0.4">
      <c r="B5" s="243" t="s">
        <v>132</v>
      </c>
      <c r="C5" s="243"/>
      <c r="D5" s="243"/>
      <c r="E5" s="203" t="str">
        <f>'PF Calculator'!E5</f>
        <v>Example2</v>
      </c>
      <c r="F5" s="204"/>
      <c r="G5" s="204"/>
      <c r="H5" s="204"/>
      <c r="I5" s="204"/>
      <c r="J5" s="204"/>
      <c r="K5" s="204"/>
      <c r="L5" s="204"/>
      <c r="M5" s="204"/>
      <c r="N5" s="204"/>
      <c r="O5" s="204"/>
      <c r="P5" s="89"/>
      <c r="Q5" s="90"/>
      <c r="R5" s="90"/>
    </row>
    <row r="6" spans="1:18" ht="21" x14ac:dyDescent="0.4">
      <c r="B6" s="91" t="s">
        <v>133</v>
      </c>
      <c r="C6" s="91"/>
      <c r="D6" s="91"/>
      <c r="E6" s="218" t="s">
        <v>140</v>
      </c>
      <c r="F6" s="204"/>
      <c r="G6" s="204"/>
      <c r="H6" s="204"/>
      <c r="I6" s="204"/>
      <c r="J6" s="204"/>
      <c r="K6" s="204"/>
      <c r="L6" s="204"/>
      <c r="M6" s="204"/>
      <c r="N6" s="204"/>
      <c r="O6" s="204"/>
      <c r="P6" s="89"/>
      <c r="Q6" s="90"/>
      <c r="R6" s="90"/>
    </row>
    <row r="7" spans="1:18" x14ac:dyDescent="0.25">
      <c r="B7" s="92"/>
      <c r="C7" s="93"/>
      <c r="D7" s="93"/>
    </row>
    <row r="8" spans="1:18" ht="15.6" x14ac:dyDescent="0.3">
      <c r="B8" s="206"/>
      <c r="C8" s="93"/>
      <c r="D8" s="93"/>
      <c r="L8" s="94" t="s">
        <v>13</v>
      </c>
      <c r="M8" s="275" t="s">
        <v>135</v>
      </c>
      <c r="N8" s="276"/>
      <c r="O8" s="277"/>
    </row>
    <row r="9" spans="1:18" ht="15.6" x14ac:dyDescent="0.3">
      <c r="B9" s="95" t="s">
        <v>203</v>
      </c>
      <c r="J9" s="84" t="s">
        <v>146</v>
      </c>
      <c r="L9" s="81"/>
      <c r="M9" s="247" t="s">
        <v>15</v>
      </c>
      <c r="N9" s="248"/>
      <c r="O9" s="249"/>
    </row>
    <row r="10" spans="1:18" ht="15.6" x14ac:dyDescent="0.3">
      <c r="B10" s="96" t="s">
        <v>129</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130</v>
      </c>
      <c r="C12" s="87"/>
      <c r="D12" s="87"/>
      <c r="E12" s="87"/>
      <c r="F12" s="103"/>
      <c r="G12" s="104"/>
      <c r="H12" s="81"/>
      <c r="I12" s="81"/>
      <c r="O12" s="105"/>
      <c r="P12" s="105"/>
    </row>
    <row r="13" spans="1:18" ht="15" customHeight="1" x14ac:dyDescent="0.3">
      <c r="G13" s="106"/>
      <c r="I13" s="81"/>
      <c r="J13" s="105"/>
      <c r="K13" s="81"/>
      <c r="M13" s="107" t="s">
        <v>101</v>
      </c>
      <c r="N13" s="46">
        <f>H29/H37</f>
        <v>0</v>
      </c>
      <c r="O13" s="47" t="s">
        <v>17</v>
      </c>
    </row>
    <row r="14" spans="1:18" ht="15" customHeight="1" x14ac:dyDescent="0.3">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3">
      <c r="B15" s="110" t="s">
        <v>153</v>
      </c>
      <c r="C15" s="111"/>
      <c r="D15" s="111"/>
      <c r="E15" s="111"/>
      <c r="F15" s="111"/>
      <c r="G15" s="111"/>
      <c r="H15" s="54">
        <f>IF(J25="yes",I97/MAX(H37,H34),IF(J25="Yes",I97/MAX(H37,H34),0.45*I97/MAX(H37,H34)))</f>
        <v>1.270934268835501</v>
      </c>
      <c r="I15" s="108" t="s">
        <v>156</v>
      </c>
      <c r="K15" s="81"/>
      <c r="L15" s="81"/>
      <c r="M15" s="109" t="s">
        <v>18</v>
      </c>
      <c r="N15" s="48">
        <f>IF(H44&gt;0,H29/H44,"n/a")</f>
        <v>0</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25">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3">
      <c r="B19" s="110" t="s">
        <v>134</v>
      </c>
      <c r="C19" s="113"/>
      <c r="D19" s="113"/>
      <c r="E19" s="113"/>
      <c r="F19" s="113"/>
      <c r="G19" s="113"/>
      <c r="H19" s="54">
        <f>IF(J25="Yes",IF(Authority="EA",I97/MAX(MAX(H37,H34)-H44,1),RawOMScore+H44/H34),IF(Authority="EA",I97*0.45/MAX(MAX(H37,H34)-H44,1),I15+H44/H34))</f>
        <v>1.9603041847323712</v>
      </c>
      <c r="I19" s="108" t="s">
        <v>158</v>
      </c>
      <c r="J19" s="278"/>
      <c r="K19" s="278"/>
      <c r="L19" s="278"/>
      <c r="M19" s="278"/>
      <c r="N19" s="278"/>
      <c r="O19" s="278"/>
      <c r="Q19" s="255"/>
      <c r="R19" s="255"/>
      <c r="S19" s="255"/>
      <c r="T19" s="255"/>
      <c r="U19" s="255"/>
      <c r="V19" s="255"/>
    </row>
    <row r="20" spans="2:22" ht="15" customHeight="1" x14ac:dyDescent="0.25">
      <c r="J20" s="278"/>
      <c r="K20" s="278"/>
      <c r="L20" s="278"/>
      <c r="M20" s="278"/>
      <c r="N20" s="278"/>
      <c r="O20" s="278"/>
      <c r="Q20" s="255"/>
      <c r="R20" s="255"/>
      <c r="S20" s="255"/>
      <c r="T20" s="255"/>
      <c r="U20" s="255"/>
      <c r="V20" s="255"/>
    </row>
    <row r="21" spans="2:22" ht="15" customHeight="1" x14ac:dyDescent="0.3">
      <c r="B21" s="114" t="s">
        <v>205</v>
      </c>
      <c r="C21" s="115"/>
      <c r="D21" s="115"/>
      <c r="E21" s="115"/>
      <c r="F21" s="115"/>
      <c r="G21" s="115"/>
      <c r="H21" s="208">
        <f>IF(ROUNDUP(AdjOMScore,4)&lt;100%,"-",H34-H44)</f>
        <v>450600</v>
      </c>
      <c r="I21" s="108" t="s">
        <v>159</v>
      </c>
      <c r="J21" s="278"/>
      <c r="K21" s="278"/>
      <c r="L21" s="278"/>
      <c r="M21" s="278"/>
      <c r="N21" s="278"/>
      <c r="O21" s="278"/>
      <c r="Q21" s="255"/>
      <c r="R21" s="255"/>
      <c r="S21" s="255"/>
      <c r="T21" s="255"/>
      <c r="U21" s="255"/>
      <c r="V21" s="255"/>
    </row>
    <row r="22" spans="2:22" ht="22.5" customHeight="1" x14ac:dyDescent="0.3">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5">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3">
      <c r="B24" s="120" t="s">
        <v>97</v>
      </c>
      <c r="C24" s="121"/>
      <c r="D24" s="121"/>
      <c r="E24" s="81"/>
      <c r="F24" s="81"/>
      <c r="G24" s="81"/>
      <c r="H24" s="81"/>
      <c r="M24" s="81"/>
    </row>
    <row r="25" spans="2:22" ht="15.6" x14ac:dyDescent="0.3">
      <c r="B25" s="123" t="s">
        <v>128</v>
      </c>
      <c r="C25" s="121"/>
      <c r="D25" s="124"/>
      <c r="E25" s="81"/>
      <c r="F25" s="81"/>
      <c r="G25" s="81"/>
      <c r="H25" s="210" t="str">
        <f>'PF Calculator'!H25</f>
        <v>IDB</v>
      </c>
      <c r="I25" s="108" t="s">
        <v>160</v>
      </c>
      <c r="J25" s="210" t="str">
        <f>'PF Calculator'!J25</f>
        <v>Yes</v>
      </c>
      <c r="K25" s="212" t="s">
        <v>173</v>
      </c>
      <c r="L25" s="213"/>
      <c r="M25" s="213"/>
      <c r="N25" s="213"/>
      <c r="O25" s="213"/>
    </row>
    <row r="26" spans="2:22" x14ac:dyDescent="0.25">
      <c r="B26" s="121"/>
      <c r="C26" s="121"/>
      <c r="D26" s="124"/>
      <c r="E26" s="81"/>
      <c r="F26" s="81"/>
      <c r="G26" s="81"/>
      <c r="H26" s="107"/>
      <c r="I26" s="81"/>
      <c r="J26" s="279" t="s">
        <v>174</v>
      </c>
      <c r="K26" s="225"/>
      <c r="L26" s="225"/>
      <c r="M26" s="225"/>
      <c r="N26" s="225"/>
      <c r="O26" s="213"/>
      <c r="P26" s="127"/>
    </row>
    <row r="27" spans="2:22" ht="15.6" x14ac:dyDescent="0.3">
      <c r="B27" s="123" t="s">
        <v>124</v>
      </c>
      <c r="C27" s="121"/>
      <c r="D27" s="124"/>
      <c r="E27" s="81"/>
      <c r="F27" s="81"/>
      <c r="G27" s="81"/>
      <c r="H27" s="219">
        <f>INT('PF Calculator'!H27*1.25)</f>
        <v>62</v>
      </c>
      <c r="I27" s="108" t="s">
        <v>161</v>
      </c>
      <c r="J27" s="225"/>
      <c r="K27" s="225"/>
      <c r="L27" s="225"/>
      <c r="M27" s="225"/>
      <c r="N27" s="225"/>
      <c r="O27" s="84"/>
    </row>
    <row r="28" spans="2:22" x14ac:dyDescent="0.25">
      <c r="B28" s="123"/>
      <c r="C28" s="121"/>
      <c r="D28" s="124"/>
      <c r="E28" s="81"/>
      <c r="F28" s="81"/>
      <c r="G28" s="81"/>
      <c r="H28" s="81"/>
      <c r="I28" s="81"/>
      <c r="J28" s="81"/>
      <c r="K28" s="81"/>
      <c r="L28" s="81"/>
      <c r="M28" s="81"/>
      <c r="O28" s="84"/>
    </row>
    <row r="29" spans="2:22" ht="15.6" x14ac:dyDescent="0.3">
      <c r="B29" s="123" t="s">
        <v>9</v>
      </c>
      <c r="C29" s="121"/>
      <c r="D29" s="124"/>
      <c r="E29" s="81"/>
      <c r="F29" s="81"/>
      <c r="G29" s="81"/>
      <c r="H29" s="210"/>
      <c r="I29" s="108" t="s">
        <v>162</v>
      </c>
      <c r="J29" s="81"/>
      <c r="K29" s="81"/>
      <c r="L29" s="81"/>
      <c r="M29" s="81"/>
      <c r="O29" s="84"/>
    </row>
    <row r="30" spans="2:22" x14ac:dyDescent="0.25">
      <c r="B30" s="123"/>
      <c r="C30" s="121"/>
      <c r="D30" s="124"/>
      <c r="E30" s="81"/>
      <c r="F30" s="81"/>
      <c r="G30" s="81"/>
      <c r="H30" s="81"/>
      <c r="I30" s="81"/>
      <c r="J30" s="280" t="s">
        <v>155</v>
      </c>
      <c r="K30" s="281"/>
      <c r="L30" s="281"/>
      <c r="M30" s="281"/>
      <c r="N30" s="282"/>
    </row>
    <row r="31" spans="2:22" x14ac:dyDescent="0.25">
      <c r="B31" s="128" t="s">
        <v>151</v>
      </c>
      <c r="C31" s="121"/>
      <c r="D31" s="124"/>
      <c r="E31" s="81"/>
      <c r="F31" s="81"/>
      <c r="G31" s="81"/>
      <c r="H31" s="107"/>
      <c r="I31" s="81"/>
      <c r="J31" s="283"/>
      <c r="K31" s="284"/>
      <c r="L31" s="284"/>
      <c r="M31" s="284"/>
      <c r="N31" s="285"/>
      <c r="O31" s="84"/>
    </row>
    <row r="32" spans="2:22" ht="15.6" x14ac:dyDescent="0.3">
      <c r="B32" s="121" t="s">
        <v>118</v>
      </c>
      <c r="C32" s="121"/>
      <c r="D32" s="124"/>
      <c r="E32" s="81"/>
      <c r="F32" s="81"/>
      <c r="G32" s="81"/>
      <c r="H32" s="210">
        <f>'PF Calculator'!H32</f>
        <v>250000</v>
      </c>
      <c r="I32" s="108" t="s">
        <v>163</v>
      </c>
      <c r="J32" s="283"/>
      <c r="K32" s="284"/>
      <c r="L32" s="284"/>
      <c r="M32" s="284"/>
      <c r="N32" s="285"/>
    </row>
    <row r="33" spans="2:21" ht="15.6" x14ac:dyDescent="0.3">
      <c r="B33" s="121" t="s">
        <v>125</v>
      </c>
      <c r="C33" s="121"/>
      <c r="D33" s="124"/>
      <c r="E33" s="81"/>
      <c r="F33" s="81"/>
      <c r="G33" s="81"/>
      <c r="H33" s="210">
        <f>'PF Calculator'!H33</f>
        <v>1200600</v>
      </c>
      <c r="I33" s="108" t="s">
        <v>164</v>
      </c>
      <c r="J33" s="286"/>
      <c r="K33" s="287"/>
      <c r="L33" s="287"/>
      <c r="M33" s="287"/>
      <c r="N33" s="288"/>
    </row>
    <row r="34" spans="2:21" ht="15.6" x14ac:dyDescent="0.3">
      <c r="B34" s="128" t="s">
        <v>154</v>
      </c>
      <c r="C34" s="121"/>
      <c r="D34" s="124"/>
      <c r="E34" s="81"/>
      <c r="F34" s="81"/>
      <c r="G34" s="81"/>
      <c r="H34" s="55">
        <f>SUM(H32:H33)</f>
        <v>1450600</v>
      </c>
      <c r="I34" s="108" t="s">
        <v>165</v>
      </c>
      <c r="J34" s="81"/>
      <c r="K34" s="81"/>
      <c r="L34" s="81"/>
      <c r="M34" s="81"/>
    </row>
    <row r="35" spans="2:21" ht="15" customHeight="1" x14ac:dyDescent="0.25">
      <c r="B35" s="128"/>
      <c r="C35" s="121"/>
      <c r="D35" s="124"/>
      <c r="E35" s="81"/>
      <c r="F35" s="81"/>
      <c r="G35" s="81"/>
      <c r="H35" s="129"/>
      <c r="I35" s="81"/>
      <c r="J35" s="81"/>
      <c r="K35" s="81"/>
      <c r="L35" s="81"/>
      <c r="M35" s="81"/>
    </row>
    <row r="36" spans="2:21" ht="15.6" x14ac:dyDescent="0.3">
      <c r="B36" s="121" t="s">
        <v>126</v>
      </c>
      <c r="C36" s="121"/>
      <c r="D36" s="124"/>
      <c r="E36" s="81"/>
      <c r="F36" s="81"/>
      <c r="G36" s="81"/>
      <c r="H36" s="210">
        <f>'PF Calculator'!H36</f>
        <v>250648</v>
      </c>
      <c r="I36" s="108" t="s">
        <v>166</v>
      </c>
      <c r="J36" s="81"/>
      <c r="K36" s="81"/>
      <c r="L36" s="81"/>
      <c r="M36" s="81"/>
    </row>
    <row r="37" spans="2:21" ht="15.6" x14ac:dyDescent="0.3">
      <c r="B37" s="123" t="s">
        <v>209</v>
      </c>
      <c r="C37" s="121"/>
      <c r="D37" s="124"/>
      <c r="E37" s="81"/>
      <c r="F37" s="81"/>
      <c r="G37" s="81"/>
      <c r="H37" s="45">
        <f>H36+H34</f>
        <v>1701248</v>
      </c>
      <c r="I37" s="108" t="s">
        <v>167</v>
      </c>
      <c r="J37" s="81"/>
      <c r="K37" s="81"/>
      <c r="L37" s="81"/>
      <c r="M37" s="81"/>
    </row>
    <row r="38" spans="2:21" ht="15" customHeight="1" x14ac:dyDescent="0.25">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5">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3">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3">
      <c r="B41" s="121" t="s">
        <v>120</v>
      </c>
      <c r="C41" s="121"/>
      <c r="D41" s="124"/>
      <c r="E41" s="81"/>
      <c r="F41" s="81"/>
      <c r="G41" s="81"/>
      <c r="H41" s="210">
        <f>'PF Calculator'!H41</f>
        <v>1000000</v>
      </c>
      <c r="I41" s="108" t="s">
        <v>169</v>
      </c>
      <c r="J41" s="252"/>
      <c r="K41" s="252"/>
      <c r="L41" s="252"/>
      <c r="M41" s="252"/>
      <c r="N41" s="252"/>
      <c r="O41" s="252"/>
      <c r="P41" s="289"/>
      <c r="Q41" s="289"/>
      <c r="R41" s="289"/>
      <c r="S41" s="289"/>
      <c r="T41" s="289"/>
      <c r="U41" s="289"/>
    </row>
    <row r="42" spans="2:21" ht="15" customHeight="1" x14ac:dyDescent="0.3">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3">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5">
      <c r="B44" s="128" t="s">
        <v>123</v>
      </c>
      <c r="C44" s="121"/>
      <c r="D44" s="124"/>
      <c r="E44" s="81"/>
      <c r="F44" s="81"/>
      <c r="G44" s="81"/>
      <c r="H44" s="44">
        <f>SUM(H40:H43)</f>
        <v>1000000</v>
      </c>
      <c r="I44" s="108" t="s">
        <v>172</v>
      </c>
      <c r="J44" s="252"/>
      <c r="K44" s="252"/>
      <c r="L44" s="252"/>
      <c r="M44" s="252"/>
      <c r="N44" s="252"/>
      <c r="O44" s="252"/>
    </row>
    <row r="45" spans="2:21"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7.25" customHeight="1" x14ac:dyDescent="0.25">
      <c r="B46" s="128"/>
      <c r="C46" s="121"/>
      <c r="D46" s="124"/>
      <c r="E46" s="81"/>
      <c r="F46" s="81"/>
      <c r="G46" s="81"/>
      <c r="H46" s="81"/>
      <c r="I46" s="108"/>
      <c r="J46" s="252"/>
      <c r="K46" s="252"/>
      <c r="L46" s="252"/>
      <c r="M46" s="252"/>
      <c r="N46" s="252"/>
      <c r="O46" s="252"/>
    </row>
    <row r="47" spans="2:21" ht="17.25" customHeight="1" x14ac:dyDescent="0.25">
      <c r="B47" s="81"/>
      <c r="C47" s="81"/>
      <c r="D47" s="81"/>
      <c r="E47" s="131"/>
      <c r="F47" s="131"/>
      <c r="G47" s="131"/>
      <c r="H47" s="131"/>
      <c r="I47" s="131"/>
      <c r="J47" s="252"/>
      <c r="K47" s="252"/>
      <c r="L47" s="252"/>
      <c r="M47" s="252"/>
      <c r="N47" s="252"/>
      <c r="O47" s="252"/>
    </row>
    <row r="48" spans="2:21" ht="7.5" customHeight="1" x14ac:dyDescent="0.25">
      <c r="B48" s="117"/>
      <c r="C48" s="117"/>
      <c r="D48" s="117"/>
      <c r="E48" s="117"/>
      <c r="F48" s="117"/>
      <c r="G48" s="117"/>
      <c r="H48" s="117"/>
      <c r="I48" s="117"/>
      <c r="J48" s="117"/>
      <c r="K48" s="132"/>
      <c r="L48" s="132"/>
      <c r="M48" s="132"/>
      <c r="N48" s="117"/>
      <c r="O48" s="117"/>
    </row>
    <row r="49" spans="2:19" ht="15.6" x14ac:dyDescent="0.3">
      <c r="B49" s="120" t="s">
        <v>98</v>
      </c>
      <c r="C49" s="81"/>
      <c r="D49" s="81"/>
      <c r="E49" s="81"/>
      <c r="F49" s="81"/>
      <c r="G49" s="81"/>
      <c r="H49" s="81"/>
      <c r="I49" s="81"/>
      <c r="J49" s="81"/>
      <c r="K49" s="81"/>
      <c r="L49" s="81"/>
      <c r="M49" s="81"/>
    </row>
    <row r="50" spans="2:19" x14ac:dyDescent="0.25">
      <c r="B50" s="122" t="s">
        <v>30</v>
      </c>
      <c r="C50" s="81"/>
      <c r="D50" s="81"/>
      <c r="F50" s="133" t="s">
        <v>19</v>
      </c>
      <c r="G50" s="81"/>
      <c r="H50" s="81"/>
      <c r="J50" s="133" t="s">
        <v>29</v>
      </c>
      <c r="K50" s="81"/>
      <c r="L50" s="81"/>
      <c r="M50" s="251" t="s">
        <v>54</v>
      </c>
      <c r="N50" s="251"/>
      <c r="O50" s="251"/>
    </row>
    <row r="51" spans="2:19" x14ac:dyDescent="0.25">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5">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5">
      <c r="B53" s="134" t="s">
        <v>22</v>
      </c>
      <c r="C53" s="81"/>
      <c r="D53" s="81"/>
      <c r="E53" s="215">
        <f>'PF Calculator'!E54</f>
        <v>60</v>
      </c>
      <c r="F53" s="215">
        <f>'PF Calculator'!F54</f>
        <v>30</v>
      </c>
      <c r="G53" s="215">
        <f>'PF Calculator'!G54</f>
        <v>420</v>
      </c>
      <c r="H53" s="81"/>
      <c r="I53" s="215">
        <f>'PF Calculator'!I54</f>
        <v>50</v>
      </c>
      <c r="J53" s="215">
        <f>'PF Calculator'!J54</f>
        <v>100</v>
      </c>
      <c r="K53" s="215">
        <f>'PF Calculator'!K54</f>
        <v>100</v>
      </c>
      <c r="L53" s="81"/>
      <c r="M53" s="49">
        <f t="shared" si="0"/>
        <v>-10</v>
      </c>
      <c r="N53" s="49">
        <f t="shared" si="0"/>
        <v>70</v>
      </c>
      <c r="O53" s="49">
        <f t="shared" si="0"/>
        <v>-320</v>
      </c>
      <c r="Q53" s="135"/>
      <c r="R53" s="135"/>
      <c r="S53" s="135"/>
    </row>
    <row r="54" spans="2:19" ht="15.6" x14ac:dyDescent="0.3">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5">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5">
      <c r="B56" s="81"/>
      <c r="C56" s="81"/>
      <c r="D56" s="81"/>
      <c r="E56" s="135"/>
      <c r="F56" s="135"/>
      <c r="G56" s="135" t="s">
        <v>25</v>
      </c>
      <c r="H56" s="81"/>
      <c r="I56" s="135"/>
      <c r="J56" s="135"/>
      <c r="K56" s="135" t="s">
        <v>25</v>
      </c>
      <c r="L56" s="81"/>
      <c r="M56" s="135"/>
      <c r="N56" s="135"/>
      <c r="O56" s="135" t="s">
        <v>25</v>
      </c>
    </row>
    <row r="57" spans="2:19" x14ac:dyDescent="0.25">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5">
      <c r="B58" s="81"/>
      <c r="C58" s="81"/>
      <c r="D58" s="81"/>
      <c r="E58" s="81"/>
      <c r="F58" s="81"/>
      <c r="G58" s="81"/>
      <c r="H58" s="81"/>
      <c r="I58" s="81"/>
      <c r="J58" s="81"/>
      <c r="K58" s="81"/>
      <c r="L58" s="81"/>
      <c r="M58" s="81"/>
    </row>
    <row r="59" spans="2:19" ht="15.6" x14ac:dyDescent="0.3">
      <c r="B59" s="81" t="s">
        <v>57</v>
      </c>
      <c r="C59" s="81"/>
      <c r="D59" s="81"/>
      <c r="E59" s="81"/>
      <c r="F59" s="81"/>
      <c r="G59" s="81" t="s">
        <v>56</v>
      </c>
      <c r="H59" s="81"/>
      <c r="K59" s="107" t="s">
        <v>63</v>
      </c>
      <c r="O59" s="137" t="s">
        <v>79</v>
      </c>
    </row>
    <row r="60" spans="2:19" ht="15.6" x14ac:dyDescent="0.3">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ht="15.6" x14ac:dyDescent="0.3">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ht="15.6" x14ac:dyDescent="0.3">
      <c r="B62" s="134" t="str">
        <f>B53</f>
        <v>60% least deprived areas</v>
      </c>
      <c r="C62" s="81"/>
      <c r="D62" s="81"/>
      <c r="F62" s="290">
        <f>SUMPRODUCT($M53:$O53,$M$57:$O$57)</f>
        <v>-391500.00000000006</v>
      </c>
      <c r="G62" s="290"/>
      <c r="H62" s="81"/>
      <c r="J62" s="291">
        <f>F62*Duration</f>
        <v>-24273000.000000004</v>
      </c>
      <c r="K62" s="291"/>
      <c r="M62" s="137" t="s">
        <v>90</v>
      </c>
      <c r="N62" s="291">
        <f>-F62*VLOOKUP(Duration,'Discount Rates &amp; Assumptions'!$A$6:$D$105,4,FALSE)</f>
        <v>10435871.914939292</v>
      </c>
      <c r="O62" s="291"/>
    </row>
    <row r="63" spans="2:19" ht="7.5" customHeight="1" x14ac:dyDescent="0.3">
      <c r="B63" s="134"/>
      <c r="C63" s="81"/>
      <c r="D63" s="81"/>
      <c r="F63" s="138"/>
      <c r="G63" s="138"/>
      <c r="H63" s="81"/>
      <c r="J63" s="139"/>
      <c r="K63" s="139"/>
      <c r="M63" s="137"/>
    </row>
    <row r="64" spans="2:19" ht="7.5" customHeight="1" x14ac:dyDescent="0.25">
      <c r="B64" s="132"/>
      <c r="C64" s="132"/>
      <c r="D64" s="132"/>
      <c r="E64" s="132"/>
      <c r="F64" s="132"/>
      <c r="G64" s="132"/>
      <c r="H64" s="117"/>
      <c r="I64" s="117"/>
      <c r="J64" s="117"/>
      <c r="K64" s="117"/>
      <c r="L64" s="117"/>
      <c r="M64" s="132"/>
      <c r="N64" s="117"/>
      <c r="O64" s="117"/>
    </row>
    <row r="65" spans="2:16" ht="15.6" x14ac:dyDescent="0.3">
      <c r="B65" s="120" t="s">
        <v>99</v>
      </c>
      <c r="H65" s="81"/>
      <c r="I65" s="81"/>
      <c r="J65" s="81"/>
      <c r="K65" s="81"/>
      <c r="L65" s="81"/>
    </row>
    <row r="66" spans="2:16" x14ac:dyDescent="0.25">
      <c r="B66" s="122" t="s">
        <v>30</v>
      </c>
      <c r="C66" s="81"/>
      <c r="D66" s="81"/>
      <c r="E66" s="133"/>
      <c r="F66" s="250" t="s">
        <v>19</v>
      </c>
      <c r="G66" s="250"/>
      <c r="H66" s="81"/>
      <c r="I66" s="140" t="s">
        <v>66</v>
      </c>
    </row>
    <row r="67" spans="2:16" x14ac:dyDescent="0.25">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5">
      <c r="B68" s="134" t="s">
        <v>20</v>
      </c>
      <c r="C68" s="81"/>
      <c r="D68" s="81"/>
      <c r="E68" s="81"/>
      <c r="F68" s="215">
        <f>'PF Calculator'!F69</f>
        <v>0</v>
      </c>
      <c r="G68" s="215">
        <f>'PF Calculator'!G69</f>
        <v>0</v>
      </c>
      <c r="H68" s="81"/>
      <c r="I68" s="142" t="s">
        <v>67</v>
      </c>
      <c r="M68" s="51">
        <v>50</v>
      </c>
      <c r="N68" s="51">
        <v>20</v>
      </c>
      <c r="O68" s="134" t="s">
        <v>8</v>
      </c>
    </row>
    <row r="69" spans="2:16" ht="15" customHeight="1" x14ac:dyDescent="0.25">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6" x14ac:dyDescent="0.25">
      <c r="B70" s="81"/>
      <c r="C70" s="81"/>
      <c r="D70" s="143"/>
      <c r="E70" s="81"/>
      <c r="F70" s="144" t="s">
        <v>65</v>
      </c>
      <c r="G70" s="144" t="s">
        <v>64</v>
      </c>
      <c r="H70" s="81"/>
      <c r="I70" s="229"/>
      <c r="J70" s="229"/>
      <c r="K70" s="229"/>
      <c r="L70" s="229"/>
      <c r="M70" s="145" t="s">
        <v>65</v>
      </c>
      <c r="N70" s="145" t="s">
        <v>64</v>
      </c>
    </row>
    <row r="71" spans="2:16" x14ac:dyDescent="0.25">
      <c r="B71" s="146"/>
      <c r="C71" s="146"/>
      <c r="D71" s="146"/>
      <c r="E71" s="146"/>
      <c r="F71" s="135"/>
      <c r="G71" s="81"/>
      <c r="H71" s="81"/>
      <c r="I71" s="81"/>
      <c r="J71" s="81"/>
      <c r="K71" s="81"/>
      <c r="L71" s="81"/>
      <c r="M71" s="81"/>
    </row>
    <row r="72" spans="2:16" ht="15.6" x14ac:dyDescent="0.3">
      <c r="B72" s="81" t="s">
        <v>57</v>
      </c>
      <c r="C72" s="81"/>
      <c r="D72" s="81"/>
      <c r="E72" s="81"/>
      <c r="F72" s="81"/>
      <c r="G72" s="107" t="s">
        <v>96</v>
      </c>
      <c r="H72" s="81"/>
      <c r="K72" s="107" t="s">
        <v>73</v>
      </c>
      <c r="O72" s="137" t="s">
        <v>78</v>
      </c>
    </row>
    <row r="73" spans="2:16" ht="15.6" x14ac:dyDescent="0.3">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ht="15.6" x14ac:dyDescent="0.3">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ht="15.6" x14ac:dyDescent="0.3">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5">
      <c r="H76" s="81"/>
      <c r="I76" s="81"/>
      <c r="J76" s="81"/>
      <c r="K76" s="81"/>
      <c r="L76" s="81"/>
    </row>
    <row r="77" spans="2:16" ht="7.5" customHeight="1" x14ac:dyDescent="0.25">
      <c r="B77" s="132"/>
      <c r="C77" s="132"/>
      <c r="D77" s="132"/>
      <c r="E77" s="132"/>
      <c r="F77" s="132"/>
      <c r="G77" s="132"/>
      <c r="H77" s="117"/>
      <c r="I77" s="117"/>
      <c r="J77" s="117"/>
      <c r="K77" s="117"/>
      <c r="L77" s="117"/>
      <c r="M77" s="132"/>
      <c r="N77" s="117"/>
      <c r="O77" s="117"/>
    </row>
    <row r="78" spans="2:16" ht="15.6" x14ac:dyDescent="0.3">
      <c r="B78" s="120" t="s">
        <v>100</v>
      </c>
      <c r="H78" s="81"/>
      <c r="I78" s="81"/>
      <c r="J78" s="81"/>
      <c r="K78" s="81"/>
      <c r="L78" s="81"/>
    </row>
    <row r="79" spans="2:16" ht="15.6" x14ac:dyDescent="0.3">
      <c r="B79" s="81" t="s">
        <v>70</v>
      </c>
      <c r="C79" s="81"/>
      <c r="D79" s="81"/>
      <c r="E79" s="147"/>
      <c r="F79" s="241"/>
      <c r="G79" s="241"/>
      <c r="H79" s="101"/>
      <c r="I79" s="140"/>
      <c r="K79" s="148" t="s">
        <v>89</v>
      </c>
      <c r="L79" s="140"/>
      <c r="M79" s="140"/>
      <c r="N79" s="140"/>
      <c r="O79" s="137" t="s">
        <v>78</v>
      </c>
      <c r="P79" s="140"/>
    </row>
    <row r="80" spans="2:16" x14ac:dyDescent="0.25">
      <c r="B80" s="140" t="s">
        <v>68</v>
      </c>
      <c r="C80" s="220">
        <f>'PF Calculator'!C81</f>
        <v>5</v>
      </c>
      <c r="D80" s="122" t="s">
        <v>12</v>
      </c>
      <c r="E80" s="101"/>
      <c r="F80" s="101"/>
      <c r="G80" s="101"/>
      <c r="H80" s="101"/>
      <c r="I80" s="81"/>
      <c r="J80" s="295">
        <f>'Discount Rates &amp; Assumptions'!K14</f>
        <v>15000</v>
      </c>
      <c r="K80" s="295"/>
      <c r="L80" s="140"/>
      <c r="M80" s="148" t="s">
        <v>68</v>
      </c>
      <c r="N80" s="296">
        <f>J80*C80</f>
        <v>75000</v>
      </c>
      <c r="O80" s="296"/>
      <c r="P80" s="140"/>
    </row>
    <row r="81" spans="1:16" x14ac:dyDescent="0.25">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5">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ht="15.6" x14ac:dyDescent="0.3">
      <c r="B83" s="81"/>
      <c r="C83" s="81"/>
      <c r="D83" s="122"/>
      <c r="E83" s="81"/>
      <c r="F83" s="81"/>
      <c r="G83" s="81"/>
      <c r="H83" s="81"/>
      <c r="I83" s="81"/>
      <c r="J83" s="81"/>
      <c r="K83" s="81"/>
      <c r="L83" s="140"/>
      <c r="M83" s="137" t="s">
        <v>3</v>
      </c>
      <c r="N83" s="297">
        <f>SUM(N80:O82)</f>
        <v>75000</v>
      </c>
      <c r="O83" s="297"/>
      <c r="P83" s="140"/>
    </row>
    <row r="84" spans="1:16" ht="7.5" customHeight="1" x14ac:dyDescent="0.3">
      <c r="B84" s="81"/>
      <c r="C84" s="81"/>
      <c r="D84" s="143"/>
      <c r="E84" s="81"/>
      <c r="F84" s="81"/>
      <c r="G84" s="81"/>
      <c r="H84" s="81"/>
      <c r="I84" s="81"/>
      <c r="J84" s="81"/>
      <c r="K84" s="81"/>
      <c r="L84" s="140"/>
      <c r="M84" s="137"/>
      <c r="N84" s="140"/>
    </row>
    <row r="85" spans="1:16" ht="7.5" customHeight="1" x14ac:dyDescent="0.25">
      <c r="B85" s="117"/>
      <c r="C85" s="117"/>
      <c r="D85" s="149"/>
      <c r="E85" s="117"/>
      <c r="F85" s="117"/>
      <c r="G85" s="117"/>
      <c r="H85" s="117"/>
      <c r="I85" s="117"/>
      <c r="J85" s="117"/>
      <c r="K85" s="117"/>
      <c r="L85" s="150"/>
      <c r="M85" s="117"/>
      <c r="N85" s="117"/>
      <c r="O85" s="117"/>
    </row>
    <row r="86" spans="1:16" ht="15.6" x14ac:dyDescent="0.3">
      <c r="B86" s="120" t="s">
        <v>102</v>
      </c>
      <c r="C86" s="81"/>
      <c r="E86" s="81"/>
      <c r="F86" s="81"/>
      <c r="G86" s="81"/>
      <c r="H86" s="81"/>
      <c r="I86" s="81"/>
      <c r="J86" s="81"/>
      <c r="K86" s="81"/>
      <c r="L86" s="81"/>
      <c r="M86" s="81"/>
    </row>
    <row r="87" spans="1:16" ht="15.6" x14ac:dyDescent="0.3">
      <c r="B87" s="151"/>
      <c r="C87" s="81"/>
      <c r="E87" s="81"/>
      <c r="F87" s="81"/>
      <c r="G87" s="81"/>
      <c r="H87" s="81"/>
      <c r="I87" s="81"/>
      <c r="J87" s="81"/>
      <c r="K87" s="81"/>
      <c r="L87" s="81"/>
      <c r="M87" s="81"/>
    </row>
    <row r="88" spans="1:16" x14ac:dyDescent="0.25">
      <c r="B88" s="140" t="s">
        <v>83</v>
      </c>
      <c r="C88" s="140"/>
      <c r="D88" s="140" t="s">
        <v>92</v>
      </c>
      <c r="F88" s="122" t="s">
        <v>71</v>
      </c>
      <c r="G88" s="122"/>
      <c r="H88" s="122"/>
      <c r="I88" s="122" t="s">
        <v>82</v>
      </c>
      <c r="J88" s="122"/>
      <c r="K88" s="81"/>
      <c r="L88" s="81"/>
      <c r="M88" s="81"/>
    </row>
    <row r="89" spans="1:16" x14ac:dyDescent="0.25">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5">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5">
      <c r="B91" s="158"/>
      <c r="C91" s="159" t="s">
        <v>80</v>
      </c>
      <c r="D91" s="293">
        <f>N61</f>
        <v>0</v>
      </c>
      <c r="E91" s="293"/>
      <c r="F91" s="52">
        <f>1/TargetMinBCR*DeprivedScalar40*100</f>
        <v>30.000000000000004</v>
      </c>
      <c r="G91" s="81"/>
      <c r="H91" s="81"/>
      <c r="I91" s="294">
        <f t="shared" si="1"/>
        <v>0</v>
      </c>
      <c r="J91" s="294"/>
      <c r="M91" s="140"/>
    </row>
    <row r="92" spans="1:16" x14ac:dyDescent="0.25">
      <c r="B92" s="160"/>
      <c r="C92" s="161" t="s">
        <v>88</v>
      </c>
      <c r="D92" s="293">
        <f>N62</f>
        <v>10435871.914939292</v>
      </c>
      <c r="E92" s="293"/>
      <c r="F92" s="52">
        <f>1/TargetMinBCR*DeprivedScalarOther*100</f>
        <v>20</v>
      </c>
      <c r="G92" s="81"/>
      <c r="H92" s="81"/>
      <c r="I92" s="294">
        <f t="shared" si="1"/>
        <v>2087174.3829878583</v>
      </c>
      <c r="J92" s="294"/>
    </row>
    <row r="93" spans="1:16" x14ac:dyDescent="0.25">
      <c r="B93" s="156" t="s">
        <v>0</v>
      </c>
      <c r="C93" s="157" t="s">
        <v>84</v>
      </c>
      <c r="D93" s="293">
        <f>N73</f>
        <v>0</v>
      </c>
      <c r="E93" s="293"/>
      <c r="F93" s="52">
        <f>1/TargetMinBCR*DeprivedScalar20*100</f>
        <v>45</v>
      </c>
      <c r="G93" s="81"/>
      <c r="H93" s="81"/>
      <c r="I93" s="294">
        <f t="shared" si="1"/>
        <v>0</v>
      </c>
      <c r="J93" s="294"/>
    </row>
    <row r="94" spans="1:16" x14ac:dyDescent="0.25">
      <c r="B94" s="162"/>
      <c r="C94" s="159" t="s">
        <v>80</v>
      </c>
      <c r="D94" s="293">
        <f>N74</f>
        <v>0</v>
      </c>
      <c r="E94" s="293"/>
      <c r="F94" s="52">
        <f>1/TargetMinBCR*DeprivedScalar40*100</f>
        <v>30.000000000000004</v>
      </c>
      <c r="G94" s="81"/>
      <c r="H94" s="81"/>
      <c r="I94" s="294">
        <f t="shared" si="1"/>
        <v>0</v>
      </c>
      <c r="J94" s="294"/>
    </row>
    <row r="95" spans="1:16" x14ac:dyDescent="0.25">
      <c r="B95" s="160"/>
      <c r="C95" s="161" t="s">
        <v>88</v>
      </c>
      <c r="D95" s="293">
        <f>N75</f>
        <v>0</v>
      </c>
      <c r="E95" s="293"/>
      <c r="F95" s="52">
        <f>1/TargetMinBCR*DeprivedScalarOther*100</f>
        <v>20</v>
      </c>
      <c r="G95" s="81"/>
      <c r="H95" s="81"/>
      <c r="I95" s="294">
        <f t="shared" si="1"/>
        <v>0</v>
      </c>
      <c r="J95" s="294"/>
    </row>
    <row r="96" spans="1:16" x14ac:dyDescent="0.25">
      <c r="B96" s="163" t="s">
        <v>3</v>
      </c>
      <c r="C96" s="164"/>
      <c r="D96" s="293">
        <f>N83</f>
        <v>75000</v>
      </c>
      <c r="E96" s="293"/>
      <c r="F96" s="52">
        <v>100</v>
      </c>
      <c r="G96" s="81"/>
      <c r="H96" s="81"/>
      <c r="I96" s="294">
        <f t="shared" si="1"/>
        <v>75000</v>
      </c>
      <c r="J96" s="294"/>
      <c r="P96" s="165"/>
    </row>
    <row r="97" spans="2:16" ht="15.75" customHeight="1" x14ac:dyDescent="0.3">
      <c r="B97" s="81" t="s">
        <v>7</v>
      </c>
      <c r="C97" s="81"/>
      <c r="D97" s="300">
        <f>SUM(D89:E96)</f>
        <v>10510871.914939292</v>
      </c>
      <c r="E97" s="249"/>
      <c r="F97" s="81"/>
      <c r="G97" s="81"/>
      <c r="H97" s="81"/>
      <c r="I97" s="301">
        <f>SUM(I89:J96)</f>
        <v>2162174.3829878583</v>
      </c>
      <c r="J97" s="302"/>
      <c r="K97" s="235" t="s">
        <v>213</v>
      </c>
      <c r="L97" s="235"/>
      <c r="M97" s="235"/>
      <c r="N97" s="235"/>
      <c r="O97" s="235"/>
    </row>
    <row r="98" spans="2:16" x14ac:dyDescent="0.25">
      <c r="B98" s="81"/>
      <c r="C98" s="81"/>
      <c r="D98" s="81"/>
      <c r="E98" s="81"/>
      <c r="F98" s="81"/>
      <c r="G98" s="81"/>
      <c r="H98" s="81"/>
      <c r="I98" s="81"/>
      <c r="K98" s="235"/>
      <c r="L98" s="235"/>
      <c r="M98" s="235"/>
      <c r="N98" s="235"/>
      <c r="O98" s="235"/>
    </row>
    <row r="99" spans="2:16" s="140" customFormat="1" ht="15.6" x14ac:dyDescent="0.3">
      <c r="B99" s="217"/>
      <c r="C99" s="117"/>
      <c r="D99" s="149"/>
      <c r="E99" s="117"/>
      <c r="F99" s="117"/>
      <c r="G99" s="117"/>
      <c r="H99" s="117"/>
      <c r="I99" s="117"/>
      <c r="J99" s="117"/>
      <c r="K99" s="117"/>
      <c r="L99" s="150"/>
      <c r="M99" s="117"/>
      <c r="N99" s="117"/>
      <c r="O99" s="117"/>
      <c r="P99" s="84"/>
    </row>
    <row r="100" spans="2:16" s="166" customFormat="1" ht="13.2" x14ac:dyDescent="0.25">
      <c r="B100" s="167"/>
    </row>
    <row r="101" spans="2:16" s="166" customFormat="1" ht="13.2" x14ac:dyDescent="0.25">
      <c r="B101" s="167"/>
    </row>
    <row r="102" spans="2:16" ht="15.6" x14ac:dyDescent="0.3">
      <c r="B102" s="176" t="s">
        <v>93</v>
      </c>
      <c r="C102" s="81"/>
      <c r="D102" s="81"/>
      <c r="E102" s="81"/>
      <c r="F102" s="81"/>
      <c r="G102" s="81"/>
      <c r="H102" s="81"/>
      <c r="I102" s="81"/>
      <c r="J102" s="81"/>
      <c r="K102" s="81"/>
      <c r="L102" s="81"/>
      <c r="M102" s="81"/>
    </row>
    <row r="103" spans="2:16" s="140" customFormat="1" ht="22.8" x14ac:dyDescent="0.4">
      <c r="I103" s="177"/>
    </row>
    <row r="104" spans="2:16" s="140" customFormat="1" ht="22.8" x14ac:dyDescent="0.4">
      <c r="B104" s="177"/>
      <c r="C104" s="178"/>
    </row>
    <row r="105" spans="2:16" s="140" customFormat="1" x14ac:dyDescent="0.25"/>
    <row r="106" spans="2:16" s="140" customFormat="1" x14ac:dyDescent="0.25"/>
    <row r="107" spans="2:16" s="140" customFormat="1" x14ac:dyDescent="0.25"/>
    <row r="108" spans="2:16" s="140" customFormat="1" x14ac:dyDescent="0.25"/>
    <row r="109" spans="2:16" s="140" customFormat="1" x14ac:dyDescent="0.25"/>
    <row r="110" spans="2:16" s="140" customFormat="1" x14ac:dyDescent="0.25"/>
    <row r="111" spans="2:16" s="140" customFormat="1" x14ac:dyDescent="0.25"/>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topLeftCell="A31" zoomScale="70" zoomScaleNormal="70" workbookViewId="0">
      <selection activeCell="Q17" sqref="Q17:V23"/>
    </sheetView>
  </sheetViews>
  <sheetFormatPr defaultColWidth="8.90625" defaultRowHeight="15" x14ac:dyDescent="0.25"/>
  <cols>
    <col min="1" max="1" width="2" style="81" customWidth="1"/>
    <col min="2" max="2" width="16.54296875" style="84" customWidth="1"/>
    <col min="3" max="13" width="10.6328125" style="84" customWidth="1"/>
    <col min="14" max="18" width="10.6328125" style="81" customWidth="1"/>
    <col min="19" max="16384" width="8.90625" style="81"/>
  </cols>
  <sheetData>
    <row r="2" spans="1:18" ht="21" x14ac:dyDescent="0.4">
      <c r="B2" s="82" t="s">
        <v>178</v>
      </c>
      <c r="C2" s="83"/>
      <c r="D2" s="83"/>
    </row>
    <row r="3" spans="1:18" ht="20.399999999999999" x14ac:dyDescent="0.35">
      <c r="B3" s="85" t="str">
        <f>'PF Calculator'!B3</f>
        <v>Version 8 January 2014</v>
      </c>
      <c r="C3" s="83"/>
      <c r="D3" s="83"/>
    </row>
    <row r="4" spans="1:18" x14ac:dyDescent="0.25">
      <c r="B4" s="86"/>
      <c r="C4" s="87"/>
      <c r="D4" s="87"/>
    </row>
    <row r="5" spans="1:18" ht="21" x14ac:dyDescent="0.4">
      <c r="B5" s="243" t="s">
        <v>132</v>
      </c>
      <c r="C5" s="243"/>
      <c r="D5" s="243"/>
      <c r="E5" s="203" t="str">
        <f>'PF Calculator'!E5</f>
        <v>Example2</v>
      </c>
      <c r="F5" s="204"/>
      <c r="G5" s="204"/>
      <c r="H5" s="204"/>
      <c r="I5" s="204"/>
      <c r="J5" s="204"/>
      <c r="K5" s="204"/>
      <c r="L5" s="204"/>
      <c r="M5" s="204"/>
      <c r="N5" s="204"/>
      <c r="O5" s="204"/>
      <c r="P5" s="89"/>
      <c r="Q5" s="90"/>
      <c r="R5" s="90"/>
    </row>
    <row r="6" spans="1:18" ht="21" x14ac:dyDescent="0.4">
      <c r="B6" s="91" t="s">
        <v>133</v>
      </c>
      <c r="C6" s="91"/>
      <c r="D6" s="91"/>
      <c r="E6" s="218" t="s">
        <v>145</v>
      </c>
      <c r="F6" s="204"/>
      <c r="G6" s="204"/>
      <c r="H6" s="204"/>
      <c r="I6" s="204"/>
      <c r="J6" s="204"/>
      <c r="K6" s="204"/>
      <c r="L6" s="204"/>
      <c r="M6" s="204"/>
      <c r="N6" s="204"/>
      <c r="O6" s="204"/>
      <c r="P6" s="89"/>
      <c r="Q6" s="90"/>
      <c r="R6" s="90"/>
    </row>
    <row r="7" spans="1:18" x14ac:dyDescent="0.25">
      <c r="B7" s="92"/>
      <c r="C7" s="93"/>
      <c r="D7" s="93"/>
    </row>
    <row r="8" spans="1:18" ht="15.6" x14ac:dyDescent="0.3">
      <c r="B8" s="206"/>
      <c r="C8" s="93"/>
      <c r="D8" s="93"/>
      <c r="L8" s="94" t="s">
        <v>13</v>
      </c>
      <c r="M8" s="275" t="s">
        <v>135</v>
      </c>
      <c r="N8" s="276"/>
      <c r="O8" s="277"/>
    </row>
    <row r="9" spans="1:18" ht="15.6" x14ac:dyDescent="0.3">
      <c r="B9" s="95" t="s">
        <v>203</v>
      </c>
      <c r="J9" s="84" t="s">
        <v>146</v>
      </c>
      <c r="L9" s="81"/>
      <c r="M9" s="247" t="s">
        <v>15</v>
      </c>
      <c r="N9" s="248"/>
      <c r="O9" s="249"/>
    </row>
    <row r="10" spans="1:18" ht="15.6" x14ac:dyDescent="0.3">
      <c r="B10" s="96" t="s">
        <v>129</v>
      </c>
      <c r="L10" s="81"/>
      <c r="M10" s="97"/>
      <c r="N10" s="97"/>
      <c r="O10" s="97"/>
    </row>
    <row r="11" spans="1:18" s="101" customFormat="1" ht="10.95" customHeight="1" x14ac:dyDescent="0.25">
      <c r="A11" s="98"/>
      <c r="B11" s="99"/>
      <c r="C11" s="100"/>
      <c r="D11" s="100"/>
      <c r="E11" s="100"/>
      <c r="F11" s="100"/>
      <c r="G11" s="100"/>
      <c r="H11" s="100"/>
      <c r="I11" s="100"/>
      <c r="J11" s="100"/>
      <c r="K11" s="100"/>
      <c r="L11" s="100"/>
      <c r="M11" s="100"/>
      <c r="N11" s="100"/>
      <c r="O11" s="100"/>
      <c r="P11" s="98"/>
    </row>
    <row r="12" spans="1:18" ht="15" customHeight="1" x14ac:dyDescent="0.3">
      <c r="B12" s="102" t="s">
        <v>130</v>
      </c>
      <c r="C12" s="87"/>
      <c r="D12" s="87"/>
      <c r="E12" s="87"/>
      <c r="F12" s="103"/>
      <c r="G12" s="104"/>
      <c r="H12" s="81"/>
      <c r="I12" s="81"/>
      <c r="O12" s="105"/>
      <c r="P12" s="105"/>
    </row>
    <row r="13" spans="1:18" ht="15" customHeight="1" x14ac:dyDescent="0.3">
      <c r="G13" s="106"/>
      <c r="I13" s="81"/>
      <c r="J13" s="105"/>
      <c r="K13" s="81"/>
      <c r="M13" s="107" t="s">
        <v>101</v>
      </c>
      <c r="N13" s="46">
        <f>H29/H37</f>
        <v>14.695094424798736</v>
      </c>
      <c r="O13" s="47" t="s">
        <v>17</v>
      </c>
    </row>
    <row r="14" spans="1:18" ht="15" customHeight="1" x14ac:dyDescent="0.3">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55.481580115401684</v>
      </c>
      <c r="O14" s="47" t="s">
        <v>17</v>
      </c>
    </row>
    <row r="15" spans="1:18" ht="15" customHeight="1" x14ac:dyDescent="0.3">
      <c r="B15" s="110" t="s">
        <v>153</v>
      </c>
      <c r="C15" s="111"/>
      <c r="D15" s="111"/>
      <c r="E15" s="111"/>
      <c r="F15" s="111"/>
      <c r="G15" s="111"/>
      <c r="H15" s="54">
        <f>IF(J25="yes",I97/MAX(H37,H34),IF(J25="Yes",I97/MAX(H37,H34),0.45*I97/MAX(H37,H34)))</f>
        <v>1.5764117230130237</v>
      </c>
      <c r="I15" s="108" t="s">
        <v>156</v>
      </c>
      <c r="K15" s="81"/>
      <c r="L15" s="81"/>
      <c r="M15" s="109" t="s">
        <v>18</v>
      </c>
      <c r="N15" s="48">
        <f>IF(H44&gt;0,H29/H44,"n/a")</f>
        <v>25</v>
      </c>
      <c r="O15" s="47" t="s">
        <v>17</v>
      </c>
    </row>
    <row r="16" spans="1:18" ht="15" customHeight="1" x14ac:dyDescent="0.25">
      <c r="B16" s="110"/>
      <c r="C16" s="87"/>
      <c r="D16" s="87"/>
      <c r="E16" s="87"/>
      <c r="F16" s="87"/>
      <c r="G16" s="87"/>
      <c r="H16" s="87"/>
      <c r="K16" s="81"/>
      <c r="L16" s="81"/>
      <c r="M16" s="81"/>
    </row>
    <row r="17" spans="2:22" ht="15" customHeight="1" x14ac:dyDescent="0.25">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25">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3">
      <c r="B19" s="110" t="s">
        <v>134</v>
      </c>
      <c r="C19" s="113"/>
      <c r="D19" s="113"/>
      <c r="E19" s="113"/>
      <c r="F19" s="113"/>
      <c r="G19" s="113"/>
      <c r="H19" s="54">
        <f>IF(J25="Yes",IF(Authority="EA",I97/MAX(MAX(H37,H34)-H44,1),RawOMScore+H44/H34),IF(Authority="EA",I97*0.45/MAX(MAX(H37,H34)-H44,1),I15+H44/H34))</f>
        <v>2.2657816389098939</v>
      </c>
      <c r="I19" s="108" t="s">
        <v>158</v>
      </c>
      <c r="J19" s="278"/>
      <c r="K19" s="278"/>
      <c r="L19" s="278"/>
      <c r="M19" s="278"/>
      <c r="N19" s="278"/>
      <c r="O19" s="278"/>
      <c r="Q19" s="255"/>
      <c r="R19" s="255"/>
      <c r="S19" s="255"/>
      <c r="T19" s="255"/>
      <c r="U19" s="255"/>
      <c r="V19" s="255"/>
    </row>
    <row r="20" spans="2:22" ht="15" customHeight="1" x14ac:dyDescent="0.25">
      <c r="J20" s="278"/>
      <c r="K20" s="278"/>
      <c r="L20" s="278"/>
      <c r="M20" s="278"/>
      <c r="N20" s="278"/>
      <c r="O20" s="278"/>
      <c r="Q20" s="255"/>
      <c r="R20" s="255"/>
      <c r="S20" s="255"/>
      <c r="T20" s="255"/>
      <c r="U20" s="255"/>
      <c r="V20" s="255"/>
    </row>
    <row r="21" spans="2:22" ht="15" customHeight="1" x14ac:dyDescent="0.3">
      <c r="B21" s="114" t="s">
        <v>205</v>
      </c>
      <c r="C21" s="115"/>
      <c r="D21" s="115"/>
      <c r="E21" s="115"/>
      <c r="F21" s="115"/>
      <c r="G21" s="115"/>
      <c r="H21" s="208">
        <f>IF(ROUNDUP(AdjOMScore,4)&lt;100%,"-",H34-H44)</f>
        <v>450600</v>
      </c>
      <c r="I21" s="108" t="s">
        <v>159</v>
      </c>
      <c r="J21" s="278"/>
      <c r="K21" s="278"/>
      <c r="L21" s="278"/>
      <c r="M21" s="278"/>
      <c r="N21" s="278"/>
      <c r="O21" s="278"/>
      <c r="Q21" s="255"/>
      <c r="R21" s="255"/>
      <c r="S21" s="255"/>
      <c r="T21" s="255"/>
      <c r="U21" s="255"/>
      <c r="V21" s="255"/>
    </row>
    <row r="22" spans="2:22" ht="22.5" customHeight="1" x14ac:dyDescent="0.3">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5">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3">
      <c r="B24" s="120" t="s">
        <v>97</v>
      </c>
      <c r="C24" s="121"/>
      <c r="D24" s="121"/>
      <c r="E24" s="81"/>
      <c r="F24" s="81"/>
      <c r="G24" s="81"/>
      <c r="H24" s="81"/>
      <c r="M24" s="81"/>
    </row>
    <row r="25" spans="2:22" ht="15.6" x14ac:dyDescent="0.3">
      <c r="B25" s="123" t="s">
        <v>128</v>
      </c>
      <c r="C25" s="121"/>
      <c r="D25" s="124"/>
      <c r="E25" s="81"/>
      <c r="F25" s="81"/>
      <c r="G25" s="81"/>
      <c r="H25" s="210" t="str">
        <f>'PF Calculator'!H25</f>
        <v>IDB</v>
      </c>
      <c r="I25" s="108" t="s">
        <v>160</v>
      </c>
      <c r="J25" s="210" t="str">
        <f>'PF Calculator'!J25</f>
        <v>Yes</v>
      </c>
      <c r="K25" s="212" t="s">
        <v>173</v>
      </c>
      <c r="L25" s="213"/>
      <c r="M25" s="213"/>
      <c r="N25" s="213"/>
      <c r="O25" s="213"/>
    </row>
    <row r="26" spans="2:22" x14ac:dyDescent="0.25">
      <c r="B26" s="121"/>
      <c r="C26" s="121"/>
      <c r="D26" s="124"/>
      <c r="E26" s="81"/>
      <c r="F26" s="81"/>
      <c r="G26" s="81"/>
      <c r="H26" s="107"/>
      <c r="I26" s="81"/>
      <c r="J26" s="279" t="s">
        <v>174</v>
      </c>
      <c r="K26" s="225"/>
      <c r="L26" s="225"/>
      <c r="M26" s="225"/>
      <c r="N26" s="225"/>
      <c r="O26" s="213"/>
      <c r="P26" s="127"/>
    </row>
    <row r="27" spans="2:22" ht="15.6" x14ac:dyDescent="0.3">
      <c r="B27" s="123" t="s">
        <v>124</v>
      </c>
      <c r="C27" s="121"/>
      <c r="D27" s="124"/>
      <c r="E27" s="81"/>
      <c r="F27" s="81"/>
      <c r="G27" s="81"/>
      <c r="H27" s="219">
        <f>INT('PF Calculator'!H27*0.75)</f>
        <v>37</v>
      </c>
      <c r="I27" s="108" t="s">
        <v>161</v>
      </c>
      <c r="J27" s="225"/>
      <c r="K27" s="225"/>
      <c r="L27" s="225"/>
      <c r="M27" s="225"/>
      <c r="N27" s="225"/>
      <c r="O27" s="84"/>
    </row>
    <row r="28" spans="2:22" x14ac:dyDescent="0.25">
      <c r="B28" s="123"/>
      <c r="C28" s="121"/>
      <c r="D28" s="124"/>
      <c r="E28" s="81"/>
      <c r="F28" s="81"/>
      <c r="G28" s="81"/>
      <c r="H28" s="81"/>
      <c r="I28" s="81"/>
      <c r="J28" s="81"/>
      <c r="K28" s="81"/>
      <c r="L28" s="81"/>
      <c r="M28" s="81"/>
      <c r="O28" s="84"/>
    </row>
    <row r="29" spans="2:22" ht="15.6" x14ac:dyDescent="0.3">
      <c r="B29" s="123" t="s">
        <v>9</v>
      </c>
      <c r="C29" s="121"/>
      <c r="D29" s="124"/>
      <c r="E29" s="81"/>
      <c r="F29" s="81"/>
      <c r="G29" s="81"/>
      <c r="H29" s="210">
        <f>'PF Calculator'!H29</f>
        <v>25000000</v>
      </c>
      <c r="I29" s="108" t="s">
        <v>162</v>
      </c>
      <c r="J29" s="81"/>
      <c r="K29" s="81"/>
      <c r="L29" s="81"/>
      <c r="M29" s="81"/>
      <c r="O29" s="84"/>
    </row>
    <row r="30" spans="2:22" x14ac:dyDescent="0.25">
      <c r="B30" s="123"/>
      <c r="C30" s="121"/>
      <c r="D30" s="124"/>
      <c r="E30" s="81"/>
      <c r="F30" s="81"/>
      <c r="G30" s="81"/>
      <c r="H30" s="81"/>
      <c r="I30" s="81"/>
      <c r="J30" s="280" t="s">
        <v>155</v>
      </c>
      <c r="K30" s="281"/>
      <c r="L30" s="281"/>
      <c r="M30" s="281"/>
      <c r="N30" s="282"/>
    </row>
    <row r="31" spans="2:22" x14ac:dyDescent="0.25">
      <c r="B31" s="128" t="s">
        <v>151</v>
      </c>
      <c r="C31" s="121"/>
      <c r="D31" s="124"/>
      <c r="E31" s="81"/>
      <c r="F31" s="81"/>
      <c r="G31" s="81"/>
      <c r="H31" s="107"/>
      <c r="I31" s="81"/>
      <c r="J31" s="283"/>
      <c r="K31" s="284"/>
      <c r="L31" s="284"/>
      <c r="M31" s="284"/>
      <c r="N31" s="285"/>
      <c r="O31" s="84"/>
    </row>
    <row r="32" spans="2:22" ht="15.6" x14ac:dyDescent="0.3">
      <c r="B32" s="121" t="s">
        <v>118</v>
      </c>
      <c r="C32" s="121"/>
      <c r="D32" s="124"/>
      <c r="E32" s="81"/>
      <c r="F32" s="81"/>
      <c r="G32" s="81"/>
      <c r="H32" s="210">
        <f>'PF Calculator'!H32</f>
        <v>250000</v>
      </c>
      <c r="I32" s="108" t="s">
        <v>163</v>
      </c>
      <c r="J32" s="283"/>
      <c r="K32" s="284"/>
      <c r="L32" s="284"/>
      <c r="M32" s="284"/>
      <c r="N32" s="285"/>
    </row>
    <row r="33" spans="2:21" ht="15.6" x14ac:dyDescent="0.3">
      <c r="B33" s="121" t="s">
        <v>125</v>
      </c>
      <c r="C33" s="121"/>
      <c r="D33" s="124"/>
      <c r="E33" s="81"/>
      <c r="F33" s="81"/>
      <c r="G33" s="81"/>
      <c r="H33" s="210">
        <f>'PF Calculator'!H33</f>
        <v>1200600</v>
      </c>
      <c r="I33" s="108" t="s">
        <v>164</v>
      </c>
      <c r="J33" s="286"/>
      <c r="K33" s="287"/>
      <c r="L33" s="287"/>
      <c r="M33" s="287"/>
      <c r="N33" s="288"/>
    </row>
    <row r="34" spans="2:21" ht="15.6" x14ac:dyDescent="0.3">
      <c r="B34" s="128" t="s">
        <v>154</v>
      </c>
      <c r="C34" s="121"/>
      <c r="D34" s="124"/>
      <c r="E34" s="81"/>
      <c r="F34" s="81"/>
      <c r="G34" s="81"/>
      <c r="H34" s="55">
        <f>SUM(H32:H33)</f>
        <v>1450600</v>
      </c>
      <c r="I34" s="108" t="s">
        <v>165</v>
      </c>
      <c r="J34" s="81"/>
      <c r="K34" s="81"/>
      <c r="L34" s="81"/>
      <c r="M34" s="81"/>
    </row>
    <row r="35" spans="2:21" ht="15" customHeight="1" x14ac:dyDescent="0.25">
      <c r="B35" s="128"/>
      <c r="C35" s="121"/>
      <c r="D35" s="124"/>
      <c r="E35" s="81"/>
      <c r="F35" s="81"/>
      <c r="G35" s="81"/>
      <c r="H35" s="129"/>
      <c r="I35" s="81"/>
      <c r="J35" s="81"/>
      <c r="K35" s="81"/>
      <c r="L35" s="81"/>
      <c r="M35" s="81"/>
    </row>
    <row r="36" spans="2:21" ht="15.6" x14ac:dyDescent="0.3">
      <c r="B36" s="121" t="s">
        <v>126</v>
      </c>
      <c r="C36" s="121"/>
      <c r="D36" s="124"/>
      <c r="E36" s="81"/>
      <c r="F36" s="81"/>
      <c r="G36" s="81"/>
      <c r="H36" s="210">
        <f>'PF Calculator'!H36</f>
        <v>250648</v>
      </c>
      <c r="I36" s="108" t="s">
        <v>166</v>
      </c>
      <c r="J36" s="81"/>
      <c r="K36" s="81"/>
      <c r="L36" s="81"/>
      <c r="M36" s="81"/>
    </row>
    <row r="37" spans="2:21" ht="15.6" x14ac:dyDescent="0.3">
      <c r="B37" s="123" t="s">
        <v>209</v>
      </c>
      <c r="C37" s="121"/>
      <c r="D37" s="124"/>
      <c r="E37" s="81"/>
      <c r="F37" s="81"/>
      <c r="G37" s="81"/>
      <c r="H37" s="45">
        <f>H36+H34</f>
        <v>1701248</v>
      </c>
      <c r="I37" s="108" t="s">
        <v>167</v>
      </c>
      <c r="J37" s="81"/>
      <c r="K37" s="81"/>
      <c r="L37" s="81"/>
      <c r="M37" s="81"/>
    </row>
    <row r="38" spans="2:21" ht="15" customHeight="1" x14ac:dyDescent="0.25">
      <c r="B38" s="121"/>
      <c r="C38" s="121"/>
      <c r="D38" s="124"/>
      <c r="E38" s="81"/>
      <c r="F38" s="81"/>
      <c r="G38" s="81"/>
      <c r="H38" s="129"/>
      <c r="I38" s="81"/>
      <c r="J38" s="253" t="s">
        <v>200</v>
      </c>
      <c r="K38" s="252"/>
      <c r="L38" s="252"/>
      <c r="M38" s="252"/>
      <c r="N38" s="252"/>
      <c r="O38" s="252"/>
      <c r="P38" s="289"/>
      <c r="Q38" s="289"/>
      <c r="R38" s="289"/>
      <c r="S38" s="289"/>
      <c r="T38" s="289"/>
      <c r="U38" s="289"/>
    </row>
    <row r="39" spans="2:21" ht="33" customHeight="1" x14ac:dyDescent="0.25">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3">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3">
      <c r="B41" s="121" t="s">
        <v>120</v>
      </c>
      <c r="C41" s="121"/>
      <c r="D41" s="124"/>
      <c r="E41" s="81"/>
      <c r="F41" s="81"/>
      <c r="G41" s="81"/>
      <c r="H41" s="210">
        <f>'PF Calculator'!H41</f>
        <v>1000000</v>
      </c>
      <c r="I41" s="108" t="s">
        <v>169</v>
      </c>
      <c r="J41" s="252"/>
      <c r="K41" s="252"/>
      <c r="L41" s="252"/>
      <c r="M41" s="252"/>
      <c r="N41" s="252"/>
      <c r="O41" s="252"/>
      <c r="P41" s="289"/>
      <c r="Q41" s="289"/>
      <c r="R41" s="289"/>
      <c r="S41" s="289"/>
      <c r="T41" s="289"/>
      <c r="U41" s="289"/>
    </row>
    <row r="42" spans="2:21" ht="15" customHeight="1" x14ac:dyDescent="0.3">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3">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5">
      <c r="B44" s="128" t="s">
        <v>123</v>
      </c>
      <c r="C44" s="121"/>
      <c r="D44" s="124"/>
      <c r="E44" s="81"/>
      <c r="F44" s="81"/>
      <c r="G44" s="81"/>
      <c r="H44" s="44">
        <f>SUM(H40:H43)</f>
        <v>1000000</v>
      </c>
      <c r="I44" s="108" t="s">
        <v>172</v>
      </c>
      <c r="J44" s="252"/>
      <c r="K44" s="252"/>
      <c r="L44" s="252"/>
      <c r="M44" s="252"/>
      <c r="N44" s="252"/>
      <c r="O44" s="252"/>
    </row>
    <row r="45" spans="2:21" x14ac:dyDescent="0.25">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1.75" customHeight="1" x14ac:dyDescent="0.25">
      <c r="B46" s="128"/>
      <c r="C46" s="121"/>
      <c r="D46" s="124"/>
      <c r="E46" s="81"/>
      <c r="F46" s="81"/>
      <c r="G46" s="81"/>
      <c r="H46" s="81"/>
      <c r="I46" s="108"/>
      <c r="J46" s="252"/>
      <c r="K46" s="252"/>
      <c r="L46" s="252"/>
      <c r="M46" s="252"/>
      <c r="N46" s="252"/>
      <c r="O46" s="252"/>
    </row>
    <row r="47" spans="2:21" ht="7.5" customHeight="1" x14ac:dyDescent="0.25">
      <c r="B47" s="81"/>
      <c r="C47" s="81"/>
      <c r="D47" s="81"/>
      <c r="E47" s="131"/>
      <c r="F47" s="131"/>
      <c r="G47" s="131"/>
      <c r="H47" s="131"/>
      <c r="I47" s="131"/>
      <c r="J47" s="252"/>
      <c r="K47" s="252"/>
      <c r="L47" s="252"/>
      <c r="M47" s="252"/>
      <c r="N47" s="252"/>
      <c r="O47" s="252"/>
    </row>
    <row r="48" spans="2:21" ht="7.5" customHeight="1" x14ac:dyDescent="0.25">
      <c r="B48" s="117"/>
      <c r="C48" s="117"/>
      <c r="D48" s="117"/>
      <c r="E48" s="117"/>
      <c r="F48" s="117"/>
      <c r="G48" s="117"/>
      <c r="H48" s="117"/>
      <c r="I48" s="117"/>
      <c r="J48" s="117"/>
      <c r="K48" s="132"/>
      <c r="L48" s="132"/>
      <c r="M48" s="132"/>
      <c r="N48" s="117"/>
      <c r="O48" s="117"/>
    </row>
    <row r="49" spans="2:19" ht="15.6" x14ac:dyDescent="0.3">
      <c r="B49" s="120" t="s">
        <v>98</v>
      </c>
      <c r="C49" s="81"/>
      <c r="D49" s="81"/>
      <c r="E49" s="81"/>
      <c r="F49" s="81"/>
      <c r="G49" s="81"/>
      <c r="H49" s="81"/>
      <c r="I49" s="81"/>
      <c r="J49" s="81"/>
      <c r="K49" s="81"/>
      <c r="L49" s="81"/>
      <c r="M49" s="81"/>
    </row>
    <row r="50" spans="2:19" x14ac:dyDescent="0.25">
      <c r="B50" s="122" t="s">
        <v>30</v>
      </c>
      <c r="C50" s="81"/>
      <c r="D50" s="81"/>
      <c r="F50" s="133" t="s">
        <v>19</v>
      </c>
      <c r="G50" s="81"/>
      <c r="H50" s="81"/>
      <c r="J50" s="133" t="s">
        <v>29</v>
      </c>
      <c r="K50" s="81"/>
      <c r="L50" s="81"/>
      <c r="M50" s="251" t="s">
        <v>54</v>
      </c>
      <c r="N50" s="251"/>
      <c r="O50" s="251"/>
    </row>
    <row r="51" spans="2:19" x14ac:dyDescent="0.25">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5">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5">
      <c r="B53" s="134" t="s">
        <v>22</v>
      </c>
      <c r="C53" s="81"/>
      <c r="D53" s="81"/>
      <c r="E53" s="215">
        <f>'PF Calculator'!E54</f>
        <v>60</v>
      </c>
      <c r="F53" s="215">
        <f>'PF Calculator'!F54</f>
        <v>30</v>
      </c>
      <c r="G53" s="215">
        <f>'PF Calculator'!G54</f>
        <v>420</v>
      </c>
      <c r="H53" s="81"/>
      <c r="I53" s="215">
        <f>'PF Calculator'!I54</f>
        <v>50</v>
      </c>
      <c r="J53" s="215">
        <f>'PF Calculator'!J54</f>
        <v>100</v>
      </c>
      <c r="K53" s="215">
        <f>'PF Calculator'!K54</f>
        <v>100</v>
      </c>
      <c r="L53" s="81"/>
      <c r="M53" s="49">
        <f t="shared" si="0"/>
        <v>-10</v>
      </c>
      <c r="N53" s="49">
        <f t="shared" si="0"/>
        <v>70</v>
      </c>
      <c r="O53" s="49">
        <f t="shared" si="0"/>
        <v>-320</v>
      </c>
      <c r="Q53" s="135"/>
      <c r="R53" s="135"/>
      <c r="S53" s="135"/>
    </row>
    <row r="54" spans="2:19" ht="15.6" x14ac:dyDescent="0.3">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5">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5">
      <c r="B56" s="81"/>
      <c r="C56" s="81"/>
      <c r="D56" s="81"/>
      <c r="E56" s="135"/>
      <c r="F56" s="135"/>
      <c r="G56" s="135" t="s">
        <v>25</v>
      </c>
      <c r="H56" s="81"/>
      <c r="I56" s="135"/>
      <c r="J56" s="135"/>
      <c r="K56" s="135" t="s">
        <v>25</v>
      </c>
      <c r="L56" s="81"/>
      <c r="M56" s="135"/>
      <c r="N56" s="135"/>
      <c r="O56" s="135" t="s">
        <v>25</v>
      </c>
    </row>
    <row r="57" spans="2:19" x14ac:dyDescent="0.25">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5">
      <c r="B58" s="81"/>
      <c r="C58" s="81"/>
      <c r="D58" s="81"/>
      <c r="E58" s="81"/>
      <c r="F58" s="81"/>
      <c r="G58" s="81"/>
      <c r="H58" s="81"/>
      <c r="I58" s="81"/>
      <c r="J58" s="81"/>
      <c r="K58" s="81"/>
      <c r="L58" s="81"/>
      <c r="M58" s="81"/>
    </row>
    <row r="59" spans="2:19" ht="15.6" x14ac:dyDescent="0.3">
      <c r="B59" s="81" t="s">
        <v>57</v>
      </c>
      <c r="C59" s="81"/>
      <c r="D59" s="81"/>
      <c r="E59" s="81"/>
      <c r="F59" s="81"/>
      <c r="G59" s="81" t="s">
        <v>56</v>
      </c>
      <c r="H59" s="81"/>
      <c r="K59" s="107" t="s">
        <v>63</v>
      </c>
      <c r="O59" s="137" t="s">
        <v>79</v>
      </c>
    </row>
    <row r="60" spans="2:19" ht="15.6" x14ac:dyDescent="0.3">
      <c r="B60" s="134" t="str">
        <f>B51</f>
        <v>20% most deprived areas</v>
      </c>
      <c r="C60" s="81"/>
      <c r="D60" s="81"/>
      <c r="F60" s="290">
        <f>SUMPRODUCT($M51:$O51,$M$57:$O$57)</f>
        <v>0</v>
      </c>
      <c r="G60" s="290"/>
      <c r="H60" s="81"/>
      <c r="J60" s="291">
        <f>F60*Duration</f>
        <v>0</v>
      </c>
      <c r="K60" s="291"/>
      <c r="M60" s="137" t="s">
        <v>74</v>
      </c>
      <c r="N60" s="291">
        <f>-F60*VLOOKUP(Duration,'Discount Rates &amp; Assumptions'!$A$6:$D$105,4,FALSE)</f>
        <v>0</v>
      </c>
      <c r="O60" s="291"/>
    </row>
    <row r="61" spans="2:19" ht="15.6" x14ac:dyDescent="0.3">
      <c r="B61" s="134" t="str">
        <f>B52</f>
        <v>21-40% most deprived areas</v>
      </c>
      <c r="C61" s="81"/>
      <c r="D61" s="81"/>
      <c r="F61" s="290">
        <f>SUMPRODUCT($M52:$O52,$M$57:$O$57)</f>
        <v>0</v>
      </c>
      <c r="G61" s="290"/>
      <c r="H61" s="81"/>
      <c r="J61" s="291">
        <f>F61*Duration</f>
        <v>0</v>
      </c>
      <c r="K61" s="291"/>
      <c r="M61" s="137" t="s">
        <v>75</v>
      </c>
      <c r="N61" s="291">
        <f>-F61*VLOOKUP(Duration,'Discount Rates &amp; Assumptions'!$A$6:$D$105,4,FALSE)</f>
        <v>0</v>
      </c>
      <c r="O61" s="291"/>
    </row>
    <row r="62" spans="2:19" ht="15.6" x14ac:dyDescent="0.3">
      <c r="B62" s="134" t="str">
        <f>B53</f>
        <v>60% least deprived areas</v>
      </c>
      <c r="C62" s="81"/>
      <c r="D62" s="81"/>
      <c r="F62" s="290">
        <f>SUMPRODUCT($M53:$O53,$M$57:$O$57)</f>
        <v>-391500.00000000006</v>
      </c>
      <c r="G62" s="290"/>
      <c r="H62" s="81"/>
      <c r="J62" s="291">
        <f>F62*Duration</f>
        <v>-14485500.000000002</v>
      </c>
      <c r="K62" s="291"/>
      <c r="M62" s="137" t="s">
        <v>90</v>
      </c>
      <c r="N62" s="291">
        <f>-F62*VLOOKUP(Duration,'Discount Rates &amp; Assumptions'!$A$6:$D$105,4,FALSE)</f>
        <v>8461004.3219785728</v>
      </c>
      <c r="O62" s="291"/>
    </row>
    <row r="63" spans="2:19" ht="7.5" customHeight="1" x14ac:dyDescent="0.3">
      <c r="B63" s="134"/>
      <c r="C63" s="81"/>
      <c r="D63" s="81"/>
      <c r="F63" s="138"/>
      <c r="G63" s="138"/>
      <c r="H63" s="81"/>
      <c r="J63" s="139"/>
      <c r="K63" s="139"/>
      <c r="M63" s="137"/>
    </row>
    <row r="64" spans="2:19" ht="7.5" customHeight="1" x14ac:dyDescent="0.25">
      <c r="B64" s="132"/>
      <c r="C64" s="132"/>
      <c r="D64" s="132"/>
      <c r="E64" s="132"/>
      <c r="F64" s="132"/>
      <c r="G64" s="132"/>
      <c r="H64" s="117"/>
      <c r="I64" s="117"/>
      <c r="J64" s="117"/>
      <c r="K64" s="117"/>
      <c r="L64" s="117"/>
      <c r="M64" s="132"/>
      <c r="N64" s="117"/>
      <c r="O64" s="117"/>
    </row>
    <row r="65" spans="2:16" ht="15.6" x14ac:dyDescent="0.3">
      <c r="B65" s="120" t="s">
        <v>99</v>
      </c>
      <c r="H65" s="81"/>
      <c r="I65" s="81"/>
      <c r="J65" s="81"/>
      <c r="K65" s="81"/>
      <c r="L65" s="81"/>
    </row>
    <row r="66" spans="2:16" x14ac:dyDescent="0.25">
      <c r="B66" s="122" t="s">
        <v>30</v>
      </c>
      <c r="C66" s="81"/>
      <c r="D66" s="81"/>
      <c r="E66" s="133"/>
      <c r="F66" s="250" t="s">
        <v>19</v>
      </c>
      <c r="G66" s="250"/>
      <c r="H66" s="81"/>
      <c r="I66" s="140" t="s">
        <v>66</v>
      </c>
    </row>
    <row r="67" spans="2:16" x14ac:dyDescent="0.25">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5">
      <c r="B68" s="134" t="s">
        <v>20</v>
      </c>
      <c r="C68" s="81"/>
      <c r="D68" s="81"/>
      <c r="E68" s="81"/>
      <c r="F68" s="215">
        <f>'PF Calculator'!F69</f>
        <v>0</v>
      </c>
      <c r="G68" s="215">
        <f>'PF Calculator'!G69</f>
        <v>0</v>
      </c>
      <c r="H68" s="81"/>
      <c r="I68" s="142" t="s">
        <v>67</v>
      </c>
      <c r="M68" s="51">
        <v>50</v>
      </c>
      <c r="N68" s="51">
        <v>20</v>
      </c>
      <c r="O68" s="134" t="s">
        <v>8</v>
      </c>
    </row>
    <row r="69" spans="2:16" ht="15" customHeight="1" x14ac:dyDescent="0.25">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6" x14ac:dyDescent="0.25">
      <c r="B70" s="81"/>
      <c r="C70" s="81"/>
      <c r="D70" s="143"/>
      <c r="E70" s="81"/>
      <c r="F70" s="144" t="s">
        <v>65</v>
      </c>
      <c r="G70" s="144" t="s">
        <v>64</v>
      </c>
      <c r="H70" s="81"/>
      <c r="I70" s="229"/>
      <c r="J70" s="229"/>
      <c r="K70" s="229"/>
      <c r="L70" s="229"/>
      <c r="M70" s="145" t="s">
        <v>65</v>
      </c>
      <c r="N70" s="145" t="s">
        <v>64</v>
      </c>
    </row>
    <row r="71" spans="2:16" x14ac:dyDescent="0.25">
      <c r="B71" s="146"/>
      <c r="C71" s="146"/>
      <c r="D71" s="146"/>
      <c r="E71" s="146"/>
      <c r="F71" s="135"/>
      <c r="G71" s="81"/>
      <c r="H71" s="81"/>
      <c r="I71" s="81"/>
      <c r="J71" s="81"/>
      <c r="K71" s="81"/>
      <c r="L71" s="81"/>
      <c r="M71" s="81"/>
    </row>
    <row r="72" spans="2:16" ht="15.6" x14ac:dyDescent="0.3">
      <c r="B72" s="81" t="s">
        <v>57</v>
      </c>
      <c r="C72" s="81"/>
      <c r="D72" s="81"/>
      <c r="E72" s="81"/>
      <c r="F72" s="81"/>
      <c r="G72" s="107" t="s">
        <v>96</v>
      </c>
      <c r="H72" s="81"/>
      <c r="K72" s="107" t="s">
        <v>73</v>
      </c>
      <c r="O72" s="137" t="s">
        <v>78</v>
      </c>
    </row>
    <row r="73" spans="2:16" ht="15.6" x14ac:dyDescent="0.3">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ht="15.6" x14ac:dyDescent="0.3">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ht="15.6" x14ac:dyDescent="0.3">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5">
      <c r="H76" s="81"/>
      <c r="I76" s="81"/>
      <c r="J76" s="81"/>
      <c r="K76" s="81"/>
      <c r="L76" s="81"/>
    </row>
    <row r="77" spans="2:16" ht="7.5" customHeight="1" x14ac:dyDescent="0.25">
      <c r="B77" s="132"/>
      <c r="C77" s="132"/>
      <c r="D77" s="132"/>
      <c r="E77" s="132"/>
      <c r="F77" s="132"/>
      <c r="G77" s="132"/>
      <c r="H77" s="117"/>
      <c r="I77" s="117"/>
      <c r="J77" s="117"/>
      <c r="K77" s="117"/>
      <c r="L77" s="117"/>
      <c r="M77" s="132"/>
      <c r="N77" s="117"/>
      <c r="O77" s="117"/>
    </row>
    <row r="78" spans="2:16" ht="15.6" x14ac:dyDescent="0.3">
      <c r="B78" s="120" t="s">
        <v>100</v>
      </c>
      <c r="H78" s="81"/>
      <c r="I78" s="81"/>
      <c r="J78" s="81"/>
      <c r="K78" s="81"/>
      <c r="L78" s="81"/>
    </row>
    <row r="79" spans="2:16" ht="15.6" x14ac:dyDescent="0.3">
      <c r="B79" s="81" t="s">
        <v>70</v>
      </c>
      <c r="C79" s="81"/>
      <c r="D79" s="81"/>
      <c r="E79" s="147"/>
      <c r="F79" s="241"/>
      <c r="G79" s="241"/>
      <c r="H79" s="101"/>
      <c r="I79" s="140"/>
      <c r="K79" s="148" t="s">
        <v>89</v>
      </c>
      <c r="L79" s="140"/>
      <c r="M79" s="140"/>
      <c r="N79" s="140"/>
      <c r="O79" s="137" t="s">
        <v>78</v>
      </c>
      <c r="P79" s="140"/>
    </row>
    <row r="80" spans="2:16" x14ac:dyDescent="0.25">
      <c r="B80" s="140" t="s">
        <v>68</v>
      </c>
      <c r="C80" s="220">
        <f>'PF Calculator'!C81</f>
        <v>5</v>
      </c>
      <c r="D80" s="122" t="s">
        <v>12</v>
      </c>
      <c r="E80" s="101"/>
      <c r="F80" s="101"/>
      <c r="G80" s="101"/>
      <c r="H80" s="101"/>
      <c r="I80" s="81"/>
      <c r="J80" s="295">
        <f>'Discount Rates &amp; Assumptions'!K14</f>
        <v>15000</v>
      </c>
      <c r="K80" s="295"/>
      <c r="L80" s="140"/>
      <c r="M80" s="148" t="s">
        <v>68</v>
      </c>
      <c r="N80" s="296">
        <f>J80*C80</f>
        <v>75000</v>
      </c>
      <c r="O80" s="296"/>
      <c r="P80" s="140"/>
    </row>
    <row r="81" spans="1:16" x14ac:dyDescent="0.25">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5">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ht="15.6" x14ac:dyDescent="0.3">
      <c r="B83" s="81"/>
      <c r="C83" s="81"/>
      <c r="D83" s="122"/>
      <c r="E83" s="81"/>
      <c r="F83" s="81"/>
      <c r="G83" s="81"/>
      <c r="H83" s="81"/>
      <c r="I83" s="81"/>
      <c r="J83" s="81"/>
      <c r="K83" s="81"/>
      <c r="L83" s="140"/>
      <c r="M83" s="137" t="s">
        <v>3</v>
      </c>
      <c r="N83" s="297">
        <f>SUM(N80:O82)</f>
        <v>75000</v>
      </c>
      <c r="O83" s="297"/>
      <c r="P83" s="140"/>
    </row>
    <row r="84" spans="1:16" ht="7.5" customHeight="1" x14ac:dyDescent="0.3">
      <c r="B84" s="81"/>
      <c r="C84" s="81"/>
      <c r="D84" s="143"/>
      <c r="E84" s="81"/>
      <c r="F84" s="81"/>
      <c r="G84" s="81"/>
      <c r="H84" s="81"/>
      <c r="I84" s="81"/>
      <c r="J84" s="81"/>
      <c r="K84" s="81"/>
      <c r="L84" s="140"/>
      <c r="M84" s="137"/>
      <c r="N84" s="140"/>
    </row>
    <row r="85" spans="1:16" ht="7.5" customHeight="1" x14ac:dyDescent="0.25">
      <c r="B85" s="117"/>
      <c r="C85" s="117"/>
      <c r="D85" s="149"/>
      <c r="E85" s="117"/>
      <c r="F85" s="117"/>
      <c r="G85" s="117"/>
      <c r="H85" s="117"/>
      <c r="I85" s="117"/>
      <c r="J85" s="117"/>
      <c r="K85" s="117"/>
      <c r="L85" s="150"/>
      <c r="M85" s="117"/>
      <c r="N85" s="117"/>
      <c r="O85" s="117"/>
    </row>
    <row r="86" spans="1:16" ht="15.6" x14ac:dyDescent="0.3">
      <c r="B86" s="120" t="s">
        <v>102</v>
      </c>
      <c r="C86" s="81"/>
      <c r="E86" s="81"/>
      <c r="F86" s="81"/>
      <c r="G86" s="81"/>
      <c r="H86" s="81"/>
      <c r="I86" s="81"/>
      <c r="J86" s="81"/>
      <c r="K86" s="81"/>
      <c r="L86" s="81"/>
      <c r="M86" s="81"/>
    </row>
    <row r="87" spans="1:16" ht="15.6" x14ac:dyDescent="0.3">
      <c r="B87" s="151"/>
      <c r="C87" s="81"/>
      <c r="E87" s="81"/>
      <c r="F87" s="81"/>
      <c r="G87" s="81"/>
      <c r="H87" s="81"/>
      <c r="I87" s="81"/>
      <c r="J87" s="81"/>
      <c r="K87" s="81"/>
      <c r="L87" s="81"/>
      <c r="M87" s="81"/>
    </row>
    <row r="88" spans="1:16" x14ac:dyDescent="0.25">
      <c r="B88" s="140" t="s">
        <v>83</v>
      </c>
      <c r="C88" s="140"/>
      <c r="D88" s="140" t="s">
        <v>92</v>
      </c>
      <c r="F88" s="122" t="s">
        <v>71</v>
      </c>
      <c r="G88" s="122"/>
      <c r="H88" s="122"/>
      <c r="I88" s="122" t="s">
        <v>82</v>
      </c>
      <c r="J88" s="122"/>
      <c r="K88" s="81"/>
      <c r="L88" s="81"/>
      <c r="M88" s="81"/>
    </row>
    <row r="89" spans="1:16" x14ac:dyDescent="0.25">
      <c r="A89" s="152"/>
      <c r="B89" s="153" t="s">
        <v>2</v>
      </c>
      <c r="C89" s="154"/>
      <c r="D89" s="298">
        <f>IF(H29=0,0,IF(MAX((H29-SUM(D90:E96)),0)&gt;0,H29-SUM(D90:E96),"Ltd by high OM2,3,4 values"))</f>
        <v>16463995.678021427</v>
      </c>
      <c r="E89" s="299"/>
      <c r="F89" s="56">
        <f>1/TargetBCRWLBs*100</f>
        <v>5.5555555555555554</v>
      </c>
      <c r="G89" s="152" t="s">
        <v>81</v>
      </c>
      <c r="H89" s="81"/>
      <c r="I89" s="294">
        <f>IF(D89="Ltd by high OM2,3,4 values",0,D89*F89/100)</f>
        <v>914666.42655674589</v>
      </c>
      <c r="J89" s="294"/>
      <c r="K89" s="81"/>
      <c r="L89" s="140"/>
      <c r="M89" s="81"/>
      <c r="N89" s="155"/>
    </row>
    <row r="90" spans="1:16" x14ac:dyDescent="0.25">
      <c r="B90" s="156" t="s">
        <v>1</v>
      </c>
      <c r="C90" s="157" t="s">
        <v>84</v>
      </c>
      <c r="D90" s="293">
        <f>N60</f>
        <v>0</v>
      </c>
      <c r="E90" s="293"/>
      <c r="F90" s="52">
        <f>1/TargetMinBCR*DeprivedScalar20*100</f>
        <v>45</v>
      </c>
      <c r="G90" s="81"/>
      <c r="H90" s="81"/>
      <c r="I90" s="294">
        <f t="shared" ref="I90:I96" si="1">D90*F90/100</f>
        <v>0</v>
      </c>
      <c r="J90" s="294"/>
      <c r="K90" s="81"/>
      <c r="L90" s="81"/>
      <c r="M90" s="81"/>
      <c r="N90" s="155"/>
    </row>
    <row r="91" spans="1:16" x14ac:dyDescent="0.25">
      <c r="B91" s="158"/>
      <c r="C91" s="159" t="s">
        <v>80</v>
      </c>
      <c r="D91" s="293">
        <f>N61</f>
        <v>0</v>
      </c>
      <c r="E91" s="293"/>
      <c r="F91" s="52">
        <f>1/TargetMinBCR*DeprivedScalar40*100</f>
        <v>30.000000000000004</v>
      </c>
      <c r="G91" s="81"/>
      <c r="H91" s="81"/>
      <c r="I91" s="294">
        <f t="shared" si="1"/>
        <v>0</v>
      </c>
      <c r="J91" s="294"/>
      <c r="M91" s="140"/>
    </row>
    <row r="92" spans="1:16" x14ac:dyDescent="0.25">
      <c r="B92" s="160"/>
      <c r="C92" s="161" t="s">
        <v>88</v>
      </c>
      <c r="D92" s="293">
        <f>N62</f>
        <v>8461004.3219785728</v>
      </c>
      <c r="E92" s="293"/>
      <c r="F92" s="52">
        <f>1/TargetMinBCR*DeprivedScalarOther*100</f>
        <v>20</v>
      </c>
      <c r="G92" s="81"/>
      <c r="H92" s="81"/>
      <c r="I92" s="294">
        <f t="shared" si="1"/>
        <v>1692200.8643957144</v>
      </c>
      <c r="J92" s="294"/>
    </row>
    <row r="93" spans="1:16" x14ac:dyDescent="0.25">
      <c r="B93" s="156" t="s">
        <v>0</v>
      </c>
      <c r="C93" s="157" t="s">
        <v>84</v>
      </c>
      <c r="D93" s="293">
        <f>N73</f>
        <v>0</v>
      </c>
      <c r="E93" s="293"/>
      <c r="F93" s="52">
        <f>1/TargetMinBCR*DeprivedScalar20*100</f>
        <v>45</v>
      </c>
      <c r="G93" s="81"/>
      <c r="H93" s="81"/>
      <c r="I93" s="294">
        <f t="shared" si="1"/>
        <v>0</v>
      </c>
      <c r="J93" s="294"/>
    </row>
    <row r="94" spans="1:16" x14ac:dyDescent="0.25">
      <c r="B94" s="162"/>
      <c r="C94" s="159" t="s">
        <v>80</v>
      </c>
      <c r="D94" s="293">
        <f>N74</f>
        <v>0</v>
      </c>
      <c r="E94" s="293"/>
      <c r="F94" s="52">
        <f>1/TargetMinBCR*DeprivedScalar40*100</f>
        <v>30.000000000000004</v>
      </c>
      <c r="G94" s="81"/>
      <c r="H94" s="81"/>
      <c r="I94" s="294">
        <f t="shared" si="1"/>
        <v>0</v>
      </c>
      <c r="J94" s="294"/>
    </row>
    <row r="95" spans="1:16" x14ac:dyDescent="0.25">
      <c r="B95" s="160"/>
      <c r="C95" s="161" t="s">
        <v>88</v>
      </c>
      <c r="D95" s="293">
        <f>N75</f>
        <v>0</v>
      </c>
      <c r="E95" s="293"/>
      <c r="F95" s="52">
        <f>1/TargetMinBCR*DeprivedScalarOther*100</f>
        <v>20</v>
      </c>
      <c r="G95" s="81"/>
      <c r="H95" s="81"/>
      <c r="I95" s="294">
        <f t="shared" si="1"/>
        <v>0</v>
      </c>
      <c r="J95" s="294"/>
    </row>
    <row r="96" spans="1:16" x14ac:dyDescent="0.25">
      <c r="B96" s="163" t="s">
        <v>3</v>
      </c>
      <c r="C96" s="164"/>
      <c r="D96" s="293">
        <f>N83</f>
        <v>75000</v>
      </c>
      <c r="E96" s="293"/>
      <c r="F96" s="52">
        <v>100</v>
      </c>
      <c r="G96" s="81"/>
      <c r="H96" s="81"/>
      <c r="I96" s="294">
        <f t="shared" si="1"/>
        <v>75000</v>
      </c>
      <c r="J96" s="294"/>
      <c r="P96" s="165"/>
    </row>
    <row r="97" spans="2:16" ht="15.75" customHeight="1" x14ac:dyDescent="0.3">
      <c r="B97" s="81" t="s">
        <v>7</v>
      </c>
      <c r="C97" s="81"/>
      <c r="D97" s="300">
        <f>SUM(D89:E96)</f>
        <v>25000000</v>
      </c>
      <c r="E97" s="249"/>
      <c r="F97" s="81"/>
      <c r="G97" s="81"/>
      <c r="H97" s="81"/>
      <c r="I97" s="301">
        <f>SUM(I89:J96)</f>
        <v>2681867.2909524604</v>
      </c>
      <c r="J97" s="302"/>
      <c r="K97" s="235" t="s">
        <v>213</v>
      </c>
      <c r="L97" s="235"/>
      <c r="M97" s="235"/>
      <c r="N97" s="235"/>
      <c r="O97" s="235"/>
    </row>
    <row r="98" spans="2:16" x14ac:dyDescent="0.25">
      <c r="B98" s="81"/>
      <c r="C98" s="81"/>
      <c r="D98" s="81"/>
      <c r="E98" s="81"/>
      <c r="F98" s="81"/>
      <c r="G98" s="81"/>
      <c r="H98" s="81"/>
      <c r="I98" s="81"/>
      <c r="K98" s="235"/>
      <c r="L98" s="235"/>
      <c r="M98" s="235"/>
      <c r="N98" s="235"/>
      <c r="O98" s="235"/>
    </row>
    <row r="99" spans="2:16" s="140" customFormat="1" ht="15.6" x14ac:dyDescent="0.3">
      <c r="B99" s="217"/>
      <c r="C99" s="117"/>
      <c r="D99" s="149"/>
      <c r="E99" s="117"/>
      <c r="F99" s="117"/>
      <c r="G99" s="117"/>
      <c r="H99" s="117"/>
      <c r="I99" s="117"/>
      <c r="J99" s="117"/>
      <c r="K99" s="117"/>
      <c r="L99" s="150"/>
      <c r="M99" s="117"/>
      <c r="N99" s="117"/>
      <c r="O99" s="117"/>
      <c r="P99" s="84"/>
    </row>
    <row r="100" spans="2:16" s="166" customFormat="1" ht="13.2" x14ac:dyDescent="0.25">
      <c r="B100" s="167"/>
    </row>
    <row r="101" spans="2:16" s="166" customFormat="1" ht="13.2" x14ac:dyDescent="0.25">
      <c r="B101" s="167"/>
    </row>
    <row r="102" spans="2:16" ht="15.6" x14ac:dyDescent="0.3">
      <c r="B102" s="176" t="s">
        <v>93</v>
      </c>
      <c r="C102" s="81"/>
      <c r="D102" s="81"/>
      <c r="E102" s="81"/>
      <c r="F102" s="81"/>
      <c r="G102" s="81"/>
      <c r="H102" s="81"/>
      <c r="I102" s="81"/>
      <c r="J102" s="81"/>
      <c r="K102" s="81"/>
      <c r="L102" s="81"/>
      <c r="M102" s="81"/>
    </row>
    <row r="103" spans="2:16" s="140" customFormat="1" ht="22.8" x14ac:dyDescent="0.4">
      <c r="I103" s="177"/>
    </row>
    <row r="104" spans="2:16" s="140" customFormat="1" ht="22.8" x14ac:dyDescent="0.4">
      <c r="B104" s="177"/>
      <c r="C104" s="178"/>
    </row>
    <row r="105" spans="2:16" s="140" customFormat="1" x14ac:dyDescent="0.25"/>
    <row r="106" spans="2:16" s="140" customFormat="1" x14ac:dyDescent="0.25"/>
    <row r="107" spans="2:16" s="140" customFormat="1" x14ac:dyDescent="0.25"/>
    <row r="108" spans="2:16" s="140" customFormat="1" x14ac:dyDescent="0.25"/>
    <row r="109" spans="2:16" s="140" customFormat="1" x14ac:dyDescent="0.25"/>
    <row r="110" spans="2:16" s="140" customFormat="1" x14ac:dyDescent="0.25"/>
    <row r="111" spans="2:16" s="140" customFormat="1" x14ac:dyDescent="0.25"/>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Registered User</cp:lastModifiedBy>
  <cp:lastPrinted>2011-05-26T14:56:35Z</cp:lastPrinted>
  <dcterms:created xsi:type="dcterms:W3CDTF">2010-09-17T15:22:36Z</dcterms:created>
  <dcterms:modified xsi:type="dcterms:W3CDTF">2020-01-23T12:38:27Z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