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showInkAnnotation="0" codeName="ThisWorkbook"/>
  <mc:AlternateContent xmlns:mc="http://schemas.openxmlformats.org/markup-compatibility/2006">
    <mc:Choice Requires="x15">
      <x15ac:absPath xmlns:x15ac="http://schemas.microsoft.com/office/spreadsheetml/2010/11/ac" url="/Users/howarddavis/newPafs/pafs-acceptance-tests/features/support/"/>
    </mc:Choice>
  </mc:AlternateContent>
  <xr:revisionPtr revIDLastSave="0" documentId="8_{21F11875-B0C0-3947-8D16-990E5D817AD4}" xr6:coauthVersionLast="45" xr6:coauthVersionMax="45" xr10:uidLastSave="{00000000-0000-0000-0000-000000000000}"/>
  <workbookProtection workbookPassword="B0C5" lockStructure="1"/>
  <bookViews>
    <workbookView xWindow="3700" yWindow="460" windowWidth="33600" windowHeight="19460" tabRatio="863" activeTab="1" xr2:uid="{00000000-000D-0000-FFFF-FFFF00000000}"/>
  </bookViews>
  <sheets>
    <sheet name="Guidance and version" sheetId="2" r:id="rId1"/>
    <sheet name="PF calculator" sheetId="8" r:id="rId2"/>
    <sheet name="Economic summary" sheetId="22" r:id="rId3"/>
    <sheet name="Policy assumptions and formulae" sheetId="4" r:id="rId4"/>
    <sheet name="pv calculator" sheetId="5" r:id="rId5"/>
    <sheet name="SA1" sheetId="10" r:id="rId6"/>
    <sheet name="SA2" sheetId="16" r:id="rId7"/>
    <sheet name="SA3" sheetId="17" r:id="rId8"/>
    <sheet name="SA4" sheetId="18" r:id="rId9"/>
    <sheet name="SA5" sheetId="19" r:id="rId10"/>
    <sheet name="SA6" sheetId="20" r:id="rId11"/>
    <sheet name="SA7" sheetId="21" r:id="rId12"/>
  </sheets>
  <definedNames>
    <definedName name="_xlnm.Print_Area" localSheetId="2">'Economic summary'!$A$1:$I$66</definedName>
    <definedName name="_xlnm.Print_Area" localSheetId="0">'Guidance and version'!$A$1:$L$36</definedName>
    <definedName name="_xlnm.Print_Area" localSheetId="1">'PF calculator'!$A$1:$T$107</definedName>
    <definedName name="_xlnm.Print_Area" localSheetId="4">'pv calculator'!$A$1:$AD$128</definedName>
    <definedName name="_xlnm.Print_Area" localSheetId="5">'SA1'!$A$1:$T$107</definedName>
    <definedName name="_xlnm.Print_Area" localSheetId="6">'SA2'!$A$1:$T$107</definedName>
    <definedName name="Strategic_Approach">'PF calculator'!$E$17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9" i="22" l="1"/>
  <c r="C40" i="22"/>
  <c r="C41" i="22"/>
  <c r="C42" i="22"/>
  <c r="C43" i="22"/>
  <c r="C44" i="22"/>
  <c r="C45" i="22"/>
  <c r="C46" i="22"/>
  <c r="C47" i="22"/>
  <c r="C48" i="22"/>
  <c r="C38" i="22"/>
  <c r="I84" i="21" l="1"/>
  <c r="I85" i="21"/>
  <c r="I86" i="21"/>
  <c r="I87" i="21"/>
  <c r="I88" i="21"/>
  <c r="I89" i="21"/>
  <c r="I90" i="21"/>
  <c r="I83" i="21"/>
  <c r="J84" i="21"/>
  <c r="J85" i="21"/>
  <c r="J86" i="21"/>
  <c r="J87" i="21"/>
  <c r="J88" i="21"/>
  <c r="J89" i="21"/>
  <c r="J90" i="21"/>
  <c r="J83" i="21"/>
  <c r="E83" i="21"/>
  <c r="H90" i="21"/>
  <c r="F90" i="21"/>
  <c r="E90" i="21"/>
  <c r="D90" i="21"/>
  <c r="H89" i="21"/>
  <c r="F89" i="21"/>
  <c r="E89" i="21"/>
  <c r="D89" i="21"/>
  <c r="H88" i="21"/>
  <c r="F88" i="21"/>
  <c r="E88" i="21"/>
  <c r="D88" i="21"/>
  <c r="H87" i="21"/>
  <c r="F87" i="21"/>
  <c r="E87" i="21"/>
  <c r="D87" i="21"/>
  <c r="P86" i="21"/>
  <c r="H86" i="21"/>
  <c r="F86" i="21"/>
  <c r="E86" i="21"/>
  <c r="D86" i="21"/>
  <c r="P85" i="21"/>
  <c r="H85" i="21"/>
  <c r="F85" i="21"/>
  <c r="E85" i="21"/>
  <c r="D85" i="21"/>
  <c r="P84" i="21"/>
  <c r="H84" i="21"/>
  <c r="F84" i="21"/>
  <c r="E84" i="21"/>
  <c r="D84" i="21"/>
  <c r="H83" i="21"/>
  <c r="F83" i="21"/>
  <c r="D83" i="21"/>
  <c r="B41" i="21"/>
  <c r="B39" i="21"/>
  <c r="B38" i="21"/>
  <c r="O8" i="21"/>
  <c r="B4" i="21"/>
  <c r="J90" i="20"/>
  <c r="I90" i="20"/>
  <c r="H90" i="20"/>
  <c r="F90" i="20"/>
  <c r="E90" i="20"/>
  <c r="D90" i="20"/>
  <c r="J89" i="20"/>
  <c r="I89" i="20"/>
  <c r="H89" i="20"/>
  <c r="F89" i="20"/>
  <c r="E89" i="20"/>
  <c r="D89" i="20"/>
  <c r="J88" i="20"/>
  <c r="I88" i="20"/>
  <c r="H88" i="20"/>
  <c r="F88" i="20"/>
  <c r="E88" i="20"/>
  <c r="D88" i="20"/>
  <c r="J87" i="20"/>
  <c r="I87" i="20"/>
  <c r="H87" i="20"/>
  <c r="F87" i="20"/>
  <c r="E87" i="20"/>
  <c r="D87" i="20"/>
  <c r="P86" i="20"/>
  <c r="J86" i="20"/>
  <c r="I86" i="20"/>
  <c r="H86" i="20"/>
  <c r="F86" i="20"/>
  <c r="E86" i="20"/>
  <c r="D86" i="20"/>
  <c r="P85" i="20"/>
  <c r="J85" i="20"/>
  <c r="I85" i="20"/>
  <c r="H85" i="20"/>
  <c r="F85" i="20"/>
  <c r="E85" i="20"/>
  <c r="D85" i="20"/>
  <c r="P84" i="20"/>
  <c r="J84" i="20"/>
  <c r="I84" i="20"/>
  <c r="H84" i="20"/>
  <c r="F84" i="20"/>
  <c r="E84" i="20"/>
  <c r="D84" i="20"/>
  <c r="J83" i="20"/>
  <c r="I83" i="20"/>
  <c r="H83" i="20"/>
  <c r="F83" i="20"/>
  <c r="E83" i="20"/>
  <c r="D83" i="20"/>
  <c r="B41" i="20"/>
  <c r="B39" i="20"/>
  <c r="B38" i="20"/>
  <c r="O8" i="20"/>
  <c r="B4" i="20"/>
  <c r="J90" i="19"/>
  <c r="I90" i="19"/>
  <c r="H90" i="19"/>
  <c r="F90" i="19"/>
  <c r="E90" i="19"/>
  <c r="D90" i="19"/>
  <c r="J89" i="19"/>
  <c r="I89" i="19"/>
  <c r="H89" i="19"/>
  <c r="F89" i="19"/>
  <c r="E89" i="19"/>
  <c r="D89" i="19"/>
  <c r="J88" i="19"/>
  <c r="I88" i="19"/>
  <c r="H88" i="19"/>
  <c r="F88" i="19"/>
  <c r="E88" i="19"/>
  <c r="D88" i="19"/>
  <c r="J87" i="19"/>
  <c r="I87" i="19"/>
  <c r="H87" i="19"/>
  <c r="F87" i="19"/>
  <c r="E87" i="19"/>
  <c r="D87" i="19"/>
  <c r="P86" i="19"/>
  <c r="J86" i="19"/>
  <c r="I86" i="19"/>
  <c r="H86" i="19"/>
  <c r="F86" i="19"/>
  <c r="E86" i="19"/>
  <c r="D86" i="19"/>
  <c r="P85" i="19"/>
  <c r="J85" i="19"/>
  <c r="I85" i="19"/>
  <c r="H85" i="19"/>
  <c r="F85" i="19"/>
  <c r="E85" i="19"/>
  <c r="D85" i="19"/>
  <c r="P84" i="19"/>
  <c r="J84" i="19"/>
  <c r="I84" i="19"/>
  <c r="H84" i="19"/>
  <c r="F84" i="19"/>
  <c r="E84" i="19"/>
  <c r="D84" i="19"/>
  <c r="J83" i="19"/>
  <c r="I83" i="19"/>
  <c r="H83" i="19"/>
  <c r="F83" i="19"/>
  <c r="E83" i="19"/>
  <c r="D83" i="19"/>
  <c r="B41" i="19"/>
  <c r="B39" i="19"/>
  <c r="B38" i="19"/>
  <c r="O8" i="19"/>
  <c r="B4" i="19"/>
  <c r="D83" i="18"/>
  <c r="E83" i="18"/>
  <c r="F83" i="18"/>
  <c r="H83" i="18"/>
  <c r="I83" i="18"/>
  <c r="J83" i="18"/>
  <c r="D84" i="18"/>
  <c r="E84" i="18"/>
  <c r="F84" i="18"/>
  <c r="H84" i="18"/>
  <c r="I84" i="18"/>
  <c r="J84" i="18"/>
  <c r="P84" i="18"/>
  <c r="D85" i="18"/>
  <c r="E85" i="18"/>
  <c r="F85" i="18"/>
  <c r="H85" i="18"/>
  <c r="I85" i="18"/>
  <c r="J85" i="18"/>
  <c r="P85" i="18"/>
  <c r="D86" i="18"/>
  <c r="E86" i="18"/>
  <c r="F86" i="18"/>
  <c r="H86" i="18"/>
  <c r="I86" i="18"/>
  <c r="J86" i="18"/>
  <c r="P86" i="18"/>
  <c r="D87" i="18"/>
  <c r="E87" i="18"/>
  <c r="F87" i="18"/>
  <c r="H87" i="18"/>
  <c r="I87" i="18"/>
  <c r="J87" i="18"/>
  <c r="D88" i="18"/>
  <c r="E88" i="18"/>
  <c r="F88" i="18"/>
  <c r="H88" i="18"/>
  <c r="I88" i="18"/>
  <c r="J88" i="18"/>
  <c r="D89" i="18"/>
  <c r="E89" i="18"/>
  <c r="F89" i="18"/>
  <c r="H89" i="18"/>
  <c r="I89" i="18"/>
  <c r="J89" i="18"/>
  <c r="D90" i="18"/>
  <c r="E90" i="18"/>
  <c r="F90" i="18"/>
  <c r="H90" i="18"/>
  <c r="I90" i="18"/>
  <c r="J90" i="18"/>
  <c r="B92" i="18"/>
  <c r="B41" i="18"/>
  <c r="B39" i="18"/>
  <c r="B38" i="18"/>
  <c r="B4" i="18"/>
  <c r="O8" i="18"/>
  <c r="J90" i="17"/>
  <c r="I90" i="17"/>
  <c r="H90" i="17"/>
  <c r="F90" i="17"/>
  <c r="E90" i="17"/>
  <c r="D90" i="17"/>
  <c r="J89" i="17"/>
  <c r="I89" i="17"/>
  <c r="H89" i="17"/>
  <c r="F89" i="17"/>
  <c r="E89" i="17"/>
  <c r="D89" i="17"/>
  <c r="J88" i="17"/>
  <c r="I88" i="17"/>
  <c r="H88" i="17"/>
  <c r="F88" i="17"/>
  <c r="E88" i="17"/>
  <c r="D88" i="17"/>
  <c r="J87" i="17"/>
  <c r="I87" i="17"/>
  <c r="H87" i="17"/>
  <c r="F87" i="17"/>
  <c r="E87" i="17"/>
  <c r="D87" i="17"/>
  <c r="P86" i="17"/>
  <c r="J86" i="17"/>
  <c r="I86" i="17"/>
  <c r="H86" i="17"/>
  <c r="F86" i="17"/>
  <c r="E86" i="17"/>
  <c r="D86" i="17"/>
  <c r="P85" i="17"/>
  <c r="J85" i="17"/>
  <c r="I85" i="17"/>
  <c r="H85" i="17"/>
  <c r="F85" i="17"/>
  <c r="E85" i="17"/>
  <c r="D85" i="17"/>
  <c r="P84" i="17"/>
  <c r="J84" i="17"/>
  <c r="I84" i="17"/>
  <c r="H84" i="17"/>
  <c r="F84" i="17"/>
  <c r="E84" i="17"/>
  <c r="D84" i="17"/>
  <c r="J83" i="17"/>
  <c r="I83" i="17"/>
  <c r="H83" i="17"/>
  <c r="F83" i="17"/>
  <c r="E83" i="17"/>
  <c r="D83" i="17"/>
  <c r="B41" i="17"/>
  <c r="B39" i="17"/>
  <c r="B38" i="17"/>
  <c r="O8" i="17"/>
  <c r="B4" i="17"/>
  <c r="J90" i="16"/>
  <c r="I90" i="16"/>
  <c r="H90" i="16"/>
  <c r="F90" i="16"/>
  <c r="E90" i="16"/>
  <c r="D90" i="16"/>
  <c r="J89" i="16"/>
  <c r="I89" i="16"/>
  <c r="H89" i="16"/>
  <c r="F89" i="16"/>
  <c r="E89" i="16"/>
  <c r="D89" i="16"/>
  <c r="J88" i="16"/>
  <c r="I88" i="16"/>
  <c r="H88" i="16"/>
  <c r="F88" i="16"/>
  <c r="E88" i="16"/>
  <c r="D88" i="16"/>
  <c r="J87" i="16"/>
  <c r="I87" i="16"/>
  <c r="H87" i="16"/>
  <c r="F87" i="16"/>
  <c r="E87" i="16"/>
  <c r="D87" i="16"/>
  <c r="P86" i="16"/>
  <c r="J86" i="16"/>
  <c r="I86" i="16"/>
  <c r="H86" i="16"/>
  <c r="F86" i="16"/>
  <c r="E86" i="16"/>
  <c r="D86" i="16"/>
  <c r="P85" i="16"/>
  <c r="J85" i="16"/>
  <c r="I85" i="16"/>
  <c r="H85" i="16"/>
  <c r="F85" i="16"/>
  <c r="E85" i="16"/>
  <c r="D85" i="16"/>
  <c r="P84" i="16"/>
  <c r="J84" i="16"/>
  <c r="I84" i="16"/>
  <c r="H84" i="16"/>
  <c r="F84" i="16"/>
  <c r="E84" i="16"/>
  <c r="D84" i="16"/>
  <c r="J83" i="16"/>
  <c r="I83" i="16"/>
  <c r="H83" i="16"/>
  <c r="F83" i="16"/>
  <c r="E83" i="16"/>
  <c r="D83" i="16"/>
  <c r="P85" i="10"/>
  <c r="P86" i="10"/>
  <c r="P84" i="10"/>
  <c r="H84" i="10"/>
  <c r="I84" i="10"/>
  <c r="J84" i="10"/>
  <c r="H85" i="10"/>
  <c r="I85" i="10"/>
  <c r="J85" i="10"/>
  <c r="H86" i="10"/>
  <c r="I86" i="10"/>
  <c r="J86" i="10"/>
  <c r="H87" i="10"/>
  <c r="I87" i="10"/>
  <c r="J87" i="10"/>
  <c r="H88" i="10"/>
  <c r="I88" i="10"/>
  <c r="J88" i="10"/>
  <c r="H89" i="10"/>
  <c r="I89" i="10"/>
  <c r="J89" i="10"/>
  <c r="H90" i="10"/>
  <c r="I90" i="10"/>
  <c r="J90" i="10"/>
  <c r="I83" i="10"/>
  <c r="J83" i="10"/>
  <c r="H83" i="10"/>
  <c r="D84" i="10"/>
  <c r="E84" i="10"/>
  <c r="F84" i="10"/>
  <c r="D85" i="10"/>
  <c r="E85" i="10"/>
  <c r="F85" i="10"/>
  <c r="D86" i="10"/>
  <c r="E86" i="10"/>
  <c r="F86" i="10"/>
  <c r="D87" i="10"/>
  <c r="E87" i="10"/>
  <c r="F87" i="10"/>
  <c r="D88" i="10"/>
  <c r="E88" i="10"/>
  <c r="F88" i="10"/>
  <c r="D89" i="10"/>
  <c r="E89" i="10"/>
  <c r="F89" i="10"/>
  <c r="D90" i="10"/>
  <c r="E90" i="10"/>
  <c r="F90" i="10"/>
  <c r="E83" i="10"/>
  <c r="F83" i="10"/>
  <c r="D83" i="10"/>
  <c r="L84" i="8"/>
  <c r="L85" i="8"/>
  <c r="L86" i="8"/>
  <c r="L87" i="8"/>
  <c r="L88" i="8"/>
  <c r="L90" i="8"/>
  <c r="L83" i="8"/>
  <c r="K83" i="8"/>
  <c r="K83" i="19" l="1"/>
  <c r="K83" i="16"/>
  <c r="K83" i="20"/>
  <c r="K83" i="17"/>
  <c r="K83" i="18"/>
  <c r="K83" i="21"/>
  <c r="K83" i="10"/>
  <c r="M33" i="8"/>
  <c r="B58" i="16"/>
  <c r="B41" i="16"/>
  <c r="B39" i="16"/>
  <c r="B38" i="16"/>
  <c r="Q28" i="16"/>
  <c r="O8" i="16"/>
  <c r="B4" i="16"/>
  <c r="B41" i="10"/>
  <c r="B39" i="10"/>
  <c r="B38" i="10"/>
  <c r="B58" i="10"/>
  <c r="Q28" i="10"/>
  <c r="O8" i="10"/>
  <c r="B4" i="10"/>
  <c r="H27" i="8"/>
  <c r="B25" i="8"/>
  <c r="F74" i="18" l="1"/>
  <c r="B12" i="22"/>
  <c r="C16" i="22" l="1"/>
  <c r="C20" i="22"/>
  <c r="C28" i="22"/>
  <c r="C17" i="22"/>
  <c r="C21" i="22"/>
  <c r="C25" i="22"/>
  <c r="C29" i="22"/>
  <c r="C15" i="22"/>
  <c r="C18" i="22"/>
  <c r="C22" i="22"/>
  <c r="C26" i="22"/>
  <c r="C30" i="22"/>
  <c r="C19" i="22"/>
  <c r="C23" i="22"/>
  <c r="C27" i="22"/>
  <c r="C31" i="22"/>
  <c r="C24" i="22"/>
  <c r="C32" i="22"/>
  <c r="B5" i="16"/>
  <c r="D7" i="16"/>
  <c r="M7" i="16"/>
  <c r="H27" i="16" s="1"/>
  <c r="D8" i="16"/>
  <c r="M8" i="16"/>
  <c r="D9" i="16"/>
  <c r="D10" i="16"/>
  <c r="D11" i="16"/>
  <c r="B15" i="16"/>
  <c r="E17" i="16"/>
  <c r="E28" i="16"/>
  <c r="K28" i="16"/>
  <c r="M28" i="16"/>
  <c r="O28" i="16"/>
  <c r="E29" i="16"/>
  <c r="K29" i="16"/>
  <c r="M29" i="16"/>
  <c r="O29" i="16"/>
  <c r="Q29" i="16"/>
  <c r="E30" i="16"/>
  <c r="K30" i="16"/>
  <c r="M30" i="16"/>
  <c r="O30" i="16"/>
  <c r="Q30" i="16"/>
  <c r="K31" i="16"/>
  <c r="M31" i="16"/>
  <c r="O31" i="16"/>
  <c r="Q31" i="16"/>
  <c r="E32" i="16"/>
  <c r="B35" i="16"/>
  <c r="E37" i="16"/>
  <c r="E38" i="16"/>
  <c r="E39" i="16"/>
  <c r="E41" i="16"/>
  <c r="D96" i="16" s="1"/>
  <c r="B43" i="16"/>
  <c r="G46" i="16"/>
  <c r="H46" i="16"/>
  <c r="I46" i="16"/>
  <c r="J46" i="16"/>
  <c r="G47" i="16"/>
  <c r="H47" i="16"/>
  <c r="I47" i="16"/>
  <c r="J47" i="16"/>
  <c r="G48" i="16"/>
  <c r="H48" i="16"/>
  <c r="I48" i="16"/>
  <c r="J48" i="16"/>
  <c r="F51" i="16"/>
  <c r="G51" i="16"/>
  <c r="H51" i="16"/>
  <c r="I51" i="16"/>
  <c r="J51" i="16"/>
  <c r="F52" i="16"/>
  <c r="G52" i="16"/>
  <c r="H52" i="16"/>
  <c r="I52" i="16"/>
  <c r="J52" i="16"/>
  <c r="F53" i="16"/>
  <c r="G53" i="16"/>
  <c r="H53" i="16"/>
  <c r="I53" i="16"/>
  <c r="J53" i="16"/>
  <c r="B56" i="16"/>
  <c r="E58" i="16"/>
  <c r="G61" i="16"/>
  <c r="H61" i="16"/>
  <c r="I61" i="16"/>
  <c r="J61" i="16"/>
  <c r="G62" i="16"/>
  <c r="H62" i="16"/>
  <c r="I62" i="16"/>
  <c r="J62" i="16"/>
  <c r="G63" i="16"/>
  <c r="H63" i="16"/>
  <c r="I63" i="16"/>
  <c r="J63" i="16"/>
  <c r="F66" i="16"/>
  <c r="G66" i="16"/>
  <c r="H66" i="16"/>
  <c r="I66" i="16"/>
  <c r="J66" i="16"/>
  <c r="F67" i="16"/>
  <c r="G67" i="16"/>
  <c r="H67" i="16"/>
  <c r="I67" i="16"/>
  <c r="J67" i="16"/>
  <c r="F68" i="16"/>
  <c r="G68" i="16"/>
  <c r="H68" i="16"/>
  <c r="I68" i="16"/>
  <c r="J68" i="16"/>
  <c r="B71" i="16"/>
  <c r="F74" i="16"/>
  <c r="G74" i="16"/>
  <c r="N74" i="16"/>
  <c r="O74" i="16"/>
  <c r="F75" i="16"/>
  <c r="G75" i="16"/>
  <c r="N75" i="16"/>
  <c r="O75" i="16"/>
  <c r="F76" i="16"/>
  <c r="G76" i="16"/>
  <c r="B79" i="16"/>
  <c r="B92" i="16"/>
  <c r="F105" i="16"/>
  <c r="C12" i="22" l="1"/>
  <c r="L84" i="16"/>
  <c r="L87" i="16"/>
  <c r="L86" i="16"/>
  <c r="L83" i="16"/>
  <c r="L88" i="16"/>
  <c r="L85" i="16"/>
  <c r="L90" i="16"/>
  <c r="P48" i="16"/>
  <c r="M63" i="16"/>
  <c r="M61" i="16"/>
  <c r="N63" i="16"/>
  <c r="N61" i="16"/>
  <c r="L63" i="16"/>
  <c r="L61" i="16"/>
  <c r="M48" i="16"/>
  <c r="O63" i="16"/>
  <c r="O61" i="16"/>
  <c r="B27" i="16"/>
  <c r="O32" i="16"/>
  <c r="M46" i="16"/>
  <c r="L46" i="16"/>
  <c r="O47" i="16"/>
  <c r="K32" i="16"/>
  <c r="M32" i="16"/>
  <c r="N62" i="16"/>
  <c r="M62" i="16"/>
  <c r="P62" i="16"/>
  <c r="N47" i="16"/>
  <c r="M47" i="16"/>
  <c r="E31" i="16"/>
  <c r="E33" i="16" s="1"/>
  <c r="R8" i="16" s="1"/>
  <c r="L48" i="16"/>
  <c r="P46" i="16"/>
  <c r="R86" i="16"/>
  <c r="L68" i="16"/>
  <c r="L62" i="16"/>
  <c r="O48" i="16"/>
  <c r="O46" i="16"/>
  <c r="R85" i="16"/>
  <c r="O62" i="16"/>
  <c r="L53" i="16"/>
  <c r="N48" i="16"/>
  <c r="P47" i="16"/>
  <c r="L47" i="16"/>
  <c r="N46" i="16"/>
  <c r="R84" i="16"/>
  <c r="P63" i="16"/>
  <c r="P61" i="16"/>
  <c r="G58" i="8"/>
  <c r="L61" i="8"/>
  <c r="M61" i="8"/>
  <c r="N61" i="8"/>
  <c r="O61" i="8"/>
  <c r="P61" i="8"/>
  <c r="L62" i="8"/>
  <c r="M62" i="8"/>
  <c r="N62" i="8"/>
  <c r="O62" i="8"/>
  <c r="P62" i="8"/>
  <c r="K33" i="16" l="1"/>
  <c r="R10" i="16" s="1"/>
  <c r="D104" i="16"/>
  <c r="F105" i="21" l="1"/>
  <c r="F105" i="20"/>
  <c r="F105" i="19"/>
  <c r="F105" i="18"/>
  <c r="F105" i="17"/>
  <c r="F105" i="10"/>
  <c r="Z12" i="5" l="1"/>
  <c r="Y12" i="5"/>
  <c r="L38" i="8" l="1"/>
  <c r="L37" i="8"/>
  <c r="R84" i="8"/>
  <c r="AA16" i="5" l="1"/>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5" i="5"/>
  <c r="G104" i="8" l="1"/>
  <c r="G103" i="8"/>
  <c r="G102" i="8"/>
  <c r="G101" i="8"/>
  <c r="G100" i="8"/>
  <c r="G99" i="8"/>
  <c r="G98" i="8"/>
  <c r="G97" i="8"/>
  <c r="G96" i="8"/>
  <c r="F96" i="18" s="1"/>
  <c r="G95" i="8"/>
  <c r="F95" i="18" s="1"/>
  <c r="B92" i="21"/>
  <c r="B79" i="21"/>
  <c r="B71" i="21"/>
  <c r="B56" i="21"/>
  <c r="B43" i="21"/>
  <c r="B35" i="21"/>
  <c r="B15" i="21"/>
  <c r="B5" i="21"/>
  <c r="B92" i="20"/>
  <c r="B79" i="20"/>
  <c r="B71" i="20"/>
  <c r="B56" i="20"/>
  <c r="B43" i="20"/>
  <c r="B35" i="20"/>
  <c r="B15" i="20"/>
  <c r="B5" i="20"/>
  <c r="B92" i="19"/>
  <c r="B79" i="19"/>
  <c r="B71" i="19"/>
  <c r="B56" i="19"/>
  <c r="B43" i="19"/>
  <c r="B35" i="19"/>
  <c r="B15" i="19"/>
  <c r="B5" i="19"/>
  <c r="B79" i="18"/>
  <c r="B71" i="18"/>
  <c r="B56" i="18"/>
  <c r="B43" i="18"/>
  <c r="B35" i="18"/>
  <c r="B15" i="18"/>
  <c r="B5" i="18"/>
  <c r="B92" i="17"/>
  <c r="B79" i="17"/>
  <c r="B71" i="17"/>
  <c r="B56" i="17"/>
  <c r="B43" i="17"/>
  <c r="B35" i="17"/>
  <c r="B15" i="17"/>
  <c r="B5" i="17"/>
  <c r="B92" i="10"/>
  <c r="B79" i="10"/>
  <c r="B71" i="10"/>
  <c r="B56" i="10"/>
  <c r="B43" i="10"/>
  <c r="B35" i="10"/>
  <c r="B15" i="10"/>
  <c r="B5" i="10"/>
  <c r="B27" i="8"/>
  <c r="E38" i="18"/>
  <c r="E39" i="21"/>
  <c r="E39" i="20"/>
  <c r="E39" i="19"/>
  <c r="E39" i="18"/>
  <c r="E39" i="17"/>
  <c r="E39" i="10"/>
  <c r="L83" i="18" l="1"/>
  <c r="R85" i="18"/>
  <c r="R86" i="18"/>
  <c r="L85" i="18"/>
  <c r="L86" i="18"/>
  <c r="L88" i="18"/>
  <c r="L87" i="18"/>
  <c r="R84" i="18"/>
  <c r="L90" i="18"/>
  <c r="L84" i="18"/>
  <c r="F98" i="21"/>
  <c r="F98" i="16"/>
  <c r="F102" i="21"/>
  <c r="F102" i="16"/>
  <c r="F95" i="21"/>
  <c r="F95" i="16"/>
  <c r="F95" i="10"/>
  <c r="F99" i="20"/>
  <c r="F99" i="16"/>
  <c r="F103" i="20"/>
  <c r="F103" i="16"/>
  <c r="F96" i="20"/>
  <c r="F96" i="16"/>
  <c r="H96" i="16" s="1"/>
  <c r="F96" i="10"/>
  <c r="F100" i="20"/>
  <c r="F100" i="16"/>
  <c r="F104" i="20"/>
  <c r="F104" i="16"/>
  <c r="H104" i="16" s="1"/>
  <c r="F97" i="21"/>
  <c r="F97" i="16"/>
  <c r="F101" i="21"/>
  <c r="F101" i="16"/>
  <c r="B25" i="10"/>
  <c r="B25" i="16"/>
  <c r="F102" i="18"/>
  <c r="F103" i="10"/>
  <c r="F99" i="10"/>
  <c r="F95" i="20"/>
  <c r="F99" i="21"/>
  <c r="F103" i="17"/>
  <c r="F98" i="18"/>
  <c r="F102" i="20"/>
  <c r="F99" i="17"/>
  <c r="F103" i="19"/>
  <c r="F98" i="20"/>
  <c r="F99" i="19"/>
  <c r="F103" i="21"/>
  <c r="F104" i="10"/>
  <c r="F100" i="10"/>
  <c r="F104" i="17"/>
  <c r="F100" i="17"/>
  <c r="F96" i="17"/>
  <c r="F104" i="19"/>
  <c r="F100" i="19"/>
  <c r="F96" i="19"/>
  <c r="F104" i="21"/>
  <c r="F100" i="21"/>
  <c r="F96" i="21"/>
  <c r="F101" i="18"/>
  <c r="F97" i="18"/>
  <c r="F101" i="20"/>
  <c r="F97" i="20"/>
  <c r="F102" i="10"/>
  <c r="F98" i="10"/>
  <c r="F102" i="17"/>
  <c r="F98" i="17"/>
  <c r="F104" i="18"/>
  <c r="F100" i="18"/>
  <c r="F102" i="19"/>
  <c r="F98" i="19"/>
  <c r="F101" i="10"/>
  <c r="F97" i="10"/>
  <c r="F95" i="17"/>
  <c r="F101" i="17"/>
  <c r="F97" i="17"/>
  <c r="F103" i="18"/>
  <c r="F99" i="18"/>
  <c r="F95" i="19"/>
  <c r="F101" i="19"/>
  <c r="F97" i="19"/>
  <c r="B25" i="17"/>
  <c r="B25" i="21"/>
  <c r="B25" i="20"/>
  <c r="B25" i="18"/>
  <c r="B25" i="19"/>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C88" i="5"/>
  <c r="AC89" i="5"/>
  <c r="AC90" i="5"/>
  <c r="AC91" i="5"/>
  <c r="AC92" i="5"/>
  <c r="AC93" i="5"/>
  <c r="AC94" i="5"/>
  <c r="AC95" i="5"/>
  <c r="AC96" i="5"/>
  <c r="AC97" i="5"/>
  <c r="AC98" i="5"/>
  <c r="AC99" i="5"/>
  <c r="AC100" i="5"/>
  <c r="AC101" i="5"/>
  <c r="AC102" i="5"/>
  <c r="AC103" i="5"/>
  <c r="AC104" i="5"/>
  <c r="AC105" i="5"/>
  <c r="AC106" i="5"/>
  <c r="AC107" i="5"/>
  <c r="AC108" i="5"/>
  <c r="AC109" i="5"/>
  <c r="AC110" i="5"/>
  <c r="AC111" i="5"/>
  <c r="AC112" i="5"/>
  <c r="AC113" i="5"/>
  <c r="AC114" i="5"/>
  <c r="AC15" i="5"/>
  <c r="AC14"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51" i="5"/>
  <c r="AB52" i="5"/>
  <c r="AB53" i="5"/>
  <c r="AB54" i="5"/>
  <c r="AB55" i="5"/>
  <c r="AB56" i="5"/>
  <c r="AB57" i="5"/>
  <c r="AB58" i="5"/>
  <c r="AB59" i="5"/>
  <c r="AB60" i="5"/>
  <c r="AB61" i="5"/>
  <c r="AB62" i="5"/>
  <c r="AB63" i="5"/>
  <c r="AB64" i="5"/>
  <c r="AB65" i="5"/>
  <c r="AB66" i="5"/>
  <c r="AB67" i="5"/>
  <c r="AB68" i="5"/>
  <c r="AB69" i="5"/>
  <c r="AB70" i="5"/>
  <c r="AB71" i="5"/>
  <c r="AB72" i="5"/>
  <c r="AB73" i="5"/>
  <c r="AB74" i="5"/>
  <c r="AB75" i="5"/>
  <c r="AB76" i="5"/>
  <c r="AB77" i="5"/>
  <c r="AB78" i="5"/>
  <c r="AB79" i="5"/>
  <c r="AB80" i="5"/>
  <c r="AB81" i="5"/>
  <c r="AB82" i="5"/>
  <c r="AB83" i="5"/>
  <c r="AB84" i="5"/>
  <c r="AB85" i="5"/>
  <c r="AB86" i="5"/>
  <c r="AB87" i="5"/>
  <c r="AB88" i="5"/>
  <c r="AB89" i="5"/>
  <c r="AB90" i="5"/>
  <c r="AB91" i="5"/>
  <c r="AB92" i="5"/>
  <c r="AB93" i="5"/>
  <c r="AB94" i="5"/>
  <c r="AB95" i="5"/>
  <c r="AB96" i="5"/>
  <c r="AB97" i="5"/>
  <c r="AB98" i="5"/>
  <c r="AB99" i="5"/>
  <c r="AB100" i="5"/>
  <c r="AB101" i="5"/>
  <c r="AB102" i="5"/>
  <c r="AB103" i="5"/>
  <c r="AB104" i="5"/>
  <c r="AB105" i="5"/>
  <c r="AB106" i="5"/>
  <c r="AB107" i="5"/>
  <c r="AB108" i="5"/>
  <c r="AB109" i="5"/>
  <c r="AB110" i="5"/>
  <c r="AB111" i="5"/>
  <c r="AB112" i="5"/>
  <c r="AB113" i="5"/>
  <c r="AB114" i="5"/>
  <c r="AB14" i="5"/>
  <c r="AB15" i="5"/>
  <c r="AA14" i="5"/>
  <c r="AA13" i="5"/>
  <c r="AB13" i="5" s="1"/>
  <c r="D104" i="18" l="1"/>
  <c r="AD110" i="5"/>
  <c r="AD106" i="5"/>
  <c r="AD104" i="5"/>
  <c r="AD103" i="5"/>
  <c r="AD102" i="5"/>
  <c r="AD100" i="5"/>
  <c r="AD92" i="5"/>
  <c r="AD91" i="5"/>
  <c r="AD90" i="5"/>
  <c r="AD88" i="5"/>
  <c r="AD87" i="5"/>
  <c r="AD86" i="5"/>
  <c r="AD85" i="5"/>
  <c r="AD84" i="5"/>
  <c r="AD83" i="5"/>
  <c r="AD81" i="5"/>
  <c r="AD79" i="5"/>
  <c r="AD77" i="5"/>
  <c r="AD76" i="5"/>
  <c r="AD74" i="5"/>
  <c r="AD72" i="5"/>
  <c r="AD71" i="5"/>
  <c r="AD69" i="5"/>
  <c r="AD67" i="5"/>
  <c r="AD65" i="5"/>
  <c r="AD63" i="5"/>
  <c r="AD61" i="5"/>
  <c r="AD55" i="5"/>
  <c r="AD54" i="5"/>
  <c r="AD53" i="5"/>
  <c r="AD52" i="5"/>
  <c r="AD51" i="5"/>
  <c r="AD49" i="5"/>
  <c r="AD47" i="5"/>
  <c r="AD45" i="5"/>
  <c r="AD44" i="5"/>
  <c r="AD42" i="5"/>
  <c r="AD40" i="5"/>
  <c r="AD38" i="5"/>
  <c r="AD36" i="5"/>
  <c r="AD28" i="5"/>
  <c r="AD24" i="5"/>
  <c r="AD23" i="5"/>
  <c r="AD21" i="5"/>
  <c r="AD19" i="5"/>
  <c r="AD17" i="5"/>
  <c r="AD15" i="5"/>
  <c r="AD13" i="5"/>
  <c r="AD20" i="5" l="1"/>
  <c r="AD27" i="5"/>
  <c r="AD39" i="5"/>
  <c r="AD109" i="5"/>
  <c r="AD111" i="5"/>
  <c r="AD113" i="5"/>
  <c r="AD18" i="5"/>
  <c r="AD43" i="5"/>
  <c r="AD107" i="5"/>
  <c r="AD59" i="5"/>
  <c r="AD29" i="5"/>
  <c r="AD31" i="5"/>
  <c r="AD33" i="5"/>
  <c r="AD35" i="5"/>
  <c r="AD37" i="5"/>
  <c r="AD56" i="5"/>
  <c r="AD58" i="5"/>
  <c r="AD60" i="5"/>
  <c r="AD68" i="5"/>
  <c r="AD70" i="5"/>
  <c r="AD75" i="5"/>
  <c r="AD93" i="5"/>
  <c r="AD95" i="5"/>
  <c r="AD97" i="5"/>
  <c r="AD99" i="5"/>
  <c r="AD101" i="5"/>
  <c r="AD22" i="5"/>
  <c r="AD26" i="5"/>
  <c r="AD30" i="5"/>
  <c r="AD46" i="5"/>
  <c r="AD62" i="5"/>
  <c r="AD78" i="5"/>
  <c r="AD94" i="5"/>
  <c r="AD112" i="5"/>
  <c r="AD114" i="5"/>
  <c r="AD14" i="5"/>
  <c r="AD16" i="5"/>
  <c r="AD25" i="5"/>
  <c r="AD32" i="5"/>
  <c r="AD34" i="5"/>
  <c r="AD41" i="5"/>
  <c r="AD48" i="5"/>
  <c r="AD50" i="5"/>
  <c r="AD57" i="5"/>
  <c r="AD64" i="5"/>
  <c r="AD66" i="5"/>
  <c r="AD73" i="5"/>
  <c r="AD80" i="5"/>
  <c r="AD82" i="5"/>
  <c r="AD89" i="5"/>
  <c r="AD96" i="5"/>
  <c r="AD98" i="5"/>
  <c r="AD105" i="5"/>
  <c r="AD108" i="5"/>
  <c r="AB12" i="5"/>
  <c r="AC12" i="5"/>
  <c r="AD12" i="5" l="1"/>
  <c r="P128" i="5" l="1"/>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O26" i="5"/>
  <c r="N26" i="5"/>
  <c r="P26" i="5" l="1"/>
  <c r="D7" i="21"/>
  <c r="D7" i="20"/>
  <c r="D7" i="19"/>
  <c r="D7" i="17"/>
  <c r="D7" i="10"/>
  <c r="D7" i="18"/>
  <c r="L67" i="17"/>
  <c r="G39" i="8" l="1"/>
  <c r="E17" i="21" l="1"/>
  <c r="G76" i="21"/>
  <c r="F76" i="21"/>
  <c r="O75" i="21"/>
  <c r="N75" i="21"/>
  <c r="G75" i="21"/>
  <c r="F75" i="21"/>
  <c r="O74" i="21"/>
  <c r="N74" i="21"/>
  <c r="G74" i="21"/>
  <c r="F74" i="21"/>
  <c r="J68" i="21"/>
  <c r="I68" i="21"/>
  <c r="H68" i="21"/>
  <c r="G68" i="21"/>
  <c r="F68" i="21"/>
  <c r="J67" i="21"/>
  <c r="I67" i="21"/>
  <c r="H67" i="21"/>
  <c r="G67" i="21"/>
  <c r="F67" i="21"/>
  <c r="J66" i="21"/>
  <c r="I66" i="21"/>
  <c r="H66" i="21"/>
  <c r="G66" i="21"/>
  <c r="F66" i="21"/>
  <c r="J63" i="21"/>
  <c r="I63" i="21"/>
  <c r="H63" i="21"/>
  <c r="G63" i="21"/>
  <c r="J62" i="21"/>
  <c r="I62" i="21"/>
  <c r="H62" i="21"/>
  <c r="G62" i="21"/>
  <c r="J61" i="21"/>
  <c r="I61" i="21"/>
  <c r="H61" i="21"/>
  <c r="G61" i="21"/>
  <c r="E58" i="21"/>
  <c r="J53" i="21"/>
  <c r="I53" i="21"/>
  <c r="H53" i="21"/>
  <c r="G53" i="21"/>
  <c r="F53" i="21"/>
  <c r="J52" i="21"/>
  <c r="I52" i="21"/>
  <c r="H52" i="21"/>
  <c r="G52" i="21"/>
  <c r="F52" i="21"/>
  <c r="J51" i="21"/>
  <c r="I51" i="21"/>
  <c r="H51" i="21"/>
  <c r="G51" i="21"/>
  <c r="F51" i="21"/>
  <c r="J48" i="21"/>
  <c r="I48" i="21"/>
  <c r="H48" i="21"/>
  <c r="G48" i="21"/>
  <c r="J47" i="21"/>
  <c r="I47" i="21"/>
  <c r="H47" i="21"/>
  <c r="G47" i="21"/>
  <c r="J46" i="21"/>
  <c r="I46" i="21"/>
  <c r="H46" i="21"/>
  <c r="G46" i="21"/>
  <c r="E41" i="21"/>
  <c r="D96" i="21" s="1"/>
  <c r="H96" i="21" s="1"/>
  <c r="E38" i="21"/>
  <c r="E37" i="21"/>
  <c r="E32" i="21"/>
  <c r="Q31" i="21"/>
  <c r="O31" i="21"/>
  <c r="M31" i="21"/>
  <c r="K31" i="21"/>
  <c r="Q30" i="21"/>
  <c r="O30" i="21"/>
  <c r="M30" i="21"/>
  <c r="K30" i="21"/>
  <c r="E30" i="21"/>
  <c r="Q29" i="21"/>
  <c r="O29" i="21"/>
  <c r="M29" i="21"/>
  <c r="K29" i="21"/>
  <c r="E29" i="21"/>
  <c r="O28" i="21"/>
  <c r="M28" i="21"/>
  <c r="K28" i="21"/>
  <c r="E28" i="21"/>
  <c r="D11" i="21"/>
  <c r="D10" i="21"/>
  <c r="D9" i="21"/>
  <c r="M8" i="21"/>
  <c r="D8" i="21"/>
  <c r="M7" i="21"/>
  <c r="B27" i="21" s="1"/>
  <c r="L86" i="21" l="1"/>
  <c r="L88" i="21"/>
  <c r="L87" i="21"/>
  <c r="L83" i="21"/>
  <c r="L90" i="21"/>
  <c r="L84" i="21"/>
  <c r="L85" i="21"/>
  <c r="R85" i="21"/>
  <c r="R84" i="21"/>
  <c r="R86" i="21"/>
  <c r="E31" i="21"/>
  <c r="E33" i="21" s="1"/>
  <c r="R8" i="21" s="1"/>
  <c r="H27" i="21"/>
  <c r="O62" i="21"/>
  <c r="O61" i="21"/>
  <c r="M62" i="21"/>
  <c r="O63" i="21"/>
  <c r="M32" i="21"/>
  <c r="K32" i="21"/>
  <c r="O32" i="21"/>
  <c r="O48" i="21"/>
  <c r="O46" i="21"/>
  <c r="L53" i="21"/>
  <c r="N46" i="21"/>
  <c r="M46" i="21"/>
  <c r="L46" i="21"/>
  <c r="O47" i="21"/>
  <c r="N47" i="21"/>
  <c r="P46" i="21"/>
  <c r="M47" i="21"/>
  <c r="L48" i="21"/>
  <c r="P48" i="21"/>
  <c r="L61" i="21"/>
  <c r="P61" i="21"/>
  <c r="N62" i="21"/>
  <c r="L63" i="21"/>
  <c r="P63" i="21"/>
  <c r="M48" i="21"/>
  <c r="M61" i="21"/>
  <c r="M63" i="21"/>
  <c r="L47" i="21"/>
  <c r="P47" i="21"/>
  <c r="N48" i="21"/>
  <c r="N61" i="21"/>
  <c r="L62" i="21"/>
  <c r="P62" i="21"/>
  <c r="N63" i="21"/>
  <c r="L68" i="21"/>
  <c r="R86" i="8"/>
  <c r="R85" i="8"/>
  <c r="D104" i="8" l="1"/>
  <c r="H104" i="8" s="1"/>
  <c r="D104" i="21"/>
  <c r="H104" i="21" s="1"/>
  <c r="K33" i="21"/>
  <c r="R10" i="21" s="1"/>
  <c r="L68" i="8" l="1"/>
  <c r="L53" i="8"/>
  <c r="O32" i="8" l="1"/>
  <c r="P63" i="8" l="1"/>
  <c r="O63" i="8"/>
  <c r="N63" i="8"/>
  <c r="M63" i="8"/>
  <c r="L63" i="8"/>
  <c r="P48" i="8"/>
  <c r="O48" i="8"/>
  <c r="N48" i="8"/>
  <c r="M48" i="8"/>
  <c r="L48" i="8"/>
  <c r="P47" i="8"/>
  <c r="O47" i="8"/>
  <c r="N47" i="8"/>
  <c r="M47" i="8"/>
  <c r="L47" i="8"/>
  <c r="P46" i="8"/>
  <c r="O46" i="8"/>
  <c r="N46" i="8"/>
  <c r="M46" i="8"/>
  <c r="L46" i="8"/>
  <c r="E58" i="20" l="1"/>
  <c r="E58" i="19"/>
  <c r="E58" i="18"/>
  <c r="E58" i="17"/>
  <c r="E58" i="10"/>
  <c r="F75" i="20"/>
  <c r="G75" i="20"/>
  <c r="F76" i="20"/>
  <c r="G76" i="20"/>
  <c r="G74" i="20"/>
  <c r="F74" i="20"/>
  <c r="E38" i="19"/>
  <c r="F75" i="19"/>
  <c r="G75" i="19"/>
  <c r="F76" i="19"/>
  <c r="G76" i="19"/>
  <c r="G74" i="19"/>
  <c r="F74" i="19"/>
  <c r="F75" i="18"/>
  <c r="G75" i="18"/>
  <c r="F76" i="18"/>
  <c r="G76" i="18"/>
  <c r="G74" i="18"/>
  <c r="O75" i="20"/>
  <c r="N75" i="20"/>
  <c r="O74" i="20"/>
  <c r="N74" i="20"/>
  <c r="J68" i="20"/>
  <c r="I68" i="20"/>
  <c r="H68" i="20"/>
  <c r="G68" i="20"/>
  <c r="F68" i="20"/>
  <c r="J67" i="20"/>
  <c r="I67" i="20"/>
  <c r="H67" i="20"/>
  <c r="G67" i="20"/>
  <c r="F67" i="20"/>
  <c r="J66" i="20"/>
  <c r="I66" i="20"/>
  <c r="H66" i="20"/>
  <c r="G66" i="20"/>
  <c r="F66" i="20"/>
  <c r="J63" i="20"/>
  <c r="I63" i="20"/>
  <c r="H63" i="20"/>
  <c r="G63" i="20"/>
  <c r="J62" i="20"/>
  <c r="I62" i="20"/>
  <c r="H62" i="20"/>
  <c r="G62" i="20"/>
  <c r="J61" i="20"/>
  <c r="I61" i="20"/>
  <c r="H61" i="20"/>
  <c r="G61" i="20"/>
  <c r="J53" i="20"/>
  <c r="I53" i="20"/>
  <c r="H53" i="20"/>
  <c r="G53" i="20"/>
  <c r="F53" i="20"/>
  <c r="J52" i="20"/>
  <c r="I52" i="20"/>
  <c r="H52" i="20"/>
  <c r="G52" i="20"/>
  <c r="F52" i="20"/>
  <c r="J51" i="20"/>
  <c r="I51" i="20"/>
  <c r="H51" i="20"/>
  <c r="G51" i="20"/>
  <c r="F51" i="20"/>
  <c r="J48" i="20"/>
  <c r="I48" i="20"/>
  <c r="H48" i="20"/>
  <c r="G48" i="20"/>
  <c r="J47" i="20"/>
  <c r="I47" i="20"/>
  <c r="H47" i="20"/>
  <c r="G47" i="20"/>
  <c r="J46" i="20"/>
  <c r="I46" i="20"/>
  <c r="H46" i="20"/>
  <c r="G46" i="20"/>
  <c r="E41" i="20"/>
  <c r="D96" i="20" s="1"/>
  <c r="H96" i="20" s="1"/>
  <c r="E38" i="20"/>
  <c r="E37" i="20"/>
  <c r="E32" i="20"/>
  <c r="Q31" i="20"/>
  <c r="O31" i="20"/>
  <c r="M31" i="20"/>
  <c r="K31" i="20"/>
  <c r="Q30" i="20"/>
  <c r="O30" i="20"/>
  <c r="M30" i="20"/>
  <c r="K30" i="20"/>
  <c r="E30" i="20"/>
  <c r="Q29" i="20"/>
  <c r="O29" i="20"/>
  <c r="M29" i="20"/>
  <c r="K29" i="20"/>
  <c r="E29" i="20"/>
  <c r="O28" i="20"/>
  <c r="M28" i="20"/>
  <c r="K28" i="20"/>
  <c r="E28" i="20"/>
  <c r="D11" i="20"/>
  <c r="D10" i="20"/>
  <c r="D9" i="20"/>
  <c r="M8" i="20"/>
  <c r="D8" i="20"/>
  <c r="M7" i="20"/>
  <c r="O75" i="19"/>
  <c r="N75" i="19"/>
  <c r="O74" i="19"/>
  <c r="N74" i="19"/>
  <c r="J68" i="19"/>
  <c r="I68" i="19"/>
  <c r="H68" i="19"/>
  <c r="G68" i="19"/>
  <c r="F68" i="19"/>
  <c r="J67" i="19"/>
  <c r="I67" i="19"/>
  <c r="H67" i="19"/>
  <c r="G67" i="19"/>
  <c r="F67" i="19"/>
  <c r="J66" i="19"/>
  <c r="I66" i="19"/>
  <c r="H66" i="19"/>
  <c r="G66" i="19"/>
  <c r="F66" i="19"/>
  <c r="J63" i="19"/>
  <c r="I63" i="19"/>
  <c r="H63" i="19"/>
  <c r="G63" i="19"/>
  <c r="J62" i="19"/>
  <c r="I62" i="19"/>
  <c r="H62" i="19"/>
  <c r="G62" i="19"/>
  <c r="J61" i="19"/>
  <c r="I61" i="19"/>
  <c r="H61" i="19"/>
  <c r="G61" i="19"/>
  <c r="J53" i="19"/>
  <c r="I53" i="19"/>
  <c r="H53" i="19"/>
  <c r="G53" i="19"/>
  <c r="F53" i="19"/>
  <c r="J52" i="19"/>
  <c r="I52" i="19"/>
  <c r="H52" i="19"/>
  <c r="G52" i="19"/>
  <c r="F52" i="19"/>
  <c r="J51" i="19"/>
  <c r="I51" i="19"/>
  <c r="H51" i="19"/>
  <c r="G51" i="19"/>
  <c r="F51" i="19"/>
  <c r="J48" i="19"/>
  <c r="I48" i="19"/>
  <c r="H48" i="19"/>
  <c r="G48" i="19"/>
  <c r="J47" i="19"/>
  <c r="I47" i="19"/>
  <c r="H47" i="19"/>
  <c r="G47" i="19"/>
  <c r="J46" i="19"/>
  <c r="I46" i="19"/>
  <c r="H46" i="19"/>
  <c r="G46" i="19"/>
  <c r="E41" i="19"/>
  <c r="D96" i="19" s="1"/>
  <c r="H96" i="19" s="1"/>
  <c r="E37" i="19"/>
  <c r="E32" i="19"/>
  <c r="Q31" i="19"/>
  <c r="O31" i="19"/>
  <c r="M31" i="19"/>
  <c r="K31" i="19"/>
  <c r="Q30" i="19"/>
  <c r="O30" i="19"/>
  <c r="M30" i="19"/>
  <c r="K30" i="19"/>
  <c r="E30" i="19"/>
  <c r="Q29" i="19"/>
  <c r="O29" i="19"/>
  <c r="M29" i="19"/>
  <c r="K29" i="19"/>
  <c r="E29" i="19"/>
  <c r="O28" i="19"/>
  <c r="M28" i="19"/>
  <c r="K28" i="19"/>
  <c r="E28" i="19"/>
  <c r="E17" i="19"/>
  <c r="D11" i="19"/>
  <c r="D10" i="19"/>
  <c r="D9" i="19"/>
  <c r="M8" i="19"/>
  <c r="D8" i="19"/>
  <c r="M7" i="19"/>
  <c r="O75" i="18"/>
  <c r="N75" i="18"/>
  <c r="O74" i="18"/>
  <c r="N74" i="18"/>
  <c r="J68" i="18"/>
  <c r="I68" i="18"/>
  <c r="H68" i="18"/>
  <c r="G68" i="18"/>
  <c r="F68" i="18"/>
  <c r="J67" i="18"/>
  <c r="I67" i="18"/>
  <c r="H67" i="18"/>
  <c r="G67" i="18"/>
  <c r="F67" i="18"/>
  <c r="J66" i="18"/>
  <c r="I66" i="18"/>
  <c r="H66" i="18"/>
  <c r="G66" i="18"/>
  <c r="F66" i="18"/>
  <c r="J63" i="18"/>
  <c r="I63" i="18"/>
  <c r="H63" i="18"/>
  <c r="G63" i="18"/>
  <c r="J62" i="18"/>
  <c r="I62" i="18"/>
  <c r="H62" i="18"/>
  <c r="G62" i="18"/>
  <c r="J61" i="18"/>
  <c r="I61" i="18"/>
  <c r="H61" i="18"/>
  <c r="G61" i="18"/>
  <c r="J53" i="18"/>
  <c r="I53" i="18"/>
  <c r="H53" i="18"/>
  <c r="G53" i="18"/>
  <c r="F53" i="18"/>
  <c r="J52" i="18"/>
  <c r="I52" i="18"/>
  <c r="H52" i="18"/>
  <c r="G52" i="18"/>
  <c r="F52" i="18"/>
  <c r="J51" i="18"/>
  <c r="I51" i="18"/>
  <c r="H51" i="18"/>
  <c r="G51" i="18"/>
  <c r="F51" i="18"/>
  <c r="J48" i="18"/>
  <c r="I48" i="18"/>
  <c r="H48" i="18"/>
  <c r="G48" i="18"/>
  <c r="J47" i="18"/>
  <c r="I47" i="18"/>
  <c r="H47" i="18"/>
  <c r="G47" i="18"/>
  <c r="J46" i="18"/>
  <c r="I46" i="18"/>
  <c r="H46" i="18"/>
  <c r="G46" i="18"/>
  <c r="E41" i="18"/>
  <c r="D96" i="18" s="1"/>
  <c r="E37" i="18"/>
  <c r="E32" i="18"/>
  <c r="Q31" i="18"/>
  <c r="O31" i="18"/>
  <c r="M31" i="18"/>
  <c r="K31" i="18"/>
  <c r="Q30" i="18"/>
  <c r="O30" i="18"/>
  <c r="M30" i="18"/>
  <c r="K30" i="18"/>
  <c r="E30" i="18"/>
  <c r="Q29" i="18"/>
  <c r="O29" i="18"/>
  <c r="M29" i="18"/>
  <c r="K29" i="18"/>
  <c r="E29" i="18"/>
  <c r="O28" i="18"/>
  <c r="M28" i="18"/>
  <c r="K28" i="18"/>
  <c r="E28" i="18"/>
  <c r="E17" i="18"/>
  <c r="D11" i="18"/>
  <c r="D10" i="18"/>
  <c r="D9" i="18"/>
  <c r="M8" i="18"/>
  <c r="D8" i="18"/>
  <c r="M7" i="18"/>
  <c r="G75" i="17"/>
  <c r="G76" i="17"/>
  <c r="G74" i="17"/>
  <c r="F75" i="17"/>
  <c r="F76" i="17"/>
  <c r="F74" i="17"/>
  <c r="E32" i="17"/>
  <c r="E30" i="17"/>
  <c r="E29" i="17"/>
  <c r="E28" i="17"/>
  <c r="O75" i="17"/>
  <c r="N75" i="17"/>
  <c r="O74" i="17"/>
  <c r="N74" i="17"/>
  <c r="J68" i="17"/>
  <c r="I68" i="17"/>
  <c r="H68" i="17"/>
  <c r="G68" i="17"/>
  <c r="F68" i="17"/>
  <c r="J67" i="17"/>
  <c r="I67" i="17"/>
  <c r="H67" i="17"/>
  <c r="G67" i="17"/>
  <c r="F67" i="17"/>
  <c r="J66" i="17"/>
  <c r="I66" i="17"/>
  <c r="H66" i="17"/>
  <c r="G66" i="17"/>
  <c r="F66" i="17"/>
  <c r="J63" i="17"/>
  <c r="I63" i="17"/>
  <c r="H63" i="17"/>
  <c r="G63" i="17"/>
  <c r="J62" i="17"/>
  <c r="I62" i="17"/>
  <c r="H62" i="17"/>
  <c r="G62" i="17"/>
  <c r="J61" i="17"/>
  <c r="I61" i="17"/>
  <c r="H61" i="17"/>
  <c r="G61" i="17"/>
  <c r="J53" i="17"/>
  <c r="I53" i="17"/>
  <c r="H53" i="17"/>
  <c r="G53" i="17"/>
  <c r="F53" i="17"/>
  <c r="J52" i="17"/>
  <c r="I52" i="17"/>
  <c r="H52" i="17"/>
  <c r="G52" i="17"/>
  <c r="F52" i="17"/>
  <c r="J51" i="17"/>
  <c r="I51" i="17"/>
  <c r="H51" i="17"/>
  <c r="G51" i="17"/>
  <c r="F51" i="17"/>
  <c r="J48" i="17"/>
  <c r="I48" i="17"/>
  <c r="H48" i="17"/>
  <c r="G48" i="17"/>
  <c r="J47" i="17"/>
  <c r="I47" i="17"/>
  <c r="H47" i="17"/>
  <c r="G47" i="17"/>
  <c r="J46" i="17"/>
  <c r="I46" i="17"/>
  <c r="H46" i="17"/>
  <c r="G46" i="17"/>
  <c r="E41" i="17"/>
  <c r="D96" i="17" s="1"/>
  <c r="H96" i="17" s="1"/>
  <c r="E38" i="17"/>
  <c r="E37" i="17"/>
  <c r="Q31" i="17"/>
  <c r="O31" i="17"/>
  <c r="M31" i="17"/>
  <c r="K31" i="17"/>
  <c r="Q30" i="17"/>
  <c r="O30" i="17"/>
  <c r="M30" i="17"/>
  <c r="K30" i="17"/>
  <c r="Q29" i="17"/>
  <c r="O29" i="17"/>
  <c r="M29" i="17"/>
  <c r="K29" i="17"/>
  <c r="O28" i="17"/>
  <c r="M28" i="17"/>
  <c r="K28" i="17"/>
  <c r="E17" i="17"/>
  <c r="D11" i="17"/>
  <c r="D10" i="17"/>
  <c r="D9" i="17"/>
  <c r="M8" i="17"/>
  <c r="D8" i="17"/>
  <c r="M7" i="17"/>
  <c r="E32" i="10"/>
  <c r="E30" i="10"/>
  <c r="E29" i="10"/>
  <c r="E28" i="10"/>
  <c r="F75" i="10"/>
  <c r="G75" i="10"/>
  <c r="F76" i="10"/>
  <c r="G76" i="10"/>
  <c r="G74" i="10"/>
  <c r="F74" i="10"/>
  <c r="F67" i="10"/>
  <c r="G67" i="10"/>
  <c r="H67" i="10"/>
  <c r="I67" i="10"/>
  <c r="J67" i="10"/>
  <c r="F68" i="10"/>
  <c r="G68" i="10"/>
  <c r="H68" i="10"/>
  <c r="I68" i="10"/>
  <c r="J68" i="10"/>
  <c r="G66" i="10"/>
  <c r="H66" i="10"/>
  <c r="I66" i="10"/>
  <c r="J66" i="10"/>
  <c r="G62" i="10"/>
  <c r="H62" i="10"/>
  <c r="I62" i="10"/>
  <c r="J62" i="10"/>
  <c r="G63" i="10"/>
  <c r="H63" i="10"/>
  <c r="I63" i="10"/>
  <c r="J63" i="10"/>
  <c r="H61" i="10"/>
  <c r="I61" i="10"/>
  <c r="J61" i="10"/>
  <c r="G61" i="10"/>
  <c r="F66" i="10"/>
  <c r="F52" i="10"/>
  <c r="G52" i="10"/>
  <c r="H52" i="10"/>
  <c r="I52" i="10"/>
  <c r="J52" i="10"/>
  <c r="F53" i="10"/>
  <c r="G53" i="10"/>
  <c r="H53" i="10"/>
  <c r="I53" i="10"/>
  <c r="J53" i="10"/>
  <c r="G51" i="10"/>
  <c r="H51" i="10"/>
  <c r="I51" i="10"/>
  <c r="J51" i="10"/>
  <c r="F51" i="10"/>
  <c r="G47" i="10"/>
  <c r="H47" i="10"/>
  <c r="I47" i="10"/>
  <c r="J47" i="10"/>
  <c r="G48" i="10"/>
  <c r="H48" i="10"/>
  <c r="I48" i="10"/>
  <c r="J48" i="10"/>
  <c r="H46" i="10"/>
  <c r="I46" i="10"/>
  <c r="J46" i="10"/>
  <c r="G46" i="10"/>
  <c r="E41" i="10"/>
  <c r="D96" i="10" s="1"/>
  <c r="H96" i="10" s="1"/>
  <c r="E38" i="10"/>
  <c r="E37" i="10"/>
  <c r="Q31" i="10"/>
  <c r="Q30" i="10"/>
  <c r="Q29" i="10"/>
  <c r="O28" i="10"/>
  <c r="O29" i="10"/>
  <c r="O30" i="10"/>
  <c r="O31" i="10"/>
  <c r="M29" i="10"/>
  <c r="M30" i="10"/>
  <c r="M31" i="10"/>
  <c r="M28" i="10"/>
  <c r="K29" i="10"/>
  <c r="K30" i="10"/>
  <c r="K31" i="10"/>
  <c r="K28" i="10"/>
  <c r="E17" i="10"/>
  <c r="M8" i="10"/>
  <c r="M7" i="10"/>
  <c r="D11" i="10"/>
  <c r="D10" i="10"/>
  <c r="D9" i="10"/>
  <c r="D8" i="10"/>
  <c r="L83" i="10" l="1"/>
  <c r="L88" i="10"/>
  <c r="L85" i="10"/>
  <c r="L86" i="10"/>
  <c r="L84" i="10"/>
  <c r="L87" i="10"/>
  <c r="L90" i="10"/>
  <c r="L88" i="19"/>
  <c r="L85" i="19"/>
  <c r="L86" i="19"/>
  <c r="L87" i="19"/>
  <c r="L90" i="19"/>
  <c r="L84" i="19"/>
  <c r="L83" i="19"/>
  <c r="L85" i="17"/>
  <c r="L84" i="17"/>
  <c r="L90" i="17"/>
  <c r="L88" i="17"/>
  <c r="L86" i="17"/>
  <c r="L83" i="17"/>
  <c r="L87" i="17"/>
  <c r="L90" i="20"/>
  <c r="L83" i="20"/>
  <c r="L88" i="20"/>
  <c r="L86" i="20"/>
  <c r="L87" i="20"/>
  <c r="L85" i="20"/>
  <c r="L84" i="20"/>
  <c r="H96" i="18"/>
  <c r="R85" i="10"/>
  <c r="R84" i="10"/>
  <c r="R86" i="10"/>
  <c r="R86" i="17"/>
  <c r="R85" i="17"/>
  <c r="R84" i="17"/>
  <c r="R86" i="20"/>
  <c r="R85" i="20"/>
  <c r="R84" i="20"/>
  <c r="R85" i="19"/>
  <c r="R84" i="19"/>
  <c r="R86" i="19"/>
  <c r="R9" i="20"/>
  <c r="K32" i="18"/>
  <c r="M32" i="19"/>
  <c r="H27" i="18"/>
  <c r="H27" i="20"/>
  <c r="M32" i="18"/>
  <c r="K32" i="17"/>
  <c r="M32" i="20"/>
  <c r="M61" i="20"/>
  <c r="O63" i="20"/>
  <c r="O32" i="17"/>
  <c r="N48" i="17"/>
  <c r="O46" i="19"/>
  <c r="M47" i="19"/>
  <c r="O48" i="19"/>
  <c r="P61" i="19"/>
  <c r="N62" i="19"/>
  <c r="P63" i="19"/>
  <c r="M61" i="17"/>
  <c r="N47" i="20"/>
  <c r="K32" i="19"/>
  <c r="E31" i="19"/>
  <c r="E33" i="19" s="1"/>
  <c r="R8" i="19" s="1"/>
  <c r="K32" i="20"/>
  <c r="O32" i="18"/>
  <c r="O32" i="20"/>
  <c r="M32" i="17"/>
  <c r="O61" i="17"/>
  <c r="N63" i="17"/>
  <c r="E31" i="18"/>
  <c r="E33" i="18" s="1"/>
  <c r="R8" i="18" s="1"/>
  <c r="O46" i="18"/>
  <c r="M47" i="18"/>
  <c r="N47" i="18"/>
  <c r="O62" i="18"/>
  <c r="L68" i="19"/>
  <c r="N63" i="19"/>
  <c r="E31" i="20"/>
  <c r="E33" i="20" s="1"/>
  <c r="R8" i="20" s="1"/>
  <c r="P46" i="17"/>
  <c r="N47" i="17"/>
  <c r="O47" i="17"/>
  <c r="O48" i="18"/>
  <c r="P61" i="18"/>
  <c r="N62" i="18"/>
  <c r="P63" i="18"/>
  <c r="O47" i="19"/>
  <c r="O46" i="20"/>
  <c r="M47" i="20"/>
  <c r="O48" i="20"/>
  <c r="L48" i="20"/>
  <c r="O62" i="20"/>
  <c r="M46" i="17"/>
  <c r="P48" i="17"/>
  <c r="P61" i="17"/>
  <c r="O62" i="17"/>
  <c r="M63" i="17"/>
  <c r="O47" i="18"/>
  <c r="O61" i="18"/>
  <c r="N63" i="18"/>
  <c r="O32" i="19"/>
  <c r="O62" i="19"/>
  <c r="P61" i="20"/>
  <c r="N62" i="20"/>
  <c r="P63" i="20"/>
  <c r="M63" i="20"/>
  <c r="B27" i="17"/>
  <c r="H27" i="17"/>
  <c r="B27" i="19"/>
  <c r="H27" i="19"/>
  <c r="B27" i="20"/>
  <c r="B27" i="18"/>
  <c r="M46" i="20"/>
  <c r="O47" i="20"/>
  <c r="M48" i="20"/>
  <c r="N61" i="20"/>
  <c r="L62" i="20"/>
  <c r="N63" i="20"/>
  <c r="L68" i="20"/>
  <c r="N46" i="20"/>
  <c r="L47" i="20"/>
  <c r="P47" i="20"/>
  <c r="N48" i="20"/>
  <c r="L53" i="20"/>
  <c r="O61" i="20"/>
  <c r="M62" i="20"/>
  <c r="L46" i="20"/>
  <c r="P46" i="20"/>
  <c r="P48" i="20"/>
  <c r="P62" i="20"/>
  <c r="L61" i="20"/>
  <c r="L63" i="20"/>
  <c r="P46" i="19"/>
  <c r="P48" i="19"/>
  <c r="M61" i="19"/>
  <c r="N46" i="19"/>
  <c r="L47" i="19"/>
  <c r="P47" i="19"/>
  <c r="N48" i="19"/>
  <c r="L53" i="19"/>
  <c r="O61" i="19"/>
  <c r="M62" i="19"/>
  <c r="O63" i="19"/>
  <c r="L46" i="19"/>
  <c r="N47" i="19"/>
  <c r="L48" i="19"/>
  <c r="M63" i="19"/>
  <c r="M46" i="19"/>
  <c r="M48" i="19"/>
  <c r="N61" i="19"/>
  <c r="L62" i="19"/>
  <c r="P62" i="19"/>
  <c r="L61" i="19"/>
  <c r="L63" i="19"/>
  <c r="P48" i="18"/>
  <c r="M61" i="18"/>
  <c r="M63" i="18"/>
  <c r="M46" i="18"/>
  <c r="M48" i="18"/>
  <c r="N61" i="18"/>
  <c r="L62" i="18"/>
  <c r="L68" i="18"/>
  <c r="N46" i="18"/>
  <c r="L47" i="18"/>
  <c r="P47" i="18"/>
  <c r="N48" i="18"/>
  <c r="L53" i="18"/>
  <c r="M62" i="18"/>
  <c r="O63" i="18"/>
  <c r="L46" i="18"/>
  <c r="P46" i="18"/>
  <c r="L48" i="18"/>
  <c r="P62" i="18"/>
  <c r="L61" i="18"/>
  <c r="L63" i="18"/>
  <c r="E31" i="17"/>
  <c r="E33" i="17" s="1"/>
  <c r="R8" i="17" s="1"/>
  <c r="M48" i="17"/>
  <c r="N61" i="17"/>
  <c r="L62" i="17"/>
  <c r="L68" i="17"/>
  <c r="N46" i="17"/>
  <c r="L47" i="17"/>
  <c r="P47" i="17"/>
  <c r="L53" i="17"/>
  <c r="M62" i="17"/>
  <c r="O63" i="17"/>
  <c r="O46" i="17"/>
  <c r="M47" i="17"/>
  <c r="O48" i="17"/>
  <c r="L61" i="17"/>
  <c r="N62" i="17"/>
  <c r="L63" i="17"/>
  <c r="P63" i="17"/>
  <c r="P62" i="17"/>
  <c r="L46" i="17"/>
  <c r="L48" i="17"/>
  <c r="D104" i="19" l="1"/>
  <c r="H104" i="19" s="1"/>
  <c r="D104" i="20"/>
  <c r="H104" i="20" s="1"/>
  <c r="D104" i="17"/>
  <c r="H104" i="17" s="1"/>
  <c r="D104" i="10"/>
  <c r="H104" i="10" s="1"/>
  <c r="H104" i="18"/>
  <c r="K33" i="17"/>
  <c r="R10" i="17" s="1"/>
  <c r="K33" i="19"/>
  <c r="R10" i="19" s="1"/>
  <c r="K33" i="18"/>
  <c r="R10" i="18" s="1"/>
  <c r="K33" i="20"/>
  <c r="R10" i="20" s="1"/>
  <c r="O75" i="10" l="1"/>
  <c r="N75" i="10"/>
  <c r="O74" i="10"/>
  <c r="N74" i="10"/>
  <c r="L68" i="10"/>
  <c r="P63" i="10"/>
  <c r="O63" i="10"/>
  <c r="N63" i="10"/>
  <c r="M63" i="10"/>
  <c r="L63" i="10"/>
  <c r="P62" i="10"/>
  <c r="O62" i="10"/>
  <c r="N62" i="10"/>
  <c r="M62" i="10"/>
  <c r="L62" i="10"/>
  <c r="P61" i="10"/>
  <c r="O61" i="10"/>
  <c r="N61" i="10"/>
  <c r="M61" i="10"/>
  <c r="L61" i="10"/>
  <c r="L53" i="10"/>
  <c r="P48" i="10"/>
  <c r="O48" i="10"/>
  <c r="N48" i="10"/>
  <c r="M48" i="10"/>
  <c r="L48" i="10"/>
  <c r="P47" i="10"/>
  <c r="O47" i="10"/>
  <c r="N47" i="10"/>
  <c r="M47" i="10"/>
  <c r="L47" i="10"/>
  <c r="P46" i="10"/>
  <c r="O46" i="10"/>
  <c r="N46" i="10"/>
  <c r="M46" i="10"/>
  <c r="L46" i="10"/>
  <c r="O32" i="10"/>
  <c r="M32" i="10"/>
  <c r="K32" i="10"/>
  <c r="E31" i="10"/>
  <c r="E33" i="10" s="1"/>
  <c r="H27" i="10"/>
  <c r="B27" i="10"/>
  <c r="K33" i="10" l="1"/>
  <c r="R8" i="10"/>
  <c r="R10" i="10" l="1"/>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J128" i="5" l="1"/>
  <c r="J124" i="5"/>
  <c r="J116" i="5"/>
  <c r="J108" i="5"/>
  <c r="J100" i="5"/>
  <c r="J92" i="5"/>
  <c r="J84" i="5"/>
  <c r="J76" i="5"/>
  <c r="J68" i="5"/>
  <c r="J60" i="5"/>
  <c r="J52" i="5"/>
  <c r="J44" i="5"/>
  <c r="J36" i="5"/>
  <c r="J127" i="5"/>
  <c r="J115" i="5"/>
  <c r="J107" i="5"/>
  <c r="J99" i="5"/>
  <c r="J91" i="5"/>
  <c r="J83" i="5"/>
  <c r="J79" i="5"/>
  <c r="J75" i="5"/>
  <c r="J71" i="5"/>
  <c r="J67" i="5"/>
  <c r="J63" i="5"/>
  <c r="J59" i="5"/>
  <c r="J55" i="5"/>
  <c r="J51" i="5"/>
  <c r="J47" i="5"/>
  <c r="J43" i="5"/>
  <c r="J39" i="5"/>
  <c r="J35" i="5"/>
  <c r="J31" i="5"/>
  <c r="J126" i="5"/>
  <c r="J122" i="5"/>
  <c r="J118" i="5"/>
  <c r="J114" i="5"/>
  <c r="J110" i="5"/>
  <c r="J106" i="5"/>
  <c r="J102" i="5"/>
  <c r="J98" i="5"/>
  <c r="J94" i="5"/>
  <c r="J90" i="5"/>
  <c r="J86" i="5"/>
  <c r="J82" i="5"/>
  <c r="J78" i="5"/>
  <c r="J74" i="5"/>
  <c r="J70" i="5"/>
  <c r="J66" i="5"/>
  <c r="J62" i="5"/>
  <c r="J58" i="5"/>
  <c r="J54" i="5"/>
  <c r="J50" i="5"/>
  <c r="J46" i="5"/>
  <c r="J42" i="5"/>
  <c r="J38" i="5"/>
  <c r="J34" i="5"/>
  <c r="J30" i="5"/>
  <c r="J120" i="5"/>
  <c r="J112" i="5"/>
  <c r="J104" i="5"/>
  <c r="J96" i="5"/>
  <c r="J88" i="5"/>
  <c r="J80" i="5"/>
  <c r="J72" i="5"/>
  <c r="J64" i="5"/>
  <c r="J56" i="5"/>
  <c r="J48" i="5"/>
  <c r="J40" i="5"/>
  <c r="J32" i="5"/>
  <c r="J123" i="5"/>
  <c r="J119" i="5"/>
  <c r="J111" i="5"/>
  <c r="J103" i="5"/>
  <c r="J95" i="5"/>
  <c r="J87" i="5"/>
  <c r="J125" i="5"/>
  <c r="J121" i="5"/>
  <c r="J117" i="5"/>
  <c r="J113" i="5"/>
  <c r="J109" i="5"/>
  <c r="J105" i="5"/>
  <c r="J101" i="5"/>
  <c r="J97" i="5"/>
  <c r="J93" i="5"/>
  <c r="J89" i="5"/>
  <c r="J85" i="5"/>
  <c r="J81" i="5"/>
  <c r="J77" i="5"/>
  <c r="J73" i="5"/>
  <c r="J69" i="5"/>
  <c r="J65" i="5"/>
  <c r="J61" i="5"/>
  <c r="J57" i="5"/>
  <c r="J53" i="5"/>
  <c r="J49" i="5"/>
  <c r="J45" i="5"/>
  <c r="J41" i="5"/>
  <c r="J37" i="5"/>
  <c r="J33" i="5"/>
  <c r="J29" i="5"/>
  <c r="B26" i="5"/>
  <c r="C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I28" i="5"/>
  <c r="H28" i="5"/>
  <c r="H27" i="5"/>
  <c r="J28" i="5" l="1"/>
  <c r="D26" i="5"/>
  <c r="P17" i="5" l="1"/>
  <c r="U32" i="5"/>
  <c r="U36" i="5"/>
  <c r="U40" i="5"/>
  <c r="U44" i="5"/>
  <c r="U48" i="5"/>
  <c r="U52" i="5"/>
  <c r="U56" i="5"/>
  <c r="U60" i="5"/>
  <c r="U64" i="5"/>
  <c r="U68" i="5"/>
  <c r="U72" i="5"/>
  <c r="U76" i="5"/>
  <c r="U80" i="5"/>
  <c r="U84" i="5"/>
  <c r="U88" i="5"/>
  <c r="U92" i="5"/>
  <c r="U96" i="5"/>
  <c r="U100" i="5"/>
  <c r="U104" i="5"/>
  <c r="U108" i="5"/>
  <c r="U112" i="5"/>
  <c r="U116" i="5"/>
  <c r="U120" i="5"/>
  <c r="U124" i="5"/>
  <c r="U128" i="5"/>
  <c r="T30" i="5"/>
  <c r="T34" i="5"/>
  <c r="T38" i="5"/>
  <c r="T42" i="5"/>
  <c r="T46" i="5"/>
  <c r="T50" i="5"/>
  <c r="T54" i="5"/>
  <c r="T58" i="5"/>
  <c r="T62" i="5"/>
  <c r="T66" i="5"/>
  <c r="T70" i="5"/>
  <c r="T74" i="5"/>
  <c r="T78" i="5"/>
  <c r="T82" i="5"/>
  <c r="T86" i="5"/>
  <c r="T90" i="5"/>
  <c r="T94" i="5"/>
  <c r="T98" i="5"/>
  <c r="T102" i="5"/>
  <c r="T106" i="5"/>
  <c r="T110" i="5"/>
  <c r="T114" i="5"/>
  <c r="T118" i="5"/>
  <c r="T122" i="5"/>
  <c r="T126" i="5"/>
  <c r="U29" i="5"/>
  <c r="U33" i="5"/>
  <c r="U37" i="5"/>
  <c r="U41" i="5"/>
  <c r="U45" i="5"/>
  <c r="U49" i="5"/>
  <c r="U53" i="5"/>
  <c r="U57" i="5"/>
  <c r="U61" i="5"/>
  <c r="U65" i="5"/>
  <c r="U69" i="5"/>
  <c r="U73" i="5"/>
  <c r="U77" i="5"/>
  <c r="U81" i="5"/>
  <c r="U85" i="5"/>
  <c r="U89" i="5"/>
  <c r="U93" i="5"/>
  <c r="U97" i="5"/>
  <c r="U101" i="5"/>
  <c r="U105" i="5"/>
  <c r="U109" i="5"/>
  <c r="U113" i="5"/>
  <c r="U117" i="5"/>
  <c r="U121" i="5"/>
  <c r="U125" i="5"/>
  <c r="U28" i="5"/>
  <c r="T31" i="5"/>
  <c r="T35" i="5"/>
  <c r="T39" i="5"/>
  <c r="T43" i="5"/>
  <c r="T47" i="5"/>
  <c r="T51" i="5"/>
  <c r="T55" i="5"/>
  <c r="T59" i="5"/>
  <c r="T63" i="5"/>
  <c r="U35" i="5"/>
  <c r="U43" i="5"/>
  <c r="U51" i="5"/>
  <c r="U59" i="5"/>
  <c r="U67" i="5"/>
  <c r="U75" i="5"/>
  <c r="U83" i="5"/>
  <c r="U91" i="5"/>
  <c r="U99" i="5"/>
  <c r="U107" i="5"/>
  <c r="U115" i="5"/>
  <c r="U123" i="5"/>
  <c r="T29" i="5"/>
  <c r="T37" i="5"/>
  <c r="T45" i="5"/>
  <c r="T53" i="5"/>
  <c r="V53" i="5" s="1"/>
  <c r="T61" i="5"/>
  <c r="T68" i="5"/>
  <c r="T73" i="5"/>
  <c r="T79" i="5"/>
  <c r="T84" i="5"/>
  <c r="V84" i="5" s="1"/>
  <c r="T89" i="5"/>
  <c r="T95" i="5"/>
  <c r="T100" i="5"/>
  <c r="T105" i="5"/>
  <c r="V105" i="5" s="1"/>
  <c r="T111" i="5"/>
  <c r="T116" i="5"/>
  <c r="T121" i="5"/>
  <c r="T127" i="5"/>
  <c r="U30" i="5"/>
  <c r="U38" i="5"/>
  <c r="U46" i="5"/>
  <c r="U54" i="5"/>
  <c r="U62" i="5"/>
  <c r="U70" i="5"/>
  <c r="U78" i="5"/>
  <c r="U86" i="5"/>
  <c r="U94" i="5"/>
  <c r="U102" i="5"/>
  <c r="U110" i="5"/>
  <c r="U118" i="5"/>
  <c r="U126" i="5"/>
  <c r="T32" i="5"/>
  <c r="T40" i="5"/>
  <c r="T48" i="5"/>
  <c r="T56" i="5"/>
  <c r="T64" i="5"/>
  <c r="T69" i="5"/>
  <c r="V69" i="5" s="1"/>
  <c r="T75" i="5"/>
  <c r="T80" i="5"/>
  <c r="T85" i="5"/>
  <c r="T91" i="5"/>
  <c r="T96" i="5"/>
  <c r="T101" i="5"/>
  <c r="T107" i="5"/>
  <c r="T112" i="5"/>
  <c r="V112" i="5" s="1"/>
  <c r="T117" i="5"/>
  <c r="T123" i="5"/>
  <c r="T128" i="5"/>
  <c r="U31" i="5"/>
  <c r="U39" i="5"/>
  <c r="U47" i="5"/>
  <c r="U55" i="5"/>
  <c r="U63" i="5"/>
  <c r="U71" i="5"/>
  <c r="U79" i="5"/>
  <c r="U87" i="5"/>
  <c r="U95" i="5"/>
  <c r="U103" i="5"/>
  <c r="U111" i="5"/>
  <c r="U119" i="5"/>
  <c r="U127" i="5"/>
  <c r="T33" i="5"/>
  <c r="T41" i="5"/>
  <c r="T49" i="5"/>
  <c r="V49" i="5" s="1"/>
  <c r="T57" i="5"/>
  <c r="T65" i="5"/>
  <c r="T71" i="5"/>
  <c r="T76" i="5"/>
  <c r="V76" i="5" s="1"/>
  <c r="T81" i="5"/>
  <c r="T87" i="5"/>
  <c r="T92" i="5"/>
  <c r="T97" i="5"/>
  <c r="V97" i="5" s="1"/>
  <c r="T103" i="5"/>
  <c r="T108" i="5"/>
  <c r="T113" i="5"/>
  <c r="T119" i="5"/>
  <c r="V119" i="5" s="1"/>
  <c r="T124" i="5"/>
  <c r="T27" i="5"/>
  <c r="U34" i="5"/>
  <c r="U42" i="5"/>
  <c r="U50" i="5"/>
  <c r="U58" i="5"/>
  <c r="U66" i="5"/>
  <c r="U74" i="5"/>
  <c r="U82" i="5"/>
  <c r="U90" i="5"/>
  <c r="U98" i="5"/>
  <c r="U106" i="5"/>
  <c r="U114" i="5"/>
  <c r="U122" i="5"/>
  <c r="T28" i="5"/>
  <c r="T36" i="5"/>
  <c r="T44" i="5"/>
  <c r="T52" i="5"/>
  <c r="V52" i="5" s="1"/>
  <c r="T60" i="5"/>
  <c r="T67" i="5"/>
  <c r="T72" i="5"/>
  <c r="T77" i="5"/>
  <c r="T83" i="5"/>
  <c r="T88" i="5"/>
  <c r="T93" i="5"/>
  <c r="T99" i="5"/>
  <c r="V99" i="5" s="1"/>
  <c r="T104" i="5"/>
  <c r="V104" i="5" s="1"/>
  <c r="T109" i="5"/>
  <c r="T115" i="5"/>
  <c r="T120" i="5"/>
  <c r="T125" i="5"/>
  <c r="V125" i="5" s="1"/>
  <c r="D17" i="5"/>
  <c r="V56" i="5" l="1"/>
  <c r="V91" i="5"/>
  <c r="V117" i="5"/>
  <c r="V96" i="5"/>
  <c r="V48" i="5"/>
  <c r="V127" i="5"/>
  <c r="V110" i="5"/>
  <c r="V78" i="5"/>
  <c r="V46" i="5"/>
  <c r="V108" i="5"/>
  <c r="V87" i="5"/>
  <c r="V65" i="5"/>
  <c r="V33" i="5"/>
  <c r="V51" i="5"/>
  <c r="V115" i="5"/>
  <c r="V44" i="5"/>
  <c r="V124" i="5"/>
  <c r="V81" i="5"/>
  <c r="V83" i="5"/>
  <c r="V60" i="5"/>
  <c r="V28" i="5"/>
  <c r="V113" i="5"/>
  <c r="V92" i="5"/>
  <c r="V71" i="5"/>
  <c r="V41" i="5"/>
  <c r="V123" i="5"/>
  <c r="V101" i="5"/>
  <c r="V80" i="5"/>
  <c r="V89" i="5"/>
  <c r="V68" i="5"/>
  <c r="V37" i="5"/>
  <c r="V55" i="5"/>
  <c r="V39" i="5"/>
  <c r="V114" i="5"/>
  <c r="V82" i="5"/>
  <c r="V50" i="5"/>
  <c r="V106" i="5"/>
  <c r="V74" i="5"/>
  <c r="V42" i="5"/>
  <c r="V111" i="5"/>
  <c r="V98" i="5"/>
  <c r="V66" i="5"/>
  <c r="V34" i="5"/>
  <c r="V120" i="5"/>
  <c r="V77" i="5"/>
  <c r="V27" i="5"/>
  <c r="T26" i="5"/>
  <c r="V75" i="5"/>
  <c r="V61" i="5"/>
  <c r="V29" i="5"/>
  <c r="V35" i="5"/>
  <c r="V126" i="5"/>
  <c r="V94" i="5"/>
  <c r="V62" i="5"/>
  <c r="V30" i="5"/>
  <c r="V93" i="5"/>
  <c r="V72" i="5"/>
  <c r="V103" i="5"/>
  <c r="V57" i="5"/>
  <c r="V40" i="5"/>
  <c r="V121" i="5"/>
  <c r="V100" i="5"/>
  <c r="V79" i="5"/>
  <c r="V63" i="5"/>
  <c r="V47" i="5"/>
  <c r="V31" i="5"/>
  <c r="V122" i="5"/>
  <c r="V90" i="5"/>
  <c r="V58" i="5"/>
  <c r="V109" i="5"/>
  <c r="V88" i="5"/>
  <c r="V67" i="5"/>
  <c r="V36" i="5"/>
  <c r="V128" i="5"/>
  <c r="V107" i="5"/>
  <c r="V85" i="5"/>
  <c r="V64" i="5"/>
  <c r="V32" i="5"/>
  <c r="V116" i="5"/>
  <c r="V95" i="5"/>
  <c r="V73" i="5"/>
  <c r="V45" i="5"/>
  <c r="V59" i="5"/>
  <c r="V43" i="5"/>
  <c r="U26" i="5"/>
  <c r="V118" i="5"/>
  <c r="V102" i="5"/>
  <c r="V86" i="5"/>
  <c r="V70" i="5"/>
  <c r="V54" i="5"/>
  <c r="V38" i="5"/>
  <c r="I26" i="5"/>
  <c r="H26" i="5"/>
  <c r="J27" i="5"/>
  <c r="V26" i="5" l="1"/>
  <c r="P18" i="5" s="1"/>
  <c r="J26" i="5"/>
  <c r="D18" i="5" l="1"/>
  <c r="E31" i="8"/>
  <c r="D96" i="8"/>
  <c r="H96" i="8" s="1"/>
  <c r="O75" i="8"/>
  <c r="N75" i="8"/>
  <c r="O74" i="8"/>
  <c r="N74" i="8"/>
  <c r="AT18" i="4" l="1"/>
  <c r="AS18" i="4"/>
  <c r="AR18" i="4"/>
  <c r="L89" i="8" l="1"/>
  <c r="L89" i="16"/>
  <c r="D103" i="16" s="1"/>
  <c r="H103" i="16" s="1"/>
  <c r="L89" i="18"/>
  <c r="D103" i="18" s="1"/>
  <c r="H103" i="18" s="1"/>
  <c r="L89" i="21"/>
  <c r="D103" i="21" s="1"/>
  <c r="H103" i="21" s="1"/>
  <c r="L89" i="19"/>
  <c r="D103" i="19" s="1"/>
  <c r="H103" i="19" s="1"/>
  <c r="L89" i="10"/>
  <c r="D103" i="10" s="1"/>
  <c r="L89" i="20"/>
  <c r="D103" i="20" s="1"/>
  <c r="H103" i="20" s="1"/>
  <c r="L89" i="17"/>
  <c r="D103" i="17" s="1"/>
  <c r="H103" i="17" s="1"/>
  <c r="M32" i="8"/>
  <c r="K32" i="8"/>
  <c r="H103" i="10" l="1"/>
  <c r="E33" i="8"/>
  <c r="R8" i="8" s="1"/>
  <c r="P12" i="8" s="1"/>
  <c r="G17" i="8" l="1"/>
  <c r="AD56" i="4"/>
  <c r="AC55" i="4"/>
  <c r="AD55" i="4"/>
  <c r="AD54" i="4"/>
  <c r="AC54" i="4"/>
  <c r="AB54" i="4"/>
  <c r="AD53" i="4"/>
  <c r="AC53" i="4"/>
  <c r="AB53" i="4"/>
  <c r="AA53" i="4"/>
  <c r="AD52" i="4"/>
  <c r="AC52" i="4"/>
  <c r="AB52" i="4"/>
  <c r="AA52" i="4"/>
  <c r="Z52" i="4"/>
  <c r="AD44" i="4"/>
  <c r="AD43" i="4"/>
  <c r="AC43" i="4"/>
  <c r="AC42" i="4"/>
  <c r="AD42" i="4"/>
  <c r="AB42" i="4"/>
  <c r="AB41" i="4"/>
  <c r="AC41" i="4"/>
  <c r="AD41" i="4"/>
  <c r="AA41" i="4"/>
  <c r="AA40" i="4"/>
  <c r="AB40" i="4"/>
  <c r="AC40" i="4"/>
  <c r="AD40" i="4"/>
  <c r="Z40" i="4"/>
  <c r="L52" i="16" l="1"/>
  <c r="L67" i="16"/>
  <c r="P52" i="16"/>
  <c r="P67" i="16"/>
  <c r="O52" i="16"/>
  <c r="O67" i="16"/>
  <c r="M67" i="16"/>
  <c r="M52" i="16"/>
  <c r="N67" i="16"/>
  <c r="N52" i="16"/>
  <c r="P52" i="21"/>
  <c r="P52" i="19"/>
  <c r="P52" i="8"/>
  <c r="P52" i="20"/>
  <c r="P52" i="18"/>
  <c r="P52" i="10"/>
  <c r="P67" i="21"/>
  <c r="P67" i="19"/>
  <c r="P67" i="17"/>
  <c r="P52" i="17"/>
  <c r="P67" i="8"/>
  <c r="P67" i="20"/>
  <c r="P67" i="18"/>
  <c r="P67" i="10"/>
  <c r="O67" i="21"/>
  <c r="O67" i="19"/>
  <c r="O67" i="17"/>
  <c r="O52" i="17"/>
  <c r="O67" i="8"/>
  <c r="O67" i="20"/>
  <c r="O67" i="18"/>
  <c r="O67" i="10"/>
  <c r="O52" i="20"/>
  <c r="O52" i="18"/>
  <c r="O52" i="10"/>
  <c r="O52" i="21"/>
  <c r="O52" i="19"/>
  <c r="O52" i="8"/>
  <c r="M67" i="20"/>
  <c r="M67" i="18"/>
  <c r="M67" i="10"/>
  <c r="M52" i="10"/>
  <c r="M67" i="21"/>
  <c r="M67" i="19"/>
  <c r="M67" i="17"/>
  <c r="M52" i="17"/>
  <c r="M67" i="8"/>
  <c r="M52" i="21"/>
  <c r="M52" i="19"/>
  <c r="M52" i="8"/>
  <c r="M52" i="20"/>
  <c r="M52" i="18"/>
  <c r="L52" i="21"/>
  <c r="L52" i="19"/>
  <c r="L52" i="8"/>
  <c r="L52" i="20"/>
  <c r="L52" i="18"/>
  <c r="L52" i="10"/>
  <c r="L67" i="21"/>
  <c r="L67" i="19"/>
  <c r="L52" i="17"/>
  <c r="L67" i="8"/>
  <c r="L67" i="20"/>
  <c r="L67" i="18"/>
  <c r="L67" i="10"/>
  <c r="N52" i="20"/>
  <c r="N52" i="18"/>
  <c r="N52" i="10"/>
  <c r="N52" i="21"/>
  <c r="N52" i="19"/>
  <c r="N52" i="8"/>
  <c r="N67" i="20"/>
  <c r="N67" i="18"/>
  <c r="N67" i="10"/>
  <c r="N67" i="21"/>
  <c r="N67" i="19"/>
  <c r="N67" i="17"/>
  <c r="N52" i="17"/>
  <c r="N67" i="8"/>
  <c r="AM26" i="4"/>
  <c r="R63" i="19" l="1"/>
  <c r="R61" i="19"/>
  <c r="R62" i="19"/>
  <c r="O76" i="21"/>
  <c r="O76" i="16"/>
  <c r="R63" i="21"/>
  <c r="R61" i="21"/>
  <c r="R62" i="21"/>
  <c r="R62" i="20"/>
  <c r="R61" i="20"/>
  <c r="R63" i="20"/>
  <c r="R61" i="17"/>
  <c r="R63" i="17"/>
  <c r="R62" i="17"/>
  <c r="R61" i="10"/>
  <c r="R63" i="10"/>
  <c r="R62" i="10"/>
  <c r="R61" i="18"/>
  <c r="R63" i="18"/>
  <c r="R62" i="18"/>
  <c r="R48" i="16"/>
  <c r="R46" i="16"/>
  <c r="R47" i="16"/>
  <c r="R61" i="16"/>
  <c r="R63" i="16"/>
  <c r="R62" i="16"/>
  <c r="R63" i="8"/>
  <c r="R61" i="8"/>
  <c r="R62" i="8"/>
  <c r="R48" i="21"/>
  <c r="R46" i="21"/>
  <c r="R47" i="21"/>
  <c r="R47" i="20"/>
  <c r="D98" i="20" s="1"/>
  <c r="R46" i="20"/>
  <c r="R48" i="20"/>
  <c r="O76" i="8"/>
  <c r="O76" i="20"/>
  <c r="O76" i="17"/>
  <c r="O76" i="19"/>
  <c r="O76" i="18"/>
  <c r="O76" i="10"/>
  <c r="R46" i="18"/>
  <c r="R47" i="18"/>
  <c r="R48" i="18"/>
  <c r="R47" i="10"/>
  <c r="R48" i="10"/>
  <c r="R46" i="10"/>
  <c r="R46" i="19"/>
  <c r="R47" i="19"/>
  <c r="R48" i="19"/>
  <c r="R47" i="8"/>
  <c r="R46" i="8"/>
  <c r="R48" i="8"/>
  <c r="R46" i="17"/>
  <c r="R48" i="17"/>
  <c r="R47" i="17"/>
  <c r="AM28" i="4"/>
  <c r="D99" i="20" l="1"/>
  <c r="D98" i="10"/>
  <c r="D97" i="21"/>
  <c r="H97" i="21" s="1"/>
  <c r="D97" i="8"/>
  <c r="D99" i="19"/>
  <c r="H99" i="19" s="1"/>
  <c r="D97" i="20"/>
  <c r="H97" i="20" s="1"/>
  <c r="D97" i="18"/>
  <c r="H97" i="18" s="1"/>
  <c r="D97" i="19"/>
  <c r="H97" i="19" s="1"/>
  <c r="D98" i="21"/>
  <c r="H98" i="21" s="1"/>
  <c r="D98" i="19"/>
  <c r="H98" i="19" s="1"/>
  <c r="D97" i="10"/>
  <c r="H97" i="10" s="1"/>
  <c r="D99" i="16"/>
  <c r="H99" i="16" s="1"/>
  <c r="D98" i="18"/>
  <c r="H98" i="18" s="1"/>
  <c r="D97" i="17"/>
  <c r="H97" i="17" s="1"/>
  <c r="D99" i="17"/>
  <c r="H99" i="17" s="1"/>
  <c r="D99" i="21"/>
  <c r="H99" i="21" s="1"/>
  <c r="D99" i="10"/>
  <c r="H99" i="10" s="1"/>
  <c r="D99" i="8"/>
  <c r="H99" i="8" s="1"/>
  <c r="D98" i="17"/>
  <c r="H98" i="17" s="1"/>
  <c r="N76" i="21"/>
  <c r="R76" i="21" s="1"/>
  <c r="D102" i="21" s="1"/>
  <c r="H102" i="21" s="1"/>
  <c r="N76" i="16"/>
  <c r="D98" i="16"/>
  <c r="H98" i="16" s="1"/>
  <c r="D97" i="16"/>
  <c r="D99" i="18"/>
  <c r="H99" i="18" s="1"/>
  <c r="D98" i="8"/>
  <c r="H99" i="20"/>
  <c r="H98" i="10"/>
  <c r="H98" i="20"/>
  <c r="N76" i="8"/>
  <c r="N76" i="20"/>
  <c r="N76" i="17"/>
  <c r="N76" i="19"/>
  <c r="N76" i="18"/>
  <c r="N76" i="10"/>
  <c r="R74" i="21" l="1"/>
  <c r="D100" i="21" s="1"/>
  <c r="H100" i="21" s="1"/>
  <c r="R75" i="21"/>
  <c r="D101" i="21" s="1"/>
  <c r="H101" i="21" s="1"/>
  <c r="H97" i="16"/>
  <c r="R74" i="16"/>
  <c r="D100" i="16" s="1"/>
  <c r="H100" i="16" s="1"/>
  <c r="R76" i="16"/>
  <c r="D102" i="16" s="1"/>
  <c r="H102" i="16" s="1"/>
  <c r="R75" i="16"/>
  <c r="D101" i="16" s="1"/>
  <c r="H101" i="16" s="1"/>
  <c r="R74" i="8"/>
  <c r="D100" i="8" s="1"/>
  <c r="H100" i="8" s="1"/>
  <c r="H98" i="8"/>
  <c r="H97" i="8"/>
  <c r="R76" i="8"/>
  <c r="D102" i="8" s="1"/>
  <c r="H102" i="8" s="1"/>
  <c r="R75" i="8"/>
  <c r="D101" i="8" s="1"/>
  <c r="H101" i="8" s="1"/>
  <c r="R75" i="10"/>
  <c r="D101" i="10" s="1"/>
  <c r="R76" i="10"/>
  <c r="D102" i="10" s="1"/>
  <c r="H102" i="10" s="1"/>
  <c r="R76" i="20"/>
  <c r="D102" i="20" s="1"/>
  <c r="H102" i="20" s="1"/>
  <c r="R75" i="20"/>
  <c r="D101" i="20" s="1"/>
  <c r="R74" i="20"/>
  <c r="D100" i="20" s="1"/>
  <c r="H100" i="20" s="1"/>
  <c r="R74" i="10"/>
  <c r="D100" i="10" s="1"/>
  <c r="H100" i="10" s="1"/>
  <c r="R75" i="18"/>
  <c r="D101" i="18" s="1"/>
  <c r="R76" i="18"/>
  <c r="D102" i="18" s="1"/>
  <c r="H102" i="18" s="1"/>
  <c r="R74" i="18"/>
  <c r="D100" i="18" s="1"/>
  <c r="H100" i="18" s="1"/>
  <c r="R76" i="19"/>
  <c r="D102" i="19" s="1"/>
  <c r="H102" i="19" s="1"/>
  <c r="R75" i="19"/>
  <c r="D101" i="19" s="1"/>
  <c r="H101" i="19" s="1"/>
  <c r="R74" i="19"/>
  <c r="D100" i="19" s="1"/>
  <c r="H100" i="19" s="1"/>
  <c r="R75" i="17"/>
  <c r="D101" i="17" s="1"/>
  <c r="R74" i="17"/>
  <c r="D100" i="17" s="1"/>
  <c r="H100" i="17" s="1"/>
  <c r="R76" i="17"/>
  <c r="D102" i="17" s="1"/>
  <c r="H102" i="17" s="1"/>
  <c r="D95" i="21" l="1"/>
  <c r="H95" i="21" s="1"/>
  <c r="H105" i="21" s="1"/>
  <c r="E23" i="21" s="1"/>
  <c r="D95" i="18"/>
  <c r="H95" i="18" s="1"/>
  <c r="D95" i="16"/>
  <c r="H101" i="17"/>
  <c r="D95" i="17"/>
  <c r="H95" i="17" s="1"/>
  <c r="H101" i="20"/>
  <c r="D95" i="20"/>
  <c r="H95" i="20" s="1"/>
  <c r="H101" i="18"/>
  <c r="D95" i="19"/>
  <c r="H95" i="19" s="1"/>
  <c r="H101" i="10"/>
  <c r="D95" i="10"/>
  <c r="H95" i="10" s="1"/>
  <c r="D105" i="21" l="1"/>
  <c r="D105" i="16"/>
  <c r="H95" i="16"/>
  <c r="H105" i="16" s="1"/>
  <c r="E23" i="16" s="1"/>
  <c r="D105" i="19"/>
  <c r="D105" i="18"/>
  <c r="D105" i="17"/>
  <c r="D105" i="10"/>
  <c r="D105" i="20"/>
  <c r="E19" i="21"/>
  <c r="H105" i="18"/>
  <c r="E23" i="18" s="1"/>
  <c r="E19" i="16" l="1"/>
  <c r="E21" i="16" s="1"/>
  <c r="K19" i="21"/>
  <c r="K21" i="21" s="1"/>
  <c r="E21" i="21"/>
  <c r="H105" i="19"/>
  <c r="E23" i="19" s="1"/>
  <c r="H105" i="17"/>
  <c r="E23" i="17" s="1"/>
  <c r="H105" i="10"/>
  <c r="H105" i="20"/>
  <c r="E23" i="20" s="1"/>
  <c r="E19" i="20" s="1"/>
  <c r="E19" i="18"/>
  <c r="P99" i="8" s="1"/>
  <c r="K33" i="8"/>
  <c r="P97" i="8" l="1"/>
  <c r="K19" i="16"/>
  <c r="E23" i="10"/>
  <c r="E19" i="10" s="1"/>
  <c r="R10" i="8"/>
  <c r="K23" i="21"/>
  <c r="R9" i="21" s="1"/>
  <c r="K19" i="18"/>
  <c r="K21" i="18" s="1"/>
  <c r="E21" i="18"/>
  <c r="Q99" i="8" s="1"/>
  <c r="S99" i="8" s="1"/>
  <c r="E19" i="17"/>
  <c r="P98" i="8" s="1"/>
  <c r="E19" i="19"/>
  <c r="P100" i="8" s="1"/>
  <c r="E21" i="20"/>
  <c r="K23" i="16" l="1"/>
  <c r="K21" i="16"/>
  <c r="P96" i="8"/>
  <c r="Q97" i="8"/>
  <c r="S97" i="8" s="1"/>
  <c r="K23" i="18"/>
  <c r="R9" i="18" s="1"/>
  <c r="E21" i="17"/>
  <c r="E21" i="10"/>
  <c r="K19" i="10"/>
  <c r="K21" i="10" s="1"/>
  <c r="K19" i="17"/>
  <c r="K21" i="17" s="1"/>
  <c r="K19" i="20"/>
  <c r="K23" i="20" s="1"/>
  <c r="E21" i="19"/>
  <c r="Q100" i="8" s="1"/>
  <c r="S100" i="8" s="1"/>
  <c r="K19" i="19"/>
  <c r="Q101" i="8"/>
  <c r="S101" i="8" s="1"/>
  <c r="P101" i="8"/>
  <c r="R9" i="16" l="1"/>
  <c r="Q96" i="8"/>
  <c r="S96" i="8" s="1"/>
  <c r="Q98" i="8"/>
  <c r="S98" i="8" s="1"/>
  <c r="K23" i="17"/>
  <c r="R9" i="17" s="1"/>
  <c r="K21" i="20"/>
  <c r="K21" i="19"/>
  <c r="K23" i="19"/>
  <c r="K23" i="10"/>
  <c r="R9" i="10" s="1"/>
  <c r="R9" i="19" l="1"/>
  <c r="D103" i="8"/>
  <c r="H103" i="8" s="1"/>
  <c r="Q102" i="8" l="1"/>
  <c r="S102" i="8" s="1"/>
  <c r="P102" i="8"/>
  <c r="D95" i="8"/>
  <c r="H95" i="8" l="1"/>
  <c r="D105" i="8"/>
  <c r="F95" i="8" s="1"/>
  <c r="F100" i="8" l="1"/>
  <c r="F104" i="8"/>
  <c r="F98" i="8"/>
  <c r="F102" i="8"/>
  <c r="F97" i="8"/>
  <c r="F96" i="8"/>
  <c r="F101" i="8"/>
  <c r="F99" i="8"/>
  <c r="F103" i="8"/>
  <c r="H105" i="8"/>
  <c r="J102" i="8" l="1"/>
  <c r="J99" i="8"/>
  <c r="J96" i="8"/>
  <c r="J100" i="8"/>
  <c r="J101" i="8"/>
  <c r="J104" i="8"/>
  <c r="J97" i="8"/>
  <c r="J98" i="8"/>
  <c r="E23" i="8"/>
  <c r="J103" i="8"/>
  <c r="J95" i="8"/>
  <c r="E19" i="8" l="1"/>
  <c r="E21" i="8" s="1"/>
  <c r="P95" i="8" l="1"/>
  <c r="K19" i="8"/>
  <c r="K21" i="8" l="1"/>
  <c r="K23" i="8"/>
  <c r="M23" i="8" s="1"/>
  <c r="Q95" i="8"/>
  <c r="S95" i="8" s="1"/>
  <c r="M18" i="8"/>
  <c r="R9" i="8" l="1"/>
  <c r="M2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8" authorId="0" shapeId="0" xr:uid="{00000000-0006-0000-03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<sst xmlns="http://schemas.openxmlformats.org/spreadsheetml/2006/main" count="1716" uniqueCount="443">
  <si>
    <t>Version</t>
  </si>
  <si>
    <t>Published date</t>
  </si>
  <si>
    <t>Security marking</t>
  </si>
  <si>
    <t>Title</t>
  </si>
  <si>
    <t>Type</t>
  </si>
  <si>
    <t>Audience</t>
  </si>
  <si>
    <t>Reference</t>
  </si>
  <si>
    <t>Content details</t>
  </si>
  <si>
    <t>CONTROLLED CONTENT</t>
  </si>
  <si>
    <t>Government policy implementation tool for the calculation of eligible flood and coastal risk management grant in aid (FCERM GiA)</t>
  </si>
  <si>
    <t>Year</t>
  </si>
  <si>
    <t>Cumulative</t>
  </si>
  <si>
    <t>Factor</t>
  </si>
  <si>
    <t>Discount rate</t>
  </si>
  <si>
    <t>Assumptions used when calculating eligible FCERM GiA</t>
  </si>
  <si>
    <t>to 1</t>
  </si>
  <si>
    <t>Payment tariffs</t>
  </si>
  <si>
    <t>p / £1</t>
  </si>
  <si>
    <t>Household scaling factors for payment tariff</t>
  </si>
  <si>
    <t>in 20% most deprived communities</t>
  </si>
  <si>
    <t>in 21% to 40% most deprived communities</t>
  </si>
  <si>
    <t>in 60% least deprived communities</t>
  </si>
  <si>
    <t>Overall target benefit cost ratio for Government FCERM GiA investment</t>
  </si>
  <si>
    <t>Probability band</t>
  </si>
  <si>
    <t>Very significant risk band</t>
  </si>
  <si>
    <t>Significant risk band</t>
  </si>
  <si>
    <t>Moderate risk band</t>
  </si>
  <si>
    <t>Low risk band</t>
  </si>
  <si>
    <t>&gt;=5%</t>
  </si>
  <si>
    <t>&lt;5% to &gt;2%</t>
  </si>
  <si>
    <t>2% to &gt;1%</t>
  </si>
  <si>
    <t>1% to &gt;0.5%</t>
  </si>
  <si>
    <t>&lt;=0.5%</t>
  </si>
  <si>
    <t>1 in</t>
  </si>
  <si>
    <t>or a 5% annual chance of flooding</t>
  </si>
  <si>
    <t>or a 3.33% annual chance of flooding</t>
  </si>
  <si>
    <t>or a 1.33% annual chance of flooding</t>
  </si>
  <si>
    <t>or a 0.67% annual chance of flooding</t>
  </si>
  <si>
    <t>or a 0.5% annual chance of flooding</t>
  </si>
  <si>
    <t>What this means for relative weightings applied to household outcomes</t>
  </si>
  <si>
    <t>Moving a household from:</t>
  </si>
  <si>
    <t>To:</t>
  </si>
  <si>
    <t>Average flood damages per household</t>
  </si>
  <si>
    <t>Annual benefit from protecting against coastal erosion per household</t>
  </si>
  <si>
    <t>Assumptions for likelihood of flooding within each flood risk band</t>
  </si>
  <si>
    <t>Assumptions for protection against coastal erosion</t>
  </si>
  <si>
    <t>Timescale for loss under a 'do-nothing' scenario:</t>
  </si>
  <si>
    <t>Medium-term loss</t>
  </si>
  <si>
    <t>Timescale band</t>
  </si>
  <si>
    <t>Longer-term loss</t>
  </si>
  <si>
    <t>&lt;=20 years</t>
  </si>
  <si>
    <t>&gt;20 years</t>
  </si>
  <si>
    <t>th year</t>
  </si>
  <si>
    <t>Weightings factors</t>
  </si>
  <si>
    <t>Long-term loss</t>
  </si>
  <si>
    <t>Wet woodland</t>
  </si>
  <si>
    <t>Annual eligible FCERM GiA per household</t>
  </si>
  <si>
    <t>Flood and Coastal Erosion Risk Management (FCERM)</t>
  </si>
  <si>
    <t>Key</t>
  </si>
  <si>
    <t>input cells</t>
  </si>
  <si>
    <t>calculated cells</t>
  </si>
  <si>
    <t>Benefit:Cost ratio</t>
  </si>
  <si>
    <t>All values in £ (pound Sterling)</t>
  </si>
  <si>
    <t>Figures in blue to be the same as in the National FCERM Capital Programme</t>
  </si>
  <si>
    <t>Raw PF Score</t>
  </si>
  <si>
    <t>Adjusted PF Score</t>
  </si>
  <si>
    <t>pv FCERM GiA up-front costs</t>
  </si>
  <si>
    <t>pv maximum eligible FCERM GiA</t>
  </si>
  <si>
    <t>pv FCERM GiA future costs</t>
  </si>
  <si>
    <t>pv costs for approval</t>
  </si>
  <si>
    <t>pv sub-total</t>
  </si>
  <si>
    <t>pv total contributions</t>
  </si>
  <si>
    <t>at risk today</t>
  </si>
  <si>
    <t>change due to project</t>
  </si>
  <si>
    <t>pv qual. benefits</t>
  </si>
  <si>
    <t>significant risk</t>
  </si>
  <si>
    <t>very significant risk</t>
  </si>
  <si>
    <t>at risk after project completion</t>
  </si>
  <si>
    <t xml:space="preserve">at risk from 2040 </t>
  </si>
  <si>
    <t>long-term loss</t>
  </si>
  <si>
    <t>medium-term loss</t>
  </si>
  <si>
    <t>OM</t>
  </si>
  <si>
    <t>deprivation</t>
  </si>
  <si>
    <t>Qualifying benefits</t>
  </si>
  <si>
    <t>Payment rate</t>
  </si>
  <si>
    <t>Eligible FCERM GiA</t>
  </si>
  <si>
    <t>OM1</t>
  </si>
  <si>
    <t>OM2</t>
  </si>
  <si>
    <t>20% most</t>
  </si>
  <si>
    <t>21% to 40%</t>
  </si>
  <si>
    <t>60% least</t>
  </si>
  <si>
    <t>OM3</t>
  </si>
  <si>
    <t>OM4</t>
  </si>
  <si>
    <t>Total</t>
  </si>
  <si>
    <t>No</t>
  </si>
  <si>
    <t>low risk</t>
  </si>
  <si>
    <t>moderate risk</t>
  </si>
  <si>
    <t>Towards qualifying outcomes</t>
  </si>
  <si>
    <t>towards pv qualifying outcomes up-front</t>
  </si>
  <si>
    <t>towards pv qualifying outcomes future</t>
  </si>
  <si>
    <t>towards pv appraisal costs</t>
  </si>
  <si>
    <t>lower risk</t>
  </si>
  <si>
    <t>Contributor or Fund</t>
  </si>
  <si>
    <t>overall</t>
  </si>
  <si>
    <t xml:space="preserve">Habitat type
</t>
  </si>
  <si>
    <t>Intertidal habitat</t>
  </si>
  <si>
    <t>Woodland</t>
  </si>
  <si>
    <t>Wetlands/wet grassland</t>
  </si>
  <si>
    <t>Grassland</t>
  </si>
  <si>
    <t>Ponds/lakes</t>
  </si>
  <si>
    <t>Arable land</t>
  </si>
  <si>
    <t>Type of Habitat</t>
  </si>
  <si>
    <t>Comprehensive restoration of physical modifications</t>
  </si>
  <si>
    <t>Partial restoration of physical modifications</t>
  </si>
  <si>
    <t>Improvements to fish passage (distance to next barrier)</t>
  </si>
  <si>
    <t>Intervention types</t>
  </si>
  <si>
    <t>Benefit (£ /km/yr)</t>
  </si>
  <si>
    <t>Length of river habitat enhanced</t>
  </si>
  <si>
    <t>habitat</t>
  </si>
  <si>
    <t>rivers</t>
  </si>
  <si>
    <t>Annual damages avoided (£) compared with a household at low risk</t>
  </si>
  <si>
    <t>years</t>
  </si>
  <si>
    <t>Damages per household avoided:</t>
  </si>
  <si>
    <t>Annual damages avoided</t>
  </si>
  <si>
    <t>Loss expected in</t>
  </si>
  <si>
    <t>Present value of Year 1 loss (i.e. first year damages, discounted based on when loss is expected)</t>
  </si>
  <si>
    <t>Assumptions for habitat improvements - annual benefit</t>
  </si>
  <si>
    <t>Assumptions for river improvements - annual benefit</t>
  </si>
  <si>
    <t>Effective return to taxpayer:</t>
  </si>
  <si>
    <t>Effective return on contributions:</t>
  </si>
  <si>
    <t>Minimum pv contribution/saving required</t>
  </si>
  <si>
    <t>Ref:</t>
  </si>
  <si>
    <r>
      <t>N</t>
    </r>
    <r>
      <rPr>
        <b/>
        <vertAlign val="superscript"/>
        <sz val="10.5"/>
        <color theme="1"/>
        <rFont val="Arial"/>
        <family val="2"/>
      </rPr>
      <t>o</t>
    </r>
    <r>
      <rPr>
        <b/>
        <sz val="10.5"/>
        <color theme="1"/>
        <rFont val="Arial"/>
        <family val="2"/>
      </rPr>
      <t xml:space="preserve"> households in deprived areas</t>
    </r>
  </si>
  <si>
    <t xml:space="preserve">lower risk </t>
  </si>
  <si>
    <t>Year after decision to invest</t>
  </si>
  <si>
    <t>Up-front costs
(appraisal, design and build)</t>
  </si>
  <si>
    <t>prior years</t>
  </si>
  <si>
    <t>this year</t>
  </si>
  <si>
    <t>Whole life present value</t>
  </si>
  <si>
    <t>present value whole life cost</t>
  </si>
  <si>
    <t>future costs
(maintenance, operation and future capital)</t>
  </si>
  <si>
    <t>up-front costs
(appraisal, design and build)</t>
  </si>
  <si>
    <t>whole life costs</t>
  </si>
  <si>
    <t>whole life cash cost (current price base) £</t>
  </si>
  <si>
    <t>whole life present value £</t>
  </si>
  <si>
    <t>Percentage contribution</t>
  </si>
  <si>
    <t>Whole life cash cost</t>
  </si>
  <si>
    <t>pv WLC (over duration of benefits)</t>
  </si>
  <si>
    <t>Test</t>
  </si>
  <si>
    <t>Raw score</t>
  </si>
  <si>
    <t>Contributions required</t>
  </si>
  <si>
    <t>PF Calculator (above)</t>
  </si>
  <si>
    <t>%age of whole life costs</t>
  </si>
  <si>
    <t>Enter, either a %age contribution, a present value contributions sum, or a lump sum contribution</t>
  </si>
  <si>
    <t>tbc</t>
  </si>
  <si>
    <t>Official</t>
  </si>
  <si>
    <t>people related</t>
  </si>
  <si>
    <t>Outcome Measure 1</t>
  </si>
  <si>
    <t>Overall policy intention</t>
  </si>
  <si>
    <t>Outcome Measure 2</t>
  </si>
  <si>
    <t>Outcome Measure 3</t>
  </si>
  <si>
    <t>Outcome Measure 4</t>
  </si>
  <si>
    <t>Description of key formulae</t>
  </si>
  <si>
    <t>Formula description in Partnership Funding Calculator</t>
  </si>
  <si>
    <t>Formula</t>
  </si>
  <si>
    <t>= the maximum eligible FCERM GiA divided by the whole life cost</t>
  </si>
  <si>
    <t>Minimum contribution required</t>
  </si>
  <si>
    <t>FCERM GiA towards up-front costs</t>
  </si>
  <si>
    <t>FCERM GiA towards future costs</t>
  </si>
  <si>
    <t xml:space="preserve">= if the lead organisation is the Environment Agency, then the maximum eligible FCERM GiA divided by the whole life cost less the value of contributions, otherwise, if the lead organisation is another RMA, then the raw PF score plus the value of contributions divided by the whole life cost for approval </t>
  </si>
  <si>
    <t>= if the lead organisation is the Environment Agency, then the whole life cost less the maximum eligible FCERM GiA, otherwise 1 minus the Raw PF Score multiplied by the whole life cost for approval</t>
  </si>
  <si>
    <t>= when Adjusted PF Score is 100% or greater, then the whole life cost for approval less the contributions towards capital</t>
  </si>
  <si>
    <t>= for Environment Agency only, when the Adjusted PF Score is 100% or greater, then the future cost less the contribution towards future costs</t>
  </si>
  <si>
    <t>Lump sum cash contribution</t>
  </si>
  <si>
    <t>Requirements on projects</t>
  </si>
  <si>
    <t>SECTION 2: Prospect of eligibility for FCERM GiA</t>
  </si>
  <si>
    <t>SECTION 1: Project details</t>
  </si>
  <si>
    <t>SECTION 4: Outcome Measure 1 - economic benefits arising from FCERM</t>
  </si>
  <si>
    <t>SECTION 6: Outcome Measure 3 - households better protected against coastal erosion</t>
  </si>
  <si>
    <t>SECTION 7: Outcome Measure 4 - environmental improvements</t>
  </si>
  <si>
    <r>
      <t xml:space="preserve">You should ensure that the project cash data used in this calculator is for the proposed </t>
    </r>
    <r>
      <rPr>
        <b/>
        <sz val="16"/>
        <color rgb="FFFF0000"/>
        <rFont val="Calibri"/>
        <family val="2"/>
      </rPr>
      <t>DURATION OF BENEFITS period</t>
    </r>
    <r>
      <rPr>
        <b/>
        <sz val="12"/>
        <color rgb="FFFF0000"/>
        <rFont val="Calibri"/>
        <family val="2"/>
      </rPr>
      <t xml:space="preserve"> only.</t>
    </r>
  </si>
  <si>
    <t>Economic summary</t>
  </si>
  <si>
    <r>
      <t xml:space="preserve">The deprivation categories are taken from the </t>
    </r>
    <r>
      <rPr>
        <b/>
        <sz val="10.5"/>
        <rFont val="Arial"/>
        <family val="2"/>
      </rPr>
      <t>Index of Multiple Deprivation</t>
    </r>
    <r>
      <rPr>
        <sz val="10.5"/>
        <rFont val="Arial"/>
        <family val="2"/>
      </rPr>
      <t>, available through gov.uk (see guidance and version sheet for links)</t>
    </r>
  </si>
  <si>
    <t>intermediate risk</t>
  </si>
  <si>
    <t>Intermediate risk band</t>
  </si>
  <si>
    <t>Residential properties</t>
  </si>
  <si>
    <t>Commercial properties</t>
  </si>
  <si>
    <t>Transport (road, rail, air, ports)</t>
  </si>
  <si>
    <t>Utilities (water, gas, electricity, waste)</t>
  </si>
  <si>
    <t>Health*</t>
  </si>
  <si>
    <t>Temporary accommodation</t>
  </si>
  <si>
    <t>Emergency services</t>
  </si>
  <si>
    <t>Flood risk asset repair</t>
  </si>
  <si>
    <t>Agriculture</t>
  </si>
  <si>
    <t>Recreation and leisure facilities</t>
  </si>
  <si>
    <t>Environment**</t>
  </si>
  <si>
    <t>Built heritage</t>
  </si>
  <si>
    <t>Education</t>
  </si>
  <si>
    <t>Tourism</t>
  </si>
  <si>
    <t>pv £</t>
  </si>
  <si>
    <t>Total (OM1a)</t>
  </si>
  <si>
    <t>Other (describe)</t>
  </si>
  <si>
    <t>Contribution towards FCERM outcomes</t>
  </si>
  <si>
    <t>Residential properties protected from flooding/erosion</t>
  </si>
  <si>
    <t>Non-residential properties protected from flooding/erosion</t>
  </si>
  <si>
    <t>Other residential benefits</t>
  </si>
  <si>
    <t>Above ground appartments no longer at risk of disruption</t>
  </si>
  <si>
    <t>Vehicles protected from flooding</t>
  </si>
  <si>
    <t>Public services</t>
  </si>
  <si>
    <t>Hospitals, surgeries and other medical sites</t>
  </si>
  <si>
    <t>Schools, colleges, universities and nurseries</t>
  </si>
  <si>
    <t>Police, fire and ambulance stations</t>
  </si>
  <si>
    <t>Parks</t>
  </si>
  <si>
    <t>Industry, commerce and administration</t>
  </si>
  <si>
    <t>Industrial sites</t>
  </si>
  <si>
    <t>Shops</t>
  </si>
  <si>
    <t>Hotels</t>
  </si>
  <si>
    <t>Office buildings</t>
  </si>
  <si>
    <t>Leisure sites</t>
  </si>
  <si>
    <t>Transport</t>
  </si>
  <si>
    <t>Transport interchanges, stations, ports and depots</t>
  </si>
  <si>
    <t>Road (kilometres)</t>
  </si>
  <si>
    <t>Rail (kilometres)</t>
  </si>
  <si>
    <t>Utilities</t>
  </si>
  <si>
    <t>Electricity sub-stations</t>
  </si>
  <si>
    <t>Pumping stations</t>
  </si>
  <si>
    <t>Telecommunication sites</t>
  </si>
  <si>
    <t>Water, waste water, sewage treatment works</t>
  </si>
  <si>
    <t>Gas, oil storage, distribution sites</t>
  </si>
  <si>
    <t>Waste management sites</t>
  </si>
  <si>
    <t>Agricultural land (hectares)</t>
  </si>
  <si>
    <t>Grade 1, 2 and 3 agricultural land (hectares)</t>
  </si>
  <si>
    <t>Agricultural buildings</t>
  </si>
  <si>
    <t>Unused sites and development land</t>
  </si>
  <si>
    <t>Development land (in a Local Authority plan)</t>
  </si>
  <si>
    <t>Unused land (in a Local Authority plan)</t>
  </si>
  <si>
    <t>* - including social and psychological impacts of flooding and public health - including damage to hospitals and health centres - and fatalities - including distress</t>
  </si>
  <si>
    <t>** - all natural capital, including wildlife and heritage</t>
  </si>
  <si>
    <t>*** - for example, nature conservation, community services, military services, etc</t>
  </si>
  <si>
    <t>Text in support (as needed)</t>
  </si>
  <si>
    <t>Economic summary - v1</t>
  </si>
  <si>
    <t>SA1, SA2, SA3, SA4, SA5, SA6, SA7 - v1</t>
  </si>
  <si>
    <t>Project and programme managers</t>
  </si>
  <si>
    <t>Project consultants and suppliers</t>
  </si>
  <si>
    <t xml:space="preserve">Risk Management Authorities applying for FCERM GiA
</t>
  </si>
  <si>
    <t>Links to other relevant guidance and information sources:</t>
  </si>
  <si>
    <t>Appaisal guidance</t>
  </si>
  <si>
    <t>Economic summary data is required to inform reporting of the benefits and outcomes that come from investing in FCERM infrastructure.  The benefits data proposed is the same as that which is used to report on the damages associated with flood events.  All the data should be available from a proportionate appraisal.  The data will also help to inform future changes to Defra's Flood and Coastal Resilience Partnership Funding policy.</t>
  </si>
  <si>
    <t>Non-FCERM benefits (free text description with values, where known)</t>
  </si>
  <si>
    <t>Source:  HMT Green Book</t>
  </si>
  <si>
    <t>Long term standard discount factor</t>
  </si>
  <si>
    <t>HMT standard discount factor (Green Book)</t>
  </si>
  <si>
    <t>SA1: pv WLC - Affordability</t>
  </si>
  <si>
    <t>SA2: OM2 - Flood risks lower than assumptions made</t>
  </si>
  <si>
    <t>SA3: OM3 - Erosion risks lower than assumptions made</t>
  </si>
  <si>
    <t>SA4: Duration of benefits - Option choice is conservative</t>
  </si>
  <si>
    <t>SA5: Duration of benefits - Option choice is optimistic</t>
  </si>
  <si>
    <t>SA6: Strategic considerations not demonstrated</t>
  </si>
  <si>
    <t>SA7: Change in environmental habitat is optimistic</t>
  </si>
  <si>
    <t>Year for which contribution is provided</t>
  </si>
  <si>
    <t>whole life contribution (current price base) £</t>
  </si>
  <si>
    <t>whole life contribution</t>
  </si>
  <si>
    <t>contribution - future costs
(maintenance, operation and future capital)</t>
  </si>
  <si>
    <t>contribution - up-front costs
(appraisal, design and build)</t>
  </si>
  <si>
    <t>whole life contribution present value £</t>
  </si>
  <si>
    <t>Present value calculator</t>
  </si>
  <si>
    <t>Whole life cash contribution</t>
  </si>
  <si>
    <t>Whole life present value contribution</t>
  </si>
  <si>
    <t>Calculating a contribution</t>
  </si>
  <si>
    <t>Contributions should ideally be secured based on the value of the proposed outcomes to the contributor.  Contributors may wish to limit how and when a contribution can be spent and their preferences must be taken into account when the value of the contribution to the project is worked out.  As far as possible, contributions should be proportionate to the annualised FCERM GiA spend to which they relate.</t>
  </si>
  <si>
    <t>If a contribution is limited towards capital up-front costs only, the contribution should be valued over the period of time for which capital up-front FCERM GiA is proposed.  The same approach should be followed for contributions towards whole life costs, or towards maintenance and operational costs only.</t>
  </si>
  <si>
    <t>The time value of a contribution</t>
  </si>
  <si>
    <t>A contribution must be valued at the time it is to be spent and not at the time it is received.  In this way, contributions that are predicated on capital works only, or on maintenance only, can be valued correctly and treated in the same way as the calculation of eligible FCERM GiA.  To do otherwise would be incorrect.</t>
  </si>
  <si>
    <t>The present value of project costs</t>
  </si>
  <si>
    <t>The present value of a contribution</t>
  </si>
  <si>
    <t>Contribution towards up-front capital costs</t>
  </si>
  <si>
    <t>Contribution towards future costs</t>
  </si>
  <si>
    <t>Section 1</t>
  </si>
  <si>
    <t>Section 2</t>
  </si>
  <si>
    <t>Section 3</t>
  </si>
  <si>
    <t>Section 4</t>
  </si>
  <si>
    <t>Valuing a contribution</t>
  </si>
  <si>
    <t>This sheet will calculate the PRESENT VALUE of a future cash sum, or series of cash sums or a contribution.</t>
  </si>
  <si>
    <t xml:space="preserve">The present value sums can be used in the PF Calculator sheet. </t>
  </si>
  <si>
    <t>These calculations are provided as an aid only and are standalone from the PF Calculator and associated sheets (tabs coloured in green).   They do not replace the requirement to undertake more detailed present value calculations as part of an economic appraisal, or to agree a contribution sum with partners.</t>
  </si>
  <si>
    <r>
      <t xml:space="preserve">You should ensure that the project contribution data used in this calculator is for the proposed </t>
    </r>
    <r>
      <rPr>
        <b/>
        <sz val="16"/>
        <color rgb="FFFF0000"/>
        <rFont val="Calibri"/>
        <family val="2"/>
      </rPr>
      <t>DURATION OF BENEFITS period</t>
    </r>
    <r>
      <rPr>
        <b/>
        <sz val="12"/>
        <color rgb="FFFF0000"/>
        <rFont val="Calibri"/>
        <family val="2"/>
      </rPr>
      <t xml:space="preserve"> only.</t>
    </r>
  </si>
  <si>
    <t>Instructions for use of this calculator</t>
  </si>
  <si>
    <t>Change notes</t>
  </si>
  <si>
    <t>Lump sum contributions</t>
  </si>
  <si>
    <t>Years over which lump sum contribution applies</t>
  </si>
  <si>
    <t>contribution - up-front cash costs
(appraisal, design and build)</t>
  </si>
  <si>
    <t>contribution - future cash costs
(maintenance, operation and future capital)</t>
  </si>
  <si>
    <t>value of whole life cash lump sum contribution</t>
  </si>
  <si>
    <t>Table C: CASH VALUE contribution at current price base</t>
  </si>
  <si>
    <t>Table B: PRESENT VALUE project costs</t>
  </si>
  <si>
    <t>Table D: PRESENT VALUE contribution</t>
  </si>
  <si>
    <t>%age</t>
  </si>
  <si>
    <t>Example sensitivity analyses</t>
  </si>
  <si>
    <t>%age benefits</t>
  </si>
  <si>
    <t>OM1a</t>
  </si>
  <si>
    <t>OM1b</t>
  </si>
  <si>
    <r>
      <t xml:space="preserve">Complete </t>
    </r>
    <r>
      <rPr>
        <b/>
        <sz val="16"/>
        <rFont val="Arial"/>
        <family val="2"/>
      </rPr>
      <t>Section 1</t>
    </r>
    <r>
      <rPr>
        <b/>
        <sz val="12"/>
        <rFont val="Arial"/>
        <family val="2"/>
      </rPr>
      <t xml:space="preserve"> first with the baseline costs (today's price base).  Results are presented in Table B</t>
    </r>
  </si>
  <si>
    <r>
      <rPr>
        <b/>
        <sz val="16"/>
        <rFont val="Arial"/>
        <family val="2"/>
      </rPr>
      <t>Section 2</t>
    </r>
    <r>
      <rPr>
        <b/>
        <sz val="12"/>
        <rFont val="Arial"/>
        <family val="2"/>
      </rPr>
      <t xml:space="preserve"> sets out the distribution of the contribution between up-front capital costs and future costs</t>
    </r>
  </si>
  <si>
    <t>A lump sum contribution includes for inflation over the time for which it is provided.  To calculate the cash value at the current price base requires this inflation is removed for the contribution shared over time.  The pv calculator includes a tool for this (columns Y and Z).</t>
  </si>
  <si>
    <t>Cash PRESENT VALUE of a lump sum contribution (removing the effects of chosen inflation rate)</t>
  </si>
  <si>
    <t>Table A: CASH VALUE project costs at current price base</t>
  </si>
  <si>
    <t>pv benefits £</t>
  </si>
  <si>
    <t>selection</t>
  </si>
  <si>
    <t>input</t>
  </si>
  <si>
    <t>Eligible FCERM benefits</t>
  </si>
  <si>
    <r>
      <t xml:space="preserve">The Economic summary should be completed for all FCERM projects seeking to secure FCERM GiA from the Outline Business Case stage FSoD approval.  The economic benefits and outcomes data should be for the PREFERRED OPTION over the proposed duration of benefits period.  </t>
    </r>
    <r>
      <rPr>
        <b/>
        <sz val="12"/>
        <color rgb="FFFF0000"/>
        <rFont val="Arial"/>
        <family val="2"/>
      </rPr>
      <t>There is no requirement for every project to contribute to every benefit area or outcome.</t>
    </r>
    <r>
      <rPr>
        <b/>
        <sz val="12"/>
        <color theme="1"/>
        <rFont val="Arial"/>
        <family val="2"/>
      </rPr>
      <t xml:space="preserve">  
The data is </t>
    </r>
    <r>
      <rPr>
        <b/>
        <u/>
        <sz val="12"/>
        <color theme="1"/>
        <rFont val="Arial"/>
        <family val="2"/>
      </rPr>
      <t>not required</t>
    </r>
    <r>
      <rPr>
        <b/>
        <sz val="12"/>
        <color theme="1"/>
        <rFont val="Arial"/>
        <family val="2"/>
      </rPr>
      <t xml:space="preserve"> for business case stages before the Outline Business Case.</t>
    </r>
  </si>
  <si>
    <t>Additional benefits categories</t>
  </si>
  <si>
    <t>Recovery, repair and clean-up impacts</t>
  </si>
  <si>
    <t>Project teams are required to complete the Economic summary sheet as part of their submission of the Partnership Funding Calculator from the Outline Business Case (OBC) onwards.  By not completing the Economic Summary sheet, a project may delay approval of FCERM GiA.</t>
  </si>
  <si>
    <t>= the amount of FCERM GiA determined from the contributions to outcome measures discounted over the duration of benefits period</t>
  </si>
  <si>
    <r>
      <rPr>
        <b/>
        <sz val="16"/>
        <rFont val="Arial"/>
        <family val="2"/>
      </rPr>
      <t>Section 3</t>
    </r>
    <r>
      <rPr>
        <b/>
        <sz val="12"/>
        <rFont val="Arial"/>
        <family val="2"/>
      </rPr>
      <t xml:space="preserve"> should only be completed when contributors can effectively provide funding from the start of the project.  Results are presented in Table D</t>
    </r>
    <r>
      <rPr>
        <b/>
        <sz val="16"/>
        <rFont val="Arial"/>
        <family val="2"/>
      </rPr>
      <t/>
    </r>
  </si>
  <si>
    <r>
      <rPr>
        <b/>
        <sz val="16"/>
        <rFont val="Arial"/>
        <family val="2"/>
      </rPr>
      <t>Section 4</t>
    </r>
    <r>
      <rPr>
        <b/>
        <sz val="12"/>
        <rFont val="Arial"/>
        <family val="2"/>
      </rPr>
      <t xml:space="preserve"> offers the opportunity for manual entry for contributions where there are timing considerations.  If Section 4 is required, Section 3 should be left blank.  Results are presented in Table D</t>
    </r>
  </si>
  <si>
    <t>Valuing a cash value at today's price base for a LUMP SUM contribution</t>
  </si>
  <si>
    <t>Project teams are required to provide a copy of the PF Calculator within their business case for approval of FCERM GiA.</t>
  </si>
  <si>
    <t>lump sum contribution in cash today's price base £
(copy to Table C)</t>
  </si>
  <si>
    <t>Inflation discount factor ( construction price base)
User input</t>
  </si>
  <si>
    <t>pv max. eligible GiA</t>
  </si>
  <si>
    <t>SECTION 8: Qualifying benefits and eligible FCERM GiA arising from project</t>
  </si>
  <si>
    <t>English indices of deprivation</t>
  </si>
  <si>
    <t>Investment Journey (Flownet, on Knowledgehub)</t>
  </si>
  <si>
    <t>Poor</t>
  </si>
  <si>
    <t>Moderate</t>
  </si>
  <si>
    <t>Good</t>
  </si>
  <si>
    <t>Project Name</t>
  </si>
  <si>
    <t>Heathland</t>
  </si>
  <si>
    <t>National Project number</t>
  </si>
  <si>
    <t>Date of PF Calculator</t>
  </si>
  <si>
    <t>Lead RMA</t>
  </si>
  <si>
    <t>FCERM GiA applicant type</t>
  </si>
  <si>
    <t>Project stage</t>
  </si>
  <si>
    <t>Option reference</t>
  </si>
  <si>
    <t>Confirmed strategic approach?</t>
  </si>
  <si>
    <t>pv appraisal costs</t>
  </si>
  <si>
    <t>pv design and construction costs</t>
  </si>
  <si>
    <t>pv risk contingency</t>
  </si>
  <si>
    <t>pv future costs</t>
  </si>
  <si>
    <t>pv Local Levy</t>
  </si>
  <si>
    <t>pv other public sector</t>
  </si>
  <si>
    <t>pv private and voluntary sector</t>
  </si>
  <si>
    <t>pv other Environment Agency</t>
  </si>
  <si>
    <t>pv WLB (appraisal period)</t>
  </si>
  <si>
    <t>Economic summary sheet completed</t>
  </si>
  <si>
    <t>Economic data included in business case?</t>
  </si>
  <si>
    <t>20% most deprived</t>
  </si>
  <si>
    <t>21% to 40% most deprived</t>
  </si>
  <si>
    <t>60% least deprived</t>
  </si>
  <si>
    <t xml:space="preserve"> 60% least deprived</t>
  </si>
  <si>
    <t>A single, major physical improvement</t>
  </si>
  <si>
    <r>
      <t>National Project N</t>
    </r>
    <r>
      <rPr>
        <vertAlign val="superscript"/>
        <sz val="10.5"/>
        <color theme="1"/>
        <rFont val="Arial"/>
        <family val="2"/>
      </rPr>
      <t>o</t>
    </r>
  </si>
  <si>
    <t>Date completed</t>
  </si>
  <si>
    <t>Year today - FBC approval</t>
  </si>
  <si>
    <t>Total (blank)</t>
  </si>
  <si>
    <t>Other groups and organisations can use this calculator to understand how much FCERM GiA may be eligible for risk management interventions in their communities</t>
  </si>
  <si>
    <t>PF calculator 2020 v1</t>
  </si>
  <si>
    <t>Policy assumptions and formulae - v1</t>
  </si>
  <si>
    <t>pv calculator - v1</t>
  </si>
  <si>
    <t>Calculate grant-in-aid funding for flood and coastal erosion risk management projects</t>
  </si>
  <si>
    <t>Project teams are required to provide a copy of the Partnership Funding Calculator within their business case for approval of FCERM GiA in format that can be checked and tested by assurers.</t>
  </si>
  <si>
    <t>When using this form, project teams are required to use the guidance: 'Calculate grant-in-aid funding for flood and coastal erosion risk management projects' (see requirement 4 for link, below).</t>
  </si>
  <si>
    <t>March 2020 - PF Calculator 2020 v1:  New PF calculator for use alongside Defra's Partnership Funding (2020) policy. Design and content included in AIMS-PD and PAFS. Changes managed by FCRM Risk Assessment and Investment, Environment Agency.</t>
  </si>
  <si>
    <t>The Partnership Funding calculator 2020</t>
  </si>
  <si>
    <t>Multi-coloured handbook and manual</t>
  </si>
  <si>
    <t>Figures in blue to be included in the national FCERM capital programme for the chosen option</t>
  </si>
  <si>
    <t>Contributor(s) or Fund(s)</t>
  </si>
  <si>
    <t>Duration of benefits (DoB) period</t>
  </si>
  <si>
    <t>pv WLB (DoB = OM1A)</t>
  </si>
  <si>
    <t>People related impacts - due to measures proposed (DoB = OM1B)</t>
  </si>
  <si>
    <t>Project benefit to cost ratio:</t>
  </si>
  <si>
    <t>Partnership Funding (PF) calculator 2020 for Flood and Coastal Erosion Risk Management Grant-in-Aid (FCERM GiA)</t>
  </si>
  <si>
    <t>Version 1: March 2020 (for use by projects delivering FCERM outcomes after 1 April 2021)</t>
  </si>
  <si>
    <t>B57</t>
  </si>
  <si>
    <t>Text</t>
  </si>
  <si>
    <t>Partnership Funding (PF) calculator 2020 for Flood and Coastal Erosion Risk Management Grant-in-Aid (FCERM-GiA) - Sensitivity</t>
  </si>
  <si>
    <t>B58</t>
  </si>
  <si>
    <t>kilometre(s)</t>
  </si>
  <si>
    <t>Comprehensive restoration</t>
  </si>
  <si>
    <t>Partial restoration</t>
  </si>
  <si>
    <t>Condition before the project (Ha)</t>
  </si>
  <si>
    <t>Condition after project completion (Ha)</t>
  </si>
  <si>
    <t>Type of habitat (OM4A)</t>
  </si>
  <si>
    <t>Length of river habitat enhanced (OM4B)</t>
  </si>
  <si>
    <t>Total number of properties</t>
  </si>
  <si>
    <t>Number</t>
  </si>
  <si>
    <t>Additional categories</t>
  </si>
  <si>
    <t>at risk after duration of benefits</t>
  </si>
  <si>
    <t>SECTION 5A: Outcome Measure 2A (today) - households at risk today that are better protected against flood risk by this project (over the duration of benefits period)</t>
  </si>
  <si>
    <t>SECTION 5B: Outcome Measure 2B (2040) - households at risk in 2040 that are better protected against flood risk by this project (over the remaining duration of benefits period)</t>
  </si>
  <si>
    <t>Year when measures are ready for service - Gateway 4</t>
  </si>
  <si>
    <t>'before' condition (Ha)</t>
  </si>
  <si>
    <t>'after' condition at end of DoB (Ha)</t>
  </si>
  <si>
    <t>For example: moving a household from the very significant risk band to the low risk band is valued 27 times higher for the purposes of national funding compared to moving a household from the low risk band to the moderate risk band.</t>
  </si>
  <si>
    <t>T49</t>
  </si>
  <si>
    <t>Link needed to document on PF gov.uk pages</t>
  </si>
  <si>
    <t>Principles to follow when setting up funding partnerships to tackle flood and coastal erosion</t>
  </si>
  <si>
    <t>FCERM GiA for OM1A</t>
  </si>
  <si>
    <t>People related FCERM benefits (risk to life, stress and health, mental health, vehicle damages avoided, residential evacuation costs) - OM1B</t>
  </si>
  <si>
    <t>Overall FCERM economic benefits - OM1A</t>
  </si>
  <si>
    <t>FCERM GiA for OM1B</t>
  </si>
  <si>
    <t>= the value of the qualifying FCERM economic people-related benefits for the chosen duration of benefits period, multiplied by the OM1B payment tariff</t>
  </si>
  <si>
    <t xml:space="preserve"> = the value of qualifying FCERM economic benefits for the chosen duration of benefits period, less the qualifying benefits from OM1B, OM2, OM3 and OM4, multiplied by the OM1A payment tariff</t>
  </si>
  <si>
    <t>FCERM GiA for OM2A</t>
  </si>
  <si>
    <t>FCERM GiA for OM2B</t>
  </si>
  <si>
    <t>= the qualifying benefits for households at risk today, multiplied by the relevant payment tariff based on the household scaling factors for deprivation</t>
  </si>
  <si>
    <t>= the qualifying benefits for households becoming at risk in 2040, multiplied by the relevant payment tariff based on the household scaling factors for deprivation</t>
  </si>
  <si>
    <t>Qualifying benefits for households at risk in 2040 that are better protected against flood risk by this project</t>
  </si>
  <si>
    <t>Qualifying benefits for households at risk today that are better protected against flood risk by this project</t>
  </si>
  <si>
    <t>= the change in risk for the identified households, multiplied by relevant annual flood damages for the change in risk and discounted for the chosen duration of benefits period</t>
  </si>
  <si>
    <t>= the change in risk for the identified households multiplied by the relevant annual flood damages for the change in risk and discounted for the chosen duration of benefits period, less the change in risk for the identified households multiplied by the relevant annual flood damages for the change in risk from today until 2040</t>
  </si>
  <si>
    <t>Qualifying benefits households better protected against coastal erosion</t>
  </si>
  <si>
    <t>= the identified households multiplied by the relevant annual damages and discounted for the chosen duration of benefis period</t>
  </si>
  <si>
    <t>long-term 
loss</t>
  </si>
  <si>
    <t>Annual eligible damages per household</t>
  </si>
  <si>
    <t>Mid-points for damage eligibility calculations</t>
  </si>
  <si>
    <t>Assumed likelihood for calculating eligible damages (mid-points for damage eligibility calculations)</t>
  </si>
  <si>
    <t>Household FCERM GiA tariff</t>
  </si>
  <si>
    <t>FCERM GiA for OM3</t>
  </si>
  <si>
    <t>= the qualifying benefits for households at risk today mutiplied by the relevant payment tariff based on the household scalling factors for deprivation</t>
  </si>
  <si>
    <t>Qualifying benefits for habitat improvements</t>
  </si>
  <si>
    <t>FCERM GiA for OM4A</t>
  </si>
  <si>
    <t>Qualifying benefits for river improvements</t>
  </si>
  <si>
    <t>FCERM GiA for OM4B</t>
  </si>
  <si>
    <t>= the qualifying benefits for the sum of all habitat improvements mutiplied by the natural capital FCERM GiA payment tariff</t>
  </si>
  <si>
    <t>Natural capital FCERM GiA tariff</t>
  </si>
  <si>
    <t>= the change in hectares of habitat by condition type multiplied by the relevant condition benefit value and discounted for the chosen duration of benefits period</t>
  </si>
  <si>
    <t>= the length of river improvement multiplied by the relevant benefit value and discounted for the chosen duration of benefits period</t>
  </si>
  <si>
    <t>= the qualifying benefits for the sum of all river improvements mutiplied by the natural capital FCERM GiA payment tariff</t>
  </si>
  <si>
    <t>Guidance:</t>
  </si>
  <si>
    <t>Lump sum contribution towards up-front costs (distributed in proportion over stages chosen in Section 2)</t>
  </si>
  <si>
    <t>Lump sum contribution towards future costs (distributed in proportion over stages chosen in Section 2)</t>
  </si>
  <si>
    <t>The following calculation is not linked to the Tables in Sections 1, 2, 3 and 4.  
Data, if required, should be copied from cell AB12 below to cell V14 for the calculation of social time present values (HMT) of a LUMP SUM contribution.</t>
  </si>
  <si>
    <t>OBC</t>
  </si>
  <si>
    <t>ABCDEFGHJKL</t>
  </si>
  <si>
    <t>Yes</t>
  </si>
  <si>
    <t>Jason Leigh-Griffiths Test PFC</t>
  </si>
  <si>
    <t>Bristol County Council</t>
  </si>
  <si>
    <t>JLG</t>
  </si>
  <si>
    <t>RR</t>
  </si>
  <si>
    <t>Internal Drainage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</si>
</sst>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quot;£&quot;#,##0;[Red]\-&quot;£&quot;#,##0"/>
    <numFmt numFmtId="165" formatCode="_-&quot;£&quot;* #,##0_-;\-&quot;£&quot;* #,##0_-;_-&quot;£&quot;* &quot;-&quot;_-;_-@_-"/>
    <numFmt numFmtId="166" formatCode="_-&quot;£&quot;* #,##0.00_-;\-&quot;£&quot;* #,##0.00_-;_-&quot;£&quot;* &quot;-&quot;??_-;_-@_-"/>
    <numFmt numFmtId="167" formatCode="_-* #,##0.00_-;\-* #,##0.00_-;_-* &quot;-&quot;??_-;_-@_-"/>
    <numFmt numFmtId="168" formatCode="0.0000"/>
    <numFmt numFmtId="169" formatCode="0.0"/>
    <numFmt numFmtId="170" formatCode="[$-F800]dddd\,\ mmmm\ dd\,\ yyyy"/>
    <numFmt numFmtId="171" formatCode="_-[$£-809]* #,##0_-;\-[$£-809]* #,##0_-;_-[$£-809]* &quot;-&quot;??_-;_-@_-"/>
    <numFmt numFmtId="172" formatCode="0_ ;[Red]\-0\ "/>
    <numFmt numFmtId="173" formatCode="_-&quot;£&quot;* #,##0_-;\-&quot;£&quot;* #,##0_-;_-&quot;£&quot;* &quot;-&quot;??_-;_-@_-"/>
    <numFmt numFmtId="174" formatCode="_-* #,##0_-;\-* #,##0_-;_-* &quot;-&quot;??_-;_-@_-"/>
    <numFmt numFmtId="175" formatCode="#,##0.0"/>
    <numFmt numFmtId="176" formatCode="0.0%"/>
    <numFmt numFmtId="177" formatCode="_-&quot;£&quot;* #,##0.0_-;\-&quot;£&quot;* #,##0.0_-;_-&quot;£&quot;* &quot;-&quot;?_-;_-@_-"/>
  </numFmts>
  <fonts count="84" x14ac:knownFonts="1">
    <font>
      <sz val="12"/>
      <color theme="1"/>
      <name val="Arial"/>
      <family val="2"/>
    </font>
    <font>
      <sz val="11"/>
      <color theme="1"/>
      <name val="Arial"/>
      <family val="2"/>
    </font>
    <font>
      <b/>
      <sz val="9"/>
      <color indexed="81"/>
      <name val="Tahoma"/>
      <family val="2"/>
    </font>
    <font>
      <sz val="9"/>
      <color indexed="81"/>
      <name val="Tahoma"/>
      <family val="2"/>
    </font>
    <font>
      <sz val="10"/>
      <color theme="1"/>
      <name val="Arial"/>
      <family val="2"/>
    </font>
    <font>
      <b/>
      <sz val="10"/>
      <color theme="1"/>
      <name val="Arial"/>
      <family val="2"/>
    </font>
    <font>
      <sz val="10"/>
      <color rgb="FFFF0000"/>
      <name val="Arial"/>
      <family val="2"/>
    </font>
    <font>
      <sz val="10"/>
      <name val="Arial"/>
      <family val="2"/>
    </font>
    <font>
      <sz val="12"/>
      <color theme="1"/>
      <name val="Arial"/>
      <family val="2"/>
    </font>
    <font>
      <b/>
      <sz val="10"/>
      <color indexed="8"/>
      <name val="Arial"/>
      <family val="2"/>
    </font>
    <font>
      <sz val="10"/>
      <color indexed="8"/>
      <name val="Arial"/>
      <family val="2"/>
    </font>
    <font>
      <b/>
      <sz val="12"/>
      <color theme="3"/>
      <name val="Arial"/>
      <family val="2"/>
    </font>
    <font>
      <sz val="9"/>
      <color theme="1"/>
      <name val="Arial"/>
      <family val="2"/>
    </font>
    <font>
      <b/>
      <sz val="11"/>
      <color theme="1"/>
      <name val="Arial"/>
      <family val="2"/>
    </font>
    <font>
      <b/>
      <sz val="13"/>
      <color theme="1"/>
      <name val="Arial"/>
      <family val="2"/>
    </font>
    <font>
      <sz val="9"/>
      <name val="Arial"/>
      <family val="2"/>
    </font>
    <font>
      <sz val="12"/>
      <color indexed="8"/>
      <name val="Arial"/>
      <family val="2"/>
    </font>
    <font>
      <sz val="9"/>
      <color indexed="8"/>
      <name val="Arial"/>
      <family val="2"/>
    </font>
    <font>
      <i/>
      <sz val="10.5"/>
      <color theme="1"/>
      <name val="Arial"/>
      <family val="2"/>
    </font>
    <font>
      <b/>
      <i/>
      <sz val="10"/>
      <color theme="1"/>
      <name val="Arial"/>
      <family val="2"/>
    </font>
    <font>
      <sz val="10.5"/>
      <color theme="1"/>
      <name val="Arial"/>
      <family val="2"/>
    </font>
    <font>
      <vertAlign val="superscript"/>
      <sz val="10.5"/>
      <color theme="1"/>
      <name val="Arial"/>
      <family val="2"/>
    </font>
    <font>
      <i/>
      <sz val="10.5"/>
      <color indexed="8"/>
      <name val="Arial"/>
      <family val="2"/>
    </font>
    <font>
      <b/>
      <sz val="10.5"/>
      <color theme="1"/>
      <name val="Arial"/>
      <family val="2"/>
    </font>
    <font>
      <b/>
      <sz val="10.5"/>
      <color rgb="FFFF0000"/>
      <name val="Arial"/>
      <family val="2"/>
    </font>
    <font>
      <sz val="10.5"/>
      <color rgb="FFFF0000"/>
      <name val="Arial"/>
      <family val="2"/>
    </font>
    <font>
      <b/>
      <sz val="10.5"/>
      <name val="Arial"/>
      <family val="2"/>
    </font>
    <font>
      <b/>
      <vertAlign val="superscript"/>
      <sz val="10.5"/>
      <color theme="1"/>
      <name val="Arial"/>
      <family val="2"/>
    </font>
    <font>
      <sz val="10.5"/>
      <color indexed="8"/>
      <name val="Arial"/>
      <family val="2"/>
    </font>
    <font>
      <sz val="10.5"/>
      <color indexed="42"/>
      <name val="Arial"/>
      <family val="2"/>
    </font>
    <font>
      <sz val="10.5"/>
      <name val="Arial"/>
      <family val="2"/>
    </font>
    <font>
      <sz val="11"/>
      <color theme="1"/>
      <name val="Calibri"/>
      <family val="2"/>
    </font>
    <font>
      <sz val="16"/>
      <color theme="9" tint="-0.499984740745262"/>
      <name val="Calibri"/>
      <family val="2"/>
    </font>
    <font>
      <b/>
      <sz val="18"/>
      <color theme="1"/>
      <name val="Calibri"/>
      <family val="2"/>
    </font>
    <font>
      <b/>
      <sz val="16"/>
      <name val="Calibri"/>
      <family val="2"/>
    </font>
    <font>
      <b/>
      <sz val="16"/>
      <color indexed="8"/>
      <name val="Calibri"/>
      <family val="2"/>
      <scheme val="minor"/>
    </font>
    <font>
      <b/>
      <sz val="11"/>
      <name val="Calibri"/>
      <family val="2"/>
    </font>
    <font>
      <sz val="11"/>
      <name val="Calibri"/>
      <family val="2"/>
    </font>
    <font>
      <b/>
      <sz val="16"/>
      <name val="Calibri"/>
      <family val="2"/>
      <scheme val="minor"/>
    </font>
    <font>
      <b/>
      <sz val="12"/>
      <color theme="1"/>
      <name val="Arial"/>
      <family val="2"/>
    </font>
    <font>
      <b/>
      <sz val="14"/>
      <name val="Calibri"/>
      <family val="2"/>
    </font>
    <font>
      <sz val="12"/>
      <name val="Arial"/>
      <family val="2"/>
    </font>
    <font>
      <b/>
      <sz val="10.5"/>
      <color rgb="FF0070C0"/>
      <name val="Arial"/>
      <family val="2"/>
    </font>
    <font>
      <b/>
      <sz val="12"/>
      <color theme="0"/>
      <name val="Arial"/>
      <family val="2"/>
    </font>
    <font>
      <sz val="12"/>
      <color theme="0"/>
      <name val="Arial"/>
      <family val="2"/>
    </font>
    <font>
      <sz val="10"/>
      <color theme="0"/>
      <name val="Arial"/>
      <family val="2"/>
    </font>
    <font>
      <b/>
      <sz val="10"/>
      <color theme="0"/>
      <name val="Arial"/>
      <family val="2"/>
    </font>
    <font>
      <b/>
      <sz val="20"/>
      <name val="Arial"/>
      <family val="2"/>
    </font>
    <font>
      <b/>
      <sz val="26"/>
      <name val="Arial"/>
      <family val="2"/>
    </font>
    <font>
      <b/>
      <sz val="18"/>
      <name val="Arial"/>
      <family val="2"/>
    </font>
    <font>
      <b/>
      <sz val="11"/>
      <name val="Arial"/>
      <family val="2"/>
    </font>
    <font>
      <b/>
      <sz val="16"/>
      <color theme="0"/>
      <name val="Arial"/>
      <family val="2"/>
    </font>
    <font>
      <b/>
      <sz val="14"/>
      <name val="Arial"/>
      <family val="2"/>
    </font>
    <font>
      <b/>
      <sz val="10"/>
      <color rgb="FF0070C0"/>
      <name val="Arial"/>
      <family val="2"/>
    </font>
    <font>
      <b/>
      <sz val="12"/>
      <color rgb="FFFF0000"/>
      <name val="Calibri"/>
      <family val="2"/>
    </font>
    <font>
      <b/>
      <sz val="16"/>
      <color rgb="FFFF0000"/>
      <name val="Calibri"/>
      <family val="2"/>
    </font>
    <font>
      <b/>
      <sz val="16"/>
      <color theme="1"/>
      <name val="Arial"/>
      <family val="2"/>
    </font>
    <font>
      <sz val="10.5"/>
      <color rgb="FF0070C0"/>
      <name val="Arial"/>
      <family val="2"/>
    </font>
    <font>
      <b/>
      <i/>
      <sz val="10"/>
      <color theme="4" tint="0.59999389629810485"/>
      <name val="Arial"/>
      <family val="2"/>
    </font>
    <font>
      <b/>
      <sz val="16"/>
      <name val="Arial"/>
      <family val="2"/>
    </font>
    <font>
      <b/>
      <sz val="12"/>
      <color rgb="FFFF0000"/>
      <name val="Arial"/>
      <family val="2"/>
    </font>
    <font>
      <u/>
      <sz val="12"/>
      <color theme="10"/>
      <name val="Arial"/>
      <family val="2"/>
    </font>
    <font>
      <b/>
      <sz val="13"/>
      <name val="Arial"/>
      <family val="2"/>
    </font>
    <font>
      <sz val="12"/>
      <color rgb="FF000000"/>
      <name val="Arial"/>
      <family val="2"/>
    </font>
    <font>
      <sz val="14"/>
      <color rgb="FF0070C0"/>
      <name val="Arial"/>
      <family val="2"/>
    </font>
    <font>
      <b/>
      <sz val="14"/>
      <color theme="1"/>
      <name val="Arial"/>
      <family val="2"/>
    </font>
    <font>
      <sz val="11"/>
      <name val="Arial"/>
      <family val="2"/>
    </font>
    <font>
      <b/>
      <sz val="12"/>
      <name val="Arial"/>
      <family val="2"/>
    </font>
    <font>
      <b/>
      <sz val="18"/>
      <color theme="1"/>
      <name val="Arial"/>
      <family val="2"/>
    </font>
    <font>
      <sz val="16"/>
      <color theme="1"/>
      <name val="Arial"/>
      <family val="2"/>
    </font>
    <font>
      <sz val="14"/>
      <color theme="1"/>
      <name val="Arial"/>
      <family val="2"/>
    </font>
    <font>
      <sz val="16"/>
      <color rgb="FFFF0000"/>
      <name val="Arial"/>
      <family val="2"/>
    </font>
    <font>
      <b/>
      <sz val="16"/>
      <color theme="1" tint="0.34998626667073579"/>
      <name val="Arial"/>
      <family val="2"/>
    </font>
    <font>
      <b/>
      <u/>
      <sz val="20"/>
      <name val="Arial"/>
      <family val="2"/>
    </font>
    <font>
      <b/>
      <sz val="11"/>
      <color rgb="FFFF0000"/>
      <name val="Calibri"/>
      <family val="2"/>
    </font>
    <font>
      <b/>
      <u/>
      <sz val="18"/>
      <name val="Arial"/>
      <family val="2"/>
    </font>
    <font>
      <b/>
      <sz val="18"/>
      <color rgb="FFC00000"/>
      <name val="Calibri"/>
      <family val="2"/>
    </font>
    <font>
      <b/>
      <u/>
      <sz val="12"/>
      <color theme="1"/>
      <name val="Arial"/>
      <family val="2"/>
    </font>
    <font>
      <b/>
      <sz val="11"/>
      <color rgb="FFC00000"/>
      <name val="Calibri"/>
      <family val="2"/>
    </font>
    <font>
      <sz val="11"/>
      <color rgb="FFC00000"/>
      <name val="Calibri"/>
      <family val="2"/>
    </font>
    <font>
      <b/>
      <sz val="10"/>
      <color rgb="FFFF0000"/>
      <name val="Arial"/>
      <family val="2"/>
    </font>
    <font>
      <sz val="16"/>
      <name val="Arial"/>
      <family val="2"/>
    </font>
    <font>
      <sz val="14"/>
      <name val="Arial"/>
      <family val="2"/>
    </font>
    <font>
      <u/>
      <sz val="14"/>
      <name val="Arial"/>
      <family val="2"/>
    </font>
  </fonts>
  <fills count="2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8" tint="0.39997558519241921"/>
        <bgColor indexed="64"/>
      </patternFill>
    </fill>
    <fill>
      <patternFill patternType="lightUp">
        <bgColor theme="8" tint="0.39997558519241921"/>
      </patternFill>
    </fill>
    <fill>
      <patternFill patternType="solid">
        <fgColor theme="2" tint="-0.14999847407452621"/>
        <bgColor indexed="64"/>
      </patternFill>
    </fill>
    <fill>
      <patternFill patternType="solid">
        <fgColor theme="6"/>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rgb="FFFFFF66"/>
        <bgColor indexed="64"/>
      </patternFill>
    </fill>
    <fill>
      <patternFill patternType="solid">
        <fgColor theme="8" tint="0.59999389629810485"/>
        <bgColor indexed="64"/>
      </patternFill>
    </fill>
    <fill>
      <patternFill patternType="lightUp">
        <bgColor theme="8" tint="0.59999389629810485"/>
      </patternFill>
    </fill>
    <fill>
      <patternFill patternType="solid">
        <fgColor theme="4" tint="0.79998168889431442"/>
        <bgColor indexed="64"/>
      </patternFill>
    </fill>
    <fill>
      <patternFill patternType="solid">
        <fgColor theme="9" tint="0.59999389629810485"/>
        <bgColor indexed="64"/>
      </patternFill>
    </fill>
    <fill>
      <patternFill patternType="solid">
        <fgColor rgb="FFCCFFFF"/>
        <bgColor indexed="64"/>
      </patternFill>
    </fill>
    <fill>
      <patternFill patternType="solid">
        <fgColor theme="2" tint="-0.249977111117893"/>
        <bgColor indexed="64"/>
      </patternFill>
    </fill>
    <fill>
      <patternFill patternType="darkUp">
        <bgColor theme="2" tint="-0.249977111117893"/>
      </patternFill>
    </fill>
    <fill>
      <patternFill patternType="solid">
        <fgColor theme="0" tint="-0.34998626667073579"/>
        <bgColor indexed="64"/>
      </patternFill>
    </fill>
  </fills>
  <borders count="9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dashed">
        <color indexed="64"/>
      </bottom>
      <diagonal/>
    </border>
    <border>
      <left/>
      <right style="thin">
        <color indexed="64"/>
      </right>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right/>
      <top style="dashed">
        <color indexed="64"/>
      </top>
      <bottom/>
      <diagonal/>
    </border>
    <border>
      <left/>
      <right style="thin">
        <color indexed="64"/>
      </right>
      <top style="dashed">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style="thin">
        <color indexed="64"/>
      </left>
      <right/>
      <top/>
      <bottom style="dashed">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
      <left/>
      <right/>
      <top/>
      <bottom style="dashDotDot">
        <color indexed="64"/>
      </bottom>
      <diagonal/>
    </border>
    <border>
      <left/>
      <right/>
      <top/>
      <bottom style="thick">
        <color theme="3"/>
      </bottom>
      <diagonal/>
    </border>
    <border>
      <left/>
      <right/>
      <top/>
      <bottom style="medium">
        <color theme="3"/>
      </bottom>
      <diagonal/>
    </border>
    <border>
      <left style="thin">
        <color indexed="64"/>
      </left>
      <right style="medium">
        <color indexed="64"/>
      </right>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s>
  <cellStyleXfs count="6">
    <xf numFmtId="0" fontId="0" fillId="0" borderId="0"/>
    <xf numFmtId="9" fontId="8" fillId="0" borderId="0" applyFont="0" applyFill="0" applyBorder="0" applyAlignment="0" applyProtection="0"/>
    <xf numFmtId="166" fontId="8" fillId="0" borderId="0" applyFont="0" applyFill="0" applyBorder="0" applyAlignment="0" applyProtection="0"/>
    <xf numFmtId="167" fontId="8" fillId="0" borderId="0" applyFont="0" applyFill="0" applyBorder="0" applyAlignment="0" applyProtection="0"/>
    <xf numFmtId="0" fontId="16" fillId="0" borderId="0"/>
    <xf numFmtId="0" fontId="61" fillId="0" borderId="0" applyNumberFormat="0" applyFill="0" applyBorder="0" applyAlignment="0" applyProtection="0"/>
  </cellStyleXfs>
  <cellXfs count="1075">
    <xf numFmtId="0" fontId="0" fillId="0" borderId="0" xfId="0"/>
    <xf numFmtId="0" fontId="4" fillId="0" borderId="0" xfId="0" applyFont="1" applyAlignment="1">
      <alignment vertical="center"/>
    </xf>
    <xf numFmtId="0" fontId="4" fillId="0" borderId="0" xfId="0" applyFont="1" applyAlignment="1">
      <alignment horizontal="center" vertical="center"/>
    </xf>
    <xf numFmtId="0" fontId="0" fillId="0" borderId="0" xfId="0" applyFont="1" applyAlignment="1">
      <alignment vertical="center"/>
    </xf>
    <xf numFmtId="0" fontId="4" fillId="0" borderId="27" xfId="0" applyFont="1" applyFill="1" applyBorder="1" applyAlignment="1">
      <alignment vertical="center"/>
    </xf>
    <xf numFmtId="0" fontId="0" fillId="0" borderId="27" xfId="0" applyFont="1" applyFill="1" applyBorder="1" applyAlignment="1">
      <alignment vertical="center"/>
    </xf>
    <xf numFmtId="0" fontId="17" fillId="5" borderId="18" xfId="0" applyFont="1" applyFill="1" applyBorder="1" applyAlignment="1" applyProtection="1">
      <alignment horizontal="center" vertical="top" wrapText="1"/>
    </xf>
    <xf numFmtId="0" fontId="0" fillId="0" borderId="34" xfId="0" applyFont="1" applyFill="1" applyBorder="1" applyAlignment="1">
      <alignment vertical="center"/>
    </xf>
    <xf numFmtId="0" fontId="0" fillId="0" borderId="40" xfId="0" applyFont="1" applyFill="1" applyBorder="1" applyAlignment="1">
      <alignment vertical="center"/>
    </xf>
    <xf numFmtId="0" fontId="0" fillId="0" borderId="0" xfId="0" applyFont="1" applyFill="1" applyAlignment="1">
      <alignment vertical="center"/>
    </xf>
    <xf numFmtId="0" fontId="0" fillId="0" borderId="35" xfId="0" applyFont="1" applyFill="1" applyBorder="1" applyAlignment="1">
      <alignment vertical="center"/>
    </xf>
    <xf numFmtId="0" fontId="0" fillId="0" borderId="28" xfId="0" applyFont="1" applyFill="1" applyBorder="1" applyAlignment="1">
      <alignment vertical="center"/>
    </xf>
    <xf numFmtId="0" fontId="4" fillId="0" borderId="28" xfId="0" applyFont="1" applyFill="1" applyBorder="1" applyAlignment="1">
      <alignment vertical="center"/>
    </xf>
    <xf numFmtId="0" fontId="0" fillId="0" borderId="41" xfId="0" applyFont="1" applyFill="1" applyBorder="1" applyAlignment="1">
      <alignment vertical="center"/>
    </xf>
    <xf numFmtId="0" fontId="20" fillId="0" borderId="27" xfId="0" applyFont="1" applyFill="1" applyBorder="1" applyAlignment="1">
      <alignment vertical="center"/>
    </xf>
    <xf numFmtId="0" fontId="29" fillId="5" borderId="0" xfId="0" applyFont="1" applyFill="1" applyBorder="1" applyProtection="1"/>
    <xf numFmtId="0" fontId="28" fillId="5" borderId="0" xfId="0" applyFont="1" applyFill="1" applyBorder="1" applyProtection="1"/>
    <xf numFmtId="0" fontId="20" fillId="5" borderId="0" xfId="0" applyFont="1" applyFill="1" applyBorder="1" applyProtection="1"/>
    <xf numFmtId="0" fontId="4" fillId="0" borderId="0" xfId="0" applyFont="1" applyAlignment="1" applyProtection="1">
      <alignment horizontal="right" vertical="center"/>
    </xf>
    <xf numFmtId="173" fontId="31" fillId="4" borderId="1" xfId="0" applyNumberFormat="1" applyFont="1" applyFill="1" applyBorder="1" applyAlignment="1" applyProtection="1">
      <alignment horizontal="center" vertical="center"/>
      <protection locked="0"/>
    </xf>
    <xf numFmtId="173" fontId="31" fillId="4" borderId="15" xfId="0" applyNumberFormat="1" applyFont="1" applyFill="1" applyBorder="1" applyAlignment="1" applyProtection="1">
      <alignment horizontal="center" vertical="center"/>
      <protection locked="0"/>
    </xf>
    <xf numFmtId="173" fontId="31" fillId="4" borderId="17" xfId="0" applyNumberFormat="1" applyFont="1" applyFill="1" applyBorder="1" applyAlignment="1" applyProtection="1">
      <alignment horizontal="center" vertical="center"/>
      <protection locked="0"/>
    </xf>
    <xf numFmtId="173" fontId="31" fillId="4" borderId="25" xfId="0" applyNumberFormat="1" applyFont="1" applyFill="1" applyBorder="1" applyAlignment="1" applyProtection="1">
      <alignment horizontal="center" vertical="center"/>
      <protection locked="0"/>
    </xf>
    <xf numFmtId="173" fontId="31" fillId="4" borderId="33" xfId="0" applyNumberFormat="1" applyFont="1" applyFill="1" applyBorder="1" applyAlignment="1" applyProtection="1">
      <alignment horizontal="center" vertical="center"/>
      <protection locked="0"/>
    </xf>
    <xf numFmtId="173" fontId="37" fillId="6" borderId="56" xfId="0" applyNumberFormat="1" applyFont="1" applyFill="1" applyBorder="1" applyAlignment="1">
      <alignment horizontal="center" vertical="center"/>
    </xf>
    <xf numFmtId="173" fontId="37" fillId="6" borderId="58" xfId="0" applyNumberFormat="1" applyFont="1" applyFill="1" applyBorder="1" applyAlignment="1">
      <alignment horizontal="center" vertical="center"/>
    </xf>
    <xf numFmtId="173" fontId="37" fillId="6" borderId="57" xfId="0" applyNumberFormat="1" applyFont="1" applyFill="1" applyBorder="1" applyAlignment="1">
      <alignment horizontal="center" vertical="center"/>
    </xf>
    <xf numFmtId="173" fontId="5" fillId="6" borderId="32" xfId="0" applyNumberFormat="1" applyFont="1" applyFill="1" applyBorder="1" applyAlignment="1" applyProtection="1">
      <alignment horizontal="right" vertical="center"/>
    </xf>
    <xf numFmtId="173" fontId="31" fillId="6" borderId="51" xfId="0" applyNumberFormat="1" applyFont="1" applyFill="1" applyBorder="1" applyAlignment="1">
      <alignment horizontal="center" vertical="center"/>
    </xf>
    <xf numFmtId="173" fontId="36" fillId="6" borderId="29" xfId="0" applyNumberFormat="1" applyFont="1" applyFill="1" applyBorder="1" applyAlignment="1">
      <alignment horizontal="center" vertical="center"/>
    </xf>
    <xf numFmtId="173" fontId="36" fillId="6" borderId="30" xfId="0" applyNumberFormat="1" applyFont="1" applyFill="1" applyBorder="1" applyAlignment="1">
      <alignment horizontal="center" vertical="center"/>
    </xf>
    <xf numFmtId="173" fontId="31" fillId="8" borderId="53" xfId="0" applyNumberFormat="1" applyFont="1" applyFill="1" applyBorder="1" applyAlignment="1">
      <alignment horizontal="center" vertical="center"/>
    </xf>
    <xf numFmtId="173" fontId="31" fillId="6" borderId="12" xfId="0" applyNumberFormat="1" applyFont="1" applyFill="1" applyBorder="1" applyAlignment="1">
      <alignment horizontal="center" vertical="center"/>
    </xf>
    <xf numFmtId="173" fontId="31" fillId="6" borderId="13" xfId="0" applyNumberFormat="1" applyFont="1" applyFill="1" applyBorder="1" applyAlignment="1">
      <alignment horizontal="center" vertical="center"/>
    </xf>
    <xf numFmtId="173" fontId="31" fillId="6" borderId="14" xfId="0" applyNumberFormat="1" applyFont="1" applyFill="1" applyBorder="1" applyAlignment="1">
      <alignment horizontal="center" vertical="center"/>
    </xf>
    <xf numFmtId="173" fontId="31" fillId="6" borderId="16" xfId="0" applyNumberFormat="1" applyFont="1" applyFill="1" applyBorder="1" applyAlignment="1">
      <alignment horizontal="center" vertical="center"/>
    </xf>
    <xf numFmtId="173" fontId="36" fillId="6" borderId="64" xfId="0" applyNumberFormat="1" applyFont="1" applyFill="1" applyBorder="1" applyAlignment="1">
      <alignment horizontal="center" vertical="center"/>
    </xf>
    <xf numFmtId="173" fontId="36" fillId="6" borderId="32" xfId="0" applyNumberFormat="1" applyFont="1" applyFill="1" applyBorder="1" applyAlignment="1">
      <alignment horizontal="center" vertical="center"/>
    </xf>
    <xf numFmtId="0" fontId="0" fillId="0" borderId="0" xfId="0" applyAlignment="1">
      <alignment vertical="top"/>
    </xf>
    <xf numFmtId="0" fontId="20" fillId="0" borderId="0" xfId="0" applyFont="1" applyAlignment="1">
      <alignment vertical="center"/>
    </xf>
    <xf numFmtId="0" fontId="9" fillId="3" borderId="12" xfId="0" applyFont="1" applyFill="1" applyBorder="1" applyAlignment="1" applyProtection="1">
      <alignment horizontal="center" vertical="center"/>
      <protection hidden="1"/>
    </xf>
    <xf numFmtId="0" fontId="9" fillId="3" borderId="1" xfId="0" applyFont="1" applyFill="1" applyBorder="1" applyAlignment="1" applyProtection="1">
      <alignment horizontal="center" vertical="center" wrapText="1"/>
      <protection hidden="1"/>
    </xf>
    <xf numFmtId="168" fontId="9" fillId="3" borderId="1" xfId="0" applyNumberFormat="1" applyFont="1" applyFill="1" applyBorder="1" applyAlignment="1" applyProtection="1">
      <alignment horizontal="center" vertical="center"/>
      <protection hidden="1"/>
    </xf>
    <xf numFmtId="0" fontId="9" fillId="3" borderId="13" xfId="0" applyFont="1" applyFill="1" applyBorder="1" applyAlignment="1" applyProtection="1">
      <alignment horizontal="center" vertical="center"/>
      <protection hidden="1"/>
    </xf>
    <xf numFmtId="0" fontId="4" fillId="3" borderId="1" xfId="0" applyFont="1" applyFill="1" applyBorder="1" applyAlignment="1">
      <alignment horizontal="center" vertical="center"/>
    </xf>
    <xf numFmtId="0" fontId="44" fillId="10" borderId="39" xfId="0" applyFont="1" applyFill="1" applyBorder="1" applyAlignment="1">
      <alignment vertical="center"/>
    </xf>
    <xf numFmtId="2" fontId="4" fillId="3" borderId="0" xfId="0" applyNumberFormat="1" applyFont="1" applyFill="1" applyBorder="1" applyAlignment="1">
      <alignment horizontal="center" vertical="center"/>
    </xf>
    <xf numFmtId="1" fontId="4" fillId="3" borderId="0" xfId="0" applyNumberFormat="1" applyFont="1" applyFill="1" applyBorder="1" applyAlignment="1">
      <alignment horizontal="center" vertical="center"/>
    </xf>
    <xf numFmtId="0" fontId="4" fillId="10" borderId="0" xfId="0" applyFont="1" applyFill="1" applyBorder="1" applyAlignment="1">
      <alignment vertical="center"/>
    </xf>
    <xf numFmtId="0" fontId="4" fillId="10" borderId="28" xfId="0" applyFont="1" applyFill="1" applyBorder="1" applyAlignment="1">
      <alignment vertical="center"/>
    </xf>
    <xf numFmtId="0" fontId="45" fillId="10" borderId="39" xfId="0" applyFont="1" applyFill="1" applyBorder="1" applyAlignment="1">
      <alignment vertical="center"/>
    </xf>
    <xf numFmtId="0" fontId="45" fillId="10" borderId="35" xfId="0" applyFont="1" applyFill="1" applyBorder="1" applyAlignment="1">
      <alignment vertical="center"/>
    </xf>
    <xf numFmtId="0" fontId="45" fillId="10" borderId="0" xfId="0" applyFont="1" applyFill="1" applyBorder="1" applyAlignment="1">
      <alignment vertical="center"/>
    </xf>
    <xf numFmtId="0" fontId="45" fillId="10" borderId="28" xfId="0" applyFont="1" applyFill="1" applyBorder="1" applyAlignment="1">
      <alignment vertical="center"/>
    </xf>
    <xf numFmtId="0" fontId="4" fillId="10" borderId="27" xfId="0" applyFont="1" applyFill="1" applyBorder="1" applyAlignment="1">
      <alignment vertical="center"/>
    </xf>
    <xf numFmtId="0" fontId="45" fillId="10" borderId="68" xfId="0" applyFont="1" applyFill="1" applyBorder="1" applyAlignment="1">
      <alignment vertical="center"/>
    </xf>
    <xf numFmtId="0" fontId="45" fillId="10" borderId="18" xfId="0" applyFont="1" applyFill="1" applyBorder="1" applyAlignment="1">
      <alignment vertical="center"/>
    </xf>
    <xf numFmtId="0" fontId="45" fillId="10" borderId="0" xfId="0" applyFont="1" applyFill="1" applyBorder="1" applyAlignment="1">
      <alignment horizontal="center" vertical="center"/>
    </xf>
    <xf numFmtId="0" fontId="45" fillId="10" borderId="28" xfId="0" applyFont="1" applyFill="1" applyBorder="1" applyAlignment="1">
      <alignment horizontal="center" vertical="center"/>
    </xf>
    <xf numFmtId="0" fontId="45" fillId="10" borderId="27" xfId="0" applyFont="1" applyFill="1" applyBorder="1" applyAlignment="1">
      <alignment vertical="center"/>
    </xf>
    <xf numFmtId="0" fontId="45" fillId="10" borderId="27" xfId="0" applyFont="1" applyFill="1" applyBorder="1" applyAlignment="1">
      <alignment horizontal="left" vertical="center"/>
    </xf>
    <xf numFmtId="0" fontId="45" fillId="10" borderId="0" xfId="0" applyFont="1" applyFill="1" applyBorder="1" applyAlignment="1">
      <alignment horizontal="left" vertical="center"/>
    </xf>
    <xf numFmtId="0" fontId="45" fillId="10" borderId="28" xfId="0" applyFont="1" applyFill="1" applyBorder="1" applyAlignment="1">
      <alignment horizontal="left" vertical="center"/>
    </xf>
    <xf numFmtId="0" fontId="4" fillId="10" borderId="0" xfId="0" applyFont="1" applyFill="1" applyBorder="1" applyAlignment="1">
      <alignment horizontal="left" vertical="center"/>
    </xf>
    <xf numFmtId="0" fontId="4" fillId="10" borderId="28" xfId="0" applyFont="1" applyFill="1" applyBorder="1" applyAlignment="1">
      <alignment horizontal="left" vertical="center"/>
    </xf>
    <xf numFmtId="0" fontId="5" fillId="10" borderId="27" xfId="0" applyFont="1" applyFill="1" applyBorder="1" applyAlignment="1">
      <alignment horizontal="left" vertical="center"/>
    </xf>
    <xf numFmtId="0" fontId="5" fillId="10" borderId="0" xfId="0" applyFont="1" applyFill="1" applyBorder="1" applyAlignment="1">
      <alignment horizontal="left" vertical="center"/>
    </xf>
    <xf numFmtId="0" fontId="44" fillId="10" borderId="39" xfId="0" applyFont="1" applyFill="1" applyBorder="1" applyAlignment="1">
      <alignment horizontal="left" vertical="center"/>
    </xf>
    <xf numFmtId="0" fontId="45" fillId="10" borderId="39" xfId="0" applyFont="1" applyFill="1" applyBorder="1" applyAlignment="1">
      <alignment horizontal="left" vertical="center"/>
    </xf>
    <xf numFmtId="0" fontId="45" fillId="10" borderId="35" xfId="0" applyFont="1" applyFill="1" applyBorder="1" applyAlignment="1">
      <alignment horizontal="left" vertical="center"/>
    </xf>
    <xf numFmtId="0" fontId="37" fillId="3" borderId="50" xfId="0" applyFont="1" applyFill="1" applyBorder="1" applyAlignment="1">
      <alignment horizontal="center" vertical="center"/>
    </xf>
    <xf numFmtId="0" fontId="37" fillId="3" borderId="12" xfId="0" applyFont="1" applyFill="1" applyBorder="1" applyAlignment="1">
      <alignment horizontal="center" vertical="center"/>
    </xf>
    <xf numFmtId="0" fontId="37" fillId="3" borderId="14" xfId="0" applyFont="1" applyFill="1" applyBorder="1" applyAlignment="1">
      <alignment horizontal="center" vertical="center"/>
    </xf>
    <xf numFmtId="173" fontId="31" fillId="2" borderId="7" xfId="0" applyNumberFormat="1" applyFont="1" applyFill="1" applyBorder="1" applyAlignment="1">
      <alignment horizontal="center" vertical="center"/>
    </xf>
    <xf numFmtId="2" fontId="37" fillId="3" borderId="7" xfId="0" applyNumberFormat="1" applyFont="1" applyFill="1" applyBorder="1" applyAlignment="1">
      <alignment horizontal="center" vertical="center"/>
    </xf>
    <xf numFmtId="2" fontId="37" fillId="3" borderId="26" xfId="0" applyNumberFormat="1" applyFont="1" applyFill="1" applyBorder="1" applyAlignment="1">
      <alignment horizontal="center" vertical="center"/>
    </xf>
    <xf numFmtId="2" fontId="37" fillId="3" borderId="37" xfId="0" applyNumberFormat="1" applyFont="1" applyFill="1" applyBorder="1" applyAlignment="1">
      <alignment horizontal="center" vertical="center"/>
    </xf>
    <xf numFmtId="0" fontId="4" fillId="0" borderId="0" xfId="0" applyFont="1" applyAlignment="1" applyProtection="1">
      <alignment vertical="center"/>
    </xf>
    <xf numFmtId="0" fontId="31" fillId="11" borderId="0" xfId="0" applyFont="1" applyFill="1" applyAlignment="1">
      <alignment vertical="center"/>
    </xf>
    <xf numFmtId="0" fontId="4" fillId="0" borderId="0" xfId="0" applyFont="1" applyAlignment="1" applyProtection="1">
      <alignment horizontal="center" vertical="center"/>
    </xf>
    <xf numFmtId="168" fontId="4" fillId="0" borderId="0" xfId="0" applyNumberFormat="1" applyFont="1" applyAlignment="1" applyProtection="1">
      <alignment horizontal="center" vertical="center"/>
    </xf>
    <xf numFmtId="0" fontId="51" fillId="10" borderId="34" xfId="0" applyFont="1" applyFill="1" applyBorder="1" applyAlignment="1">
      <alignment vertical="center"/>
    </xf>
    <xf numFmtId="0" fontId="51" fillId="10" borderId="34" xfId="0" applyFont="1" applyFill="1" applyBorder="1" applyAlignment="1">
      <alignment horizontal="left" vertical="center"/>
    </xf>
    <xf numFmtId="0" fontId="44" fillId="10" borderId="35"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39" fillId="3" borderId="30" xfId="0" applyFont="1" applyFill="1" applyBorder="1" applyAlignment="1">
      <alignment horizontal="left" vertical="center"/>
    </xf>
    <xf numFmtId="0" fontId="0" fillId="0" borderId="0" xfId="0" applyAlignment="1">
      <alignment horizontal="left" vertical="center"/>
    </xf>
    <xf numFmtId="0" fontId="56" fillId="3" borderId="29" xfId="0" applyFont="1" applyFill="1" applyBorder="1" applyAlignment="1">
      <alignment horizontal="left" vertical="center"/>
    </xf>
    <xf numFmtId="0" fontId="48" fillId="0" borderId="0" xfId="0" applyFont="1" applyFill="1" applyBorder="1" applyAlignment="1">
      <alignment vertical="center"/>
    </xf>
    <xf numFmtId="0" fontId="52" fillId="0" borderId="0" xfId="0" applyFont="1" applyFill="1" applyBorder="1" applyAlignment="1">
      <alignment vertical="center"/>
    </xf>
    <xf numFmtId="0" fontId="46" fillId="10" borderId="27" xfId="0" applyFont="1" applyFill="1" applyBorder="1" applyAlignment="1">
      <alignment horizontal="left" vertical="center"/>
    </xf>
    <xf numFmtId="0" fontId="30" fillId="0" borderId="1" xfId="0" applyFont="1" applyBorder="1" applyAlignment="1">
      <alignment horizontal="center" vertical="center"/>
    </xf>
    <xf numFmtId="0" fontId="4" fillId="0" borderId="0" xfId="0" applyFont="1" applyBorder="1" applyAlignment="1" applyProtection="1">
      <alignment vertical="center"/>
    </xf>
    <xf numFmtId="0" fontId="30" fillId="6" borderId="1" xfId="0" applyFont="1" applyFill="1" applyBorder="1" applyAlignment="1">
      <alignment horizontal="center" vertical="center"/>
    </xf>
    <xf numFmtId="0" fontId="69" fillId="3" borderId="29" xfId="0" applyFont="1" applyFill="1" applyBorder="1" applyAlignment="1">
      <alignment vertical="top"/>
    </xf>
    <xf numFmtId="0" fontId="69" fillId="2" borderId="30" xfId="0" applyFont="1" applyFill="1" applyBorder="1" applyAlignment="1">
      <alignment vertical="top"/>
    </xf>
    <xf numFmtId="0" fontId="69" fillId="2" borderId="13" xfId="0" applyFont="1" applyFill="1" applyBorder="1" applyAlignment="1">
      <alignment vertical="top"/>
    </xf>
    <xf numFmtId="0" fontId="69" fillId="2" borderId="31" xfId="0" applyFont="1" applyFill="1" applyBorder="1" applyAlignment="1">
      <alignment vertical="top"/>
    </xf>
    <xf numFmtId="0" fontId="69" fillId="3" borderId="72" xfId="0" applyFont="1" applyFill="1" applyBorder="1" applyAlignment="1">
      <alignment vertical="top"/>
    </xf>
    <xf numFmtId="0" fontId="69" fillId="2" borderId="82" xfId="0" applyFont="1" applyFill="1" applyBorder="1" applyAlignment="1">
      <alignment vertical="top" wrapText="1"/>
    </xf>
    <xf numFmtId="0" fontId="69" fillId="2" borderId="58" xfId="0" applyFont="1" applyFill="1" applyBorder="1" applyAlignment="1">
      <alignment vertical="top" wrapText="1"/>
    </xf>
    <xf numFmtId="0" fontId="20" fillId="4" borderId="1" xfId="0" applyFont="1" applyFill="1" applyBorder="1" applyAlignment="1" applyProtection="1">
      <alignment vertical="center"/>
      <protection locked="0"/>
    </xf>
    <xf numFmtId="0" fontId="20" fillId="0" borderId="1" xfId="0" applyFont="1" applyBorder="1" applyAlignment="1" applyProtection="1">
      <alignment vertical="center"/>
      <protection locked="0"/>
    </xf>
    <xf numFmtId="0" fontId="7" fillId="4" borderId="1" xfId="0" applyFont="1" applyFill="1" applyBorder="1" applyAlignment="1" applyProtection="1">
      <alignment horizontal="center" vertical="top" wrapText="1"/>
      <protection locked="0"/>
    </xf>
    <xf numFmtId="0" fontId="4" fillId="0" borderId="32" xfId="0" applyFont="1" applyBorder="1" applyAlignment="1" applyProtection="1">
      <alignment vertical="center"/>
      <protection locked="0"/>
    </xf>
    <xf numFmtId="0" fontId="4" fillId="0" borderId="69" xfId="0" applyFont="1" applyBorder="1" applyAlignment="1" applyProtection="1">
      <alignment vertical="center"/>
      <protection locked="0"/>
    </xf>
    <xf numFmtId="9" fontId="31" fillId="4" borderId="32" xfId="1" applyFont="1" applyFill="1" applyBorder="1" applyAlignment="1" applyProtection="1">
      <alignment horizontal="center" vertical="center" wrapText="1"/>
      <protection locked="0"/>
    </xf>
    <xf numFmtId="173" fontId="1" fillId="4" borderId="32" xfId="0" applyNumberFormat="1" applyFont="1" applyFill="1" applyBorder="1" applyAlignment="1" applyProtection="1">
      <alignment vertical="center"/>
      <protection locked="0"/>
    </xf>
    <xf numFmtId="0" fontId="37" fillId="3" borderId="1" xfId="0" applyFont="1" applyFill="1" applyBorder="1" applyAlignment="1">
      <alignment horizontal="center" vertical="center"/>
    </xf>
    <xf numFmtId="166" fontId="4" fillId="0" borderId="0" xfId="0" applyNumberFormat="1" applyFont="1" applyAlignment="1" applyProtection="1">
      <alignment vertical="center"/>
    </xf>
    <xf numFmtId="173" fontId="37" fillId="0" borderId="1" xfId="0" applyNumberFormat="1" applyFont="1" applyFill="1" applyBorder="1" applyAlignment="1" applyProtection="1">
      <alignment horizontal="center" vertical="center"/>
      <protection locked="0"/>
    </xf>
    <xf numFmtId="173" fontId="31" fillId="12" borderId="1" xfId="0" applyNumberFormat="1" applyFont="1" applyFill="1" applyBorder="1" applyAlignment="1" applyProtection="1">
      <alignment horizontal="center" vertical="center"/>
      <protection locked="0"/>
    </xf>
    <xf numFmtId="0" fontId="71" fillId="2" borderId="30" xfId="0" applyFont="1" applyFill="1" applyBorder="1" applyAlignment="1">
      <alignment vertical="top"/>
    </xf>
    <xf numFmtId="0" fontId="1" fillId="3" borderId="50" xfId="0" applyFont="1" applyFill="1" applyBorder="1" applyAlignment="1">
      <alignment horizontal="left" vertical="center"/>
    </xf>
    <xf numFmtId="0" fontId="1" fillId="0" borderId="71" xfId="0" applyFont="1" applyBorder="1" applyAlignment="1" applyProtection="1">
      <alignment horizontal="left" vertical="center"/>
      <protection locked="0"/>
    </xf>
    <xf numFmtId="0" fontId="1" fillId="3" borderId="12" xfId="0" applyFont="1" applyFill="1" applyBorder="1" applyAlignment="1">
      <alignment horizontal="left" vertical="center"/>
    </xf>
    <xf numFmtId="0" fontId="1" fillId="0" borderId="13" xfId="0" applyFont="1" applyBorder="1" applyAlignment="1" applyProtection="1">
      <alignment horizontal="left" vertical="center"/>
      <protection locked="0"/>
    </xf>
    <xf numFmtId="0" fontId="1" fillId="3" borderId="14" xfId="0" applyFont="1" applyFill="1" applyBorder="1" applyAlignment="1">
      <alignment horizontal="left" vertical="center"/>
    </xf>
    <xf numFmtId="0" fontId="1" fillId="0" borderId="16" xfId="0" applyFont="1" applyBorder="1" applyAlignment="1" applyProtection="1">
      <alignment horizontal="left" vertical="center"/>
      <protection locked="0"/>
    </xf>
    <xf numFmtId="175" fontId="1" fillId="0" borderId="17" xfId="0" applyNumberFormat="1" applyFont="1" applyBorder="1" applyAlignment="1" applyProtection="1">
      <alignment horizontal="center" vertical="center"/>
      <protection locked="0"/>
    </xf>
    <xf numFmtId="175" fontId="1" fillId="0" borderId="15" xfId="0" applyNumberFormat="1" applyFont="1" applyBorder="1" applyAlignment="1" applyProtection="1">
      <alignment horizontal="center" vertical="center"/>
      <protection locked="0"/>
    </xf>
    <xf numFmtId="175" fontId="1" fillId="0" borderId="1" xfId="0" applyNumberFormat="1" applyFont="1" applyBorder="1" applyAlignment="1" applyProtection="1">
      <alignment horizontal="center" vertical="center"/>
      <protection locked="0"/>
    </xf>
    <xf numFmtId="169" fontId="57" fillId="13" borderId="1" xfId="0" applyNumberFormat="1" applyFont="1" applyFill="1" applyBorder="1" applyAlignment="1">
      <alignment horizontal="right" vertical="center"/>
    </xf>
    <xf numFmtId="0" fontId="20" fillId="13" borderId="1" xfId="0" applyFont="1" applyFill="1" applyBorder="1" applyAlignment="1">
      <alignment horizontal="left" vertical="center"/>
    </xf>
    <xf numFmtId="169" fontId="20" fillId="13" borderId="1" xfId="0" applyNumberFormat="1" applyFont="1" applyFill="1" applyBorder="1" applyAlignment="1">
      <alignment horizontal="right" vertical="center"/>
    </xf>
    <xf numFmtId="0" fontId="20" fillId="14" borderId="1" xfId="0" applyFont="1" applyFill="1" applyBorder="1" applyAlignment="1">
      <alignment vertical="center"/>
    </xf>
    <xf numFmtId="172" fontId="20" fillId="13" borderId="1" xfId="0" applyNumberFormat="1" applyFont="1" applyFill="1" applyBorder="1" applyAlignment="1">
      <alignment vertical="center"/>
    </xf>
    <xf numFmtId="1" fontId="20" fillId="13" borderId="1" xfId="0" applyNumberFormat="1" applyFont="1" applyFill="1" applyBorder="1" applyAlignment="1">
      <alignment horizontal="center" vertical="center"/>
    </xf>
    <xf numFmtId="173" fontId="28" fillId="13" borderId="1" xfId="2" applyNumberFormat="1" applyFont="1" applyFill="1" applyBorder="1" applyAlignment="1" applyProtection="1">
      <alignment horizontal="left" vertical="center"/>
      <protection hidden="1"/>
    </xf>
    <xf numFmtId="174" fontId="28" fillId="13" borderId="1" xfId="3" applyNumberFormat="1" applyFont="1" applyFill="1" applyBorder="1" applyAlignment="1" applyProtection="1">
      <alignment horizontal="center" vertical="center"/>
      <protection hidden="1"/>
    </xf>
    <xf numFmtId="176" fontId="4" fillId="13" borderId="1" xfId="1" applyNumberFormat="1" applyFont="1" applyFill="1" applyBorder="1" applyAlignment="1">
      <alignment horizontal="center" vertical="center"/>
    </xf>
    <xf numFmtId="0" fontId="4" fillId="13" borderId="1" xfId="0" applyFont="1" applyFill="1" applyBorder="1" applyAlignment="1">
      <alignment horizontal="center" vertical="center"/>
    </xf>
    <xf numFmtId="1" fontId="4" fillId="13" borderId="25" xfId="0" applyNumberFormat="1" applyFont="1" applyFill="1" applyBorder="1" applyAlignment="1">
      <alignment horizontal="center" vertical="center"/>
    </xf>
    <xf numFmtId="0" fontId="4" fillId="13" borderId="25" xfId="0" applyFont="1" applyFill="1" applyBorder="1" applyAlignment="1">
      <alignment horizontal="center" vertical="center"/>
    </xf>
    <xf numFmtId="9" fontId="4" fillId="13" borderId="1" xfId="0" applyNumberFormat="1" applyFont="1" applyFill="1" applyBorder="1" applyAlignment="1">
      <alignment horizontal="center" vertical="center"/>
    </xf>
    <xf numFmtId="9" fontId="4" fillId="13" borderId="1" xfId="1" applyFont="1" applyFill="1" applyBorder="1" applyAlignment="1">
      <alignment horizontal="center" vertical="center"/>
    </xf>
    <xf numFmtId="0" fontId="30" fillId="15" borderId="0" xfId="0" applyFont="1" applyFill="1" applyBorder="1" applyAlignment="1">
      <alignment horizontal="right" vertical="center"/>
    </xf>
    <xf numFmtId="0" fontId="39" fillId="15" borderId="0" xfId="0" applyFont="1" applyFill="1" applyBorder="1" applyAlignment="1">
      <alignment horizontal="left" vertical="center"/>
    </xf>
    <xf numFmtId="0" fontId="0" fillId="15" borderId="0" xfId="0" applyFont="1" applyFill="1" applyBorder="1" applyAlignment="1">
      <alignment horizontal="left" vertical="center"/>
    </xf>
    <xf numFmtId="0" fontId="0" fillId="15" borderId="0" xfId="0" applyFont="1" applyFill="1" applyBorder="1" applyAlignment="1">
      <alignment vertical="center"/>
    </xf>
    <xf numFmtId="0" fontId="1" fillId="15" borderId="0" xfId="0" applyFont="1" applyFill="1" applyBorder="1" applyAlignment="1">
      <alignment vertical="center"/>
    </xf>
    <xf numFmtId="0" fontId="20" fillId="15" borderId="27" xfId="0" quotePrefix="1" applyFont="1" applyFill="1" applyBorder="1" applyAlignment="1">
      <alignment horizontal="left" vertical="center"/>
    </xf>
    <xf numFmtId="0" fontId="20" fillId="15" borderId="0" xfId="0" applyFont="1" applyFill="1" applyBorder="1" applyAlignment="1">
      <alignment vertical="center"/>
    </xf>
    <xf numFmtId="0" fontId="30" fillId="15" borderId="0" xfId="0" applyFont="1" applyFill="1" applyBorder="1" applyAlignment="1">
      <alignment vertical="center"/>
    </xf>
    <xf numFmtId="0" fontId="20" fillId="15" borderId="0" xfId="0" quotePrefix="1" applyFont="1" applyFill="1" applyBorder="1" applyAlignment="1">
      <alignment vertical="center"/>
    </xf>
    <xf numFmtId="0" fontId="30" fillId="15" borderId="0" xfId="0" applyFont="1" applyFill="1" applyBorder="1" applyAlignment="1">
      <alignment vertical="top"/>
    </xf>
    <xf numFmtId="0" fontId="20" fillId="15" borderId="0" xfId="0" applyFont="1" applyFill="1" applyBorder="1" applyAlignment="1">
      <alignment horizontal="right" vertical="center"/>
    </xf>
    <xf numFmtId="169" fontId="20" fillId="15" borderId="0" xfId="0" applyNumberFormat="1" applyFont="1" applyFill="1" applyBorder="1" applyAlignment="1">
      <alignment vertical="center"/>
    </xf>
    <xf numFmtId="0" fontId="0" fillId="15" borderId="8" xfId="0" applyFont="1" applyFill="1" applyBorder="1" applyAlignment="1">
      <alignment vertical="center"/>
    </xf>
    <xf numFmtId="0" fontId="20" fillId="15" borderId="0" xfId="0" quotePrefix="1" applyFont="1" applyFill="1" applyBorder="1" applyAlignment="1">
      <alignment horizontal="left" vertical="center"/>
    </xf>
    <xf numFmtId="170" fontId="20" fillId="15" borderId="0" xfId="0" quotePrefix="1" applyNumberFormat="1" applyFont="1" applyFill="1" applyBorder="1" applyAlignment="1">
      <alignment horizontal="left" vertical="center"/>
    </xf>
    <xf numFmtId="0" fontId="14" fillId="15" borderId="0" xfId="0" applyFont="1" applyFill="1" applyBorder="1" applyAlignment="1">
      <alignment vertical="center"/>
    </xf>
    <xf numFmtId="0" fontId="41" fillId="15" borderId="0" xfId="0" applyFont="1" applyFill="1" applyBorder="1" applyAlignment="1">
      <alignment vertical="center"/>
    </xf>
    <xf numFmtId="0" fontId="20" fillId="15" borderId="3" xfId="0" applyFont="1" applyFill="1" applyBorder="1" applyAlignment="1">
      <alignment horizontal="right" vertical="center"/>
    </xf>
    <xf numFmtId="0" fontId="42" fillId="15" borderId="0" xfId="0" applyFont="1" applyFill="1" applyBorder="1" applyAlignment="1">
      <alignment vertical="top"/>
    </xf>
    <xf numFmtId="0" fontId="30" fillId="15" borderId="0" xfId="0" applyFont="1" applyFill="1" applyBorder="1" applyAlignment="1">
      <alignment vertical="top" wrapText="1"/>
    </xf>
    <xf numFmtId="0" fontId="4" fillId="15" borderId="0" xfId="0" applyFont="1" applyFill="1" applyBorder="1" applyAlignment="1">
      <alignment vertical="center"/>
    </xf>
    <xf numFmtId="0" fontId="4" fillId="15" borderId="39" xfId="0" applyFont="1" applyFill="1" applyBorder="1" applyAlignment="1">
      <alignment vertical="center"/>
    </xf>
    <xf numFmtId="0" fontId="24" fillId="15" borderId="0" xfId="0" applyFont="1" applyFill="1" applyBorder="1" applyAlignment="1">
      <alignment vertical="top" wrapText="1"/>
    </xf>
    <xf numFmtId="0" fontId="13" fillId="15" borderId="0" xfId="0" applyFont="1" applyFill="1" applyBorder="1" applyAlignment="1">
      <alignment vertical="center"/>
    </xf>
    <xf numFmtId="0" fontId="20" fillId="15" borderId="18" xfId="0" applyFont="1" applyFill="1" applyBorder="1" applyAlignment="1">
      <alignment horizontal="center" vertical="top" wrapText="1"/>
    </xf>
    <xf numFmtId="0" fontId="24" fillId="15" borderId="0" xfId="0" applyFont="1" applyFill="1" applyBorder="1" applyAlignment="1">
      <alignment vertical="center"/>
    </xf>
    <xf numFmtId="0" fontId="12" fillId="15" borderId="0" xfId="0" applyFont="1" applyFill="1" applyBorder="1" applyAlignment="1">
      <alignment horizontal="center" vertical="center"/>
    </xf>
    <xf numFmtId="0" fontId="28" fillId="15" borderId="18" xfId="0" applyFont="1" applyFill="1" applyBorder="1" applyAlignment="1" applyProtection="1">
      <alignment horizontal="center" vertical="top" wrapText="1"/>
    </xf>
    <xf numFmtId="0" fontId="29" fillId="15" borderId="0" xfId="0" applyFont="1" applyFill="1" applyBorder="1" applyProtection="1"/>
    <xf numFmtId="0" fontId="28" fillId="15" borderId="0" xfId="0" applyFont="1" applyFill="1" applyBorder="1" applyProtection="1"/>
    <xf numFmtId="0" fontId="20" fillId="15" borderId="0" xfId="0" applyFont="1" applyFill="1" applyBorder="1" applyProtection="1"/>
    <xf numFmtId="0" fontId="5" fillId="15" borderId="0" xfId="0" applyFont="1" applyFill="1" applyBorder="1" applyAlignment="1">
      <alignment vertical="center"/>
    </xf>
    <xf numFmtId="0" fontId="5" fillId="15" borderId="8" xfId="0" applyFont="1" applyFill="1" applyBorder="1" applyAlignment="1">
      <alignment horizontal="center"/>
    </xf>
    <xf numFmtId="0" fontId="5" fillId="15" borderId="0" xfId="0" applyFont="1" applyFill="1" applyBorder="1" applyAlignment="1">
      <alignment horizontal="center" vertical="center"/>
    </xf>
    <xf numFmtId="0" fontId="4" fillId="15" borderId="42" xfId="0" applyFont="1" applyFill="1" applyBorder="1" applyAlignment="1">
      <alignment vertical="center"/>
    </xf>
    <xf numFmtId="0" fontId="4" fillId="15" borderId="43" xfId="0" applyFont="1" applyFill="1" applyBorder="1" applyAlignment="1">
      <alignment vertical="center"/>
    </xf>
    <xf numFmtId="0" fontId="4" fillId="15" borderId="43" xfId="0" applyFont="1" applyFill="1" applyBorder="1" applyAlignment="1">
      <alignment horizontal="left" vertical="center"/>
    </xf>
    <xf numFmtId="0" fontId="4" fillId="15" borderId="45" xfId="0" applyFont="1" applyFill="1" applyBorder="1" applyAlignment="1">
      <alignment vertical="center"/>
    </xf>
    <xf numFmtId="0" fontId="4" fillId="15" borderId="44" xfId="0" applyFont="1" applyFill="1" applyBorder="1" applyAlignment="1">
      <alignment vertical="center"/>
    </xf>
    <xf numFmtId="0" fontId="4" fillId="15" borderId="42" xfId="0" applyFont="1" applyFill="1" applyBorder="1" applyAlignment="1">
      <alignment horizontal="left" vertical="center"/>
    </xf>
    <xf numFmtId="0" fontId="4" fillId="15" borderId="47" xfId="0" applyFont="1" applyFill="1" applyBorder="1" applyAlignment="1">
      <alignment horizontal="left" vertical="center"/>
    </xf>
    <xf numFmtId="0" fontId="4" fillId="15" borderId="18" xfId="0" applyFont="1" applyFill="1" applyBorder="1" applyAlignment="1">
      <alignment vertical="center"/>
    </xf>
    <xf numFmtId="0" fontId="20" fillId="15" borderId="0" xfId="0" applyFont="1" applyFill="1" applyBorder="1" applyAlignment="1">
      <alignment vertical="top"/>
    </xf>
    <xf numFmtId="0" fontId="23" fillId="15" borderId="0" xfId="0" applyFont="1" applyFill="1" applyBorder="1" applyAlignment="1">
      <alignment vertical="top" wrapText="1"/>
    </xf>
    <xf numFmtId="0" fontId="47" fillId="15" borderId="0" xfId="4" applyFont="1" applyFill="1" applyBorder="1" applyAlignment="1" applyProtection="1">
      <alignment horizontal="left" vertical="center"/>
    </xf>
    <xf numFmtId="0" fontId="0" fillId="15" borderId="0" xfId="0" applyFill="1" applyAlignment="1">
      <alignment vertical="center"/>
    </xf>
    <xf numFmtId="0" fontId="0" fillId="15" borderId="0" xfId="0" applyFill="1" applyAlignment="1">
      <alignment horizontal="left" vertical="center"/>
    </xf>
    <xf numFmtId="0" fontId="48" fillId="17" borderId="0" xfId="0" applyFont="1" applyFill="1" applyBorder="1" applyAlignment="1">
      <alignment vertical="center"/>
    </xf>
    <xf numFmtId="168" fontId="7" fillId="17" borderId="0" xfId="0" applyNumberFormat="1" applyFont="1" applyFill="1" applyAlignment="1" applyProtection="1">
      <alignment horizontal="center" vertical="center"/>
    </xf>
    <xf numFmtId="0" fontId="7" fillId="17" borderId="0" xfId="0" applyFont="1" applyFill="1" applyAlignment="1" applyProtection="1">
      <alignment horizontal="right" vertical="center"/>
    </xf>
    <xf numFmtId="0" fontId="7" fillId="17" borderId="0" xfId="0" applyFont="1" applyFill="1" applyAlignment="1" applyProtection="1">
      <alignment vertical="center"/>
    </xf>
    <xf numFmtId="0" fontId="4" fillId="17" borderId="0" xfId="0" applyFont="1" applyFill="1" applyAlignment="1" applyProtection="1">
      <alignment vertical="center"/>
    </xf>
    <xf numFmtId="0" fontId="47" fillId="17" borderId="0" xfId="4" applyFont="1" applyFill="1" applyBorder="1" applyAlignment="1" applyProtection="1">
      <alignment horizontal="left" vertical="center"/>
    </xf>
    <xf numFmtId="0" fontId="64" fillId="17" borderId="0" xfId="0" applyFont="1" applyFill="1" applyAlignment="1">
      <alignment vertical="center"/>
    </xf>
    <xf numFmtId="0" fontId="30" fillId="17" borderId="0" xfId="0" applyFont="1" applyFill="1" applyBorder="1" applyAlignment="1">
      <alignment horizontal="right" vertical="center"/>
    </xf>
    <xf numFmtId="0" fontId="4" fillId="17" borderId="0" xfId="0" applyFont="1" applyFill="1" applyAlignment="1" applyProtection="1">
      <alignment horizontal="center" vertical="center"/>
    </xf>
    <xf numFmtId="168" fontId="4" fillId="17" borderId="0" xfId="0" applyNumberFormat="1" applyFont="1" applyFill="1" applyAlignment="1" applyProtection="1">
      <alignment horizontal="center" vertical="center"/>
    </xf>
    <xf numFmtId="0" fontId="4" fillId="17" borderId="0" xfId="0" applyFont="1" applyFill="1" applyAlignment="1" applyProtection="1">
      <alignment horizontal="right" vertical="center"/>
    </xf>
    <xf numFmtId="0" fontId="68" fillId="17" borderId="0" xfId="0" applyFont="1" applyFill="1" applyAlignment="1" applyProtection="1">
      <alignment horizontal="left" vertical="center"/>
    </xf>
    <xf numFmtId="0" fontId="41" fillId="17" borderId="0" xfId="0" applyFont="1" applyFill="1" applyAlignment="1" applyProtection="1">
      <alignment vertical="center" wrapText="1"/>
    </xf>
    <xf numFmtId="0" fontId="30" fillId="17" borderId="0" xfId="0" applyFont="1" applyFill="1" applyBorder="1" applyAlignment="1">
      <alignment horizontal="center" vertical="center"/>
    </xf>
    <xf numFmtId="0" fontId="20" fillId="17" borderId="0" xfId="0" applyFont="1" applyFill="1" applyBorder="1" applyAlignment="1">
      <alignment horizontal="center" vertical="center"/>
    </xf>
    <xf numFmtId="0" fontId="0" fillId="17" borderId="0" xfId="0" applyFont="1" applyFill="1" applyAlignment="1" applyProtection="1">
      <alignment horizontal="left" vertical="center" wrapText="1"/>
    </xf>
    <xf numFmtId="0" fontId="1" fillId="17" borderId="0" xfId="0" applyFont="1" applyFill="1" applyAlignment="1" applyProtection="1">
      <alignment horizontal="left" vertical="center" wrapText="1"/>
    </xf>
    <xf numFmtId="173" fontId="33" fillId="17" borderId="0" xfId="0" applyNumberFormat="1" applyFont="1" applyFill="1" applyBorder="1" applyAlignment="1">
      <alignment horizontal="left" vertical="center"/>
    </xf>
    <xf numFmtId="173" fontId="38" fillId="17" borderId="0" xfId="4" applyNumberFormat="1" applyFont="1" applyFill="1" applyBorder="1" applyAlignment="1">
      <alignment horizontal="center" vertical="center" wrapText="1"/>
    </xf>
    <xf numFmtId="173" fontId="36" fillId="17" borderId="0" xfId="0" applyNumberFormat="1" applyFont="1" applyFill="1" applyBorder="1" applyAlignment="1">
      <alignment horizontal="center" vertical="center" wrapText="1"/>
    </xf>
    <xf numFmtId="173" fontId="36" fillId="17" borderId="0" xfId="0" applyNumberFormat="1" applyFont="1" applyFill="1" applyBorder="1" applyAlignment="1">
      <alignment horizontal="center" vertical="center"/>
    </xf>
    <xf numFmtId="173" fontId="37" fillId="17" borderId="0" xfId="0" applyNumberFormat="1" applyFont="1" applyFill="1" applyBorder="1" applyAlignment="1">
      <alignment horizontal="center" vertical="center"/>
    </xf>
    <xf numFmtId="0" fontId="67" fillId="17" borderId="0" xfId="0" applyFont="1" applyFill="1" applyAlignment="1" applyProtection="1">
      <alignment horizontal="left" vertical="center" wrapText="1"/>
    </xf>
    <xf numFmtId="0" fontId="31" fillId="17" borderId="0" xfId="0" applyFont="1" applyFill="1" applyBorder="1" applyAlignment="1">
      <alignment vertical="center"/>
    </xf>
    <xf numFmtId="0" fontId="31" fillId="17" borderId="0" xfId="0" applyFont="1" applyFill="1" applyBorder="1" applyAlignment="1">
      <alignment horizontal="left" vertical="center" wrapText="1"/>
    </xf>
    <xf numFmtId="0" fontId="54" fillId="17" borderId="0" xfId="0" applyFont="1" applyFill="1" applyAlignment="1">
      <alignment horizontal="left" vertical="top"/>
    </xf>
    <xf numFmtId="0" fontId="32" fillId="17" borderId="0" xfId="0" applyFont="1" applyFill="1" applyAlignment="1">
      <alignment vertical="center"/>
    </xf>
    <xf numFmtId="0" fontId="50" fillId="17" borderId="0" xfId="0" applyFont="1" applyFill="1" applyAlignment="1" applyProtection="1">
      <alignment horizontal="center" vertical="center"/>
    </xf>
    <xf numFmtId="0" fontId="66" fillId="17" borderId="0" xfId="0" applyFont="1" applyFill="1" applyAlignment="1" applyProtection="1">
      <alignment horizontal="left" vertical="center" wrapText="1"/>
    </xf>
    <xf numFmtId="0" fontId="4" fillId="17" borderId="0" xfId="0" applyFont="1" applyFill="1" applyAlignment="1" applyProtection="1">
      <alignment horizontal="center" vertical="center" wrapText="1"/>
    </xf>
    <xf numFmtId="177" fontId="31" fillId="17" borderId="0" xfId="0" applyNumberFormat="1" applyFont="1" applyFill="1" applyBorder="1" applyAlignment="1">
      <alignment horizontal="left" vertical="center" wrapText="1"/>
    </xf>
    <xf numFmtId="0" fontId="4" fillId="17" borderId="0" xfId="0" applyFont="1" applyFill="1" applyBorder="1" applyAlignment="1" applyProtection="1">
      <alignment vertical="center"/>
    </xf>
    <xf numFmtId="0" fontId="31" fillId="17" borderId="0" xfId="0" applyFont="1" applyFill="1" applyAlignment="1">
      <alignment vertical="center"/>
    </xf>
    <xf numFmtId="0" fontId="73" fillId="17" borderId="0" xfId="0" applyFont="1" applyFill="1" applyAlignment="1" applyProtection="1">
      <alignment vertical="center"/>
    </xf>
    <xf numFmtId="0" fontId="62" fillId="17" borderId="0" xfId="0" applyFont="1" applyFill="1" applyAlignment="1">
      <alignment vertical="center"/>
    </xf>
    <xf numFmtId="0" fontId="63" fillId="17" borderId="0" xfId="0" applyFont="1" applyFill="1" applyAlignment="1">
      <alignment horizontal="left" vertical="center" wrapText="1"/>
    </xf>
    <xf numFmtId="0" fontId="13" fillId="17" borderId="0" xfId="0" applyFont="1" applyFill="1" applyAlignment="1" applyProtection="1">
      <alignment horizontal="center" vertical="center"/>
    </xf>
    <xf numFmtId="0" fontId="1" fillId="17" borderId="0" xfId="0" applyFont="1" applyFill="1" applyBorder="1" applyAlignment="1">
      <alignment vertical="center"/>
    </xf>
    <xf numFmtId="0" fontId="0" fillId="17" borderId="0" xfId="0" applyFill="1" applyAlignment="1">
      <alignment vertical="center" wrapText="1"/>
    </xf>
    <xf numFmtId="0" fontId="63" fillId="17" borderId="0" xfId="0" applyFont="1" applyFill="1" applyAlignment="1">
      <alignment vertical="center"/>
    </xf>
    <xf numFmtId="0" fontId="14" fillId="17" borderId="0" xfId="0" applyFont="1" applyFill="1" applyAlignment="1" applyProtection="1">
      <alignment vertical="center"/>
    </xf>
    <xf numFmtId="0" fontId="30" fillId="17" borderId="0" xfId="0" applyFont="1" applyFill="1" applyBorder="1" applyAlignment="1">
      <alignment vertical="center"/>
    </xf>
    <xf numFmtId="0" fontId="20" fillId="17" borderId="0" xfId="0" applyFont="1" applyFill="1" applyBorder="1" applyAlignment="1">
      <alignment vertical="center"/>
    </xf>
    <xf numFmtId="0" fontId="40" fillId="17" borderId="0" xfId="0" applyFont="1" applyFill="1" applyBorder="1" applyAlignment="1">
      <alignment vertical="center" wrapText="1"/>
    </xf>
    <xf numFmtId="0" fontId="20" fillId="13" borderId="1" xfId="0" applyFont="1" applyFill="1" applyBorder="1" applyAlignment="1">
      <alignment horizontal="center" vertical="center"/>
    </xf>
    <xf numFmtId="173" fontId="5" fillId="13" borderId="32" xfId="0" applyNumberFormat="1" applyFont="1" applyFill="1" applyBorder="1" applyAlignment="1" applyProtection="1">
      <alignment horizontal="right" vertical="center"/>
    </xf>
    <xf numFmtId="173" fontId="31" fillId="13" borderId="1" xfId="0" applyNumberFormat="1" applyFont="1" applyFill="1" applyBorder="1" applyAlignment="1" applyProtection="1">
      <alignment horizontal="center" vertical="center"/>
      <protection locked="0"/>
    </xf>
    <xf numFmtId="173" fontId="36" fillId="13" borderId="29" xfId="0" applyNumberFormat="1" applyFont="1" applyFill="1" applyBorder="1" applyAlignment="1">
      <alignment horizontal="center" vertical="center"/>
    </xf>
    <xf numFmtId="173" fontId="31" fillId="13" borderId="12" xfId="0" applyNumberFormat="1" applyFont="1" applyFill="1" applyBorder="1" applyAlignment="1">
      <alignment horizontal="center" vertical="center"/>
    </xf>
    <xf numFmtId="173" fontId="36" fillId="13" borderId="30" xfId="0" applyNumberFormat="1" applyFont="1" applyFill="1" applyBorder="1" applyAlignment="1">
      <alignment horizontal="center" vertical="center"/>
    </xf>
    <xf numFmtId="173" fontId="36" fillId="13" borderId="32" xfId="0" applyNumberFormat="1" applyFont="1" applyFill="1" applyBorder="1" applyAlignment="1">
      <alignment horizontal="center" vertical="center"/>
    </xf>
    <xf numFmtId="173" fontId="37" fillId="13" borderId="56" xfId="0" applyNumberFormat="1" applyFont="1" applyFill="1" applyBorder="1" applyAlignment="1">
      <alignment horizontal="center" vertical="center"/>
    </xf>
    <xf numFmtId="173" fontId="31" fillId="13" borderId="13" xfId="0" applyNumberFormat="1" applyFont="1" applyFill="1" applyBorder="1" applyAlignment="1">
      <alignment horizontal="center" vertical="center"/>
    </xf>
    <xf numFmtId="173" fontId="37" fillId="13" borderId="58" xfId="0" applyNumberFormat="1" applyFont="1" applyFill="1" applyBorder="1" applyAlignment="1">
      <alignment horizontal="center" vertical="center"/>
    </xf>
    <xf numFmtId="173" fontId="37" fillId="13" borderId="57" xfId="0" applyNumberFormat="1" applyFont="1" applyFill="1" applyBorder="1" applyAlignment="1">
      <alignment horizontal="center" vertical="center"/>
    </xf>
    <xf numFmtId="173" fontId="31" fillId="3" borderId="53" xfId="0" applyNumberFormat="1" applyFont="1" applyFill="1" applyBorder="1" applyAlignment="1">
      <alignment horizontal="center" vertical="center"/>
    </xf>
    <xf numFmtId="173" fontId="31" fillId="3" borderId="7" xfId="0" applyNumberFormat="1" applyFont="1" applyFill="1" applyBorder="1" applyAlignment="1">
      <alignment horizontal="center" vertical="center"/>
    </xf>
    <xf numFmtId="173" fontId="36" fillId="13" borderId="1" xfId="0" applyNumberFormat="1" applyFont="1" applyFill="1" applyBorder="1" applyAlignment="1">
      <alignment horizontal="center" vertical="center"/>
    </xf>
    <xf numFmtId="173" fontId="37" fillId="13" borderId="1" xfId="0" applyNumberFormat="1" applyFont="1" applyFill="1" applyBorder="1" applyAlignment="1">
      <alignment horizontal="center" vertical="center"/>
    </xf>
    <xf numFmtId="173" fontId="31" fillId="3" borderId="1" xfId="0" applyNumberFormat="1" applyFont="1" applyFill="1" applyBorder="1" applyAlignment="1">
      <alignment horizontal="center" vertical="center"/>
    </xf>
    <xf numFmtId="0" fontId="75" fillId="17" borderId="0" xfId="0" applyFont="1" applyFill="1" applyAlignment="1" applyProtection="1">
      <alignment vertical="center"/>
    </xf>
    <xf numFmtId="0" fontId="0" fillId="15" borderId="85" xfId="0" applyFont="1" applyFill="1" applyBorder="1" applyAlignment="1">
      <alignment vertical="center"/>
    </xf>
    <xf numFmtId="0" fontId="0" fillId="15" borderId="36" xfId="0" applyFont="1" applyFill="1" applyBorder="1" applyAlignment="1">
      <alignment vertical="center"/>
    </xf>
    <xf numFmtId="0" fontId="6" fillId="15" borderId="36" xfId="0" applyFont="1" applyFill="1" applyBorder="1" applyAlignment="1">
      <alignment vertical="center" wrapText="1"/>
    </xf>
    <xf numFmtId="0" fontId="20" fillId="15" borderId="36" xfId="0" applyFont="1" applyFill="1" applyBorder="1" applyAlignment="1">
      <alignment vertical="center"/>
    </xf>
    <xf numFmtId="0" fontId="23" fillId="15" borderId="36" xfId="0" applyFont="1" applyFill="1" applyBorder="1" applyAlignment="1">
      <alignment vertical="top" wrapText="1"/>
    </xf>
    <xf numFmtId="0" fontId="0" fillId="15" borderId="23" xfId="0" applyFont="1" applyFill="1" applyBorder="1" applyAlignment="1">
      <alignment vertical="center"/>
    </xf>
    <xf numFmtId="0" fontId="0" fillId="15" borderId="24" xfId="0" applyFont="1" applyFill="1" applyBorder="1" applyAlignment="1">
      <alignment vertical="center"/>
    </xf>
    <xf numFmtId="0" fontId="0" fillId="15" borderId="20" xfId="0" applyFont="1" applyFill="1" applyBorder="1" applyAlignment="1">
      <alignment vertical="center"/>
    </xf>
    <xf numFmtId="0" fontId="0" fillId="15" borderId="19" xfId="0" applyFont="1" applyFill="1" applyBorder="1" applyAlignment="1">
      <alignment vertical="center"/>
    </xf>
    <xf numFmtId="0" fontId="4" fillId="15" borderId="20" xfId="0" applyFont="1" applyFill="1" applyBorder="1" applyAlignment="1">
      <alignment vertical="center"/>
    </xf>
    <xf numFmtId="0" fontId="4" fillId="15" borderId="19" xfId="0" applyFont="1" applyFill="1" applyBorder="1" applyAlignment="1">
      <alignment vertical="center"/>
    </xf>
    <xf numFmtId="0" fontId="20" fillId="15" borderId="20" xfId="0" applyFont="1" applyFill="1" applyBorder="1" applyAlignment="1">
      <alignment vertical="center"/>
    </xf>
    <xf numFmtId="0" fontId="0" fillId="15" borderId="7" xfId="0" applyFont="1" applyFill="1" applyBorder="1" applyAlignment="1">
      <alignment vertical="center"/>
    </xf>
    <xf numFmtId="0" fontId="0" fillId="15" borderId="9" xfId="0" applyFont="1" applyFill="1" applyBorder="1" applyAlignment="1">
      <alignment vertical="center"/>
    </xf>
    <xf numFmtId="0" fontId="0" fillId="0" borderId="18" xfId="0" applyFont="1" applyFill="1" applyBorder="1" applyAlignment="1">
      <alignment vertical="center"/>
    </xf>
    <xf numFmtId="0" fontId="0" fillId="0" borderId="8" xfId="0" applyFont="1" applyFill="1" applyBorder="1" applyAlignment="1">
      <alignment vertical="center"/>
    </xf>
    <xf numFmtId="0" fontId="0" fillId="15" borderId="0" xfId="0" applyFill="1" applyBorder="1" applyAlignment="1">
      <alignment vertical="center"/>
    </xf>
    <xf numFmtId="0" fontId="52" fillId="15" borderId="87" xfId="0" applyFont="1" applyFill="1" applyBorder="1" applyAlignment="1">
      <alignment vertical="center"/>
    </xf>
    <xf numFmtId="0" fontId="49" fillId="15" borderId="0" xfId="0" applyFont="1" applyFill="1" applyBorder="1" applyAlignment="1">
      <alignment horizontal="left" vertical="center"/>
    </xf>
    <xf numFmtId="0" fontId="30" fillId="0" borderId="1" xfId="0" applyFont="1" applyBorder="1" applyAlignment="1">
      <alignment horizontal="center" vertical="center"/>
    </xf>
    <xf numFmtId="0" fontId="4" fillId="15" borderId="0" xfId="0" applyFont="1" applyFill="1" applyBorder="1" applyAlignment="1">
      <alignment horizontal="left" vertical="center"/>
    </xf>
    <xf numFmtId="0" fontId="30" fillId="18" borderId="1" xfId="0" applyFont="1" applyFill="1" applyBorder="1" applyAlignment="1">
      <alignment horizontal="center" vertical="center"/>
    </xf>
    <xf numFmtId="0" fontId="4" fillId="18" borderId="32" xfId="0" applyFont="1" applyFill="1" applyBorder="1" applyAlignment="1" applyProtection="1">
      <alignment horizontal="center" vertical="center"/>
      <protection locked="0"/>
    </xf>
    <xf numFmtId="0" fontId="0" fillId="15" borderId="0" xfId="0" applyFill="1" applyAlignment="1">
      <alignment vertical="top"/>
    </xf>
    <xf numFmtId="0" fontId="41" fillId="15" borderId="0" xfId="0" applyFont="1" applyFill="1" applyAlignment="1">
      <alignment vertical="top"/>
    </xf>
    <xf numFmtId="0" fontId="41" fillId="15" borderId="18" xfId="0" applyFont="1" applyFill="1" applyBorder="1" applyAlignment="1">
      <alignment vertical="top"/>
    </xf>
    <xf numFmtId="0" fontId="0" fillId="15" borderId="0" xfId="0" applyFill="1" applyAlignment="1">
      <alignment horizontal="center" vertical="center"/>
    </xf>
    <xf numFmtId="0" fontId="49" fillId="15" borderId="0" xfId="0" applyFont="1" applyFill="1" applyAlignment="1">
      <alignment vertical="top"/>
    </xf>
    <xf numFmtId="0" fontId="41" fillId="15" borderId="0" xfId="0" applyFont="1" applyFill="1" applyAlignment="1">
      <alignment horizontal="center" vertical="center"/>
    </xf>
    <xf numFmtId="0" fontId="41" fillId="15" borderId="18" xfId="0" applyFont="1" applyFill="1" applyBorder="1" applyAlignment="1">
      <alignment horizontal="center" vertical="center"/>
    </xf>
    <xf numFmtId="0" fontId="0" fillId="15" borderId="0" xfId="0" applyFont="1" applyFill="1" applyBorder="1" applyAlignment="1">
      <alignment vertical="top"/>
    </xf>
    <xf numFmtId="0" fontId="0" fillId="15" borderId="0" xfId="0" applyFont="1" applyFill="1" applyBorder="1" applyAlignment="1">
      <alignment vertical="top" wrapText="1"/>
    </xf>
    <xf numFmtId="0" fontId="0" fillId="15" borderId="0" xfId="0" applyFont="1" applyFill="1" applyBorder="1" applyAlignment="1">
      <alignment horizontal="left" vertical="top" wrapText="1"/>
    </xf>
    <xf numFmtId="0" fontId="0" fillId="15" borderId="0" xfId="0" applyFill="1" applyBorder="1" applyAlignment="1">
      <alignment vertical="top"/>
    </xf>
    <xf numFmtId="0" fontId="1" fillId="15" borderId="0" xfId="0" applyFont="1" applyFill="1" applyAlignment="1">
      <alignment vertical="top"/>
    </xf>
    <xf numFmtId="0" fontId="0" fillId="15" borderId="0" xfId="0" applyFill="1" applyAlignment="1">
      <alignment vertical="center" wrapText="1"/>
    </xf>
    <xf numFmtId="0" fontId="0" fillId="15" borderId="0" xfId="0" applyFill="1" applyAlignment="1">
      <alignment horizontal="left" vertical="center" wrapText="1"/>
    </xf>
    <xf numFmtId="0" fontId="70" fillId="15" borderId="0" xfId="0" quotePrefix="1" applyFont="1" applyFill="1" applyBorder="1" applyAlignment="1">
      <alignment vertical="top"/>
    </xf>
    <xf numFmtId="0" fontId="0" fillId="0" borderId="0" xfId="0" applyFill="1" applyAlignment="1">
      <alignment vertical="top"/>
    </xf>
    <xf numFmtId="0" fontId="4" fillId="13" borderId="12" xfId="0" applyFont="1" applyFill="1" applyBorder="1" applyAlignment="1" applyProtection="1">
      <alignment horizontal="center" vertical="center"/>
      <protection hidden="1"/>
    </xf>
    <xf numFmtId="10" fontId="4" fillId="13" borderId="1" xfId="0" applyNumberFormat="1" applyFont="1" applyFill="1" applyBorder="1" applyAlignment="1" applyProtection="1">
      <alignment horizontal="center" vertical="center"/>
      <protection hidden="1"/>
    </xf>
    <xf numFmtId="168" fontId="4" fillId="13" borderId="1" xfId="0" applyNumberFormat="1" applyFont="1" applyFill="1" applyBorder="1" applyAlignment="1" applyProtection="1">
      <alignment horizontal="center" vertical="center"/>
      <protection hidden="1"/>
    </xf>
    <xf numFmtId="168" fontId="4" fillId="13" borderId="13" xfId="0" applyNumberFormat="1" applyFont="1" applyFill="1" applyBorder="1" applyAlignment="1" applyProtection="1">
      <alignment horizontal="center" vertical="center"/>
      <protection hidden="1"/>
    </xf>
    <xf numFmtId="0" fontId="10" fillId="13" borderId="12" xfId="0" applyFont="1" applyFill="1" applyBorder="1" applyAlignment="1" applyProtection="1">
      <alignment horizontal="center" vertical="center"/>
      <protection hidden="1"/>
    </xf>
    <xf numFmtId="10" fontId="10" fillId="13" borderId="1" xfId="0" applyNumberFormat="1" applyFont="1" applyFill="1" applyBorder="1" applyAlignment="1" applyProtection="1">
      <alignment horizontal="center" vertical="center"/>
      <protection hidden="1"/>
    </xf>
    <xf numFmtId="168" fontId="10" fillId="13" borderId="1" xfId="0" applyNumberFormat="1" applyFont="1" applyFill="1" applyBorder="1" applyAlignment="1" applyProtection="1">
      <alignment horizontal="center" vertical="center"/>
      <protection hidden="1"/>
    </xf>
    <xf numFmtId="168" fontId="10" fillId="13" borderId="13" xfId="0" applyNumberFormat="1" applyFont="1" applyFill="1" applyBorder="1" applyAlignment="1" applyProtection="1">
      <alignment horizontal="center" vertical="center"/>
      <protection hidden="1"/>
    </xf>
    <xf numFmtId="0" fontId="10" fillId="13" borderId="14" xfId="0" applyFont="1" applyFill="1" applyBorder="1" applyAlignment="1" applyProtection="1">
      <alignment horizontal="center" vertical="center"/>
      <protection hidden="1"/>
    </xf>
    <xf numFmtId="10" fontId="10" fillId="13" borderId="15" xfId="0" applyNumberFormat="1" applyFont="1" applyFill="1" applyBorder="1" applyAlignment="1" applyProtection="1">
      <alignment horizontal="center" vertical="center"/>
      <protection hidden="1"/>
    </xf>
    <xf numFmtId="168" fontId="10" fillId="13" borderId="15" xfId="0" applyNumberFormat="1" applyFont="1" applyFill="1" applyBorder="1" applyAlignment="1" applyProtection="1">
      <alignment horizontal="center" vertical="center"/>
      <protection hidden="1"/>
    </xf>
    <xf numFmtId="168" fontId="10" fillId="13" borderId="16" xfId="0" applyNumberFormat="1" applyFont="1" applyFill="1" applyBorder="1" applyAlignment="1" applyProtection="1">
      <alignment horizontal="center" vertical="center"/>
      <protection hidden="1"/>
    </xf>
    <xf numFmtId="2" fontId="4" fillId="13" borderId="6" xfId="0" applyNumberFormat="1" applyFont="1" applyFill="1" applyBorder="1" applyAlignment="1">
      <alignment horizontal="center" vertical="center"/>
    </xf>
    <xf numFmtId="2" fontId="4" fillId="13" borderId="1" xfId="0" applyNumberFormat="1" applyFont="1" applyFill="1" applyBorder="1" applyAlignment="1">
      <alignment horizontal="center" vertical="center"/>
    </xf>
    <xf numFmtId="2" fontId="4" fillId="13" borderId="13" xfId="0" applyNumberFormat="1" applyFont="1" applyFill="1" applyBorder="1" applyAlignment="1">
      <alignment horizontal="center" vertical="center"/>
    </xf>
    <xf numFmtId="2" fontId="4" fillId="13" borderId="31" xfId="0" applyNumberFormat="1" applyFont="1" applyFill="1" applyBorder="1" applyAlignment="1">
      <alignment horizontal="center" vertical="center"/>
    </xf>
    <xf numFmtId="1" fontId="4" fillId="13" borderId="6" xfId="0" applyNumberFormat="1" applyFont="1" applyFill="1" applyBorder="1" applyAlignment="1">
      <alignment horizontal="center" vertical="center"/>
    </xf>
    <xf numFmtId="1" fontId="4" fillId="13" borderId="1" xfId="0" applyNumberFormat="1" applyFont="1" applyFill="1" applyBorder="1" applyAlignment="1">
      <alignment horizontal="center" vertical="center"/>
    </xf>
    <xf numFmtId="1" fontId="4" fillId="13" borderId="13" xfId="0" applyNumberFormat="1" applyFont="1" applyFill="1" applyBorder="1" applyAlignment="1">
      <alignment horizontal="center" vertical="center"/>
    </xf>
    <xf numFmtId="1" fontId="4" fillId="13" borderId="31" xfId="0" applyNumberFormat="1" applyFont="1" applyFill="1" applyBorder="1" applyAlignment="1">
      <alignment horizontal="center" vertical="center"/>
    </xf>
    <xf numFmtId="173" fontId="4" fillId="13" borderId="1" xfId="2" applyNumberFormat="1" applyFont="1" applyFill="1" applyBorder="1" applyAlignment="1">
      <alignment horizontal="left" vertical="center"/>
    </xf>
    <xf numFmtId="0" fontId="4" fillId="15" borderId="0" xfId="0" applyFont="1" applyFill="1" applyAlignment="1">
      <alignment vertical="center"/>
    </xf>
    <xf numFmtId="0" fontId="47" fillId="15" borderId="36" xfId="0" applyFont="1" applyFill="1" applyBorder="1" applyAlignment="1">
      <alignment horizontal="left" vertical="center"/>
    </xf>
    <xf numFmtId="0" fontId="49" fillId="15" borderId="36" xfId="0" applyFont="1" applyFill="1" applyBorder="1" applyAlignment="1">
      <alignment horizontal="left" vertical="center"/>
    </xf>
    <xf numFmtId="0" fontId="4" fillId="15" borderId="36" xfId="0" applyFont="1" applyFill="1" applyBorder="1" applyAlignment="1">
      <alignment vertical="center"/>
    </xf>
    <xf numFmtId="0" fontId="4" fillId="15" borderId="0" xfId="0" applyFont="1" applyFill="1" applyBorder="1" applyAlignment="1">
      <alignment horizontal="center" vertical="center"/>
    </xf>
    <xf numFmtId="1" fontId="4" fillId="15" borderId="0" xfId="0" applyNumberFormat="1" applyFont="1" applyFill="1" applyBorder="1" applyAlignment="1">
      <alignment horizontal="center" vertical="center"/>
    </xf>
    <xf numFmtId="0" fontId="4" fillId="0" borderId="0" xfId="0" applyFont="1" applyFill="1" applyAlignment="1">
      <alignment vertical="center"/>
    </xf>
    <xf numFmtId="0" fontId="23" fillId="0" borderId="0" xfId="0" applyFont="1" applyFill="1" applyBorder="1" applyAlignment="1">
      <alignment vertical="top" wrapText="1"/>
    </xf>
    <xf numFmtId="2" fontId="79" fillId="3" borderId="1" xfId="0" applyNumberFormat="1" applyFont="1" applyFill="1" applyBorder="1" applyAlignment="1">
      <alignment horizontal="center" vertical="center"/>
    </xf>
    <xf numFmtId="0" fontId="59" fillId="11" borderId="0" xfId="0" applyFont="1" applyFill="1" applyAlignment="1">
      <alignment vertical="center"/>
    </xf>
    <xf numFmtId="0" fontId="62" fillId="11" borderId="0" xfId="0" applyFont="1" applyFill="1" applyAlignment="1">
      <alignment vertical="center"/>
    </xf>
    <xf numFmtId="0" fontId="4" fillId="11" borderId="0" xfId="0" applyFont="1" applyFill="1" applyAlignment="1" applyProtection="1">
      <alignment vertical="center"/>
    </xf>
    <xf numFmtId="176" fontId="74" fillId="0" borderId="1" xfId="1" applyNumberFormat="1" applyFont="1" applyFill="1" applyBorder="1" applyAlignment="1" applyProtection="1">
      <alignment horizontal="center" vertical="center" wrapText="1"/>
      <protection locked="0"/>
    </xf>
    <xf numFmtId="173" fontId="36" fillId="13" borderId="1" xfId="0" applyNumberFormat="1" applyFont="1" applyFill="1" applyBorder="1" applyAlignment="1">
      <alignment vertical="center" wrapText="1"/>
    </xf>
    <xf numFmtId="0" fontId="7" fillId="4" borderId="1" xfId="0" applyFont="1" applyFill="1" applyBorder="1" applyAlignment="1" applyProtection="1">
      <alignment horizontal="center" vertical="center" wrapText="1"/>
      <protection locked="0"/>
    </xf>
    <xf numFmtId="0" fontId="4" fillId="4" borderId="1" xfId="0" applyFont="1" applyFill="1" applyBorder="1" applyAlignment="1" applyProtection="1">
      <alignment horizontal="center" vertical="center"/>
      <protection locked="0"/>
    </xf>
    <xf numFmtId="0" fontId="7" fillId="15" borderId="0" xfId="0" applyFont="1" applyFill="1" applyBorder="1" applyAlignment="1" applyProtection="1">
      <alignment horizontal="center" vertical="center" wrapText="1"/>
    </xf>
    <xf numFmtId="0" fontId="5" fillId="15" borderId="0" xfId="0" applyFont="1" applyFill="1" applyBorder="1" applyAlignment="1" applyProtection="1">
      <alignment horizontal="center" vertical="center"/>
    </xf>
    <xf numFmtId="0" fontId="4" fillId="15" borderId="0" xfId="0" applyFont="1" applyFill="1" applyBorder="1" applyAlignment="1" applyProtection="1">
      <alignment vertical="center"/>
    </xf>
    <xf numFmtId="0" fontId="4" fillId="15" borderId="0" xfId="0" applyFont="1" applyFill="1" applyBorder="1" applyAlignment="1" applyProtection="1">
      <alignment horizontal="center" vertical="center"/>
    </xf>
    <xf numFmtId="173" fontId="7" fillId="15" borderId="39" xfId="2" applyNumberFormat="1" applyFont="1" applyFill="1" applyBorder="1" applyAlignment="1" applyProtection="1">
      <alignment vertical="center" wrapText="1"/>
    </xf>
    <xf numFmtId="0" fontId="7" fillId="15" borderId="0" xfId="0" applyFont="1" applyFill="1" applyBorder="1" applyAlignment="1">
      <alignment vertical="top" wrapText="1"/>
    </xf>
    <xf numFmtId="173" fontId="7" fillId="15" borderId="0" xfId="2" applyNumberFormat="1" applyFont="1" applyFill="1" applyBorder="1" applyAlignment="1" applyProtection="1">
      <alignment vertical="center" wrapText="1"/>
    </xf>
    <xf numFmtId="0" fontId="4" fillId="5" borderId="0" xfId="0" applyFont="1" applyFill="1" applyBorder="1" applyAlignment="1" applyProtection="1">
      <alignment vertical="center"/>
    </xf>
    <xf numFmtId="0" fontId="4" fillId="5" borderId="0" xfId="0" applyFont="1" applyFill="1" applyBorder="1" applyAlignment="1" applyProtection="1">
      <alignment horizontal="center" vertical="center"/>
    </xf>
    <xf numFmtId="173" fontId="7" fillId="5" borderId="39" xfId="2" applyNumberFormat="1" applyFont="1" applyFill="1" applyBorder="1" applyAlignment="1" applyProtection="1">
      <alignment vertical="center" wrapText="1"/>
    </xf>
    <xf numFmtId="0" fontId="7" fillId="5" borderId="0" xfId="0" applyFont="1" applyFill="1" applyBorder="1" applyAlignment="1" applyProtection="1">
      <alignment horizontal="center" vertical="center" wrapText="1"/>
    </xf>
    <xf numFmtId="173" fontId="7" fillId="5" borderId="0" xfId="2" applyNumberFormat="1" applyFont="1" applyFill="1" applyBorder="1" applyAlignment="1" applyProtection="1">
      <alignment vertical="center" wrapText="1"/>
    </xf>
    <xf numFmtId="0" fontId="23" fillId="15" borderId="0" xfId="0" applyFont="1" applyFill="1" applyBorder="1" applyAlignment="1">
      <alignment horizontal="left" vertical="top" wrapText="1"/>
    </xf>
    <xf numFmtId="0" fontId="24" fillId="15" borderId="0" xfId="0" applyFont="1" applyFill="1" applyBorder="1" applyAlignment="1">
      <alignment horizontal="left" vertical="center" wrapText="1"/>
    </xf>
    <xf numFmtId="0" fontId="42" fillId="15" borderId="0" xfId="0" applyFont="1" applyFill="1" applyBorder="1" applyAlignment="1">
      <alignment horizontal="left" vertical="center"/>
    </xf>
    <xf numFmtId="0" fontId="20" fillId="0" borderId="0" xfId="0" quotePrefix="1" applyFont="1" applyAlignment="1">
      <alignment vertical="center"/>
    </xf>
    <xf numFmtId="175" fontId="1" fillId="0" borderId="21" xfId="0" applyNumberFormat="1" applyFont="1" applyBorder="1" applyAlignment="1" applyProtection="1">
      <alignment horizontal="center" vertical="center"/>
      <protection locked="0"/>
    </xf>
    <xf numFmtId="0" fontId="1" fillId="0" borderId="31" xfId="0" applyFont="1" applyBorder="1" applyAlignment="1" applyProtection="1">
      <alignment horizontal="left" vertical="center"/>
      <protection locked="0"/>
    </xf>
    <xf numFmtId="0" fontId="81" fillId="2" borderId="13" xfId="0" applyFont="1" applyFill="1" applyBorder="1" applyAlignment="1">
      <alignment vertical="top"/>
    </xf>
    <xf numFmtId="0" fontId="52" fillId="17" borderId="0" xfId="0" applyFont="1" applyFill="1" applyBorder="1" applyAlignment="1">
      <alignment vertical="center"/>
    </xf>
    <xf numFmtId="0" fontId="82" fillId="17" borderId="0" xfId="0" applyFont="1" applyFill="1" applyAlignment="1">
      <alignment vertical="center"/>
    </xf>
    <xf numFmtId="0" fontId="81" fillId="2" borderId="30" xfId="0" applyFont="1" applyFill="1" applyBorder="1" applyAlignment="1">
      <alignment vertical="top"/>
    </xf>
    <xf numFmtId="0" fontId="81" fillId="2" borderId="53" xfId="0" applyFont="1" applyFill="1" applyBorder="1" applyAlignment="1">
      <alignment vertical="top"/>
    </xf>
    <xf numFmtId="0" fontId="59" fillId="3" borderId="72" xfId="0" applyFont="1" applyFill="1" applyBorder="1" applyAlignment="1">
      <alignment horizontal="left" vertical="center"/>
    </xf>
    <xf numFmtId="0" fontId="67" fillId="3" borderId="84" xfId="0" applyFont="1" applyFill="1" applyBorder="1" applyAlignment="1">
      <alignment horizontal="center" vertical="center"/>
    </xf>
    <xf numFmtId="0" fontId="67" fillId="3" borderId="89" xfId="0" applyFont="1" applyFill="1" applyBorder="1" applyAlignment="1">
      <alignment horizontal="center" vertical="center"/>
    </xf>
    <xf numFmtId="0" fontId="67" fillId="3" borderId="75" xfId="0" applyFont="1" applyFill="1" applyBorder="1" applyAlignment="1">
      <alignment horizontal="left" vertical="center"/>
    </xf>
    <xf numFmtId="0" fontId="67" fillId="3" borderId="51" xfId="0" applyFont="1" applyFill="1" applyBorder="1" applyAlignment="1">
      <alignment horizontal="left" vertical="center"/>
    </xf>
    <xf numFmtId="173" fontId="67" fillId="13" borderId="52" xfId="2" applyNumberFormat="1" applyFont="1" applyFill="1" applyBorder="1" applyAlignment="1">
      <alignment horizontal="right" vertical="center"/>
    </xf>
    <xf numFmtId="9" fontId="67" fillId="13" borderId="90" xfId="1" applyFont="1" applyFill="1" applyBorder="1" applyAlignment="1">
      <alignment horizontal="center" vertical="center"/>
    </xf>
    <xf numFmtId="0" fontId="41" fillId="3" borderId="53" xfId="0" applyFont="1" applyFill="1" applyBorder="1" applyAlignment="1">
      <alignment vertical="center"/>
    </xf>
    <xf numFmtId="0" fontId="41" fillId="3" borderId="12" xfId="0" applyFont="1" applyFill="1" applyBorder="1" applyAlignment="1">
      <alignment vertical="center"/>
    </xf>
    <xf numFmtId="0" fontId="41" fillId="20" borderId="1" xfId="0" applyFont="1" applyFill="1" applyBorder="1" applyAlignment="1">
      <alignment vertical="center"/>
    </xf>
    <xf numFmtId="0" fontId="41" fillId="20" borderId="25" xfId="0" applyFont="1" applyFill="1" applyBorder="1" applyAlignment="1">
      <alignment horizontal="center" vertical="center"/>
    </xf>
    <xf numFmtId="0" fontId="41" fillId="20" borderId="13" xfId="0" applyFont="1" applyFill="1" applyBorder="1" applyAlignment="1">
      <alignment vertical="center"/>
    </xf>
    <xf numFmtId="0" fontId="66" fillId="3" borderId="12" xfId="0" applyFont="1" applyFill="1" applyBorder="1" applyAlignment="1">
      <alignment horizontal="left" vertical="center"/>
    </xf>
    <xf numFmtId="173" fontId="66" fillId="0" borderId="1" xfId="2" applyNumberFormat="1" applyFont="1" applyBorder="1" applyAlignment="1" applyProtection="1">
      <alignment horizontal="right" vertical="center"/>
      <protection locked="0"/>
    </xf>
    <xf numFmtId="9" fontId="66" fillId="20" borderId="25" xfId="1" applyFont="1" applyFill="1" applyBorder="1" applyAlignment="1" applyProtection="1">
      <alignment horizontal="center" vertical="center"/>
      <protection locked="0"/>
    </xf>
    <xf numFmtId="0" fontId="66" fillId="0" borderId="13" xfId="0" applyFont="1" applyBorder="1" applyAlignment="1" applyProtection="1">
      <alignment horizontal="left" vertical="center"/>
      <protection locked="0"/>
    </xf>
    <xf numFmtId="173" fontId="66" fillId="0" borderId="15" xfId="2" applyNumberFormat="1" applyFont="1" applyBorder="1" applyAlignment="1" applyProtection="1">
      <alignment horizontal="right" vertical="center"/>
      <protection locked="0"/>
    </xf>
    <xf numFmtId="0" fontId="66" fillId="0" borderId="16" xfId="0" applyFont="1" applyBorder="1" applyAlignment="1" applyProtection="1">
      <alignment horizontal="left" vertical="center"/>
      <protection locked="0"/>
    </xf>
    <xf numFmtId="0" fontId="59" fillId="3" borderId="29" xfId="0" applyFont="1" applyFill="1" applyBorder="1" applyAlignment="1">
      <alignment horizontal="left" vertical="center"/>
    </xf>
    <xf numFmtId="0" fontId="67" fillId="3" borderId="70" xfId="0" applyFont="1" applyFill="1" applyBorder="1" applyAlignment="1">
      <alignment horizontal="center" vertical="center"/>
    </xf>
    <xf numFmtId="0" fontId="67" fillId="3" borderId="64" xfId="0" applyFont="1" applyFill="1" applyBorder="1" applyAlignment="1">
      <alignment horizontal="center" vertical="center"/>
    </xf>
    <xf numFmtId="0" fontId="67" fillId="3" borderId="30" xfId="0" applyFont="1" applyFill="1" applyBorder="1" applyAlignment="1">
      <alignment horizontal="left" vertical="center"/>
    </xf>
    <xf numFmtId="173" fontId="66" fillId="0" borderId="90" xfId="2" applyNumberFormat="1" applyFont="1" applyBorder="1" applyAlignment="1" applyProtection="1">
      <alignment horizontal="right" vertical="center"/>
      <protection locked="0"/>
    </xf>
    <xf numFmtId="9" fontId="66" fillId="20" borderId="82" xfId="1" applyFont="1" applyFill="1" applyBorder="1" applyAlignment="1" applyProtection="1">
      <alignment horizontal="center" vertical="center"/>
      <protection locked="0"/>
    </xf>
    <xf numFmtId="0" fontId="66" fillId="0" borderId="11" xfId="0" applyFont="1" applyBorder="1" applyAlignment="1" applyProtection="1">
      <alignment horizontal="left" vertical="center"/>
      <protection locked="0"/>
    </xf>
    <xf numFmtId="173" fontId="66" fillId="0" borderId="25" xfId="2" applyNumberFormat="1" applyFont="1" applyBorder="1" applyAlignment="1" applyProtection="1">
      <alignment horizontal="right" vertical="center"/>
      <protection locked="0"/>
    </xf>
    <xf numFmtId="9" fontId="66" fillId="20" borderId="58" xfId="1" applyFont="1" applyFill="1" applyBorder="1" applyAlignment="1" applyProtection="1">
      <alignment horizontal="center" vertical="center"/>
      <protection locked="0"/>
    </xf>
    <xf numFmtId="0" fontId="66" fillId="0" borderId="66" xfId="0" applyFont="1" applyBorder="1" applyAlignment="1" applyProtection="1">
      <alignment horizontal="left" vertical="center"/>
      <protection locked="0"/>
    </xf>
    <xf numFmtId="173" fontId="66" fillId="0" borderId="7" xfId="2" applyNumberFormat="1" applyFont="1" applyBorder="1" applyAlignment="1" applyProtection="1">
      <alignment horizontal="right" vertical="center"/>
      <protection locked="0"/>
    </xf>
    <xf numFmtId="0" fontId="66" fillId="0" borderId="67" xfId="0" applyFont="1" applyBorder="1" applyAlignment="1" applyProtection="1">
      <alignment horizontal="left" vertical="center"/>
      <protection locked="0"/>
    </xf>
    <xf numFmtId="173" fontId="66" fillId="0" borderId="33" xfId="2" applyNumberFormat="1" applyFont="1" applyBorder="1" applyAlignment="1" applyProtection="1">
      <alignment horizontal="right" vertical="center"/>
      <protection locked="0"/>
    </xf>
    <xf numFmtId="9" fontId="66" fillId="20" borderId="57" xfId="1" applyFont="1" applyFill="1" applyBorder="1" applyAlignment="1" applyProtection="1">
      <alignment horizontal="center" vertical="center"/>
      <protection locked="0"/>
    </xf>
    <xf numFmtId="0" fontId="66" fillId="0" borderId="65" xfId="0" applyFont="1" applyBorder="1" applyAlignment="1" applyProtection="1">
      <alignment horizontal="left" vertical="center"/>
      <protection locked="0"/>
    </xf>
    <xf numFmtId="0" fontId="52" fillId="15" borderId="36" xfId="0" applyFont="1" applyFill="1" applyBorder="1" applyAlignment="1">
      <alignment vertical="center"/>
    </xf>
    <xf numFmtId="0" fontId="20" fillId="5" borderId="0" xfId="0" applyFont="1" applyFill="1" applyBorder="1" applyAlignment="1" applyProtection="1">
      <alignment horizontal="right" vertical="center"/>
    </xf>
    <xf numFmtId="0" fontId="5" fillId="5" borderId="0" xfId="0" applyFont="1" applyFill="1" applyBorder="1" applyAlignment="1" applyProtection="1">
      <alignment horizontal="center" vertical="center"/>
    </xf>
    <xf numFmtId="0" fontId="66" fillId="0" borderId="12" xfId="0" applyFont="1" applyFill="1" applyBorder="1" applyAlignment="1" applyProtection="1">
      <alignment horizontal="left" vertical="center"/>
      <protection locked="0"/>
    </xf>
    <xf numFmtId="0" fontId="66" fillId="0" borderId="14" xfId="0" applyFont="1" applyFill="1" applyBorder="1" applyAlignment="1" applyProtection="1">
      <alignment horizontal="left" vertical="center"/>
      <protection locked="0"/>
    </xf>
    <xf numFmtId="0" fontId="66" fillId="0" borderId="51" xfId="0" applyFont="1" applyFill="1" applyBorder="1" applyAlignment="1" applyProtection="1">
      <alignment horizontal="left" vertical="center"/>
      <protection locked="0"/>
    </xf>
    <xf numFmtId="0" fontId="66" fillId="0" borderId="50" xfId="0" applyFont="1" applyFill="1" applyBorder="1" applyAlignment="1" applyProtection="1">
      <alignment horizontal="left" vertical="center"/>
      <protection locked="0"/>
    </xf>
    <xf numFmtId="0" fontId="1" fillId="0" borderId="50" xfId="0" applyFont="1" applyFill="1" applyBorder="1" applyAlignment="1" applyProtection="1">
      <alignment horizontal="left" vertical="center"/>
      <protection locked="0"/>
    </xf>
    <xf numFmtId="0" fontId="1" fillId="0" borderId="12" xfId="0" applyFont="1" applyFill="1" applyBorder="1" applyAlignment="1" applyProtection="1">
      <alignment horizontal="left" vertical="center"/>
      <protection locked="0"/>
    </xf>
    <xf numFmtId="0" fontId="1" fillId="0" borderId="48" xfId="0" applyFont="1" applyFill="1" applyBorder="1" applyAlignment="1" applyProtection="1">
      <alignment horizontal="left" vertical="center"/>
      <protection locked="0"/>
    </xf>
    <xf numFmtId="0" fontId="1" fillId="0" borderId="14" xfId="0" applyFont="1" applyFill="1" applyBorder="1" applyAlignment="1" applyProtection="1">
      <alignment horizontal="left" vertical="center"/>
      <protection locked="0"/>
    </xf>
    <xf numFmtId="0" fontId="18" fillId="5" borderId="0" xfId="0" applyFont="1" applyFill="1" applyBorder="1" applyAlignment="1" applyProtection="1">
      <alignment horizontal="right" vertical="center"/>
    </xf>
    <xf numFmtId="0" fontId="67" fillId="5" borderId="18" xfId="0" applyFont="1" applyFill="1" applyBorder="1" applyAlignment="1" applyProtection="1">
      <alignment horizontal="left" vertical="center"/>
    </xf>
    <xf numFmtId="0" fontId="11" fillId="5" borderId="18" xfId="0" applyFont="1" applyFill="1" applyBorder="1" applyAlignment="1" applyProtection="1">
      <alignment horizontal="left" vertical="center"/>
    </xf>
    <xf numFmtId="0" fontId="0" fillId="5" borderId="0" xfId="0" applyFont="1" applyFill="1" applyBorder="1" applyAlignment="1" applyProtection="1">
      <alignment vertical="center"/>
    </xf>
    <xf numFmtId="0" fontId="1" fillId="5" borderId="0" xfId="0" applyFont="1" applyFill="1" applyBorder="1" applyAlignment="1" applyProtection="1">
      <alignment vertical="center"/>
    </xf>
    <xf numFmtId="0" fontId="20" fillId="5" borderId="27" xfId="0" quotePrefix="1" applyFont="1" applyFill="1" applyBorder="1" applyAlignment="1" applyProtection="1">
      <alignment horizontal="left" vertical="center"/>
    </xf>
    <xf numFmtId="0" fontId="20" fillId="5" borderId="0" xfId="0" quotePrefix="1" applyFont="1" applyFill="1" applyBorder="1" applyAlignment="1" applyProtection="1">
      <alignment vertical="center"/>
    </xf>
    <xf numFmtId="0" fontId="20" fillId="5" borderId="0" xfId="0" applyFont="1" applyFill="1" applyBorder="1" applyAlignment="1" applyProtection="1">
      <alignment vertical="center"/>
    </xf>
    <xf numFmtId="0" fontId="20" fillId="5" borderId="0" xfId="0" quotePrefix="1" applyFont="1" applyFill="1" applyBorder="1" applyAlignment="1" applyProtection="1">
      <alignment horizontal="left" vertical="center"/>
    </xf>
    <xf numFmtId="169" fontId="20" fillId="6" borderId="1" xfId="0" applyNumberFormat="1" applyFont="1" applyFill="1" applyBorder="1" applyAlignment="1" applyProtection="1">
      <alignment horizontal="right" vertical="center"/>
    </xf>
    <xf numFmtId="0" fontId="20" fillId="6" borderId="1" xfId="0" applyFont="1" applyFill="1" applyBorder="1" applyAlignment="1" applyProtection="1">
      <alignment horizontal="left" vertical="center"/>
    </xf>
    <xf numFmtId="170" fontId="20" fillId="5" borderId="0" xfId="0" quotePrefix="1" applyNumberFormat="1" applyFont="1" applyFill="1" applyBorder="1" applyAlignment="1" applyProtection="1">
      <alignment horizontal="left" vertical="center"/>
    </xf>
    <xf numFmtId="169" fontId="20" fillId="5" borderId="0" xfId="0" applyNumberFormat="1" applyFont="1" applyFill="1" applyBorder="1" applyAlignment="1" applyProtection="1">
      <alignment vertical="center"/>
    </xf>
    <xf numFmtId="0" fontId="19" fillId="5" borderId="0" xfId="0" applyFont="1" applyFill="1" applyBorder="1" applyAlignment="1" applyProtection="1">
      <alignment vertical="center"/>
    </xf>
    <xf numFmtId="0" fontId="58" fillId="5" borderId="0" xfId="0" applyFont="1" applyFill="1" applyBorder="1" applyAlignment="1" applyProtection="1">
      <alignment vertical="center"/>
    </xf>
    <xf numFmtId="0" fontId="0" fillId="5" borderId="8" xfId="0" applyFont="1" applyFill="1" applyBorder="1" applyAlignment="1" applyProtection="1">
      <alignment vertical="center"/>
    </xf>
    <xf numFmtId="0" fontId="14" fillId="5" borderId="0" xfId="0" applyFont="1" applyFill="1" applyBorder="1" applyAlignment="1" applyProtection="1">
      <alignment vertical="center"/>
    </xf>
    <xf numFmtId="0" fontId="24" fillId="5" borderId="0" xfId="0" applyFont="1" applyFill="1" applyBorder="1" applyAlignment="1" applyProtection="1">
      <alignment vertical="center"/>
    </xf>
    <xf numFmtId="0" fontId="20" fillId="5" borderId="3" xfId="0" applyFont="1" applyFill="1" applyBorder="1" applyAlignment="1" applyProtection="1">
      <alignment horizontal="right" vertical="center"/>
    </xf>
    <xf numFmtId="0" fontId="25" fillId="5" borderId="0" xfId="0" applyFont="1" applyFill="1" applyBorder="1" applyAlignment="1" applyProtection="1">
      <alignment vertical="center" wrapText="1"/>
    </xf>
    <xf numFmtId="0" fontId="6" fillId="5" borderId="8" xfId="0" applyFont="1" applyFill="1" applyBorder="1" applyAlignment="1" applyProtection="1">
      <alignment vertical="center" wrapText="1"/>
    </xf>
    <xf numFmtId="0" fontId="6" fillId="5" borderId="0" xfId="0" applyFont="1" applyFill="1" applyBorder="1" applyAlignment="1" applyProtection="1">
      <alignment vertical="center" wrapText="1"/>
    </xf>
    <xf numFmtId="0" fontId="20" fillId="5" borderId="0" xfId="0" applyFont="1" applyFill="1" applyBorder="1" applyAlignment="1" applyProtection="1">
      <alignment horizontal="left" vertical="center"/>
    </xf>
    <xf numFmtId="0" fontId="20" fillId="5" borderId="8" xfId="0" applyFont="1" applyFill="1" applyBorder="1" applyAlignment="1" applyProtection="1">
      <alignment vertical="center"/>
    </xf>
    <xf numFmtId="0" fontId="13" fillId="5" borderId="0" xfId="0" applyFont="1" applyFill="1" applyBorder="1" applyAlignment="1" applyProtection="1">
      <alignment vertical="center"/>
    </xf>
    <xf numFmtId="0" fontId="20" fillId="7" borderId="1" xfId="0" applyFont="1" applyFill="1" applyBorder="1" applyAlignment="1" applyProtection="1">
      <alignment vertical="center"/>
    </xf>
    <xf numFmtId="0" fontId="20" fillId="6" borderId="1" xfId="0" applyFont="1" applyFill="1" applyBorder="1" applyAlignment="1" applyProtection="1">
      <alignment vertical="center"/>
    </xf>
    <xf numFmtId="172" fontId="20" fillId="6" borderId="1" xfId="0" applyNumberFormat="1" applyFont="1" applyFill="1" applyBorder="1" applyAlignment="1" applyProtection="1">
      <alignment vertical="center"/>
    </xf>
    <xf numFmtId="0" fontId="12" fillId="5" borderId="18" xfId="0" applyFont="1" applyFill="1" applyBorder="1" applyAlignment="1" applyProtection="1">
      <alignment horizontal="center" vertical="top" wrapText="1"/>
    </xf>
    <xf numFmtId="1" fontId="20" fillId="6" borderId="1" xfId="0" applyNumberFormat="1" applyFont="1" applyFill="1" applyBorder="1" applyAlignment="1" applyProtection="1">
      <alignment horizontal="center" vertical="center"/>
    </xf>
    <xf numFmtId="0" fontId="25" fillId="5" borderId="0" xfId="0" applyFont="1" applyFill="1" applyBorder="1" applyAlignment="1" applyProtection="1">
      <alignment vertical="center"/>
    </xf>
    <xf numFmtId="0" fontId="15" fillId="5" borderId="18" xfId="0" applyFont="1" applyFill="1" applyBorder="1" applyAlignment="1" applyProtection="1">
      <alignment horizontal="center" vertical="top" wrapText="1"/>
    </xf>
    <xf numFmtId="0" fontId="12" fillId="5" borderId="0" xfId="0" applyFont="1" applyFill="1" applyBorder="1" applyAlignment="1" applyProtection="1">
      <alignment horizontal="center" vertical="center"/>
    </xf>
    <xf numFmtId="173" fontId="28" fillId="6" borderId="1" xfId="2" applyNumberFormat="1" applyFont="1" applyFill="1" applyBorder="1" applyProtection="1"/>
    <xf numFmtId="174" fontId="28" fillId="6" borderId="1" xfId="3" applyNumberFormat="1" applyFont="1" applyFill="1" applyBorder="1" applyAlignment="1" applyProtection="1">
      <alignment horizontal="center"/>
    </xf>
    <xf numFmtId="0" fontId="5" fillId="5" borderId="0" xfId="0" applyFont="1" applyFill="1" applyBorder="1" applyAlignment="1" applyProtection="1">
      <alignment vertical="center"/>
    </xf>
    <xf numFmtId="0" fontId="5" fillId="5" borderId="8" xfId="0" applyFont="1" applyFill="1" applyBorder="1" applyAlignment="1" applyProtection="1">
      <alignment horizontal="center"/>
    </xf>
    <xf numFmtId="0" fontId="5" fillId="5" borderId="0" xfId="0" applyFont="1" applyFill="1" applyBorder="1" applyAlignment="1" applyProtection="1"/>
    <xf numFmtId="0" fontId="7" fillId="6" borderId="1" xfId="0" applyFont="1" applyFill="1" applyBorder="1" applyAlignment="1" applyProtection="1">
      <alignment horizontal="center" vertical="top" wrapText="1"/>
    </xf>
    <xf numFmtId="0" fontId="7" fillId="6" borderId="1" xfId="0" applyFont="1" applyFill="1" applyBorder="1" applyAlignment="1" applyProtection="1">
      <alignment horizontal="center" vertical="center" wrapText="1"/>
    </xf>
    <xf numFmtId="0" fontId="7" fillId="5" borderId="0" xfId="0" applyFont="1" applyFill="1" applyBorder="1" applyAlignment="1" applyProtection="1">
      <alignment vertical="top" wrapText="1"/>
    </xf>
    <xf numFmtId="0" fontId="4" fillId="5" borderId="42" xfId="0" applyFont="1" applyFill="1" applyBorder="1" applyAlignment="1" applyProtection="1">
      <alignment vertical="center"/>
    </xf>
    <xf numFmtId="0" fontId="4" fillId="5" borderId="43" xfId="0" applyFont="1" applyFill="1" applyBorder="1" applyAlignment="1" applyProtection="1">
      <alignment vertical="center"/>
    </xf>
    <xf numFmtId="0" fontId="4" fillId="5" borderId="42"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0" fontId="4" fillId="5" borderId="45" xfId="0" applyFont="1" applyFill="1" applyBorder="1" applyAlignment="1" applyProtection="1">
      <alignment vertical="center"/>
    </xf>
    <xf numFmtId="0" fontId="4" fillId="5" borderId="44" xfId="0" applyFont="1" applyFill="1" applyBorder="1" applyAlignment="1" applyProtection="1">
      <alignment vertical="center"/>
    </xf>
    <xf numFmtId="0" fontId="4" fillId="5" borderId="47" xfId="0" applyFont="1" applyFill="1" applyBorder="1" applyAlignment="1" applyProtection="1">
      <alignment horizontal="left" vertical="center"/>
    </xf>
    <xf numFmtId="0" fontId="20" fillId="9" borderId="1" xfId="0" applyFont="1" applyFill="1" applyBorder="1" applyAlignment="1" applyProtection="1">
      <alignment vertical="center"/>
    </xf>
    <xf numFmtId="0" fontId="0" fillId="0" borderId="35" xfId="0" applyFont="1" applyFill="1" applyBorder="1" applyAlignment="1" applyProtection="1">
      <alignment vertical="center"/>
    </xf>
    <xf numFmtId="0" fontId="0" fillId="0" borderId="0" xfId="0" applyFont="1" applyAlignment="1" applyProtection="1">
      <alignment vertical="center"/>
    </xf>
    <xf numFmtId="0" fontId="0" fillId="0" borderId="28" xfId="0" applyFont="1" applyFill="1" applyBorder="1" applyAlignment="1" applyProtection="1">
      <alignment vertical="center"/>
    </xf>
    <xf numFmtId="0" fontId="4" fillId="0" borderId="28" xfId="0" applyFont="1" applyFill="1" applyBorder="1" applyAlignment="1" applyProtection="1">
      <alignment vertical="center"/>
    </xf>
    <xf numFmtId="1" fontId="20" fillId="5" borderId="0" xfId="0" applyNumberFormat="1" applyFont="1" applyFill="1" applyBorder="1" applyAlignment="1" applyProtection="1">
      <alignment vertical="center"/>
    </xf>
    <xf numFmtId="0" fontId="0" fillId="0" borderId="41" xfId="0" applyFont="1" applyFill="1" applyBorder="1" applyAlignment="1" applyProtection="1">
      <alignment vertical="center"/>
    </xf>
    <xf numFmtId="0" fontId="0" fillId="0" borderId="0" xfId="0" applyFont="1" applyFill="1" applyAlignment="1" applyProtection="1">
      <alignment vertical="center"/>
    </xf>
    <xf numFmtId="0" fontId="7" fillId="9" borderId="1" xfId="0" applyFont="1" applyFill="1" applyBorder="1" applyAlignment="1" applyProtection="1">
      <alignment horizontal="center" vertical="top" wrapText="1"/>
    </xf>
    <xf numFmtId="0" fontId="65" fillId="3" borderId="21" xfId="0" applyFont="1" applyFill="1" applyBorder="1" applyAlignment="1">
      <alignment horizontal="left" vertical="top"/>
    </xf>
    <xf numFmtId="0" fontId="65" fillId="3" borderId="22" xfId="0" applyFont="1" applyFill="1" applyBorder="1" applyAlignment="1">
      <alignment horizontal="left" vertical="top"/>
    </xf>
    <xf numFmtId="0" fontId="65" fillId="3" borderId="17" xfId="0" applyFont="1" applyFill="1" applyBorder="1" applyAlignment="1">
      <alignment horizontal="left" vertical="top"/>
    </xf>
    <xf numFmtId="0" fontId="0" fillId="2" borderId="78" xfId="0" applyFill="1" applyBorder="1" applyAlignment="1">
      <alignment horizontal="left" vertical="top" wrapText="1"/>
    </xf>
    <xf numFmtId="0" fontId="0" fillId="2" borderId="79" xfId="0" applyFill="1" applyBorder="1" applyAlignment="1">
      <alignment horizontal="left" vertical="top" wrapText="1"/>
    </xf>
    <xf numFmtId="0" fontId="0" fillId="2" borderId="80" xfId="0" applyFill="1" applyBorder="1" applyAlignment="1">
      <alignment horizontal="left" vertical="top" wrapText="1"/>
    </xf>
    <xf numFmtId="0" fontId="0" fillId="2" borderId="76" xfId="0" applyFill="1" applyBorder="1" applyAlignment="1">
      <alignment horizontal="left" vertical="top" wrapText="1"/>
    </xf>
    <xf numFmtId="0" fontId="0" fillId="2" borderId="77" xfId="0" applyFill="1" applyBorder="1" applyAlignment="1">
      <alignment horizontal="left" vertical="top" wrapText="1"/>
    </xf>
    <xf numFmtId="0" fontId="0" fillId="2" borderId="44" xfId="0" applyFill="1" applyBorder="1" applyAlignment="1">
      <alignment horizontal="left" vertical="top" wrapText="1"/>
    </xf>
    <xf numFmtId="0" fontId="41" fillId="2" borderId="23" xfId="0" applyFont="1" applyFill="1" applyBorder="1" applyAlignment="1">
      <alignment horizontal="left" vertical="center" wrapText="1"/>
    </xf>
    <xf numFmtId="0" fontId="41" fillId="2" borderId="18" xfId="0" applyFont="1" applyFill="1" applyBorder="1" applyAlignment="1">
      <alignment horizontal="left" vertical="center" wrapText="1"/>
    </xf>
    <xf numFmtId="0" fontId="41" fillId="2" borderId="24" xfId="0" applyFont="1" applyFill="1" applyBorder="1" applyAlignment="1">
      <alignment horizontal="left" vertical="center" wrapText="1"/>
    </xf>
    <xf numFmtId="0" fontId="41" fillId="2" borderId="81" xfId="0" applyFont="1" applyFill="1" applyBorder="1" applyAlignment="1">
      <alignment horizontal="left" vertical="center" wrapText="1"/>
    </xf>
    <xf numFmtId="0" fontId="41" fillId="2" borderId="42" xfId="0" applyFont="1" applyFill="1" applyBorder="1" applyAlignment="1">
      <alignment horizontal="left" vertical="center" wrapText="1"/>
    </xf>
    <xf numFmtId="0" fontId="41" fillId="2" borderId="43" xfId="0" applyFont="1" applyFill="1" applyBorder="1" applyAlignment="1">
      <alignment horizontal="left" vertical="center" wrapText="1"/>
    </xf>
    <xf numFmtId="0" fontId="83" fillId="2" borderId="20" xfId="5" applyFont="1" applyFill="1" applyBorder="1" applyAlignment="1">
      <alignment horizontal="left" vertical="center"/>
    </xf>
    <xf numFmtId="0" fontId="83" fillId="2" borderId="0" xfId="5" applyFont="1" applyFill="1" applyBorder="1" applyAlignment="1">
      <alignment horizontal="left" vertical="center"/>
    </xf>
    <xf numFmtId="0" fontId="83" fillId="2" borderId="19" xfId="5" applyFont="1" applyFill="1" applyBorder="1" applyAlignment="1">
      <alignment horizontal="left" vertical="center"/>
    </xf>
    <xf numFmtId="0" fontId="82" fillId="2" borderId="7" xfId="0" applyFont="1" applyFill="1" applyBorder="1" applyAlignment="1">
      <alignment horizontal="left" vertical="center" wrapText="1"/>
    </xf>
    <xf numFmtId="0" fontId="82" fillId="2" borderId="8" xfId="0" applyFont="1" applyFill="1" applyBorder="1" applyAlignment="1">
      <alignment horizontal="left" vertical="center" wrapText="1"/>
    </xf>
    <xf numFmtId="0" fontId="82" fillId="2" borderId="9" xfId="0" applyFont="1" applyFill="1" applyBorder="1" applyAlignment="1">
      <alignment horizontal="left" vertical="center" wrapText="1"/>
    </xf>
    <xf numFmtId="0" fontId="82" fillId="2" borderId="20" xfId="0" applyFont="1" applyFill="1" applyBorder="1" applyAlignment="1">
      <alignment horizontal="left" vertical="center" wrapText="1"/>
    </xf>
    <xf numFmtId="0" fontId="82" fillId="2" borderId="0" xfId="0" applyFont="1" applyFill="1" applyBorder="1" applyAlignment="1">
      <alignment horizontal="left" vertical="center" wrapText="1"/>
    </xf>
    <xf numFmtId="0" fontId="82" fillId="2" borderId="19" xfId="0" applyFont="1" applyFill="1" applyBorder="1" applyAlignment="1">
      <alignment horizontal="left" vertical="center" wrapText="1"/>
    </xf>
    <xf numFmtId="0" fontId="59" fillId="15" borderId="0" xfId="0" applyFont="1" applyFill="1" applyAlignment="1">
      <alignment horizontal="left" vertical="center"/>
    </xf>
    <xf numFmtId="0" fontId="69" fillId="3" borderId="51" xfId="0" applyFont="1" applyFill="1" applyBorder="1" applyAlignment="1">
      <alignment horizontal="left" vertical="top"/>
    </xf>
    <xf numFmtId="0" fontId="69" fillId="3" borderId="12" xfId="0" applyFont="1" applyFill="1" applyBorder="1" applyAlignment="1">
      <alignment horizontal="left" vertical="top"/>
    </xf>
    <xf numFmtId="0" fontId="69" fillId="3" borderId="48" xfId="0" applyFont="1" applyFill="1" applyBorder="1" applyAlignment="1">
      <alignment horizontal="left" vertical="top"/>
    </xf>
    <xf numFmtId="0" fontId="52" fillId="2" borderId="23" xfId="0" applyFont="1" applyFill="1" applyBorder="1" applyAlignment="1">
      <alignment horizontal="left" vertical="center" wrapText="1"/>
    </xf>
    <xf numFmtId="0" fontId="52" fillId="2" borderId="18" xfId="0" applyFont="1" applyFill="1" applyBorder="1" applyAlignment="1">
      <alignment horizontal="left" vertical="center" wrapText="1"/>
    </xf>
    <xf numFmtId="0" fontId="52" fillId="2" borderId="24" xfId="0" applyFont="1" applyFill="1" applyBorder="1" applyAlignment="1">
      <alignment horizontal="left" vertical="center" wrapText="1"/>
    </xf>
    <xf numFmtId="0" fontId="83" fillId="2" borderId="20" xfId="5" applyFont="1" applyFill="1" applyBorder="1" applyAlignment="1">
      <alignment horizontal="left" vertical="top"/>
    </xf>
    <xf numFmtId="0" fontId="83" fillId="2" borderId="0" xfId="5" applyFont="1" applyFill="1" applyBorder="1" applyAlignment="1">
      <alignment horizontal="left" vertical="top"/>
    </xf>
    <xf numFmtId="0" fontId="83" fillId="2" borderId="19" xfId="5" applyFont="1" applyFill="1" applyBorder="1" applyAlignment="1">
      <alignment horizontal="left" vertical="top"/>
    </xf>
    <xf numFmtId="0" fontId="82" fillId="2" borderId="20" xfId="0" applyFont="1" applyFill="1" applyBorder="1" applyAlignment="1">
      <alignment horizontal="left" vertical="center"/>
    </xf>
    <xf numFmtId="0" fontId="82" fillId="2" borderId="0" xfId="0" applyFont="1" applyFill="1" applyBorder="1" applyAlignment="1">
      <alignment horizontal="left" vertical="center"/>
    </xf>
    <xf numFmtId="0" fontId="82" fillId="2" borderId="19" xfId="0" applyFont="1" applyFill="1" applyBorder="1" applyAlignment="1">
      <alignment horizontal="left" vertical="center"/>
    </xf>
    <xf numFmtId="0" fontId="82" fillId="3" borderId="21" xfId="0" quotePrefix="1" applyFont="1" applyFill="1" applyBorder="1" applyAlignment="1">
      <alignment horizontal="center" vertical="top"/>
    </xf>
    <xf numFmtId="0" fontId="82" fillId="3" borderId="22" xfId="0" quotePrefix="1" applyFont="1" applyFill="1" applyBorder="1" applyAlignment="1">
      <alignment horizontal="center" vertical="top"/>
    </xf>
    <xf numFmtId="0" fontId="82" fillId="3" borderId="17" xfId="0" quotePrefix="1" applyFont="1" applyFill="1" applyBorder="1" applyAlignment="1">
      <alignment horizontal="center" vertical="top"/>
    </xf>
    <xf numFmtId="0" fontId="69" fillId="3" borderId="55" xfId="0" applyFont="1" applyFill="1" applyBorder="1" applyAlignment="1">
      <alignment horizontal="left" vertical="top"/>
    </xf>
    <xf numFmtId="0" fontId="69" fillId="3" borderId="59" xfId="0" applyFont="1" applyFill="1" applyBorder="1" applyAlignment="1">
      <alignment horizontal="left" vertical="top"/>
    </xf>
    <xf numFmtId="0" fontId="69" fillId="3" borderId="69" xfId="0" applyFont="1" applyFill="1" applyBorder="1" applyAlignment="1">
      <alignment horizontal="left" vertical="top"/>
    </xf>
    <xf numFmtId="0" fontId="81" fillId="2" borderId="83" xfId="0" applyFont="1" applyFill="1" applyBorder="1" applyAlignment="1">
      <alignment horizontal="left" vertical="top" wrapText="1"/>
    </xf>
    <xf numFmtId="0" fontId="81" fillId="2" borderId="59" xfId="0" applyFont="1" applyFill="1" applyBorder="1" applyAlignment="1">
      <alignment horizontal="left" vertical="top" wrapText="1"/>
    </xf>
    <xf numFmtId="0" fontId="81" fillId="2" borderId="69" xfId="0" applyFont="1" applyFill="1" applyBorder="1" applyAlignment="1">
      <alignment horizontal="left" vertical="top" wrapText="1"/>
    </xf>
    <xf numFmtId="0" fontId="70" fillId="3" borderId="1" xfId="0" applyFont="1" applyFill="1" applyBorder="1" applyAlignment="1">
      <alignment horizontal="center" vertical="top"/>
    </xf>
    <xf numFmtId="0" fontId="82" fillId="2" borderId="1" xfId="0" applyFont="1" applyFill="1" applyBorder="1" applyAlignment="1">
      <alignment horizontal="left" vertical="center" wrapText="1"/>
    </xf>
    <xf numFmtId="0" fontId="69" fillId="3" borderId="49" xfId="0" applyFont="1" applyFill="1" applyBorder="1" applyAlignment="1">
      <alignment horizontal="left" vertical="top"/>
    </xf>
    <xf numFmtId="0" fontId="69" fillId="3" borderId="73" xfId="0" applyFont="1" applyFill="1" applyBorder="1" applyAlignment="1">
      <alignment horizontal="left" vertical="top"/>
    </xf>
    <xf numFmtId="0" fontId="69" fillId="2" borderId="75" xfId="0" applyFont="1" applyFill="1" applyBorder="1" applyAlignment="1">
      <alignment horizontal="left" vertical="top" wrapText="1"/>
    </xf>
    <xf numFmtId="0" fontId="69" fillId="2" borderId="74" xfId="0" applyFont="1" applyFill="1" applyBorder="1" applyAlignment="1">
      <alignment horizontal="left" vertical="top" wrapText="1"/>
    </xf>
    <xf numFmtId="0" fontId="70" fillId="3" borderId="1" xfId="0" quotePrefix="1" applyFont="1" applyFill="1" applyBorder="1" applyAlignment="1">
      <alignment horizontal="center" vertical="top"/>
    </xf>
    <xf numFmtId="0" fontId="70" fillId="2" borderId="1" xfId="0" applyFont="1" applyFill="1" applyBorder="1" applyAlignment="1">
      <alignment horizontal="left" vertical="center" wrapText="1"/>
    </xf>
    <xf numFmtId="0" fontId="20" fillId="15" borderId="0" xfId="0" applyFont="1" applyFill="1" applyBorder="1" applyAlignment="1">
      <alignment horizontal="left" vertical="center"/>
    </xf>
    <xf numFmtId="0" fontId="20" fillId="15" borderId="28" xfId="0" applyFont="1" applyFill="1" applyBorder="1" applyAlignment="1">
      <alignment horizontal="left" vertical="center"/>
    </xf>
    <xf numFmtId="0" fontId="57" fillId="15" borderId="0" xfId="0" applyFont="1" applyFill="1" applyBorder="1" applyAlignment="1">
      <alignment horizontal="left" vertical="center"/>
    </xf>
    <xf numFmtId="0" fontId="57" fillId="15" borderId="28" xfId="0" applyFont="1" applyFill="1" applyBorder="1" applyAlignment="1">
      <alignment horizontal="left" vertical="center"/>
    </xf>
    <xf numFmtId="171" fontId="20" fillId="0" borderId="25" xfId="0" applyNumberFormat="1" applyFont="1" applyBorder="1" applyAlignment="1" applyProtection="1">
      <alignment horizontal="left" vertical="center"/>
      <protection locked="0"/>
    </xf>
    <xf numFmtId="171" fontId="20" fillId="0" borderId="6" xfId="0" applyNumberFormat="1" applyFont="1" applyBorder="1" applyAlignment="1" applyProtection="1">
      <alignment horizontal="left" vertical="center"/>
      <protection locked="0"/>
    </xf>
    <xf numFmtId="171" fontId="20" fillId="0" borderId="33" xfId="0" applyNumberFormat="1" applyFont="1" applyBorder="1" applyAlignment="1" applyProtection="1">
      <alignment horizontal="left" vertical="center"/>
      <protection locked="0"/>
    </xf>
    <xf numFmtId="171" fontId="20" fillId="0" borderId="38" xfId="0" applyNumberFormat="1" applyFont="1" applyBorder="1" applyAlignment="1" applyProtection="1">
      <alignment horizontal="left" vertical="center"/>
      <protection locked="0"/>
    </xf>
    <xf numFmtId="171" fontId="23" fillId="13" borderId="2" xfId="0" applyNumberFormat="1" applyFont="1" applyFill="1" applyBorder="1" applyAlignment="1">
      <alignment horizontal="left" vertical="center"/>
    </xf>
    <xf numFmtId="171" fontId="23" fillId="13" borderId="4" xfId="0" applyNumberFormat="1" applyFont="1" applyFill="1" applyBorder="1" applyAlignment="1">
      <alignment horizontal="left" vertical="center"/>
    </xf>
    <xf numFmtId="171" fontId="20" fillId="13" borderId="2" xfId="0" applyNumberFormat="1" applyFont="1" applyFill="1" applyBorder="1" applyAlignment="1">
      <alignment horizontal="left" vertical="center"/>
    </xf>
    <xf numFmtId="171" fontId="20" fillId="13" borderId="4" xfId="0" applyNumberFormat="1" applyFont="1" applyFill="1" applyBorder="1" applyAlignment="1">
      <alignment horizontal="left" vertical="center"/>
    </xf>
    <xf numFmtId="171" fontId="42" fillId="13" borderId="2" xfId="0" applyNumberFormat="1" applyFont="1" applyFill="1" applyBorder="1" applyAlignment="1">
      <alignment horizontal="left" vertical="center"/>
    </xf>
    <xf numFmtId="171" fontId="42" fillId="13" borderId="4" xfId="0" applyNumberFormat="1" applyFont="1" applyFill="1" applyBorder="1" applyAlignment="1">
      <alignment horizontal="left" vertical="center"/>
    </xf>
    <xf numFmtId="171" fontId="20" fillId="0" borderId="2" xfId="0" applyNumberFormat="1" applyFont="1" applyBorder="1" applyAlignment="1" applyProtection="1">
      <alignment horizontal="left" vertical="center"/>
      <protection locked="0"/>
    </xf>
    <xf numFmtId="171" fontId="20" fillId="0" borderId="4" xfId="0" applyNumberFormat="1" applyFont="1" applyBorder="1" applyAlignment="1" applyProtection="1">
      <alignment horizontal="left" vertical="center"/>
      <protection locked="0"/>
    </xf>
    <xf numFmtId="0" fontId="20" fillId="15" borderId="19" xfId="0" applyFont="1" applyFill="1" applyBorder="1" applyAlignment="1">
      <alignment horizontal="left" vertical="center"/>
    </xf>
    <xf numFmtId="0" fontId="23" fillId="15" borderId="0" xfId="0" applyFont="1" applyFill="1" applyBorder="1" applyAlignment="1">
      <alignment horizontal="left" vertical="center"/>
    </xf>
    <xf numFmtId="0" fontId="23" fillId="15" borderId="28" xfId="0" applyFont="1" applyFill="1" applyBorder="1" applyAlignment="1">
      <alignment horizontal="left" vertical="center"/>
    </xf>
    <xf numFmtId="0" fontId="23" fillId="15" borderId="27" xfId="0" applyFont="1" applyFill="1" applyBorder="1" applyAlignment="1">
      <alignment horizontal="left" vertical="top" wrapText="1"/>
    </xf>
    <xf numFmtId="0" fontId="23" fillId="15" borderId="0" xfId="0" applyFont="1" applyFill="1" applyBorder="1" applyAlignment="1">
      <alignment horizontal="left" vertical="top" wrapText="1"/>
    </xf>
    <xf numFmtId="0" fontId="14" fillId="15" borderId="0" xfId="0" applyFont="1" applyFill="1" applyBorder="1" applyAlignment="1">
      <alignment horizontal="left" vertical="center"/>
    </xf>
    <xf numFmtId="0" fontId="23" fillId="15" borderId="8" xfId="0" applyFont="1" applyFill="1" applyBorder="1" applyAlignment="1">
      <alignment horizontal="center" vertical="center"/>
    </xf>
    <xf numFmtId="0" fontId="24" fillId="15" borderId="27" xfId="0" applyFont="1" applyFill="1" applyBorder="1" applyAlignment="1">
      <alignment horizontal="left" vertical="center" wrapText="1"/>
    </xf>
    <xf numFmtId="0" fontId="24" fillId="15" borderId="0" xfId="0" applyFont="1" applyFill="1" applyBorder="1" applyAlignment="1">
      <alignment horizontal="left" vertical="center" wrapText="1"/>
    </xf>
    <xf numFmtId="0" fontId="7" fillId="15" borderId="0" xfId="0" applyFont="1" applyFill="1" applyBorder="1" applyAlignment="1">
      <alignment horizontal="left" vertical="center" wrapText="1"/>
    </xf>
    <xf numFmtId="0" fontId="7" fillId="15" borderId="19" xfId="0" applyFont="1" applyFill="1" applyBorder="1" applyAlignment="1">
      <alignment horizontal="left" vertical="center" wrapText="1"/>
    </xf>
    <xf numFmtId="0" fontId="5" fillId="15" borderId="0" xfId="0" applyFont="1" applyFill="1" applyBorder="1" applyAlignment="1">
      <alignment horizontal="center" vertical="center"/>
    </xf>
    <xf numFmtId="0" fontId="42" fillId="15" borderId="0" xfId="0" applyFont="1" applyFill="1" applyBorder="1" applyAlignment="1">
      <alignment horizontal="left" vertical="center"/>
    </xf>
    <xf numFmtId="0" fontId="42" fillId="15" borderId="28" xfId="0" applyFont="1" applyFill="1" applyBorder="1" applyAlignment="1">
      <alignment horizontal="left" vertical="center"/>
    </xf>
    <xf numFmtId="0" fontId="28" fillId="15" borderId="0" xfId="0" applyFont="1" applyFill="1" applyBorder="1" applyAlignment="1" applyProtection="1">
      <alignment horizontal="left" vertical="center"/>
    </xf>
    <xf numFmtId="0" fontId="28" fillId="15" borderId="19" xfId="0" applyFont="1" applyFill="1" applyBorder="1" applyAlignment="1" applyProtection="1">
      <alignment horizontal="left" vertical="center"/>
    </xf>
    <xf numFmtId="1" fontId="42" fillId="0" borderId="2" xfId="0" applyNumberFormat="1" applyFont="1" applyBorder="1" applyAlignment="1" applyProtection="1">
      <alignment horizontal="right" vertical="center"/>
      <protection locked="0"/>
    </xf>
    <xf numFmtId="1" fontId="42" fillId="0" borderId="4" xfId="0" applyNumberFormat="1" applyFont="1" applyBorder="1" applyAlignment="1" applyProtection="1">
      <alignment horizontal="right" vertical="center"/>
      <protection locked="0"/>
    </xf>
    <xf numFmtId="0" fontId="26" fillId="15" borderId="27" xfId="0" applyFont="1" applyFill="1" applyBorder="1" applyAlignment="1">
      <alignment horizontal="left" vertical="center"/>
    </xf>
    <xf numFmtId="0" fontId="26" fillId="15" borderId="0" xfId="0" applyFont="1" applyFill="1" applyBorder="1" applyAlignment="1">
      <alignment horizontal="left" vertical="center"/>
    </xf>
    <xf numFmtId="165" fontId="26" fillId="13" borderId="2" xfId="0" applyNumberFormat="1" applyFont="1" applyFill="1" applyBorder="1" applyAlignment="1">
      <alignment horizontal="left" vertical="center"/>
    </xf>
    <xf numFmtId="165" fontId="26" fillId="13" borderId="4" xfId="0" applyNumberFormat="1" applyFont="1" applyFill="1" applyBorder="1" applyAlignment="1">
      <alignment horizontal="left" vertical="center"/>
    </xf>
    <xf numFmtId="0" fontId="4" fillId="15" borderId="0" xfId="0" applyFont="1" applyFill="1" applyBorder="1" applyAlignment="1">
      <alignment horizontal="left" vertical="center"/>
    </xf>
    <xf numFmtId="0" fontId="4" fillId="15" borderId="28" xfId="0" applyFont="1" applyFill="1" applyBorder="1" applyAlignment="1">
      <alignment horizontal="left" vertical="center"/>
    </xf>
    <xf numFmtId="0" fontId="20" fillId="15" borderId="0" xfId="0" applyFont="1" applyFill="1" applyBorder="1" applyAlignment="1">
      <alignment horizontal="center" vertical="center" wrapText="1"/>
    </xf>
    <xf numFmtId="0" fontId="20" fillId="15" borderId="8" xfId="0" applyFont="1" applyFill="1" applyBorder="1" applyAlignment="1">
      <alignment horizontal="center" vertical="center" wrapText="1"/>
    </xf>
    <xf numFmtId="0" fontId="13" fillId="15" borderId="0" xfId="0" applyFont="1" applyFill="1" applyBorder="1" applyAlignment="1">
      <alignment horizontal="left" vertical="center" wrapText="1"/>
    </xf>
    <xf numFmtId="0" fontId="24" fillId="15" borderId="27" xfId="0" applyFont="1" applyFill="1" applyBorder="1" applyAlignment="1">
      <alignment horizontal="left" vertical="center"/>
    </xf>
    <xf numFmtId="0" fontId="24" fillId="15" borderId="0" xfId="0" applyFont="1" applyFill="1" applyBorder="1" applyAlignment="1">
      <alignment horizontal="left" vertical="center"/>
    </xf>
    <xf numFmtId="0" fontId="26" fillId="15" borderId="0" xfId="0" applyFont="1" applyFill="1" applyBorder="1" applyAlignment="1">
      <alignment horizontal="left" vertical="top" wrapText="1"/>
    </xf>
    <xf numFmtId="0" fontId="26" fillId="15" borderId="36" xfId="0" applyFont="1" applyFill="1" applyBorder="1" applyAlignment="1">
      <alignment horizontal="left" vertical="top" wrapText="1"/>
    </xf>
    <xf numFmtId="0" fontId="23" fillId="15" borderId="0" xfId="0" applyFont="1" applyFill="1" applyBorder="1" applyAlignment="1">
      <alignment horizontal="center" vertical="center"/>
    </xf>
    <xf numFmtId="0" fontId="20" fillId="13" borderId="4" xfId="0" applyFont="1" applyFill="1" applyBorder="1" applyAlignment="1">
      <alignment horizontal="left" vertical="center"/>
    </xf>
    <xf numFmtId="0" fontId="28" fillId="15" borderId="0" xfId="0" applyFont="1" applyFill="1" applyBorder="1" applyAlignment="1" applyProtection="1">
      <alignment horizontal="left" vertical="center" wrapText="1"/>
    </xf>
    <xf numFmtId="0" fontId="20" fillId="4" borderId="25" xfId="0" applyFont="1" applyFill="1" applyBorder="1" applyAlignment="1" applyProtection="1">
      <alignment horizontal="left" vertical="center"/>
      <protection locked="0"/>
    </xf>
    <xf numFmtId="0" fontId="20" fillId="4" borderId="26" xfId="0" applyFont="1" applyFill="1" applyBorder="1" applyAlignment="1" applyProtection="1">
      <alignment horizontal="left" vertical="center"/>
      <protection locked="0"/>
    </xf>
    <xf numFmtId="0" fontId="20" fillId="4" borderId="6" xfId="0" applyFont="1" applyFill="1" applyBorder="1" applyAlignment="1" applyProtection="1">
      <alignment horizontal="left" vertical="center"/>
      <protection locked="0"/>
    </xf>
    <xf numFmtId="0" fontId="20" fillId="18" borderId="25" xfId="0" applyFont="1" applyFill="1" applyBorder="1" applyAlignment="1" applyProtection="1">
      <alignment horizontal="left" vertical="center"/>
      <protection locked="0"/>
    </xf>
    <xf numFmtId="0" fontId="20" fillId="18" borderId="26" xfId="0" applyFont="1" applyFill="1" applyBorder="1" applyAlignment="1" applyProtection="1">
      <alignment horizontal="left" vertical="center"/>
      <protection locked="0"/>
    </xf>
    <xf numFmtId="0" fontId="20" fillId="18" borderId="6" xfId="0" applyFont="1" applyFill="1" applyBorder="1" applyAlignment="1" applyProtection="1">
      <alignment horizontal="left" vertical="center"/>
      <protection locked="0"/>
    </xf>
    <xf numFmtId="0" fontId="20" fillId="15" borderId="8" xfId="0" applyFont="1" applyFill="1" applyBorder="1" applyAlignment="1">
      <alignment horizontal="center" vertical="center"/>
    </xf>
    <xf numFmtId="171" fontId="42" fillId="4" borderId="2" xfId="0" applyNumberFormat="1" applyFont="1" applyFill="1" applyBorder="1" applyAlignment="1" applyProtection="1">
      <alignment horizontal="left" vertical="center"/>
      <protection locked="0"/>
    </xf>
    <xf numFmtId="171" fontId="42" fillId="4" borderId="4" xfId="0" applyNumberFormat="1" applyFont="1" applyFill="1" applyBorder="1" applyAlignment="1" applyProtection="1">
      <alignment horizontal="left" vertical="center"/>
      <protection locked="0"/>
    </xf>
    <xf numFmtId="173" fontId="23" fillId="0" borderId="2" xfId="0" applyNumberFormat="1" applyFont="1" applyFill="1" applyBorder="1" applyAlignment="1" applyProtection="1">
      <alignment horizontal="left" vertical="center"/>
      <protection locked="0"/>
    </xf>
    <xf numFmtId="173" fontId="23" fillId="0" borderId="4" xfId="0" applyNumberFormat="1" applyFont="1" applyFill="1" applyBorder="1" applyAlignment="1" applyProtection="1">
      <alignment horizontal="left" vertical="center"/>
      <protection locked="0"/>
    </xf>
    <xf numFmtId="0" fontId="30" fillId="15" borderId="0" xfId="0" applyFont="1" applyFill="1" applyBorder="1" applyAlignment="1">
      <alignment horizontal="left" vertical="center" wrapText="1"/>
    </xf>
    <xf numFmtId="173" fontId="7" fillId="13" borderId="2" xfId="2" applyNumberFormat="1" applyFont="1" applyFill="1" applyBorder="1" applyAlignment="1" applyProtection="1">
      <alignment horizontal="center" vertical="center" wrapText="1"/>
    </xf>
    <xf numFmtId="173" fontId="7" fillId="13" borderId="4" xfId="2" applyNumberFormat="1" applyFont="1" applyFill="1" applyBorder="1" applyAlignment="1" applyProtection="1">
      <alignment horizontal="center" vertical="center" wrapText="1"/>
    </xf>
    <xf numFmtId="0" fontId="7" fillId="15" borderId="27" xfId="0" applyFont="1" applyFill="1" applyBorder="1" applyAlignment="1">
      <alignment horizontal="right" vertical="center" wrapText="1"/>
    </xf>
    <xf numFmtId="0" fontId="7" fillId="15" borderId="19" xfId="0" applyFont="1" applyFill="1" applyBorder="1" applyAlignment="1">
      <alignment horizontal="right" vertical="center" wrapText="1"/>
    </xf>
    <xf numFmtId="0" fontId="5" fillId="15" borderId="0" xfId="0" quotePrefix="1" applyFont="1" applyFill="1" applyBorder="1" applyAlignment="1">
      <alignment horizontal="center"/>
    </xf>
    <xf numFmtId="0" fontId="5" fillId="15" borderId="0" xfId="0" applyFont="1" applyFill="1" applyBorder="1" applyAlignment="1">
      <alignment horizontal="center"/>
    </xf>
    <xf numFmtId="0" fontId="24" fillId="15" borderId="88" xfId="0" applyFont="1" applyFill="1" applyBorder="1" applyAlignment="1">
      <alignment horizontal="center" vertical="center" wrapText="1"/>
    </xf>
    <xf numFmtId="0" fontId="23" fillId="15" borderId="0" xfId="0" applyFont="1" applyFill="1" applyBorder="1" applyAlignment="1">
      <alignment horizontal="left" wrapText="1"/>
    </xf>
    <xf numFmtId="173" fontId="4" fillId="13" borderId="25" xfId="0" applyNumberFormat="1" applyFont="1" applyFill="1" applyBorder="1" applyAlignment="1">
      <alignment horizontal="left" vertical="center"/>
    </xf>
    <xf numFmtId="173" fontId="4" fillId="13" borderId="6" xfId="0" applyNumberFormat="1" applyFont="1" applyFill="1" applyBorder="1" applyAlignment="1">
      <alignment horizontal="left" vertical="center"/>
    </xf>
    <xf numFmtId="0" fontId="4" fillId="15" borderId="0" xfId="0" applyFont="1" applyFill="1" applyBorder="1" applyAlignment="1">
      <alignment horizontal="left" vertical="center" wrapText="1"/>
    </xf>
    <xf numFmtId="0" fontId="0" fillId="15" borderId="19" xfId="0" applyFill="1" applyBorder="1" applyAlignment="1">
      <alignment vertical="center"/>
    </xf>
    <xf numFmtId="0" fontId="4" fillId="15" borderId="19" xfId="0" applyFont="1" applyFill="1" applyBorder="1" applyAlignment="1">
      <alignment horizontal="left" vertical="center"/>
    </xf>
    <xf numFmtId="171" fontId="4" fillId="13" borderId="25" xfId="0" applyNumberFormat="1" applyFont="1" applyFill="1" applyBorder="1" applyAlignment="1">
      <alignment horizontal="left" vertical="center"/>
    </xf>
    <xf numFmtId="171" fontId="4" fillId="13" borderId="6" xfId="0" applyNumberFormat="1" applyFont="1" applyFill="1" applyBorder="1" applyAlignment="1">
      <alignment horizontal="left" vertical="center"/>
    </xf>
    <xf numFmtId="0" fontId="5" fillId="15" borderId="0" xfId="0" applyFont="1" applyFill="1" applyBorder="1" applyAlignment="1">
      <alignment horizontal="center" wrapText="1"/>
    </xf>
    <xf numFmtId="0" fontId="5" fillId="15" borderId="8" xfId="0" applyFont="1" applyFill="1" applyBorder="1" applyAlignment="1">
      <alignment horizontal="center" wrapText="1"/>
    </xf>
    <xf numFmtId="0" fontId="30" fillId="15" borderId="0" xfId="0" applyFont="1" applyFill="1" applyBorder="1" applyAlignment="1" applyProtection="1">
      <alignment horizontal="left" vertical="center"/>
    </xf>
    <xf numFmtId="0" fontId="30" fillId="15" borderId="19" xfId="0" applyFont="1" applyFill="1" applyBorder="1" applyAlignment="1" applyProtection="1">
      <alignment horizontal="left" vertical="center"/>
    </xf>
    <xf numFmtId="0" fontId="23" fillId="15" borderId="0" xfId="0" applyFont="1" applyFill="1" applyBorder="1" applyAlignment="1">
      <alignment horizontal="center" vertical="center" wrapText="1"/>
    </xf>
    <xf numFmtId="0" fontId="23" fillId="15" borderId="8" xfId="0" applyFont="1" applyFill="1" applyBorder="1" applyAlignment="1">
      <alignment horizontal="center" vertical="center" wrapText="1"/>
    </xf>
    <xf numFmtId="0" fontId="5" fillId="15" borderId="8" xfId="0" applyFont="1" applyFill="1" applyBorder="1" applyAlignment="1">
      <alignment horizontal="center" vertical="center"/>
    </xf>
    <xf numFmtId="171" fontId="4" fillId="13" borderId="1" xfId="0" applyNumberFormat="1" applyFont="1" applyFill="1" applyBorder="1" applyAlignment="1">
      <alignment horizontal="left" vertical="center"/>
    </xf>
    <xf numFmtId="173" fontId="7" fillId="13" borderId="29" xfId="2" applyNumberFormat="1" applyFont="1" applyFill="1" applyBorder="1" applyAlignment="1">
      <alignment horizontal="left" vertical="center" wrapText="1"/>
    </xf>
    <xf numFmtId="173" fontId="7" fillId="13" borderId="30" xfId="2" applyNumberFormat="1" applyFont="1" applyFill="1" applyBorder="1" applyAlignment="1">
      <alignment horizontal="left" vertical="center" wrapText="1"/>
    </xf>
    <xf numFmtId="0" fontId="80" fillId="15" borderId="20" xfId="0" applyFont="1" applyFill="1" applyBorder="1" applyAlignment="1">
      <alignment horizontal="center" vertical="center" wrapText="1"/>
    </xf>
    <xf numFmtId="0" fontId="7" fillId="15" borderId="27" xfId="0" applyFont="1" applyFill="1" applyBorder="1" applyAlignment="1">
      <alignment horizontal="right" vertical="top" wrapText="1"/>
    </xf>
    <xf numFmtId="0" fontId="7" fillId="15" borderId="0" xfId="0" applyFont="1" applyFill="1" applyBorder="1" applyAlignment="1">
      <alignment horizontal="right" vertical="top" wrapText="1"/>
    </xf>
    <xf numFmtId="0" fontId="72" fillId="4" borderId="8" xfId="0" applyFont="1" applyFill="1" applyBorder="1" applyAlignment="1">
      <alignment horizontal="left" vertical="center"/>
    </xf>
    <xf numFmtId="0" fontId="48" fillId="15" borderId="18" xfId="0" applyFont="1" applyFill="1" applyBorder="1" applyAlignment="1">
      <alignment horizontal="left" vertical="center"/>
    </xf>
    <xf numFmtId="0" fontId="49" fillId="15" borderId="0" xfId="0" applyFont="1" applyFill="1" applyBorder="1" applyAlignment="1">
      <alignment horizontal="left" vertical="center"/>
    </xf>
    <xf numFmtId="0" fontId="52" fillId="15" borderId="86" xfId="0" applyFont="1" applyFill="1" applyBorder="1" applyAlignment="1">
      <alignment horizontal="left" vertical="center"/>
    </xf>
    <xf numFmtId="0" fontId="28" fillId="15" borderId="0" xfId="0" applyFont="1" applyFill="1" applyBorder="1" applyAlignment="1" applyProtection="1">
      <alignment horizontal="right" vertical="center"/>
    </xf>
    <xf numFmtId="0" fontId="28" fillId="15" borderId="19" xfId="0" applyFont="1" applyFill="1" applyBorder="1" applyAlignment="1" applyProtection="1">
      <alignment horizontal="right" vertical="center"/>
    </xf>
    <xf numFmtId="0" fontId="42" fillId="15" borderId="27" xfId="0" applyFont="1" applyFill="1" applyBorder="1" applyAlignment="1" applyProtection="1">
      <alignment horizontal="right" vertical="center"/>
    </xf>
    <xf numFmtId="0" fontId="42" fillId="15" borderId="0" xfId="0" applyFont="1" applyFill="1" applyBorder="1" applyAlignment="1" applyProtection="1">
      <alignment horizontal="right" vertical="center"/>
    </xf>
    <xf numFmtId="0" fontId="42" fillId="15" borderId="19" xfId="0" applyFont="1" applyFill="1" applyBorder="1" applyAlignment="1" applyProtection="1">
      <alignment horizontal="right" vertical="center"/>
    </xf>
    <xf numFmtId="0" fontId="20" fillId="13" borderId="25" xfId="0" applyFont="1" applyFill="1" applyBorder="1" applyAlignment="1">
      <alignment horizontal="center" vertical="center"/>
    </xf>
    <xf numFmtId="0" fontId="20" fillId="13" borderId="6" xfId="0" applyFont="1" applyFill="1" applyBorder="1" applyAlignment="1">
      <alignment horizontal="center" vertical="center"/>
    </xf>
    <xf numFmtId="0" fontId="13" fillId="15" borderId="0" xfId="0" applyFont="1" applyFill="1" applyBorder="1" applyAlignment="1">
      <alignment horizontal="left" vertical="center"/>
    </xf>
    <xf numFmtId="0" fontId="20" fillId="15" borderId="36" xfId="0" applyFont="1" applyFill="1" applyBorder="1" applyAlignment="1">
      <alignment horizontal="center" vertical="center"/>
    </xf>
    <xf numFmtId="0" fontId="57" fillId="0" borderId="2" xfId="0" applyFont="1" applyBorder="1" applyAlignment="1" applyProtection="1">
      <alignment horizontal="left" vertical="center"/>
      <protection locked="0"/>
    </xf>
    <xf numFmtId="0" fontId="57" fillId="0" borderId="3" xfId="0" applyFont="1" applyBorder="1" applyAlignment="1" applyProtection="1">
      <alignment horizontal="left" vertical="center"/>
      <protection locked="0"/>
    </xf>
    <xf numFmtId="0" fontId="57" fillId="0" borderId="4" xfId="0" applyFont="1" applyBorder="1" applyAlignment="1" applyProtection="1">
      <alignment horizontal="left" vertical="center"/>
      <protection locked="0"/>
    </xf>
    <xf numFmtId="0" fontId="20" fillId="0" borderId="2" xfId="0" applyFont="1" applyBorder="1" applyAlignment="1" applyProtection="1">
      <alignment horizontal="left" vertical="center"/>
      <protection locked="0"/>
    </xf>
    <xf numFmtId="0" fontId="20" fillId="0" borderId="4" xfId="0" applyFont="1" applyBorder="1" applyAlignment="1" applyProtection="1">
      <alignment horizontal="left" vertical="center"/>
      <protection locked="0"/>
    </xf>
    <xf numFmtId="170" fontId="57" fillId="18" borderId="2" xfId="0" applyNumberFormat="1" applyFont="1" applyFill="1" applyBorder="1" applyAlignment="1" applyProtection="1">
      <alignment horizontal="left" vertical="center"/>
      <protection locked="0"/>
    </xf>
    <xf numFmtId="170" fontId="57" fillId="18" borderId="3" xfId="0" applyNumberFormat="1" applyFont="1" applyFill="1" applyBorder="1" applyAlignment="1" applyProtection="1">
      <alignment horizontal="left" vertical="center"/>
      <protection locked="0"/>
    </xf>
    <xf numFmtId="170" fontId="57" fillId="18" borderId="4" xfId="0" applyNumberFormat="1" applyFont="1" applyFill="1" applyBorder="1" applyAlignment="1" applyProtection="1">
      <alignment horizontal="left" vertical="center"/>
      <protection locked="0"/>
    </xf>
    <xf numFmtId="0" fontId="5" fillId="15" borderId="0" xfId="0" applyFont="1" applyFill="1" applyBorder="1" applyAlignment="1">
      <alignment horizontal="left" vertical="center"/>
    </xf>
    <xf numFmtId="170" fontId="20" fillId="0" borderId="2" xfId="0" applyNumberFormat="1" applyFont="1" applyBorder="1" applyAlignment="1" applyProtection="1">
      <alignment horizontal="left" vertical="center"/>
      <protection locked="0"/>
    </xf>
    <xf numFmtId="170" fontId="20" fillId="0" borderId="3" xfId="0" applyNumberFormat="1" applyFont="1" applyBorder="1" applyAlignment="1" applyProtection="1">
      <alignment horizontal="left" vertical="center"/>
      <protection locked="0"/>
    </xf>
    <xf numFmtId="170" fontId="20" fillId="0" borderId="4" xfId="0" applyNumberFormat="1" applyFont="1" applyBorder="1" applyAlignment="1" applyProtection="1">
      <alignment horizontal="left" vertical="center"/>
      <protection locked="0"/>
    </xf>
    <xf numFmtId="170" fontId="57" fillId="0" borderId="2" xfId="0" applyNumberFormat="1" applyFont="1" applyBorder="1" applyAlignment="1" applyProtection="1">
      <alignment horizontal="left" vertical="center"/>
      <protection locked="0"/>
    </xf>
    <xf numFmtId="170" fontId="57" fillId="0" borderId="3" xfId="0" applyNumberFormat="1" applyFont="1" applyBorder="1" applyAlignment="1" applyProtection="1">
      <alignment horizontal="left" vertical="center"/>
      <protection locked="0"/>
    </xf>
    <xf numFmtId="170" fontId="57" fillId="0" borderId="4" xfId="0" applyNumberFormat="1" applyFont="1" applyBorder="1" applyAlignment="1" applyProtection="1">
      <alignment horizontal="left" vertical="center"/>
      <protection locked="0"/>
    </xf>
    <xf numFmtId="0" fontId="26" fillId="15" borderId="0" xfId="0" applyFont="1" applyFill="1" applyBorder="1" applyAlignment="1">
      <alignment horizontal="left" vertical="center" wrapText="1"/>
    </xf>
    <xf numFmtId="0" fontId="20" fillId="15" borderId="18" xfId="0" applyFont="1" applyFill="1" applyBorder="1" applyAlignment="1">
      <alignment horizontal="center"/>
    </xf>
    <xf numFmtId="0" fontId="20" fillId="15" borderId="8" xfId="0" applyFont="1" applyFill="1" applyBorder="1" applyAlignment="1">
      <alignment horizontal="center"/>
    </xf>
    <xf numFmtId="9" fontId="42" fillId="13" borderId="2" xfId="1" applyFont="1" applyFill="1" applyBorder="1" applyAlignment="1">
      <alignment horizontal="center" vertical="center"/>
    </xf>
    <xf numFmtId="9" fontId="42" fillId="13" borderId="4" xfId="1" applyFont="1" applyFill="1" applyBorder="1" applyAlignment="1">
      <alignment horizontal="center" vertical="center"/>
    </xf>
    <xf numFmtId="9" fontId="42" fillId="13" borderId="2" xfId="1" applyNumberFormat="1" applyFont="1" applyFill="1" applyBorder="1" applyAlignment="1">
      <alignment horizontal="center" vertical="center"/>
    </xf>
    <xf numFmtId="9" fontId="42" fillId="13" borderId="4" xfId="1" applyNumberFormat="1" applyFont="1" applyFill="1" applyBorder="1" applyAlignment="1">
      <alignment horizontal="center" vertical="center"/>
    </xf>
    <xf numFmtId="0" fontId="23" fillId="18" borderId="2" xfId="0" applyFont="1" applyFill="1" applyBorder="1" applyAlignment="1" applyProtection="1">
      <alignment horizontal="center" vertical="center"/>
      <protection locked="0"/>
    </xf>
    <xf numFmtId="0" fontId="23" fillId="18" borderId="4" xfId="0" applyFont="1" applyFill="1" applyBorder="1" applyAlignment="1" applyProtection="1">
      <alignment horizontal="center" vertical="center"/>
      <protection locked="0"/>
    </xf>
    <xf numFmtId="0" fontId="42" fillId="0" borderId="2" xfId="0" applyFont="1" applyBorder="1" applyAlignment="1" applyProtection="1">
      <alignment horizontal="left" vertical="center" wrapText="1"/>
      <protection locked="0"/>
    </xf>
    <xf numFmtId="0" fontId="42" fillId="0" borderId="3" xfId="0" applyFont="1" applyBorder="1" applyAlignment="1" applyProtection="1">
      <alignment horizontal="left" vertical="center" wrapText="1"/>
      <protection locked="0"/>
    </xf>
    <xf numFmtId="0" fontId="42" fillId="0" borderId="4" xfId="0" applyFont="1" applyBorder="1" applyAlignment="1" applyProtection="1">
      <alignment horizontal="left" vertical="center" wrapText="1"/>
      <protection locked="0"/>
    </xf>
    <xf numFmtId="0" fontId="20" fillId="18" borderId="2" xfId="0" applyFont="1" applyFill="1" applyBorder="1" applyAlignment="1" applyProtection="1">
      <alignment horizontal="left" vertical="center"/>
      <protection locked="0"/>
    </xf>
    <xf numFmtId="0" fontId="20" fillId="18" borderId="4" xfId="0" applyFont="1" applyFill="1" applyBorder="1" applyAlignment="1" applyProtection="1">
      <alignment horizontal="left" vertical="center"/>
      <protection locked="0"/>
    </xf>
    <xf numFmtId="0" fontId="24" fillId="15" borderId="0" xfId="0" applyFont="1" applyFill="1" applyBorder="1" applyAlignment="1">
      <alignment horizontal="right" vertical="top" wrapText="1"/>
    </xf>
    <xf numFmtId="0" fontId="53" fillId="15" borderId="0" xfId="0" applyFont="1" applyFill="1" applyBorder="1" applyAlignment="1">
      <alignment horizontal="left" vertical="center"/>
    </xf>
    <xf numFmtId="173" fontId="4" fillId="13" borderId="25" xfId="0" applyNumberFormat="1" applyFont="1" applyFill="1" applyBorder="1" applyAlignment="1">
      <alignment horizontal="center" vertical="center"/>
    </xf>
    <xf numFmtId="173" fontId="4" fillId="13" borderId="6" xfId="0" applyNumberFormat="1" applyFont="1" applyFill="1" applyBorder="1" applyAlignment="1">
      <alignment horizontal="center" vertical="center"/>
    </xf>
    <xf numFmtId="171" fontId="4" fillId="13" borderId="1" xfId="0" applyNumberFormat="1" applyFont="1" applyFill="1" applyBorder="1" applyAlignment="1">
      <alignment horizontal="center" vertical="center"/>
    </xf>
    <xf numFmtId="0" fontId="4" fillId="13" borderId="1" xfId="0" applyFont="1" applyFill="1" applyBorder="1" applyAlignment="1">
      <alignment horizontal="center" vertical="center"/>
    </xf>
    <xf numFmtId="0" fontId="4" fillId="0" borderId="18" xfId="0" applyFont="1" applyBorder="1" applyAlignment="1">
      <alignment horizontal="left" vertical="center"/>
    </xf>
    <xf numFmtId="0" fontId="20" fillId="15" borderId="0" xfId="0" applyFont="1" applyFill="1" applyBorder="1" applyAlignment="1">
      <alignment horizontal="left" vertical="top" wrapText="1"/>
    </xf>
    <xf numFmtId="0" fontId="20" fillId="15" borderId="36" xfId="0" applyFont="1" applyFill="1" applyBorder="1" applyAlignment="1">
      <alignment horizontal="left" vertical="top" wrapText="1"/>
    </xf>
    <xf numFmtId="0" fontId="26" fillId="15" borderId="0" xfId="0" applyFont="1" applyFill="1" applyBorder="1" applyAlignment="1" applyProtection="1">
      <alignment horizontal="left" vertical="center"/>
    </xf>
    <xf numFmtId="0" fontId="5" fillId="15" borderId="0" xfId="0" applyFont="1" applyFill="1" applyBorder="1" applyAlignment="1" applyProtection="1">
      <alignment horizontal="center" vertical="center"/>
    </xf>
    <xf numFmtId="0" fontId="5" fillId="15" borderId="46" xfId="0" applyFont="1" applyFill="1" applyBorder="1" applyAlignment="1">
      <alignment horizontal="left" vertical="center"/>
    </xf>
    <xf numFmtId="0" fontId="5" fillId="15" borderId="47" xfId="0" applyFont="1" applyFill="1" applyBorder="1" applyAlignment="1">
      <alignment horizontal="left" vertical="center"/>
    </xf>
    <xf numFmtId="171" fontId="5" fillId="13" borderId="1" xfId="0" applyNumberFormat="1" applyFont="1" applyFill="1" applyBorder="1" applyAlignment="1">
      <alignment horizontal="center" vertical="center"/>
    </xf>
    <xf numFmtId="0" fontId="5" fillId="15" borderId="21" xfId="0" applyFont="1" applyFill="1" applyBorder="1" applyAlignment="1">
      <alignment horizontal="right" vertical="center"/>
    </xf>
    <xf numFmtId="0" fontId="5" fillId="15" borderId="31" xfId="0" applyFont="1" applyFill="1" applyBorder="1" applyAlignment="1">
      <alignment horizontal="right" vertical="center"/>
    </xf>
    <xf numFmtId="171" fontId="5" fillId="13" borderId="29" xfId="0" applyNumberFormat="1" applyFont="1" applyFill="1" applyBorder="1" applyAlignment="1">
      <alignment horizontal="left" vertical="center"/>
    </xf>
    <xf numFmtId="0" fontId="5" fillId="13" borderId="30" xfId="0" applyFont="1" applyFill="1" applyBorder="1" applyAlignment="1">
      <alignment horizontal="left" vertical="center"/>
    </xf>
    <xf numFmtId="0" fontId="4" fillId="15" borderId="46" xfId="0" applyFont="1" applyFill="1" applyBorder="1" applyAlignment="1">
      <alignment horizontal="left" vertical="center"/>
    </xf>
    <xf numFmtId="0" fontId="4" fillId="15" borderId="42" xfId="0" applyFont="1" applyFill="1" applyBorder="1" applyAlignment="1">
      <alignment horizontal="left" vertical="center"/>
    </xf>
    <xf numFmtId="0" fontId="20" fillId="18" borderId="2" xfId="0" applyFont="1" applyFill="1" applyBorder="1" applyAlignment="1" applyProtection="1">
      <alignment horizontal="right" vertical="center"/>
      <protection locked="0"/>
    </xf>
    <xf numFmtId="0" fontId="20" fillId="18" borderId="4" xfId="0" applyFont="1" applyFill="1" applyBorder="1" applyAlignment="1" applyProtection="1">
      <alignment horizontal="right" vertical="center"/>
      <protection locked="0"/>
    </xf>
    <xf numFmtId="173" fontId="4" fillId="13" borderId="25" xfId="0" applyNumberFormat="1" applyFont="1" applyFill="1" applyBorder="1" applyAlignment="1">
      <alignment horizontal="right" vertical="center"/>
    </xf>
    <xf numFmtId="173" fontId="4" fillId="13" borderId="6" xfId="0" applyNumberFormat="1" applyFont="1" applyFill="1" applyBorder="1" applyAlignment="1">
      <alignment horizontal="right" vertical="center"/>
    </xf>
    <xf numFmtId="0" fontId="4" fillId="15" borderId="44" xfId="0" applyFont="1" applyFill="1" applyBorder="1" applyAlignment="1">
      <alignment horizontal="left" vertical="center"/>
    </xf>
    <xf numFmtId="0" fontId="5" fillId="15" borderId="0" xfId="0" applyFont="1" applyFill="1" applyBorder="1" applyAlignment="1">
      <alignment horizontal="left" vertical="center" wrapText="1"/>
    </xf>
    <xf numFmtId="173" fontId="4" fillId="13" borderId="1" xfId="0" applyNumberFormat="1" applyFont="1" applyFill="1" applyBorder="1" applyAlignment="1">
      <alignment horizontal="center" vertical="center"/>
    </xf>
    <xf numFmtId="0" fontId="0" fillId="15" borderId="0" xfId="0" applyFill="1" applyBorder="1" applyAlignment="1">
      <alignment horizontal="center" vertical="center"/>
    </xf>
    <xf numFmtId="0" fontId="1" fillId="0" borderId="34" xfId="0" applyFont="1" applyBorder="1" applyAlignment="1" applyProtection="1">
      <alignment horizontal="left" vertical="top" wrapText="1"/>
      <protection locked="0"/>
    </xf>
    <xf numFmtId="0" fontId="1" fillId="0" borderId="39" xfId="0" applyFont="1" applyBorder="1" applyAlignment="1" applyProtection="1">
      <alignment horizontal="left" vertical="top" wrapText="1"/>
      <protection locked="0"/>
    </xf>
    <xf numFmtId="0" fontId="1" fillId="0" borderId="35" xfId="0" applyFont="1" applyBorder="1" applyAlignment="1" applyProtection="1">
      <alignment horizontal="left" vertical="top" wrapText="1"/>
      <protection locked="0"/>
    </xf>
    <xf numFmtId="0" fontId="1" fillId="0" borderId="27" xfId="0" applyFont="1" applyBorder="1" applyAlignment="1" applyProtection="1">
      <alignment horizontal="left" vertical="top" wrapText="1"/>
      <protection locked="0"/>
    </xf>
    <xf numFmtId="0" fontId="1" fillId="0" borderId="0" xfId="0" applyFont="1"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40" xfId="0" applyFont="1" applyBorder="1" applyAlignment="1" applyProtection="1">
      <alignment horizontal="left" vertical="top" wrapText="1"/>
      <protection locked="0"/>
    </xf>
    <xf numFmtId="0" fontId="1" fillId="0" borderId="36" xfId="0" applyFont="1" applyBorder="1" applyAlignment="1" applyProtection="1">
      <alignment horizontal="left" vertical="top" wrapText="1"/>
      <protection locked="0"/>
    </xf>
    <xf numFmtId="0" fontId="1" fillId="0" borderId="41" xfId="0" applyFont="1" applyBorder="1" applyAlignment="1" applyProtection="1">
      <alignment horizontal="left" vertical="top" wrapText="1"/>
      <protection locked="0"/>
    </xf>
    <xf numFmtId="0" fontId="66" fillId="15" borderId="0" xfId="0" quotePrefix="1" applyFont="1" applyFill="1" applyAlignment="1">
      <alignment horizontal="left" vertical="center" wrapText="1"/>
    </xf>
    <xf numFmtId="0" fontId="66" fillId="15" borderId="0" xfId="0" quotePrefix="1" applyFont="1" applyFill="1" applyAlignment="1">
      <alignment horizontal="left" vertical="center"/>
    </xf>
    <xf numFmtId="0" fontId="39" fillId="3" borderId="72" xfId="0" applyFont="1" applyFill="1" applyBorder="1" applyAlignment="1">
      <alignment horizontal="left" vertical="center"/>
    </xf>
    <xf numFmtId="0" fontId="39" fillId="3" borderId="84" xfId="0" applyFont="1" applyFill="1" applyBorder="1" applyAlignment="1">
      <alignment horizontal="left" vertical="center"/>
    </xf>
    <xf numFmtId="0" fontId="39" fillId="3" borderId="89" xfId="0" applyFont="1" applyFill="1" applyBorder="1" applyAlignment="1">
      <alignment horizontal="left" vertical="center"/>
    </xf>
    <xf numFmtId="0" fontId="39" fillId="3" borderId="75" xfId="0" applyFont="1" applyFill="1" applyBorder="1" applyAlignment="1">
      <alignment horizontal="left" vertical="center"/>
    </xf>
    <xf numFmtId="0" fontId="39" fillId="15" borderId="0" xfId="0" applyFont="1" applyFill="1" applyAlignment="1">
      <alignment horizontal="left" vertical="center" wrapText="1"/>
    </xf>
    <xf numFmtId="0" fontId="67" fillId="3" borderId="2" xfId="0" applyFont="1" applyFill="1" applyBorder="1" applyAlignment="1">
      <alignment horizontal="left" vertical="center"/>
    </xf>
    <xf numFmtId="0" fontId="67" fillId="3" borderId="3" xfId="0" applyFont="1" applyFill="1" applyBorder="1" applyAlignment="1">
      <alignment horizontal="left" vertical="center"/>
    </xf>
    <xf numFmtId="0" fontId="67" fillId="3" borderId="4" xfId="0" applyFont="1" applyFill="1" applyBorder="1" applyAlignment="1">
      <alignment horizontal="left" vertical="center"/>
    </xf>
    <xf numFmtId="0" fontId="48" fillId="15" borderId="0" xfId="0" applyFont="1" applyFill="1" applyBorder="1" applyAlignment="1">
      <alignment horizontal="left" vertical="center"/>
    </xf>
    <xf numFmtId="0" fontId="39" fillId="3" borderId="2" xfId="0" applyFont="1" applyFill="1" applyBorder="1" applyAlignment="1">
      <alignment horizontal="left" vertical="center"/>
    </xf>
    <xf numFmtId="0" fontId="39" fillId="3" borderId="3" xfId="0" applyFont="1" applyFill="1" applyBorder="1" applyAlignment="1">
      <alignment horizontal="left" vertical="center"/>
    </xf>
    <xf numFmtId="0" fontId="39" fillId="3" borderId="4" xfId="0" applyFont="1" applyFill="1" applyBorder="1" applyAlignment="1">
      <alignment horizontal="left" vertical="center"/>
    </xf>
    <xf numFmtId="0" fontId="0" fillId="15" borderId="39" xfId="0" applyFill="1" applyBorder="1" applyAlignment="1">
      <alignment horizontal="center" vertical="center"/>
    </xf>
    <xf numFmtId="0" fontId="1" fillId="15" borderId="0" xfId="0" applyFont="1" applyFill="1" applyBorder="1" applyAlignment="1">
      <alignment horizontal="left" vertical="center" wrapText="1"/>
    </xf>
    <xf numFmtId="0" fontId="7" fillId="13" borderId="12" xfId="0" applyFont="1" applyFill="1" applyBorder="1" applyAlignment="1">
      <alignment horizontal="left" vertical="center" wrapText="1"/>
    </xf>
    <xf numFmtId="0" fontId="7" fillId="13" borderId="1" xfId="0" applyFont="1" applyFill="1" applyBorder="1" applyAlignment="1">
      <alignment horizontal="left" vertical="center" wrapText="1"/>
    </xf>
    <xf numFmtId="0" fontId="7" fillId="13" borderId="12" xfId="0" applyFont="1" applyFill="1" applyBorder="1" applyAlignment="1">
      <alignment horizontal="left" vertical="center"/>
    </xf>
    <xf numFmtId="0" fontId="7" fillId="13" borderId="1" xfId="0" applyFont="1" applyFill="1" applyBorder="1" applyAlignment="1">
      <alignment horizontal="left" vertical="center"/>
    </xf>
    <xf numFmtId="0" fontId="7" fillId="13" borderId="14" xfId="0" applyFont="1" applyFill="1" applyBorder="1" applyAlignment="1">
      <alignment horizontal="left" vertical="center"/>
    </xf>
    <xf numFmtId="0" fontId="7" fillId="13" borderId="15" xfId="0" applyFont="1" applyFill="1" applyBorder="1" applyAlignment="1">
      <alignment horizontal="left" vertical="center"/>
    </xf>
    <xf numFmtId="0" fontId="7" fillId="13" borderId="1" xfId="0" quotePrefix="1" applyFont="1" applyFill="1" applyBorder="1" applyAlignment="1">
      <alignment horizontal="left" vertical="center" wrapText="1"/>
    </xf>
    <xf numFmtId="0" fontId="7" fillId="13" borderId="13" xfId="0" applyFont="1" applyFill="1" applyBorder="1" applyAlignment="1">
      <alignment horizontal="left" vertical="center" wrapText="1"/>
    </xf>
    <xf numFmtId="0" fontId="7" fillId="13" borderId="13" xfId="0" quotePrefix="1" applyFont="1" applyFill="1" applyBorder="1" applyAlignment="1">
      <alignment horizontal="left" vertical="center" wrapText="1"/>
    </xf>
    <xf numFmtId="0" fontId="4" fillId="13" borderId="18" xfId="0" applyFont="1" applyFill="1" applyBorder="1" applyAlignment="1">
      <alignment horizontal="center" vertical="center"/>
    </xf>
    <xf numFmtId="0" fontId="4" fillId="13" borderId="8" xfId="0" applyFont="1" applyFill="1" applyBorder="1" applyAlignment="1">
      <alignment horizontal="center" vertical="center"/>
    </xf>
    <xf numFmtId="0" fontId="43" fillId="10" borderId="60" xfId="0" applyFont="1" applyFill="1" applyBorder="1" applyAlignment="1">
      <alignment horizontal="left" vertical="center"/>
    </xf>
    <xf numFmtId="0" fontId="43" fillId="10" borderId="8" xfId="0" applyFont="1" applyFill="1" applyBorder="1" applyAlignment="1">
      <alignment horizontal="left" vertical="center"/>
    </xf>
    <xf numFmtId="0" fontId="43" fillId="10" borderId="67" xfId="0" applyFont="1" applyFill="1" applyBorder="1" applyAlignment="1">
      <alignment horizontal="left" vertical="center"/>
    </xf>
    <xf numFmtId="0" fontId="4" fillId="3" borderId="68" xfId="0" applyFont="1" applyFill="1" applyBorder="1" applyAlignment="1">
      <alignment horizontal="left" vertical="center" wrapText="1"/>
    </xf>
    <xf numFmtId="0" fontId="4" fillId="3" borderId="18"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4" fillId="3" borderId="60" xfId="0" applyFont="1" applyFill="1" applyBorder="1" applyAlignment="1">
      <alignment horizontal="left" vertical="center" wrapText="1"/>
    </xf>
    <xf numFmtId="0" fontId="4"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13" borderId="23" xfId="0" applyFont="1" applyFill="1" applyBorder="1" applyAlignment="1">
      <alignment horizontal="center" vertical="center"/>
    </xf>
    <xf numFmtId="0" fontId="4" fillId="13" borderId="24" xfId="0" applyFont="1" applyFill="1" applyBorder="1" applyAlignment="1">
      <alignment horizontal="center" vertical="center"/>
    </xf>
    <xf numFmtId="0" fontId="4" fillId="13" borderId="7" xfId="0" applyFont="1" applyFill="1" applyBorder="1" applyAlignment="1">
      <alignment horizontal="center" vertical="center"/>
    </xf>
    <xf numFmtId="0" fontId="4" fillId="13" borderId="9" xfId="0" applyFont="1" applyFill="1" applyBorder="1" applyAlignment="1">
      <alignment horizontal="center" vertical="center"/>
    </xf>
    <xf numFmtId="164" fontId="7" fillId="13" borderId="1" xfId="0" applyNumberFormat="1" applyFont="1" applyFill="1" applyBorder="1" applyAlignment="1">
      <alignment horizontal="center" vertical="center"/>
    </xf>
    <xf numFmtId="164" fontId="7" fillId="13" borderId="13" xfId="0" applyNumberFormat="1" applyFont="1" applyFill="1" applyBorder="1" applyAlignment="1">
      <alignment horizontal="center" vertical="center"/>
    </xf>
    <xf numFmtId="164" fontId="7" fillId="13" borderId="15" xfId="0" applyNumberFormat="1" applyFont="1" applyFill="1" applyBorder="1" applyAlignment="1">
      <alignment horizontal="center" vertical="center"/>
    </xf>
    <xf numFmtId="164" fontId="7" fillId="13" borderId="16" xfId="0" applyNumberFormat="1" applyFont="1" applyFill="1" applyBorder="1" applyAlignment="1">
      <alignment horizontal="center" vertical="center"/>
    </xf>
    <xf numFmtId="0" fontId="7" fillId="3" borderId="12" xfId="0" applyFont="1" applyFill="1" applyBorder="1" applyAlignment="1">
      <alignment horizontal="left" vertical="center"/>
    </xf>
    <xf numFmtId="0" fontId="7" fillId="3" borderId="1" xfId="0" applyFont="1" applyFill="1" applyBorder="1" applyAlignment="1">
      <alignment horizontal="left" vertical="center"/>
    </xf>
    <xf numFmtId="0" fontId="7" fillId="13" borderId="26" xfId="0" applyFont="1" applyFill="1" applyBorder="1" applyAlignment="1">
      <alignment horizontal="center" vertical="center"/>
    </xf>
    <xf numFmtId="0" fontId="4" fillId="3" borderId="13" xfId="0" applyFont="1" applyFill="1" applyBorder="1" applyAlignment="1">
      <alignment horizontal="left" vertical="center"/>
    </xf>
    <xf numFmtId="0" fontId="4" fillId="13" borderId="21" xfId="0" applyFont="1" applyFill="1" applyBorder="1" applyAlignment="1">
      <alignment horizontal="center" vertical="center"/>
    </xf>
    <xf numFmtId="0" fontId="4" fillId="13" borderId="17" xfId="0" applyFont="1" applyFill="1" applyBorder="1" applyAlignment="1">
      <alignment horizontal="center" vertical="center"/>
    </xf>
    <xf numFmtId="0" fontId="4" fillId="13" borderId="23" xfId="0" applyFont="1" applyFill="1" applyBorder="1" applyAlignment="1">
      <alignment horizontal="left" vertical="center"/>
    </xf>
    <xf numFmtId="0" fontId="4" fillId="13" borderId="18" xfId="0" applyFont="1" applyFill="1" applyBorder="1" applyAlignment="1">
      <alignment horizontal="left" vertical="center"/>
    </xf>
    <xf numFmtId="0" fontId="4" fillId="13" borderId="24" xfId="0" applyFont="1" applyFill="1" applyBorder="1" applyAlignment="1">
      <alignment horizontal="left" vertical="center"/>
    </xf>
    <xf numFmtId="0" fontId="4" fillId="13" borderId="7" xfId="0" applyFont="1" applyFill="1" applyBorder="1" applyAlignment="1">
      <alignment horizontal="left" vertical="center"/>
    </xf>
    <xf numFmtId="0" fontId="4" fillId="13" borderId="8" xfId="0" applyFont="1" applyFill="1" applyBorder="1" applyAlignment="1">
      <alignment horizontal="left" vertical="center"/>
    </xf>
    <xf numFmtId="0" fontId="4" fillId="13" borderId="9" xfId="0" applyFont="1" applyFill="1" applyBorder="1" applyAlignment="1">
      <alignment horizontal="left" vertical="center"/>
    </xf>
    <xf numFmtId="0" fontId="46" fillId="10" borderId="27" xfId="0" applyFont="1" applyFill="1" applyBorder="1" applyAlignment="1">
      <alignment horizontal="left" vertical="center" wrapText="1"/>
    </xf>
    <xf numFmtId="0" fontId="46" fillId="10" borderId="0" xfId="0" applyFont="1" applyFill="1" applyBorder="1" applyAlignment="1">
      <alignment horizontal="left" vertical="center" wrapText="1"/>
    </xf>
    <xf numFmtId="0" fontId="46" fillId="10" borderId="60" xfId="0" applyFont="1" applyFill="1" applyBorder="1" applyAlignment="1">
      <alignment horizontal="left" vertical="center" wrapText="1"/>
    </xf>
    <xf numFmtId="0" fontId="46" fillId="10" borderId="8" xfId="0" applyFont="1" applyFill="1" applyBorder="1" applyAlignment="1">
      <alignment horizontal="left" vertical="center" wrapText="1"/>
    </xf>
    <xf numFmtId="2" fontId="4" fillId="13" borderId="23" xfId="0" applyNumberFormat="1" applyFont="1" applyFill="1" applyBorder="1" applyAlignment="1">
      <alignment horizontal="center" vertical="center"/>
    </xf>
    <xf numFmtId="2" fontId="4" fillId="13" borderId="24" xfId="0" applyNumberFormat="1" applyFont="1" applyFill="1" applyBorder="1" applyAlignment="1">
      <alignment horizontal="center" vertical="center"/>
    </xf>
    <xf numFmtId="2" fontId="4" fillId="13" borderId="7" xfId="0" applyNumberFormat="1" applyFont="1" applyFill="1" applyBorder="1" applyAlignment="1">
      <alignment horizontal="center" vertical="center"/>
    </xf>
    <xf numFmtId="2" fontId="4" fillId="13" borderId="9" xfId="0" applyNumberFormat="1" applyFont="1" applyFill="1" applyBorder="1" applyAlignment="1">
      <alignment horizontal="center" vertical="center"/>
    </xf>
    <xf numFmtId="164" fontId="4" fillId="13" borderId="6" xfId="0" applyNumberFormat="1" applyFont="1" applyFill="1" applyBorder="1" applyAlignment="1">
      <alignment horizontal="center" vertical="center"/>
    </xf>
    <xf numFmtId="0" fontId="4" fillId="13" borderId="6" xfId="0" applyFont="1" applyFill="1" applyBorder="1" applyAlignment="1">
      <alignment horizontal="center" vertical="center"/>
    </xf>
    <xf numFmtId="0" fontId="4" fillId="3" borderId="12" xfId="0" applyFont="1" applyFill="1" applyBorder="1" applyAlignment="1">
      <alignment horizontal="left" vertical="center"/>
    </xf>
    <xf numFmtId="0" fontId="4" fillId="3" borderId="1" xfId="0" applyFont="1" applyFill="1" applyBorder="1" applyAlignment="1">
      <alignment horizontal="left" vertical="center"/>
    </xf>
    <xf numFmtId="0" fontId="4" fillId="15" borderId="0" xfId="0" applyFont="1" applyFill="1" applyBorder="1" applyAlignment="1">
      <alignment horizontal="center" vertical="center" wrapText="1"/>
    </xf>
    <xf numFmtId="0" fontId="7" fillId="15" borderId="0" xfId="0" applyFont="1" applyFill="1" applyBorder="1" applyAlignment="1">
      <alignment horizontal="center" vertical="center" wrapText="1"/>
    </xf>
    <xf numFmtId="0" fontId="4" fillId="3" borderId="12"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68"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60"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66" xfId="0" applyFont="1" applyFill="1" applyBorder="1" applyAlignment="1">
      <alignment horizontal="center" vertical="center"/>
    </xf>
    <xf numFmtId="0" fontId="4" fillId="3" borderId="13"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4" fillId="3" borderId="12"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4" fillId="3" borderId="6" xfId="0" applyFont="1" applyFill="1" applyBorder="1" applyAlignment="1">
      <alignment horizontal="left" vertical="center"/>
    </xf>
    <xf numFmtId="0" fontId="7" fillId="13" borderId="15" xfId="0" quotePrefix="1" applyFont="1" applyFill="1" applyBorder="1" applyAlignment="1">
      <alignment horizontal="left" vertical="center" wrapText="1"/>
    </xf>
    <xf numFmtId="0" fontId="7" fillId="13" borderId="16" xfId="0" quotePrefix="1" applyFont="1" applyFill="1" applyBorder="1" applyAlignment="1">
      <alignment horizontal="left" vertical="center" wrapText="1"/>
    </xf>
    <xf numFmtId="0" fontId="20" fillId="13" borderId="12" xfId="0" applyFont="1" applyFill="1" applyBorder="1" applyAlignment="1">
      <alignment horizontal="left" vertical="center" wrapText="1"/>
    </xf>
    <xf numFmtId="0" fontId="20" fillId="13" borderId="1" xfId="0" applyFont="1" applyFill="1" applyBorder="1" applyAlignment="1">
      <alignment horizontal="left" vertical="center" wrapText="1"/>
    </xf>
    <xf numFmtId="0" fontId="7" fillId="3" borderId="25" xfId="0" applyFont="1" applyFill="1" applyBorder="1" applyAlignment="1">
      <alignment horizontal="left" vertical="center"/>
    </xf>
    <xf numFmtId="0" fontId="7" fillId="3" borderId="26" xfId="0" applyFont="1" applyFill="1" applyBorder="1" applyAlignment="1">
      <alignment horizontal="left" vertical="center"/>
    </xf>
    <xf numFmtId="0" fontId="7" fillId="3" borderId="6" xfId="0" applyFont="1" applyFill="1" applyBorder="1" applyAlignment="1">
      <alignment horizontal="left" vertical="center"/>
    </xf>
    <xf numFmtId="0" fontId="7" fillId="3" borderId="12"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14" xfId="0" applyFont="1" applyFill="1" applyBorder="1" applyAlignment="1">
      <alignment horizontal="left" vertical="center" wrapText="1"/>
    </xf>
    <xf numFmtId="0" fontId="7" fillId="3" borderId="15" xfId="0" applyFont="1" applyFill="1" applyBorder="1" applyAlignment="1">
      <alignment horizontal="left" vertical="center" wrapText="1"/>
    </xf>
    <xf numFmtId="0" fontId="4" fillId="13" borderId="15"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6" xfId="0" applyFont="1" applyFill="1" applyBorder="1" applyAlignment="1">
      <alignment horizontal="center" vertical="center"/>
    </xf>
    <xf numFmtId="0" fontId="7" fillId="10" borderId="27" xfId="0" applyFont="1" applyFill="1" applyBorder="1" applyAlignment="1">
      <alignment horizontal="left" vertical="center" wrapText="1"/>
    </xf>
    <xf numFmtId="0" fontId="7" fillId="10" borderId="0" xfId="0" applyFont="1" applyFill="1" applyBorder="1" applyAlignment="1">
      <alignment horizontal="left" vertical="center" wrapText="1"/>
    </xf>
    <xf numFmtId="0" fontId="7" fillId="10" borderId="28" xfId="0" applyFont="1" applyFill="1" applyBorder="1" applyAlignment="1">
      <alignment horizontal="left" vertical="center" wrapText="1"/>
    </xf>
    <xf numFmtId="164" fontId="4" fillId="13" borderId="18" xfId="0" applyNumberFormat="1" applyFont="1" applyFill="1" applyBorder="1" applyAlignment="1">
      <alignment horizontal="center" vertical="center"/>
    </xf>
    <xf numFmtId="0" fontId="46" fillId="10" borderId="28" xfId="0" applyFont="1" applyFill="1" applyBorder="1" applyAlignment="1">
      <alignment horizontal="left" vertical="center" wrapText="1"/>
    </xf>
    <xf numFmtId="0" fontId="7" fillId="3" borderId="54"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67"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7" fillId="3" borderId="23"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68"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7" fillId="3" borderId="60" xfId="0" applyFont="1" applyFill="1" applyBorder="1" applyAlignment="1">
      <alignment horizontal="left" vertical="center" wrapText="1"/>
    </xf>
    <xf numFmtId="0" fontId="7" fillId="3" borderId="9" xfId="0" applyFont="1" applyFill="1" applyBorder="1" applyAlignment="1">
      <alignment horizontal="left" vertical="center" wrapText="1"/>
    </xf>
    <xf numFmtId="0" fontId="4" fillId="3" borderId="14" xfId="0" applyFont="1" applyFill="1" applyBorder="1" applyAlignment="1">
      <alignment horizontal="left" vertical="center"/>
    </xf>
    <xf numFmtId="0" fontId="4" fillId="3" borderId="15" xfId="0" applyFont="1" applyFill="1" applyBorder="1" applyAlignment="1">
      <alignment horizontal="left" vertical="center"/>
    </xf>
    <xf numFmtId="0" fontId="4" fillId="13" borderId="1" xfId="0" applyFont="1" applyFill="1" applyBorder="1" applyAlignment="1">
      <alignment horizontal="left" vertical="center"/>
    </xf>
    <xf numFmtId="0" fontId="4" fillId="13" borderId="15" xfId="0" applyFont="1" applyFill="1" applyBorder="1" applyAlignment="1">
      <alignment horizontal="left" vertical="center"/>
    </xf>
    <xf numFmtId="0" fontId="4" fillId="13" borderId="17" xfId="0" applyFont="1" applyFill="1" applyBorder="1" applyAlignment="1">
      <alignment horizontal="left" vertical="center"/>
    </xf>
    <xf numFmtId="173" fontId="4" fillId="13" borderId="1" xfId="2" applyNumberFormat="1" applyFont="1" applyFill="1" applyBorder="1" applyAlignment="1">
      <alignment horizontal="left" vertical="center"/>
    </xf>
    <xf numFmtId="173" fontId="4" fillId="13" borderId="13" xfId="2" applyNumberFormat="1" applyFont="1" applyFill="1" applyBorder="1" applyAlignment="1">
      <alignment horizontal="left" vertical="center"/>
    </xf>
    <xf numFmtId="0" fontId="4" fillId="3" borderId="62" xfId="0" applyFont="1" applyFill="1" applyBorder="1" applyAlignment="1">
      <alignment horizontal="left" vertical="center" wrapText="1"/>
    </xf>
    <xf numFmtId="0" fontId="4" fillId="3" borderId="37" xfId="0" applyFont="1" applyFill="1" applyBorder="1" applyAlignment="1">
      <alignment horizontal="left" vertical="center" wrapText="1"/>
    </xf>
    <xf numFmtId="0" fontId="4" fillId="3" borderId="38" xfId="0" applyFont="1" applyFill="1" applyBorder="1" applyAlignment="1">
      <alignment horizontal="left" vertical="center" wrapText="1"/>
    </xf>
    <xf numFmtId="0" fontId="51" fillId="10" borderId="34" xfId="0" applyFont="1" applyFill="1" applyBorder="1" applyAlignment="1">
      <alignment horizontal="left" vertical="top"/>
    </xf>
    <xf numFmtId="0" fontId="51" fillId="10" borderId="39" xfId="0" applyFont="1" applyFill="1" applyBorder="1" applyAlignment="1">
      <alignment horizontal="left" vertical="top"/>
    </xf>
    <xf numFmtId="0" fontId="51" fillId="10" borderId="35" xfId="0" applyFont="1" applyFill="1" applyBorder="1" applyAlignment="1">
      <alignment horizontal="left" vertical="top"/>
    </xf>
    <xf numFmtId="0" fontId="51" fillId="10" borderId="60" xfId="0" applyFont="1" applyFill="1" applyBorder="1" applyAlignment="1">
      <alignment horizontal="left" vertical="top"/>
    </xf>
    <xf numFmtId="0" fontId="51" fillId="10" borderId="8" xfId="0" applyFont="1" applyFill="1" applyBorder="1" applyAlignment="1">
      <alignment horizontal="left" vertical="top"/>
    </xf>
    <xf numFmtId="0" fontId="51" fillId="10" borderId="67" xfId="0" applyFont="1" applyFill="1" applyBorder="1" applyAlignment="1">
      <alignment horizontal="left" vertical="top"/>
    </xf>
    <xf numFmtId="0" fontId="46" fillId="10" borderId="27" xfId="0" applyFont="1" applyFill="1" applyBorder="1" applyAlignment="1">
      <alignment horizontal="left" vertical="center"/>
    </xf>
    <xf numFmtId="0" fontId="46" fillId="10" borderId="0" xfId="0" applyFont="1" applyFill="1" applyBorder="1" applyAlignment="1">
      <alignment horizontal="left" vertical="center"/>
    </xf>
    <xf numFmtId="0" fontId="46" fillId="10" borderId="68" xfId="0" applyFont="1" applyFill="1" applyBorder="1" applyAlignment="1">
      <alignment horizontal="left" vertical="center" wrapText="1"/>
    </xf>
    <xf numFmtId="0" fontId="46" fillId="10" borderId="18" xfId="0" applyFont="1" applyFill="1" applyBorder="1" applyAlignment="1">
      <alignment horizontal="left" vertical="center" wrapText="1"/>
    </xf>
    <xf numFmtId="0" fontId="46" fillId="10" borderId="54" xfId="0" applyFont="1" applyFill="1" applyBorder="1" applyAlignment="1">
      <alignment horizontal="left" vertical="center" wrapText="1"/>
    </xf>
    <xf numFmtId="0" fontId="46" fillId="10" borderId="67" xfId="0" applyFont="1" applyFill="1" applyBorder="1" applyAlignment="1">
      <alignment horizontal="left" vertical="center" wrapText="1"/>
    </xf>
    <xf numFmtId="0" fontId="46" fillId="10" borderId="68" xfId="0" applyFont="1" applyFill="1" applyBorder="1" applyAlignment="1">
      <alignment horizontal="left" vertical="center"/>
    </xf>
    <xf numFmtId="0" fontId="46" fillId="10" borderId="18" xfId="0" applyFont="1" applyFill="1" applyBorder="1" applyAlignment="1">
      <alignment horizontal="left" vertical="center"/>
    </xf>
    <xf numFmtId="0" fontId="46" fillId="10" borderId="54" xfId="0" applyFont="1" applyFill="1" applyBorder="1" applyAlignment="1">
      <alignment horizontal="left" vertical="center"/>
    </xf>
    <xf numFmtId="0" fontId="46" fillId="10" borderId="60" xfId="0" applyFont="1" applyFill="1" applyBorder="1" applyAlignment="1">
      <alignment horizontal="left" vertical="center"/>
    </xf>
    <xf numFmtId="0" fontId="46" fillId="10" borderId="8" xfId="0" applyFont="1" applyFill="1" applyBorder="1" applyAlignment="1">
      <alignment horizontal="left" vertical="center"/>
    </xf>
    <xf numFmtId="0" fontId="46" fillId="10" borderId="67" xfId="0" applyFont="1" applyFill="1" applyBorder="1" applyAlignment="1">
      <alignment horizontal="left" vertical="center"/>
    </xf>
    <xf numFmtId="0" fontId="51" fillId="10" borderId="34" xfId="0" applyFont="1" applyFill="1" applyBorder="1" applyAlignment="1">
      <alignment horizontal="left" vertical="center"/>
    </xf>
    <xf numFmtId="0" fontId="51" fillId="10" borderId="39" xfId="0" applyFont="1" applyFill="1" applyBorder="1" applyAlignment="1">
      <alignment horizontal="left" vertical="center"/>
    </xf>
    <xf numFmtId="0" fontId="51" fillId="10" borderId="35" xfId="0" applyFont="1" applyFill="1" applyBorder="1" applyAlignment="1">
      <alignment horizontal="left" vertical="center"/>
    </xf>
    <xf numFmtId="0" fontId="51" fillId="10" borderId="27" xfId="0" applyFont="1" applyFill="1" applyBorder="1" applyAlignment="1">
      <alignment horizontal="left" vertical="center"/>
    </xf>
    <xf numFmtId="0" fontId="51" fillId="10" borderId="0" xfId="0" applyFont="1" applyFill="1" applyBorder="1" applyAlignment="1">
      <alignment horizontal="left" vertical="center"/>
    </xf>
    <xf numFmtId="0" fontId="51" fillId="10" borderId="28" xfId="0" applyFont="1" applyFill="1" applyBorder="1" applyAlignment="1">
      <alignment horizontal="left" vertical="center"/>
    </xf>
    <xf numFmtId="0" fontId="4" fillId="13" borderId="12" xfId="0" applyFont="1" applyFill="1" applyBorder="1" applyAlignment="1">
      <alignment horizontal="left" vertical="center" wrapText="1"/>
    </xf>
    <xf numFmtId="0" fontId="4" fillId="13" borderId="1" xfId="0" applyFont="1" applyFill="1" applyBorder="1" applyAlignment="1">
      <alignment horizontal="left" vertical="center" wrapText="1"/>
    </xf>
    <xf numFmtId="0" fontId="4" fillId="13" borderId="1" xfId="0" quotePrefix="1" applyFont="1" applyFill="1" applyBorder="1" applyAlignment="1">
      <alignment horizontal="left" vertical="center" wrapText="1"/>
    </xf>
    <xf numFmtId="0" fontId="4" fillId="13" borderId="13" xfId="0" quotePrefix="1" applyFont="1" applyFill="1" applyBorder="1" applyAlignment="1">
      <alignment horizontal="left" vertical="center" wrapText="1"/>
    </xf>
    <xf numFmtId="0" fontId="20" fillId="13" borderId="1" xfId="0" quotePrefix="1" applyFont="1" applyFill="1" applyBorder="1" applyAlignment="1">
      <alignment horizontal="left" vertical="center" wrapText="1"/>
    </xf>
    <xf numFmtId="0" fontId="20" fillId="13" borderId="13" xfId="0" quotePrefix="1" applyFont="1" applyFill="1" applyBorder="1" applyAlignment="1">
      <alignment horizontal="left" vertical="center" wrapText="1"/>
    </xf>
    <xf numFmtId="0" fontId="47" fillId="15" borderId="0" xfId="0" applyFont="1" applyFill="1" applyAlignment="1">
      <alignment horizontal="left" vertical="center"/>
    </xf>
    <xf numFmtId="0" fontId="43" fillId="10" borderId="34" xfId="0" applyFont="1" applyFill="1" applyBorder="1" applyAlignment="1">
      <alignment horizontal="left" vertical="center" wrapText="1"/>
    </xf>
    <xf numFmtId="0" fontId="43" fillId="10" borderId="39" xfId="0" applyFont="1" applyFill="1" applyBorder="1" applyAlignment="1">
      <alignment horizontal="left" vertical="center" wrapText="1"/>
    </xf>
    <xf numFmtId="0" fontId="43" fillId="10" borderId="35" xfId="0" applyFont="1" applyFill="1" applyBorder="1" applyAlignment="1">
      <alignment horizontal="left" vertical="center" wrapText="1"/>
    </xf>
    <xf numFmtId="0" fontId="43" fillId="10" borderId="40" xfId="0" applyFont="1" applyFill="1" applyBorder="1" applyAlignment="1">
      <alignment horizontal="left" vertical="center" wrapText="1"/>
    </xf>
    <xf numFmtId="0" fontId="43" fillId="10" borderId="36" xfId="0" applyFont="1" applyFill="1" applyBorder="1" applyAlignment="1">
      <alignment horizontal="left" vertical="center" wrapText="1"/>
    </xf>
    <xf numFmtId="0" fontId="43" fillId="10" borderId="41" xfId="0" applyFont="1" applyFill="1" applyBorder="1" applyAlignment="1">
      <alignment horizontal="left" vertical="center" wrapText="1"/>
    </xf>
    <xf numFmtId="0" fontId="5" fillId="3" borderId="51" xfId="0" applyFont="1" applyFill="1" applyBorder="1" applyAlignment="1">
      <alignment horizontal="left" vertical="center"/>
    </xf>
    <xf numFmtId="0" fontId="5" fillId="3" borderId="52" xfId="0" applyFont="1" applyFill="1" applyBorder="1" applyAlignment="1">
      <alignment horizontal="left" vertical="center"/>
    </xf>
    <xf numFmtId="0" fontId="5" fillId="3" borderId="53" xfId="0" applyFont="1" applyFill="1" applyBorder="1" applyAlignment="1">
      <alignment horizontal="left" vertical="center"/>
    </xf>
    <xf numFmtId="0" fontId="4" fillId="13" borderId="12" xfId="0" applyFont="1" applyFill="1" applyBorder="1" applyAlignment="1">
      <alignment horizontal="left" vertical="center"/>
    </xf>
    <xf numFmtId="0" fontId="4" fillId="13" borderId="1" xfId="0" quotePrefix="1" applyFont="1" applyFill="1" applyBorder="1" applyAlignment="1">
      <alignment horizontal="left" vertical="center"/>
    </xf>
    <xf numFmtId="0" fontId="4" fillId="13" borderId="13" xfId="0" applyFont="1" applyFill="1" applyBorder="1" applyAlignment="1">
      <alignment horizontal="left" vertical="center"/>
    </xf>
    <xf numFmtId="0" fontId="61" fillId="3" borderId="10" xfId="5" applyFill="1" applyBorder="1" applyAlignment="1">
      <alignment horizontal="center" vertical="center"/>
    </xf>
    <xf numFmtId="0" fontId="61" fillId="3" borderId="5" xfId="5" applyFill="1" applyBorder="1" applyAlignment="1">
      <alignment horizontal="center" vertical="center"/>
    </xf>
    <xf numFmtId="0" fontId="61" fillId="3" borderId="11" xfId="5" applyFill="1" applyBorder="1" applyAlignment="1">
      <alignment horizontal="center" vertical="center"/>
    </xf>
    <xf numFmtId="0" fontId="7" fillId="3" borderId="14" xfId="0" applyFont="1" applyFill="1" applyBorder="1" applyAlignment="1">
      <alignment horizontal="left" vertical="center"/>
    </xf>
    <xf numFmtId="0" fontId="7" fillId="3" borderId="15" xfId="0" applyFont="1" applyFill="1" applyBorder="1" applyAlignment="1">
      <alignment horizontal="left" vertical="center"/>
    </xf>
    <xf numFmtId="0" fontId="7" fillId="13" borderId="37" xfId="0" applyFont="1" applyFill="1" applyBorder="1" applyAlignment="1">
      <alignment horizontal="center" vertical="center"/>
    </xf>
    <xf numFmtId="0" fontId="4" fillId="3" borderId="13" xfId="0" applyFont="1" applyFill="1" applyBorder="1" applyAlignment="1">
      <alignment vertical="center"/>
    </xf>
    <xf numFmtId="0" fontId="4" fillId="3" borderId="16" xfId="0" applyFont="1" applyFill="1" applyBorder="1" applyAlignment="1">
      <alignment vertical="center"/>
    </xf>
    <xf numFmtId="173" fontId="4" fillId="13" borderId="33" xfId="2" applyNumberFormat="1" applyFont="1" applyFill="1" applyBorder="1" applyAlignment="1">
      <alignment horizontal="center" vertical="center"/>
    </xf>
    <xf numFmtId="173" fontId="4" fillId="13" borderId="65" xfId="2" applyNumberFormat="1" applyFont="1" applyFill="1" applyBorder="1" applyAlignment="1">
      <alignment horizontal="center" vertical="center"/>
    </xf>
    <xf numFmtId="173" fontId="4" fillId="13" borderId="25" xfId="2" applyNumberFormat="1" applyFont="1" applyFill="1" applyBorder="1" applyAlignment="1">
      <alignment horizontal="center" vertical="center"/>
    </xf>
    <xf numFmtId="173" fontId="4" fillId="13" borderId="66" xfId="2" applyNumberFormat="1" applyFont="1" applyFill="1" applyBorder="1" applyAlignment="1">
      <alignment horizontal="center" vertical="center"/>
    </xf>
    <xf numFmtId="0" fontId="5" fillId="3" borderId="25" xfId="0" applyFont="1" applyFill="1" applyBorder="1" applyAlignment="1">
      <alignment horizontal="center" vertical="center" wrapText="1"/>
    </xf>
    <xf numFmtId="0" fontId="5" fillId="3" borderId="66" xfId="0" applyFont="1" applyFill="1" applyBorder="1" applyAlignment="1">
      <alignment horizontal="center" vertical="center" wrapText="1"/>
    </xf>
    <xf numFmtId="0" fontId="5" fillId="3" borderId="61" xfId="0" applyFont="1" applyFill="1" applyBorder="1" applyAlignment="1">
      <alignment horizontal="left" vertical="center"/>
    </xf>
    <xf numFmtId="0" fontId="5" fillId="3" borderId="26" xfId="0" applyFont="1" applyFill="1" applyBorder="1" applyAlignment="1">
      <alignment horizontal="left" vertical="center"/>
    </xf>
    <xf numFmtId="0" fontId="5" fillId="3" borderId="6" xfId="0" applyFont="1" applyFill="1" applyBorder="1" applyAlignment="1">
      <alignment horizontal="left" vertical="center"/>
    </xf>
    <xf numFmtId="0" fontId="4" fillId="3" borderId="61" xfId="0" applyFont="1" applyFill="1" applyBorder="1" applyAlignment="1">
      <alignment horizontal="left" vertical="center" wrapText="1"/>
    </xf>
    <xf numFmtId="0" fontId="4" fillId="3" borderId="26"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5" fillId="10" borderId="50" xfId="0" applyFont="1" applyFill="1" applyBorder="1" applyAlignment="1">
      <alignment horizontal="left" vertical="center" wrapText="1"/>
    </xf>
    <xf numFmtId="0" fontId="45" fillId="10" borderId="17" xfId="0" applyFont="1" applyFill="1" applyBorder="1" applyAlignment="1">
      <alignment horizontal="left" vertical="center" wrapText="1"/>
    </xf>
    <xf numFmtId="0" fontId="45" fillId="10" borderId="12" xfId="0" applyFont="1" applyFill="1" applyBorder="1" applyAlignment="1">
      <alignment horizontal="left" vertical="center" wrapText="1"/>
    </xf>
    <xf numFmtId="0" fontId="45" fillId="10" borderId="1" xfId="0" applyFont="1" applyFill="1" applyBorder="1" applyAlignment="1">
      <alignment horizontal="left" vertical="center" wrapText="1"/>
    </xf>
    <xf numFmtId="173" fontId="36" fillId="3" borderId="21" xfId="0" applyNumberFormat="1" applyFont="1" applyFill="1" applyBorder="1" applyAlignment="1">
      <alignment horizontal="center" vertical="center" wrapText="1"/>
    </xf>
    <xf numFmtId="173" fontId="36" fillId="3" borderId="22" xfId="0" applyNumberFormat="1" applyFont="1" applyFill="1" applyBorder="1" applyAlignment="1">
      <alignment horizontal="center" vertical="center" wrapText="1"/>
    </xf>
    <xf numFmtId="173" fontId="36" fillId="3" borderId="23" xfId="0" applyNumberFormat="1" applyFont="1" applyFill="1" applyBorder="1" applyAlignment="1">
      <alignment horizontal="center" vertical="center" wrapText="1"/>
    </xf>
    <xf numFmtId="173" fontId="36" fillId="3" borderId="20" xfId="0" applyNumberFormat="1" applyFont="1" applyFill="1" applyBorder="1" applyAlignment="1">
      <alignment horizontal="center" vertical="center" wrapText="1"/>
    </xf>
    <xf numFmtId="173" fontId="36" fillId="3" borderId="55" xfId="0" applyNumberFormat="1" applyFont="1" applyFill="1" applyBorder="1" applyAlignment="1">
      <alignment horizontal="center" vertical="center" wrapText="1"/>
    </xf>
    <xf numFmtId="173" fontId="36" fillId="3" borderId="59" xfId="0" applyNumberFormat="1" applyFont="1" applyFill="1" applyBorder="1" applyAlignment="1">
      <alignment horizontal="center" vertical="center" wrapText="1"/>
    </xf>
    <xf numFmtId="0" fontId="36" fillId="3" borderId="21" xfId="0" applyFont="1" applyFill="1" applyBorder="1" applyAlignment="1">
      <alignment horizontal="center" vertical="center" wrapText="1"/>
    </xf>
    <xf numFmtId="0" fontId="36" fillId="3" borderId="22" xfId="0" applyFont="1" applyFill="1" applyBorder="1" applyAlignment="1">
      <alignment horizontal="center" vertical="center" wrapText="1"/>
    </xf>
    <xf numFmtId="0" fontId="36" fillId="3" borderId="17" xfId="0" applyFont="1" applyFill="1" applyBorder="1" applyAlignment="1">
      <alignment horizontal="center" vertical="center" wrapText="1"/>
    </xf>
    <xf numFmtId="173" fontId="76" fillId="3" borderId="51" xfId="0" applyNumberFormat="1" applyFont="1" applyFill="1" applyBorder="1" applyAlignment="1">
      <alignment horizontal="left" vertical="center"/>
    </xf>
    <xf numFmtId="173" fontId="76" fillId="3" borderId="52" xfId="0" applyNumberFormat="1" applyFont="1" applyFill="1" applyBorder="1" applyAlignment="1">
      <alignment horizontal="left" vertical="center"/>
    </xf>
    <xf numFmtId="173" fontId="76" fillId="3" borderId="53" xfId="0" applyNumberFormat="1" applyFont="1" applyFill="1" applyBorder="1" applyAlignment="1">
      <alignment horizontal="left" vertical="center"/>
    </xf>
    <xf numFmtId="0" fontId="34" fillId="3" borderId="48" xfId="0" applyFont="1" applyFill="1" applyBorder="1" applyAlignment="1">
      <alignment horizontal="center" vertical="center" textRotation="90" wrapText="1"/>
    </xf>
    <xf numFmtId="0" fontId="34" fillId="3" borderId="49" xfId="0" applyFont="1" applyFill="1" applyBorder="1" applyAlignment="1">
      <alignment horizontal="center" vertical="center" textRotation="90" wrapText="1"/>
    </xf>
    <xf numFmtId="0" fontId="34" fillId="3" borderId="40" xfId="0" applyFont="1" applyFill="1" applyBorder="1" applyAlignment="1">
      <alignment horizontal="center" vertical="center" textRotation="90" wrapText="1"/>
    </xf>
    <xf numFmtId="0" fontId="36" fillId="3" borderId="63" xfId="0" applyFont="1" applyFill="1" applyBorder="1" applyAlignment="1">
      <alignment horizontal="center" vertical="center" wrapText="1"/>
    </xf>
    <xf numFmtId="173" fontId="38" fillId="3" borderId="7" xfId="4" applyNumberFormat="1" applyFont="1" applyFill="1" applyBorder="1" applyAlignment="1">
      <alignment horizontal="center" vertical="center" wrapText="1"/>
    </xf>
    <xf numFmtId="173" fontId="38" fillId="3" borderId="8" xfId="4" applyNumberFormat="1" applyFont="1" applyFill="1" applyBorder="1" applyAlignment="1">
      <alignment horizontal="center" vertical="center" wrapText="1"/>
    </xf>
    <xf numFmtId="173" fontId="38" fillId="3" borderId="28" xfId="4" applyNumberFormat="1" applyFont="1" applyFill="1" applyBorder="1" applyAlignment="1">
      <alignment horizontal="center" vertical="center" wrapText="1"/>
    </xf>
    <xf numFmtId="0" fontId="13" fillId="17" borderId="0" xfId="0" applyFont="1" applyFill="1" applyAlignment="1" applyProtection="1">
      <alignment horizontal="left" vertical="center"/>
    </xf>
    <xf numFmtId="0" fontId="13" fillId="17" borderId="28" xfId="0" applyFont="1" applyFill="1" applyBorder="1" applyAlignment="1" applyProtection="1">
      <alignment horizontal="left" vertical="center"/>
    </xf>
    <xf numFmtId="0" fontId="0" fillId="17" borderId="0" xfId="0" applyFont="1" applyFill="1" applyAlignment="1" applyProtection="1">
      <alignment horizontal="left" vertical="center" wrapText="1"/>
    </xf>
    <xf numFmtId="0" fontId="59" fillId="17" borderId="0" xfId="0" applyFont="1" applyFill="1" applyAlignment="1" applyProtection="1">
      <alignment horizontal="left" vertical="center"/>
    </xf>
    <xf numFmtId="0" fontId="41" fillId="17" borderId="0" xfId="0" applyFont="1" applyFill="1" applyBorder="1" applyAlignment="1">
      <alignment horizontal="left" vertical="center"/>
    </xf>
    <xf numFmtId="0" fontId="41" fillId="17" borderId="28" xfId="0" applyFont="1" applyFill="1" applyBorder="1" applyAlignment="1">
      <alignment horizontal="left" vertical="center"/>
    </xf>
    <xf numFmtId="0" fontId="0" fillId="17" borderId="0" xfId="0" applyFont="1" applyFill="1" applyAlignment="1" applyProtection="1">
      <alignment horizontal="left" vertical="center"/>
    </xf>
    <xf numFmtId="0" fontId="0" fillId="17" borderId="28" xfId="0" applyFont="1" applyFill="1" applyBorder="1" applyAlignment="1" applyProtection="1">
      <alignment horizontal="left" vertical="center"/>
    </xf>
    <xf numFmtId="0" fontId="63" fillId="17" borderId="0" xfId="0" applyFont="1" applyFill="1" applyAlignment="1">
      <alignment horizontal="left" vertical="center" wrapText="1"/>
    </xf>
    <xf numFmtId="0" fontId="40" fillId="17" borderId="0" xfId="0" applyFont="1" applyFill="1" applyBorder="1" applyAlignment="1">
      <alignment horizontal="left" vertical="center" wrapText="1"/>
    </xf>
    <xf numFmtId="0" fontId="0" fillId="17" borderId="0" xfId="0" applyFill="1" applyAlignment="1">
      <alignment horizontal="left" vertical="center" wrapText="1"/>
    </xf>
    <xf numFmtId="0" fontId="50" fillId="17" borderId="0" xfId="0" applyFont="1" applyFill="1" applyAlignment="1" applyProtection="1">
      <alignment horizontal="left" vertical="center"/>
    </xf>
    <xf numFmtId="0" fontId="50" fillId="17" borderId="28" xfId="0" applyFont="1" applyFill="1" applyBorder="1" applyAlignment="1" applyProtection="1">
      <alignment horizontal="left" vertical="center"/>
    </xf>
    <xf numFmtId="0" fontId="41" fillId="17" borderId="0" xfId="0" applyFont="1" applyFill="1" applyAlignment="1" applyProtection="1">
      <alignment horizontal="left" vertical="center" wrapText="1"/>
    </xf>
    <xf numFmtId="0" fontId="41" fillId="17" borderId="19" xfId="0" applyFont="1" applyFill="1" applyBorder="1" applyAlignment="1" applyProtection="1">
      <alignment horizontal="left" vertical="center" wrapText="1"/>
    </xf>
    <xf numFmtId="0" fontId="67" fillId="16" borderId="34" xfId="0" applyFont="1" applyFill="1" applyBorder="1" applyAlignment="1" applyProtection="1">
      <alignment horizontal="left" vertical="center" wrapText="1"/>
    </xf>
    <xf numFmtId="0" fontId="67" fillId="16" borderId="39" xfId="0" applyFont="1" applyFill="1" applyBorder="1" applyAlignment="1" applyProtection="1">
      <alignment horizontal="left" vertical="center" wrapText="1"/>
    </xf>
    <xf numFmtId="0" fontId="67" fillId="16" borderId="35" xfId="0" applyFont="1" applyFill="1" applyBorder="1" applyAlignment="1" applyProtection="1">
      <alignment horizontal="left" vertical="center" wrapText="1"/>
    </xf>
    <xf numFmtId="0" fontId="67" fillId="16" borderId="27" xfId="0" applyFont="1" applyFill="1" applyBorder="1" applyAlignment="1" applyProtection="1">
      <alignment horizontal="left" vertical="center" wrapText="1"/>
    </xf>
    <xf numFmtId="0" fontId="67" fillId="16" borderId="0" xfId="0" applyFont="1" applyFill="1" applyBorder="1" applyAlignment="1" applyProtection="1">
      <alignment horizontal="left" vertical="center" wrapText="1"/>
    </xf>
    <xf numFmtId="0" fontId="67" fillId="16" borderId="28" xfId="0" applyFont="1" applyFill="1" applyBorder="1" applyAlignment="1" applyProtection="1">
      <alignment horizontal="left" vertical="center" wrapText="1"/>
    </xf>
    <xf numFmtId="0" fontId="67" fillId="16" borderId="40" xfId="0" applyFont="1" applyFill="1" applyBorder="1" applyAlignment="1" applyProtection="1">
      <alignment horizontal="left" vertical="center" wrapText="1"/>
    </xf>
    <xf numFmtId="0" fontId="67" fillId="16" borderId="36" xfId="0" applyFont="1" applyFill="1" applyBorder="1" applyAlignment="1" applyProtection="1">
      <alignment horizontal="left" vertical="center" wrapText="1"/>
    </xf>
    <xf numFmtId="0" fontId="67" fillId="16" borderId="41" xfId="0" applyFont="1" applyFill="1" applyBorder="1" applyAlignment="1" applyProtection="1">
      <alignment horizontal="left" vertical="center" wrapText="1"/>
    </xf>
    <xf numFmtId="0" fontId="76" fillId="3" borderId="10" xfId="0" applyFont="1" applyFill="1" applyBorder="1" applyAlignment="1">
      <alignment horizontal="left" vertical="center"/>
    </xf>
    <xf numFmtId="0" fontId="76" fillId="3" borderId="5" xfId="0" applyFont="1" applyFill="1" applyBorder="1" applyAlignment="1">
      <alignment horizontal="left" vertical="center"/>
    </xf>
    <xf numFmtId="0" fontId="76" fillId="3" borderId="11" xfId="0" applyFont="1" applyFill="1" applyBorder="1" applyAlignment="1">
      <alignment horizontal="left" vertical="center"/>
    </xf>
    <xf numFmtId="173" fontId="35" fillId="3" borderId="25" xfId="4" applyNumberFormat="1" applyFont="1" applyFill="1" applyBorder="1" applyAlignment="1">
      <alignment horizontal="center" vertical="center" wrapText="1"/>
    </xf>
    <xf numFmtId="173" fontId="35" fillId="3" borderId="26" xfId="4" applyNumberFormat="1" applyFont="1" applyFill="1" applyBorder="1" applyAlignment="1">
      <alignment horizontal="center" vertical="center" wrapText="1"/>
    </xf>
    <xf numFmtId="173" fontId="35" fillId="3" borderId="54" xfId="4" applyNumberFormat="1" applyFont="1" applyFill="1" applyBorder="1" applyAlignment="1">
      <alignment horizontal="center" vertical="center" wrapText="1"/>
    </xf>
    <xf numFmtId="0" fontId="34" fillId="3" borderId="12" xfId="0" applyFont="1" applyFill="1" applyBorder="1" applyAlignment="1">
      <alignment horizontal="center" vertical="center" textRotation="90" wrapText="1"/>
    </xf>
    <xf numFmtId="0" fontId="34" fillId="3" borderId="14" xfId="0" applyFont="1" applyFill="1" applyBorder="1" applyAlignment="1">
      <alignment horizontal="center" vertical="center" textRotation="90" wrapText="1"/>
    </xf>
    <xf numFmtId="0" fontId="0" fillId="11" borderId="0" xfId="0" applyFont="1" applyFill="1" applyAlignment="1" applyProtection="1">
      <alignment horizontal="left" vertical="center" wrapText="1"/>
    </xf>
    <xf numFmtId="0" fontId="34" fillId="3" borderId="1" xfId="0" applyFont="1" applyFill="1" applyBorder="1" applyAlignment="1">
      <alignment horizontal="center" vertical="center" textRotation="90" wrapText="1"/>
    </xf>
    <xf numFmtId="173" fontId="38" fillId="3" borderId="1" xfId="4" applyNumberFormat="1" applyFont="1" applyFill="1" applyBorder="1" applyAlignment="1">
      <alignment horizontal="center" vertical="center" wrapText="1"/>
    </xf>
    <xf numFmtId="173" fontId="36" fillId="3" borderId="1" xfId="0" applyNumberFormat="1" applyFont="1" applyFill="1" applyBorder="1" applyAlignment="1">
      <alignment horizontal="center" vertical="center" wrapText="1"/>
    </xf>
    <xf numFmtId="173" fontId="33" fillId="3" borderId="1" xfId="0" applyNumberFormat="1" applyFont="1" applyFill="1" applyBorder="1" applyAlignment="1">
      <alignment horizontal="left" vertical="center"/>
    </xf>
    <xf numFmtId="0" fontId="78" fillId="3" borderId="21" xfId="0" applyFont="1" applyFill="1" applyBorder="1" applyAlignment="1">
      <alignment horizontal="center" vertical="center" wrapText="1"/>
    </xf>
    <xf numFmtId="0" fontId="78" fillId="3" borderId="22" xfId="0" applyFont="1" applyFill="1" applyBorder="1" applyAlignment="1">
      <alignment horizontal="center" vertical="center" wrapText="1"/>
    </xf>
    <xf numFmtId="0" fontId="78" fillId="3" borderId="17" xfId="0" applyFont="1" applyFill="1" applyBorder="1" applyAlignment="1">
      <alignment horizontal="center" vertical="center" wrapText="1"/>
    </xf>
    <xf numFmtId="173" fontId="7" fillId="6" borderId="29" xfId="2" applyNumberFormat="1" applyFont="1" applyFill="1" applyBorder="1" applyAlignment="1" applyProtection="1">
      <alignment horizontal="left" vertical="center" wrapText="1"/>
    </xf>
    <xf numFmtId="173" fontId="7" fillId="6" borderId="30" xfId="2" applyNumberFormat="1" applyFont="1" applyFill="1" applyBorder="1" applyAlignment="1" applyProtection="1">
      <alignment horizontal="left" vertical="center" wrapText="1"/>
    </xf>
    <xf numFmtId="0" fontId="4" fillId="5" borderId="46" xfId="0" applyFont="1" applyFill="1" applyBorder="1" applyAlignment="1" applyProtection="1">
      <alignment horizontal="left" vertical="center"/>
    </xf>
    <xf numFmtId="0" fontId="4" fillId="5" borderId="47" xfId="0" applyFont="1" applyFill="1" applyBorder="1" applyAlignment="1" applyProtection="1">
      <alignment horizontal="left" vertical="center"/>
    </xf>
    <xf numFmtId="171" fontId="4" fillId="6" borderId="25" xfId="0" applyNumberFormat="1" applyFont="1" applyFill="1" applyBorder="1" applyAlignment="1" applyProtection="1">
      <alignment horizontal="center" vertical="center"/>
    </xf>
    <xf numFmtId="171" fontId="4" fillId="6" borderId="6" xfId="0" applyNumberFormat="1" applyFont="1" applyFill="1" applyBorder="1" applyAlignment="1" applyProtection="1">
      <alignment horizontal="center" vertical="center"/>
    </xf>
    <xf numFmtId="0" fontId="4" fillId="5" borderId="23" xfId="0" applyFont="1" applyFill="1" applyBorder="1" applyAlignment="1" applyProtection="1">
      <alignment horizontal="right" vertical="center"/>
    </xf>
    <xf numFmtId="0" fontId="4" fillId="5" borderId="54" xfId="0" applyFont="1" applyFill="1" applyBorder="1" applyAlignment="1" applyProtection="1">
      <alignment horizontal="right" vertical="center"/>
    </xf>
    <xf numFmtId="171" fontId="4" fillId="6" borderId="2" xfId="0" applyNumberFormat="1" applyFont="1" applyFill="1" applyBorder="1" applyAlignment="1" applyProtection="1">
      <alignment horizontal="center" vertical="center"/>
    </xf>
    <xf numFmtId="171" fontId="4" fillId="6" borderId="4" xfId="0" applyNumberFormat="1" applyFont="1" applyFill="1" applyBorder="1" applyAlignment="1" applyProtection="1">
      <alignment horizontal="center" vertical="center"/>
    </xf>
    <xf numFmtId="0" fontId="4" fillId="5" borderId="19"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171" fontId="4" fillId="6" borderId="1" xfId="0" applyNumberFormat="1"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6" borderId="25" xfId="0" applyFont="1" applyFill="1" applyBorder="1" applyAlignment="1" applyProtection="1">
      <alignment horizontal="center" vertical="center"/>
    </xf>
    <xf numFmtId="0" fontId="4" fillId="6" borderId="6" xfId="0" applyFont="1" applyFill="1" applyBorder="1" applyAlignment="1" applyProtection="1">
      <alignment horizontal="center" vertical="center"/>
    </xf>
    <xf numFmtId="0" fontId="4" fillId="0" borderId="37" xfId="0" applyFont="1" applyBorder="1" applyAlignment="1" applyProtection="1">
      <alignment horizontal="left" vertical="center"/>
    </xf>
    <xf numFmtId="0" fontId="4" fillId="5" borderId="42" xfId="0" applyFont="1" applyFill="1" applyBorder="1" applyAlignment="1" applyProtection="1">
      <alignment horizontal="left" vertical="center"/>
    </xf>
    <xf numFmtId="173" fontId="4" fillId="6" borderId="25" xfId="0" applyNumberFormat="1" applyFont="1" applyFill="1" applyBorder="1" applyAlignment="1" applyProtection="1">
      <alignment horizontal="center" vertical="center"/>
    </xf>
    <xf numFmtId="173" fontId="4" fillId="6" borderId="6" xfId="0" applyNumberFormat="1" applyFont="1" applyFill="1" applyBorder="1" applyAlignment="1" applyProtection="1">
      <alignment horizontal="center" vertical="center"/>
    </xf>
    <xf numFmtId="171" fontId="4" fillId="6" borderId="33" xfId="0" applyNumberFormat="1" applyFont="1" applyFill="1" applyBorder="1" applyAlignment="1" applyProtection="1">
      <alignment horizontal="center" vertical="center"/>
    </xf>
    <xf numFmtId="171" fontId="4" fillId="6" borderId="38" xfId="0" applyNumberFormat="1" applyFont="1" applyFill="1" applyBorder="1" applyAlignment="1" applyProtection="1">
      <alignment horizontal="center" vertical="center"/>
    </xf>
    <xf numFmtId="173" fontId="7" fillId="6" borderId="2" xfId="2" applyNumberFormat="1" applyFont="1" applyFill="1" applyBorder="1" applyAlignment="1" applyProtection="1">
      <alignment horizontal="center" vertical="center" wrapText="1"/>
    </xf>
    <xf numFmtId="173" fontId="7" fillId="6" borderId="4" xfId="2" applyNumberFormat="1" applyFont="1" applyFill="1" applyBorder="1" applyAlignment="1" applyProtection="1">
      <alignment horizontal="center" vertical="center" wrapText="1"/>
    </xf>
    <xf numFmtId="173" fontId="4" fillId="6" borderId="25" xfId="0" applyNumberFormat="1" applyFont="1" applyFill="1" applyBorder="1" applyAlignment="1" applyProtection="1">
      <alignment horizontal="right" vertical="center"/>
    </xf>
    <xf numFmtId="173" fontId="4" fillId="6" borderId="6" xfId="0" applyNumberFormat="1" applyFont="1" applyFill="1" applyBorder="1" applyAlignment="1" applyProtection="1">
      <alignment horizontal="right" vertical="center"/>
    </xf>
    <xf numFmtId="0" fontId="7" fillId="5" borderId="0" xfId="0" applyFont="1" applyFill="1" applyBorder="1" applyAlignment="1" applyProtection="1">
      <alignment horizontal="left" vertical="center" wrapText="1"/>
    </xf>
    <xf numFmtId="0" fontId="7" fillId="5" borderId="19" xfId="0" applyFont="1" applyFill="1" applyBorder="1" applyAlignment="1" applyProtection="1">
      <alignment horizontal="left" vertical="center" wrapText="1"/>
    </xf>
    <xf numFmtId="0" fontId="14" fillId="5" borderId="18" xfId="0" applyFont="1" applyFill="1" applyBorder="1" applyAlignment="1" applyProtection="1">
      <alignment horizontal="left" vertical="center"/>
    </xf>
    <xf numFmtId="0" fontId="5" fillId="5" borderId="8" xfId="0" applyFont="1" applyFill="1" applyBorder="1" applyAlignment="1" applyProtection="1">
      <alignment horizontal="center" vertical="center"/>
    </xf>
    <xf numFmtId="0" fontId="80" fillId="5" borderId="20" xfId="0" applyFont="1" applyFill="1" applyBorder="1" applyAlignment="1" applyProtection="1">
      <alignment horizontal="center" vertical="center" wrapText="1"/>
    </xf>
    <xf numFmtId="0" fontId="24" fillId="5" borderId="88" xfId="0" applyFont="1" applyFill="1" applyBorder="1" applyAlignment="1" applyProtection="1">
      <alignment horizontal="center" vertical="center" wrapText="1"/>
    </xf>
    <xf numFmtId="0" fontId="7" fillId="5" borderId="27" xfId="0" applyFont="1" applyFill="1" applyBorder="1" applyAlignment="1" applyProtection="1">
      <alignment horizontal="right" vertical="top" wrapText="1"/>
    </xf>
    <xf numFmtId="0" fontId="7" fillId="5" borderId="0" xfId="0" applyFont="1" applyFill="1" applyBorder="1" applyAlignment="1" applyProtection="1">
      <alignment horizontal="right" vertical="top" wrapText="1"/>
    </xf>
    <xf numFmtId="0" fontId="5" fillId="5" borderId="0" xfId="0" applyFont="1" applyFill="1" applyBorder="1" applyAlignment="1" applyProtection="1">
      <alignment horizontal="center"/>
    </xf>
    <xf numFmtId="0" fontId="5" fillId="5" borderId="0" xfId="0" applyFont="1" applyFill="1" applyBorder="1" applyAlignment="1" applyProtection="1">
      <alignment horizontal="left" vertical="center" wrapText="1"/>
    </xf>
    <xf numFmtId="0" fontId="5" fillId="5" borderId="0" xfId="0" applyFont="1" applyFill="1" applyBorder="1" applyAlignment="1" applyProtection="1">
      <alignment horizontal="center" vertical="center"/>
    </xf>
    <xf numFmtId="0" fontId="7" fillId="5" borderId="27" xfId="0" applyFont="1" applyFill="1" applyBorder="1" applyAlignment="1" applyProtection="1">
      <alignment horizontal="right" vertical="center" wrapText="1"/>
    </xf>
    <xf numFmtId="0" fontId="7" fillId="5" borderId="19" xfId="0" applyFont="1" applyFill="1" applyBorder="1" applyAlignment="1" applyProtection="1">
      <alignment horizontal="right" vertical="center" wrapText="1"/>
    </xf>
    <xf numFmtId="0" fontId="20" fillId="5" borderId="0" xfId="0" applyFont="1" applyFill="1" applyBorder="1" applyAlignment="1" applyProtection="1">
      <alignment horizontal="left" vertical="center"/>
    </xf>
    <xf numFmtId="0" fontId="20" fillId="5" borderId="19" xfId="0" applyFont="1" applyFill="1" applyBorder="1" applyAlignment="1" applyProtection="1">
      <alignment horizontal="left" vertical="center"/>
    </xf>
    <xf numFmtId="0" fontId="30" fillId="5" borderId="0" xfId="0" applyFont="1" applyFill="1" applyBorder="1" applyAlignment="1" applyProtection="1">
      <alignment horizontal="left" vertical="center"/>
    </xf>
    <xf numFmtId="0" fontId="30" fillId="5" borderId="19" xfId="0" applyFont="1" applyFill="1" applyBorder="1" applyAlignment="1" applyProtection="1">
      <alignment horizontal="left" vertical="center"/>
    </xf>
    <xf numFmtId="171" fontId="20" fillId="6" borderId="2" xfId="0" applyNumberFormat="1" applyFont="1" applyFill="1" applyBorder="1" applyAlignment="1" applyProtection="1">
      <alignment horizontal="right" vertical="center"/>
    </xf>
    <xf numFmtId="171" fontId="20" fillId="6" borderId="4" xfId="0" applyNumberFormat="1" applyFont="1" applyFill="1" applyBorder="1" applyAlignment="1" applyProtection="1">
      <alignment horizontal="right" vertical="center"/>
    </xf>
    <xf numFmtId="0" fontId="28" fillId="5" borderId="0" xfId="0" applyFont="1" applyFill="1" applyBorder="1" applyAlignment="1" applyProtection="1">
      <alignment horizontal="left" vertical="center" wrapText="1"/>
    </xf>
    <xf numFmtId="0" fontId="23" fillId="5" borderId="0" xfId="0" applyFont="1" applyFill="1" applyBorder="1" applyAlignment="1" applyProtection="1">
      <alignment horizontal="left" vertical="center"/>
    </xf>
    <xf numFmtId="0" fontId="23" fillId="5" borderId="8" xfId="0" applyFont="1" applyFill="1" applyBorder="1" applyAlignment="1" applyProtection="1">
      <alignment horizontal="center" vertical="center"/>
    </xf>
    <xf numFmtId="0" fontId="26" fillId="5" borderId="0" xfId="0" applyFont="1" applyFill="1" applyBorder="1" applyAlignment="1" applyProtection="1">
      <alignment horizontal="left" vertical="center"/>
    </xf>
    <xf numFmtId="0" fontId="23" fillId="5" borderId="0" xfId="0" applyFont="1" applyFill="1" applyBorder="1" applyAlignment="1" applyProtection="1">
      <alignment horizontal="center" vertical="center"/>
    </xf>
    <xf numFmtId="0" fontId="28" fillId="5" borderId="0" xfId="0" applyFont="1" applyFill="1" applyBorder="1" applyAlignment="1" applyProtection="1">
      <alignment horizontal="left" vertical="center"/>
    </xf>
    <xf numFmtId="0" fontId="28" fillId="5" borderId="19" xfId="0" applyFont="1" applyFill="1" applyBorder="1" applyAlignment="1" applyProtection="1">
      <alignment horizontal="left" vertical="center"/>
    </xf>
    <xf numFmtId="0" fontId="23" fillId="5" borderId="0" xfId="0" applyFont="1" applyFill="1" applyBorder="1" applyAlignment="1" applyProtection="1">
      <alignment horizontal="center" vertical="center" wrapText="1"/>
    </xf>
    <xf numFmtId="0" fontId="23" fillId="5" borderId="8" xfId="0" applyFont="1" applyFill="1" applyBorder="1" applyAlignment="1" applyProtection="1">
      <alignment horizontal="center" vertical="center" wrapText="1"/>
    </xf>
    <xf numFmtId="0" fontId="20" fillId="6" borderId="4" xfId="0" applyFont="1" applyFill="1" applyBorder="1" applyAlignment="1" applyProtection="1">
      <alignment horizontal="right" vertical="center"/>
    </xf>
    <xf numFmtId="0" fontId="23" fillId="5" borderId="28" xfId="0" applyFont="1" applyFill="1" applyBorder="1" applyAlignment="1" applyProtection="1">
      <alignment horizontal="left" vertical="center"/>
    </xf>
    <xf numFmtId="0" fontId="20" fillId="6" borderId="2" xfId="0" applyFont="1" applyFill="1" applyBorder="1" applyAlignment="1" applyProtection="1">
      <alignment horizontal="right" vertical="center"/>
    </xf>
    <xf numFmtId="0" fontId="20" fillId="5" borderId="28" xfId="0" applyFont="1" applyFill="1" applyBorder="1" applyAlignment="1" applyProtection="1">
      <alignment horizontal="left" vertical="center"/>
    </xf>
    <xf numFmtId="173" fontId="23" fillId="6" borderId="2" xfId="0" applyNumberFormat="1" applyFont="1" applyFill="1" applyBorder="1" applyAlignment="1" applyProtection="1">
      <alignment horizontal="right" vertical="center"/>
    </xf>
    <xf numFmtId="173" fontId="23" fillId="6" borderId="4" xfId="0" applyNumberFormat="1" applyFont="1" applyFill="1" applyBorder="1" applyAlignment="1" applyProtection="1">
      <alignment horizontal="right" vertical="center"/>
    </xf>
    <xf numFmtId="0" fontId="20" fillId="5" borderId="0" xfId="0" applyFont="1" applyFill="1" applyBorder="1" applyAlignment="1" applyProtection="1">
      <alignment horizontal="left" vertical="top" wrapText="1"/>
    </xf>
    <xf numFmtId="0" fontId="20" fillId="5" borderId="8" xfId="0" applyFont="1" applyFill="1" applyBorder="1" applyAlignment="1" applyProtection="1">
      <alignment horizontal="left" vertical="top" wrapText="1"/>
    </xf>
    <xf numFmtId="0" fontId="25" fillId="5" borderId="0" xfId="0" applyFont="1" applyFill="1" applyBorder="1" applyAlignment="1" applyProtection="1">
      <alignment horizontal="left" vertical="center"/>
    </xf>
    <xf numFmtId="1" fontId="23" fillId="6" borderId="2" xfId="0" applyNumberFormat="1" applyFont="1" applyFill="1" applyBorder="1" applyAlignment="1" applyProtection="1">
      <alignment horizontal="right" vertical="center"/>
    </xf>
    <xf numFmtId="1" fontId="23" fillId="6" borderId="4" xfId="0" applyNumberFormat="1" applyFont="1" applyFill="1" applyBorder="1" applyAlignment="1" applyProtection="1">
      <alignment horizontal="right" vertical="center"/>
    </xf>
    <xf numFmtId="171" fontId="23" fillId="6" borderId="2" xfId="0" applyNumberFormat="1" applyFont="1" applyFill="1" applyBorder="1" applyAlignment="1" applyProtection="1">
      <alignment horizontal="right" vertical="center"/>
    </xf>
    <xf numFmtId="171" fontId="23" fillId="6" borderId="4" xfId="0" applyNumberFormat="1" applyFont="1" applyFill="1" applyBorder="1" applyAlignment="1" applyProtection="1">
      <alignment horizontal="right" vertical="center"/>
    </xf>
    <xf numFmtId="171" fontId="23" fillId="6" borderId="2" xfId="0" applyNumberFormat="1" applyFont="1" applyFill="1" applyBorder="1" applyAlignment="1" applyProtection="1">
      <alignment horizontal="center" vertical="center"/>
    </xf>
    <xf numFmtId="171" fontId="23" fillId="6" borderId="4" xfId="0" applyNumberFormat="1" applyFont="1" applyFill="1" applyBorder="1" applyAlignment="1" applyProtection="1">
      <alignment horizontal="center" vertical="center"/>
    </xf>
    <xf numFmtId="0" fontId="25" fillId="5" borderId="0" xfId="0" applyFont="1" applyFill="1" applyBorder="1" applyAlignment="1" applyProtection="1">
      <alignment horizontal="left" vertical="center" wrapText="1"/>
    </xf>
    <xf numFmtId="171" fontId="20" fillId="9" borderId="2" xfId="0" applyNumberFormat="1" applyFont="1" applyFill="1" applyBorder="1" applyAlignment="1" applyProtection="1">
      <alignment horizontal="right" vertical="center"/>
    </xf>
    <xf numFmtId="171" fontId="20" fillId="9" borderId="4" xfId="0" applyNumberFormat="1" applyFont="1" applyFill="1" applyBorder="1" applyAlignment="1" applyProtection="1">
      <alignment horizontal="right" vertical="center"/>
    </xf>
    <xf numFmtId="171" fontId="20" fillId="6" borderId="2" xfId="0" applyNumberFormat="1" applyFont="1" applyFill="1" applyBorder="1" applyAlignment="1" applyProtection="1">
      <alignment horizontal="center" vertical="center"/>
    </xf>
    <xf numFmtId="171" fontId="20" fillId="6" borderId="4" xfId="0" applyNumberFormat="1" applyFont="1" applyFill="1" applyBorder="1" applyAlignment="1" applyProtection="1">
      <alignment horizontal="center" vertical="center"/>
    </xf>
    <xf numFmtId="0" fontId="20" fillId="6" borderId="25" xfId="0" applyFont="1" applyFill="1" applyBorder="1" applyAlignment="1" applyProtection="1">
      <alignment horizontal="left" vertical="center"/>
    </xf>
    <xf numFmtId="0" fontId="20" fillId="6" borderId="26" xfId="0" applyFont="1" applyFill="1" applyBorder="1" applyAlignment="1" applyProtection="1">
      <alignment horizontal="left" vertical="center"/>
    </xf>
    <xf numFmtId="0" fontId="20" fillId="6" borderId="6" xfId="0" applyFont="1" applyFill="1" applyBorder="1" applyAlignment="1" applyProtection="1">
      <alignment horizontal="left" vertical="center"/>
    </xf>
    <xf numFmtId="171" fontId="20" fillId="6" borderId="25" xfId="0" applyNumberFormat="1" applyFont="1" applyFill="1" applyBorder="1" applyAlignment="1" applyProtection="1">
      <alignment horizontal="center" vertical="center"/>
    </xf>
    <xf numFmtId="171" fontId="20" fillId="6" borderId="6" xfId="0" applyNumberFormat="1" applyFont="1" applyFill="1" applyBorder="1" applyAlignment="1" applyProtection="1">
      <alignment horizontal="center" vertical="center"/>
    </xf>
    <xf numFmtId="0" fontId="20" fillId="5" borderId="8" xfId="0" applyFont="1" applyFill="1" applyBorder="1" applyAlignment="1" applyProtection="1">
      <alignment horizontal="center" vertical="center"/>
    </xf>
    <xf numFmtId="0" fontId="20" fillId="5" borderId="0" xfId="0" applyFont="1" applyFill="1" applyBorder="1" applyAlignment="1" applyProtection="1">
      <alignment horizontal="center" vertical="center" wrapText="1"/>
    </xf>
    <xf numFmtId="0" fontId="20" fillId="5" borderId="8" xfId="0" applyFont="1" applyFill="1" applyBorder="1" applyAlignment="1" applyProtection="1">
      <alignment horizontal="center" vertical="center" wrapText="1"/>
    </xf>
    <xf numFmtId="0" fontId="13" fillId="5" borderId="0" xfId="0" applyFont="1" applyFill="1" applyBorder="1" applyAlignment="1" applyProtection="1">
      <alignment horizontal="left" vertical="center"/>
    </xf>
    <xf numFmtId="0" fontId="20" fillId="5" borderId="36" xfId="0" applyFont="1" applyFill="1" applyBorder="1" applyAlignment="1" applyProtection="1">
      <alignment horizontal="center" vertical="center"/>
    </xf>
    <xf numFmtId="0" fontId="13" fillId="5" borderId="0" xfId="0" applyFont="1" applyFill="1" applyBorder="1" applyAlignment="1" applyProtection="1">
      <alignment horizontal="left" vertical="center" wrapText="1"/>
    </xf>
    <xf numFmtId="165" fontId="26" fillId="6" borderId="2" xfId="0" applyNumberFormat="1" applyFont="1" applyFill="1" applyBorder="1" applyAlignment="1" applyProtection="1">
      <alignment horizontal="right" vertical="center"/>
    </xf>
    <xf numFmtId="165" fontId="26" fillId="6" borderId="4" xfId="0" applyNumberFormat="1" applyFont="1" applyFill="1" applyBorder="1" applyAlignment="1" applyProtection="1">
      <alignment horizontal="right" vertical="center"/>
    </xf>
    <xf numFmtId="0" fontId="25" fillId="5" borderId="27" xfId="0" applyFont="1" applyFill="1" applyBorder="1" applyAlignment="1" applyProtection="1">
      <alignment horizontal="left" vertical="center"/>
    </xf>
    <xf numFmtId="9" fontId="23" fillId="6" borderId="2" xfId="1" applyFont="1" applyFill="1" applyBorder="1" applyAlignment="1" applyProtection="1">
      <alignment horizontal="right" vertical="center"/>
    </xf>
    <xf numFmtId="9" fontId="23" fillId="6" borderId="4" xfId="1" applyFont="1" applyFill="1" applyBorder="1" applyAlignment="1" applyProtection="1">
      <alignment horizontal="right" vertical="center"/>
    </xf>
    <xf numFmtId="0" fontId="20" fillId="6" borderId="2" xfId="0" applyFont="1" applyFill="1" applyBorder="1" applyAlignment="1" applyProtection="1">
      <alignment horizontal="left" vertical="center"/>
    </xf>
    <xf numFmtId="0" fontId="20" fillId="6" borderId="3" xfId="0" applyFont="1" applyFill="1" applyBorder="1" applyAlignment="1" applyProtection="1">
      <alignment horizontal="left" vertical="center"/>
    </xf>
    <xf numFmtId="0" fontId="20" fillId="6" borderId="4" xfId="0" applyFont="1" applyFill="1" applyBorder="1" applyAlignment="1" applyProtection="1">
      <alignment horizontal="left" vertical="center"/>
    </xf>
    <xf numFmtId="0" fontId="20" fillId="5" borderId="27" xfId="0" applyFont="1" applyFill="1" applyBorder="1" applyAlignment="1" applyProtection="1">
      <alignment horizontal="right" vertical="center"/>
    </xf>
    <xf numFmtId="0" fontId="20" fillId="5" borderId="0" xfId="0" applyFont="1" applyFill="1" applyBorder="1" applyAlignment="1" applyProtection="1">
      <alignment horizontal="right" vertical="center"/>
    </xf>
    <xf numFmtId="0" fontId="20" fillId="5" borderId="19" xfId="0" applyFont="1" applyFill="1" applyBorder="1" applyAlignment="1" applyProtection="1">
      <alignment horizontal="right" vertical="center"/>
    </xf>
    <xf numFmtId="0" fontId="23" fillId="6" borderId="2" xfId="0" applyFont="1" applyFill="1" applyBorder="1" applyAlignment="1" applyProtection="1">
      <alignment horizontal="center" vertical="center"/>
    </xf>
    <xf numFmtId="0" fontId="23" fillId="6" borderId="4" xfId="0" applyFont="1" applyFill="1" applyBorder="1" applyAlignment="1" applyProtection="1">
      <alignment horizontal="center" vertical="center"/>
    </xf>
    <xf numFmtId="170" fontId="20" fillId="6" borderId="34" xfId="0" applyNumberFormat="1" applyFont="1" applyFill="1" applyBorder="1" applyAlignment="1" applyProtection="1">
      <alignment horizontal="left" vertical="center"/>
    </xf>
    <xf numFmtId="170" fontId="20" fillId="6" borderId="39" xfId="0" applyNumberFormat="1" applyFont="1" applyFill="1" applyBorder="1" applyAlignment="1" applyProtection="1">
      <alignment horizontal="left" vertical="center"/>
    </xf>
    <xf numFmtId="170" fontId="20" fillId="6" borderId="35" xfId="0" applyNumberFormat="1" applyFont="1" applyFill="1" applyBorder="1" applyAlignment="1" applyProtection="1">
      <alignment horizontal="left" vertical="center"/>
    </xf>
    <xf numFmtId="0" fontId="22" fillId="5" borderId="0" xfId="0" applyFont="1" applyFill="1" applyBorder="1" applyAlignment="1" applyProtection="1">
      <alignment horizontal="right" vertical="center"/>
    </xf>
    <xf numFmtId="0" fontId="22" fillId="5" borderId="19" xfId="0" applyFont="1" applyFill="1" applyBorder="1" applyAlignment="1" applyProtection="1">
      <alignment horizontal="right" vertical="center"/>
    </xf>
    <xf numFmtId="170" fontId="20" fillId="6" borderId="2" xfId="0" applyNumberFormat="1" applyFont="1" applyFill="1" applyBorder="1" applyAlignment="1" applyProtection="1">
      <alignment horizontal="left" vertical="center"/>
    </xf>
    <xf numFmtId="170" fontId="20" fillId="6" borderId="3" xfId="0" applyNumberFormat="1" applyFont="1" applyFill="1" applyBorder="1" applyAlignment="1" applyProtection="1">
      <alignment horizontal="left" vertical="center"/>
    </xf>
    <xf numFmtId="170" fontId="20" fillId="6" borderId="4" xfId="0" applyNumberFormat="1" applyFont="1" applyFill="1" applyBorder="1" applyAlignment="1" applyProtection="1">
      <alignment horizontal="left" vertical="center"/>
    </xf>
    <xf numFmtId="0" fontId="25" fillId="5" borderId="0" xfId="0" applyFont="1" applyFill="1" applyBorder="1" applyAlignment="1" applyProtection="1">
      <alignment horizontal="right" vertical="top" wrapText="1"/>
    </xf>
    <xf numFmtId="0" fontId="0" fillId="4" borderId="39" xfId="0" applyFont="1" applyFill="1" applyBorder="1" applyAlignment="1" applyProtection="1">
      <alignment horizontal="center" vertical="center"/>
    </xf>
    <xf numFmtId="0" fontId="48" fillId="5" borderId="0" xfId="0" applyFont="1" applyFill="1" applyBorder="1" applyAlignment="1" applyProtection="1">
      <alignment horizontal="left" vertical="center"/>
    </xf>
    <xf numFmtId="0" fontId="49" fillId="5" borderId="0" xfId="0" applyFont="1" applyFill="1" applyBorder="1" applyAlignment="1" applyProtection="1">
      <alignment horizontal="left" vertical="center"/>
    </xf>
    <xf numFmtId="0" fontId="67" fillId="5" borderId="0" xfId="0" applyFont="1" applyFill="1" applyBorder="1" applyAlignment="1" applyProtection="1">
      <alignment horizontal="left" vertical="center"/>
    </xf>
    <xf numFmtId="0" fontId="18" fillId="19" borderId="1" xfId="0" applyFont="1" applyFill="1" applyBorder="1" applyAlignment="1" applyProtection="1">
      <alignment horizontal="center" vertical="center"/>
    </xf>
    <xf numFmtId="0" fontId="18" fillId="6" borderId="25" xfId="0" applyFont="1" applyFill="1" applyBorder="1" applyAlignment="1" applyProtection="1">
      <alignment horizontal="center" vertical="center"/>
    </xf>
    <xf numFmtId="0" fontId="18" fillId="6" borderId="6" xfId="0" applyFont="1" applyFill="1" applyBorder="1" applyAlignment="1" applyProtection="1">
      <alignment horizontal="center" vertical="center"/>
    </xf>
    <xf numFmtId="0" fontId="20" fillId="6" borderId="2" xfId="0" applyFont="1" applyFill="1" applyBorder="1" applyAlignment="1" applyProtection="1">
      <alignment horizontal="left" vertical="center" wrapText="1"/>
    </xf>
    <xf numFmtId="0" fontId="20" fillId="6" borderId="3" xfId="0" applyFont="1" applyFill="1" applyBorder="1" applyAlignment="1" applyProtection="1">
      <alignment horizontal="left" vertical="center" wrapText="1"/>
    </xf>
    <xf numFmtId="0" fontId="20" fillId="6" borderId="4" xfId="0" applyFont="1" applyFill="1" applyBorder="1" applyAlignment="1" applyProtection="1">
      <alignment horizontal="left" vertical="center" wrapText="1"/>
    </xf>
    <xf numFmtId="0" fontId="20" fillId="5" borderId="18" xfId="0" applyFont="1" applyFill="1" applyBorder="1" applyAlignment="1" applyProtection="1">
      <alignment horizontal="center"/>
    </xf>
    <xf numFmtId="0" fontId="20" fillId="5" borderId="8" xfId="0" applyFont="1" applyFill="1" applyBorder="1" applyAlignment="1" applyProtection="1">
      <alignment horizontal="center"/>
    </xf>
    <xf numFmtId="0" fontId="5" fillId="5" borderId="36" xfId="0" applyFont="1" applyFill="1" applyBorder="1" applyAlignment="1" applyProtection="1">
      <alignment horizontal="center" vertical="center"/>
    </xf>
    <xf numFmtId="0" fontId="23" fillId="5" borderId="36" xfId="0" applyFont="1" applyFill="1" applyBorder="1" applyAlignment="1" applyProtection="1">
      <alignment horizontal="center" vertical="center"/>
    </xf>
    <xf numFmtId="0" fontId="25" fillId="5" borderId="27" xfId="0" applyFont="1" applyFill="1" applyBorder="1" applyAlignment="1" applyProtection="1">
      <alignment horizontal="left" vertical="center" wrapText="1"/>
    </xf>
    <xf numFmtId="171" fontId="20" fillId="6" borderId="33" xfId="0" applyNumberFormat="1" applyFont="1" applyFill="1" applyBorder="1" applyAlignment="1" applyProtection="1">
      <alignment horizontal="center" vertical="center"/>
    </xf>
    <xf numFmtId="171" fontId="20" fillId="6" borderId="38" xfId="0" applyNumberFormat="1" applyFont="1" applyFill="1" applyBorder="1" applyAlignment="1" applyProtection="1">
      <alignment horizontal="center" vertical="center"/>
    </xf>
    <xf numFmtId="0" fontId="20" fillId="5" borderId="7" xfId="0" applyFont="1" applyFill="1" applyBorder="1" applyAlignment="1" applyProtection="1">
      <alignment horizontal="center" vertical="center"/>
    </xf>
    <xf numFmtId="0" fontId="67" fillId="5" borderId="8" xfId="0" applyFont="1" applyFill="1" applyBorder="1" applyAlignment="1" applyProtection="1">
      <alignment horizontal="left" vertical="center"/>
    </xf>
    <xf numFmtId="0" fontId="18" fillId="19" borderId="25" xfId="0" applyFont="1" applyFill="1" applyBorder="1" applyAlignment="1" applyProtection="1">
      <alignment horizontal="center" vertical="center"/>
    </xf>
    <xf numFmtId="0" fontId="18" fillId="19" borderId="6" xfId="0" applyFont="1" applyFill="1" applyBorder="1" applyAlignment="1" applyProtection="1">
      <alignment horizontal="center" vertical="center"/>
    </xf>
    <xf numFmtId="0" fontId="4" fillId="5" borderId="21" xfId="0" applyFont="1" applyFill="1" applyBorder="1" applyAlignment="1" applyProtection="1">
      <alignment horizontal="right" vertical="center"/>
    </xf>
    <xf numFmtId="0" fontId="4" fillId="5" borderId="31" xfId="0" applyFont="1" applyFill="1" applyBorder="1" applyAlignment="1" applyProtection="1">
      <alignment horizontal="right" vertical="center"/>
    </xf>
    <xf numFmtId="171" fontId="4" fillId="6" borderId="29" xfId="0" applyNumberFormat="1" applyFont="1" applyFill="1" applyBorder="1" applyAlignment="1" applyProtection="1">
      <alignment horizontal="center" vertical="center"/>
    </xf>
    <xf numFmtId="0" fontId="4" fillId="6" borderId="30" xfId="0" applyFont="1" applyFill="1" applyBorder="1" applyAlignment="1" applyProtection="1">
      <alignment horizontal="center" vertical="center"/>
    </xf>
    <xf numFmtId="173" fontId="4" fillId="6" borderId="1" xfId="0" applyNumberFormat="1" applyFont="1" applyFill="1" applyBorder="1" applyAlignment="1" applyProtection="1">
      <alignment horizontal="center" vertical="center"/>
    </xf>
    <xf numFmtId="0" fontId="4" fillId="5" borderId="44" xfId="0" applyFont="1" applyFill="1" applyBorder="1" applyAlignment="1" applyProtection="1">
      <alignment horizontal="left" vertical="center"/>
    </xf>
    <xf numFmtId="0" fontId="0" fillId="4" borderId="39" xfId="0" applyFont="1" applyFill="1" applyBorder="1" applyAlignment="1">
      <alignment horizontal="center" vertical="center"/>
    </xf>
    <xf numFmtId="173" fontId="7" fillId="6" borderId="2" xfId="2" applyNumberFormat="1" applyFont="1" applyFill="1" applyBorder="1" applyAlignment="1" applyProtection="1">
      <alignment horizontal="left" vertical="center" wrapText="1"/>
    </xf>
    <xf numFmtId="173" fontId="7" fillId="6" borderId="4" xfId="2" applyNumberFormat="1" applyFont="1" applyFill="1" applyBorder="1" applyAlignment="1" applyProtection="1">
      <alignment horizontal="left" vertical="center" wrapText="1"/>
    </xf>
    <xf numFmtId="0" fontId="80" fillId="5" borderId="22" xfId="0" applyFont="1" applyFill="1" applyBorder="1" applyAlignment="1" applyProtection="1">
      <alignment horizontal="center" vertical="center" wrapText="1"/>
    </xf>
    <xf numFmtId="0" fontId="5" fillId="5" borderId="36" xfId="0" applyFont="1" applyFill="1" applyBorder="1" applyAlignment="1" applyProtection="1">
      <alignment horizontal="center"/>
    </xf>
    <xf numFmtId="1" fontId="23" fillId="9" borderId="2" xfId="0" applyNumberFormat="1" applyFont="1" applyFill="1" applyBorder="1" applyAlignment="1" applyProtection="1">
      <alignment horizontal="right" vertical="center"/>
    </xf>
    <xf numFmtId="1" fontId="23" fillId="9" borderId="4" xfId="0" applyNumberFormat="1" applyFont="1" applyFill="1" applyBorder="1" applyAlignment="1" applyProtection="1">
      <alignment horizontal="right" vertical="center"/>
    </xf>
    <xf numFmtId="0" fontId="23" fillId="9" borderId="4" xfId="0" applyNumberFormat="1" applyFont="1" applyFill="1" applyBorder="1" applyAlignment="1" applyProtection="1">
      <alignment horizontal="right" vertical="center"/>
    </xf>
    <xf numFmtId="0" fontId="23" fillId="9" borderId="2" xfId="0" applyFont="1" applyFill="1" applyBorder="1" applyAlignment="1" applyProtection="1">
      <alignment horizontal="center" vertical="center"/>
    </xf>
    <xf numFmtId="0" fontId="23" fillId="9" borderId="4" xfId="0" applyFont="1" applyFill="1" applyBorder="1" applyAlignment="1" applyProtection="1">
      <alignment horizontal="center" vertical="center"/>
    </xf>
  </cellXfs>
  <cellStyles count="6">
    <cellStyle name="% 2" xfId="4" xr:uid="{00000000-0005-0000-0000-000000000000}"/>
    <cellStyle name="Comma" xfId="3" builtinId="3"/>
    <cellStyle name="Currency" xfId="2" builtinId="4"/>
    <cellStyle name="Hyperlink" xfId="5" builtinId="8"/>
    <cellStyle name="Normal" xfId="0" builtinId="0"/>
    <cellStyle name="Per cent" xfId="1" builtinId="5"/>
  </cellStyles>
  <dxfs count="57">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lightUp"/>
      </fill>
    </dxf>
    <dxf>
      <fill>
        <patternFill patternType="lightUp"/>
      </fill>
    </dxf>
    <dxf>
      <font>
        <b/>
        <i val="0"/>
        <color rgb="FFFF0000"/>
      </font>
    </dxf>
    <dxf>
      <font>
        <b/>
        <i val="0"/>
      </font>
    </dxf>
    <dxf>
      <fill>
        <patternFill patternType="darkUp"/>
      </fill>
    </dxf>
    <dxf>
      <fill>
        <patternFill patternType="darkUp"/>
      </fill>
    </dxf>
    <dxf>
      <fill>
        <patternFill patternType="darkUp"/>
      </fill>
    </dxf>
    <dxf>
      <font>
        <b/>
        <i val="0"/>
        <color rgb="FFFF0000"/>
      </font>
    </dxf>
    <dxf>
      <font>
        <b/>
        <i val="0"/>
        <color theme="1"/>
      </font>
    </dxf>
    <dxf>
      <font>
        <b/>
        <i val="0"/>
        <color rgb="FFFF0000"/>
      </font>
    </dxf>
    <dxf>
      <fill>
        <patternFill patternType="darkUp"/>
      </fill>
    </dxf>
    <dxf>
      <fill>
        <patternFill patternType="darkUp"/>
      </fill>
    </dxf>
    <dxf>
      <fill>
        <patternFill patternType="darkUp"/>
      </fill>
    </dxf>
    <dxf>
      <fill>
        <patternFill patternType="darkUp"/>
      </fill>
    </dxf>
  </dxfs>
  <tableStyles count="0" defaultTableStyle="TableStyleMedium2" defaultPivotStyle="PivotStyleLight16"/>
  <colors>
    <mruColors>
      <color rgb="FFCCFFFF"/>
      <color rgb="FFFFFF66"/>
      <color rgb="FFFF9933"/>
      <color rgb="FF66FFCC"/>
      <color rgb="FF00AA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Defra">
      <a:dk1>
        <a:sysClr val="windowText" lastClr="000000"/>
      </a:dk1>
      <a:lt1>
        <a:sysClr val="window" lastClr="FFFFFF"/>
      </a:lt1>
      <a:dk2>
        <a:srgbClr val="008631"/>
      </a:dk2>
      <a:lt2>
        <a:srgbClr val="FFFFFF"/>
      </a:lt2>
      <a:accent1>
        <a:srgbClr val="77BC1F"/>
      </a:accent1>
      <a:accent2>
        <a:srgbClr val="FFCC00"/>
      </a:accent2>
      <a:accent3>
        <a:srgbClr val="D9262E"/>
      </a:accent3>
      <a:accent4>
        <a:srgbClr val="6D3075"/>
      </a:accent4>
      <a:accent5>
        <a:srgbClr val="FF9E16"/>
      </a:accent5>
      <a:accent6>
        <a:srgbClr val="007CBA"/>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statistics/english-indices-of-deprivation-2019" TargetMode="External"/><Relationship Id="rId1" Type="http://schemas.openxmlformats.org/officeDocument/2006/relationships/hyperlink" Target="https://www.mcm-online.co.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www.gov.uk/government/publications/the-green-book-appraisal-and-evaluation-in-central-governent"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59999389629810485"/>
  </sheetPr>
  <dimension ref="A1:T37"/>
  <sheetViews>
    <sheetView view="pageBreakPreview" zoomScale="60" zoomScaleNormal="60" zoomScalePageLayoutView="60" workbookViewId="0">
      <selection activeCell="B2" sqref="B2"/>
    </sheetView>
  </sheetViews>
  <sheetFormatPr baseColWidth="10" defaultColWidth="8.85546875" defaultRowHeight="16" x14ac:dyDescent="0.2"/>
  <cols>
    <col min="1" max="1" width="1.85546875" style="38" customWidth="1"/>
    <col min="2" max="2" width="20.85546875" style="38" bestFit="1" customWidth="1"/>
    <col min="3" max="3" width="79.140625" style="38" customWidth="1"/>
    <col min="4" max="4" width="2.85546875" style="38" customWidth="1"/>
    <col min="5" max="5" width="8.85546875" style="85"/>
    <col min="6" max="6" width="30.85546875" style="38" customWidth="1"/>
    <col min="7" max="8" width="11.140625" style="38" customWidth="1"/>
    <col min="9" max="9" width="11.42578125" style="38" customWidth="1"/>
    <col min="10" max="10" width="12.5703125" style="38" customWidth="1"/>
    <col min="11" max="11" width="8.85546875" style="38"/>
    <col min="12" max="12" width="2.85546875" style="38" customWidth="1"/>
    <col min="13" max="16384" width="8.85546875" style="38"/>
  </cols>
  <sheetData>
    <row r="1" spans="1:20" ht="7.5" customHeight="1" x14ac:dyDescent="0.2">
      <c r="A1" s="268"/>
      <c r="B1" s="268"/>
      <c r="C1" s="268"/>
      <c r="D1" s="268"/>
      <c r="E1" s="271"/>
      <c r="F1" s="268"/>
      <c r="G1" s="268"/>
      <c r="H1" s="268"/>
      <c r="I1" s="268"/>
      <c r="J1" s="268"/>
      <c r="K1" s="268"/>
      <c r="L1" s="268"/>
    </row>
    <row r="2" spans="1:20" ht="23" x14ac:dyDescent="0.2">
      <c r="A2" s="269"/>
      <c r="B2" s="272" t="s">
        <v>7</v>
      </c>
      <c r="C2" s="269"/>
      <c r="D2" s="269"/>
      <c r="E2" s="273"/>
      <c r="F2" s="272" t="s">
        <v>174</v>
      </c>
      <c r="G2" s="269"/>
      <c r="H2" s="269"/>
      <c r="I2" s="269"/>
      <c r="J2" s="269"/>
      <c r="K2" s="269"/>
      <c r="L2" s="269"/>
    </row>
    <row r="3" spans="1:20" ht="7.5" customHeight="1" thickBot="1" x14ac:dyDescent="0.25">
      <c r="A3" s="270"/>
      <c r="B3" s="270"/>
      <c r="C3" s="270"/>
      <c r="D3" s="270"/>
      <c r="E3" s="274"/>
      <c r="F3" s="270"/>
      <c r="G3" s="270"/>
      <c r="H3" s="270"/>
      <c r="I3" s="270"/>
      <c r="J3" s="270"/>
      <c r="K3" s="270"/>
      <c r="L3" s="270"/>
    </row>
    <row r="4" spans="1:20" ht="24.75" customHeight="1" thickBot="1" x14ac:dyDescent="0.25">
      <c r="A4" s="268"/>
      <c r="B4" s="99" t="s">
        <v>3</v>
      </c>
      <c r="C4" s="342" t="s">
        <v>365</v>
      </c>
      <c r="D4" s="275"/>
      <c r="E4" s="491">
        <v>1</v>
      </c>
      <c r="F4" s="492" t="s">
        <v>363</v>
      </c>
      <c r="G4" s="492"/>
      <c r="H4" s="492"/>
      <c r="I4" s="492"/>
      <c r="J4" s="492"/>
      <c r="K4" s="492"/>
      <c r="L4" s="268"/>
    </row>
    <row r="5" spans="1:20" ht="24.75" customHeight="1" x14ac:dyDescent="0.2">
      <c r="A5" s="268"/>
      <c r="B5" s="485" t="s">
        <v>5</v>
      </c>
      <c r="C5" s="100" t="s">
        <v>244</v>
      </c>
      <c r="D5" s="276"/>
      <c r="E5" s="491"/>
      <c r="F5" s="492"/>
      <c r="G5" s="492"/>
      <c r="H5" s="492"/>
      <c r="I5" s="492"/>
      <c r="J5" s="492"/>
      <c r="K5" s="492"/>
      <c r="L5" s="268"/>
    </row>
    <row r="6" spans="1:20" ht="24.75" customHeight="1" x14ac:dyDescent="0.2">
      <c r="A6" s="268"/>
      <c r="B6" s="486"/>
      <c r="C6" s="101" t="s">
        <v>242</v>
      </c>
      <c r="D6" s="276"/>
      <c r="E6" s="491"/>
      <c r="F6" s="492"/>
      <c r="G6" s="492"/>
      <c r="H6" s="492"/>
      <c r="I6" s="492"/>
      <c r="J6" s="492"/>
      <c r="K6" s="492"/>
      <c r="L6" s="268"/>
    </row>
    <row r="7" spans="1:20" ht="24.75" customHeight="1" x14ac:dyDescent="0.2">
      <c r="A7" s="268"/>
      <c r="B7" s="486"/>
      <c r="C7" s="101" t="s">
        <v>243</v>
      </c>
      <c r="D7" s="276"/>
      <c r="E7" s="271"/>
      <c r="F7" s="268"/>
      <c r="G7" s="268"/>
      <c r="H7" s="268"/>
      <c r="I7" s="268"/>
      <c r="J7" s="268"/>
      <c r="K7" s="268"/>
      <c r="L7" s="268"/>
      <c r="T7" s="283"/>
    </row>
    <row r="8" spans="1:20" ht="24.75" customHeight="1" x14ac:dyDescent="0.2">
      <c r="A8" s="268"/>
      <c r="B8" s="486"/>
      <c r="C8" s="488" t="s">
        <v>357</v>
      </c>
      <c r="D8" s="277"/>
      <c r="E8" s="497">
        <v>2</v>
      </c>
      <c r="F8" s="492" t="s">
        <v>362</v>
      </c>
      <c r="G8" s="492"/>
      <c r="H8" s="492"/>
      <c r="I8" s="492"/>
      <c r="J8" s="492"/>
      <c r="K8" s="492"/>
      <c r="L8" s="268"/>
      <c r="T8" s="283"/>
    </row>
    <row r="9" spans="1:20" ht="24.75" customHeight="1" x14ac:dyDescent="0.2">
      <c r="A9" s="268"/>
      <c r="B9" s="486"/>
      <c r="C9" s="489"/>
      <c r="D9" s="277"/>
      <c r="E9" s="497"/>
      <c r="F9" s="492"/>
      <c r="G9" s="492"/>
      <c r="H9" s="492"/>
      <c r="I9" s="492"/>
      <c r="J9" s="492"/>
      <c r="K9" s="492"/>
      <c r="L9" s="268"/>
      <c r="T9" s="283"/>
    </row>
    <row r="10" spans="1:20" ht="24.75" customHeight="1" thickBot="1" x14ac:dyDescent="0.25">
      <c r="A10" s="268"/>
      <c r="B10" s="487"/>
      <c r="C10" s="490"/>
      <c r="D10" s="277"/>
      <c r="E10" s="497"/>
      <c r="F10" s="492"/>
      <c r="G10" s="492"/>
      <c r="H10" s="492"/>
      <c r="I10" s="492"/>
      <c r="J10" s="492"/>
      <c r="K10" s="492"/>
      <c r="L10" s="268"/>
      <c r="T10" s="283"/>
    </row>
    <row r="11" spans="1:20" ht="24.75" customHeight="1" x14ac:dyDescent="0.2">
      <c r="A11" s="268"/>
      <c r="B11" s="493" t="s">
        <v>4</v>
      </c>
      <c r="C11" s="495" t="s">
        <v>9</v>
      </c>
      <c r="D11" s="277"/>
      <c r="E11" s="271"/>
      <c r="F11" s="280"/>
      <c r="G11" s="280"/>
      <c r="H11" s="280"/>
      <c r="I11" s="280"/>
      <c r="J11" s="280"/>
      <c r="K11" s="280"/>
      <c r="L11" s="268"/>
      <c r="T11" s="283"/>
    </row>
    <row r="12" spans="1:20" ht="24.75" customHeight="1" thickBot="1" x14ac:dyDescent="0.25">
      <c r="A12" s="268"/>
      <c r="B12" s="494"/>
      <c r="C12" s="496"/>
      <c r="D12" s="275"/>
      <c r="E12" s="497">
        <v>3</v>
      </c>
      <c r="F12" s="498" t="s">
        <v>313</v>
      </c>
      <c r="G12" s="498"/>
      <c r="H12" s="498"/>
      <c r="I12" s="498"/>
      <c r="J12" s="498"/>
      <c r="K12" s="498"/>
      <c r="L12" s="268"/>
      <c r="T12" s="283"/>
    </row>
    <row r="13" spans="1:20" ht="24.75" customHeight="1" thickBot="1" x14ac:dyDescent="0.25">
      <c r="A13" s="268"/>
      <c r="B13" s="95" t="s">
        <v>6</v>
      </c>
      <c r="C13" s="96" t="s">
        <v>154</v>
      </c>
      <c r="D13" s="275"/>
      <c r="E13" s="497"/>
      <c r="F13" s="498"/>
      <c r="G13" s="498"/>
      <c r="H13" s="498"/>
      <c r="I13" s="498"/>
      <c r="J13" s="498"/>
      <c r="K13" s="498"/>
      <c r="L13" s="268"/>
      <c r="T13" s="283"/>
    </row>
    <row r="14" spans="1:20" ht="24.75" customHeight="1" thickBot="1" x14ac:dyDescent="0.25">
      <c r="A14" s="268"/>
      <c r="B14" s="95" t="s">
        <v>1</v>
      </c>
      <c r="C14" s="96" t="s">
        <v>154</v>
      </c>
      <c r="D14" s="275"/>
      <c r="E14" s="497"/>
      <c r="F14" s="498"/>
      <c r="G14" s="498"/>
      <c r="H14" s="498"/>
      <c r="I14" s="498"/>
      <c r="J14" s="498"/>
      <c r="K14" s="498"/>
      <c r="L14" s="268"/>
      <c r="T14" s="283"/>
    </row>
    <row r="15" spans="1:20" ht="24.75" customHeight="1" x14ac:dyDescent="0.2">
      <c r="A15" s="268"/>
      <c r="B15" s="470" t="s">
        <v>0</v>
      </c>
      <c r="C15" s="343" t="s">
        <v>358</v>
      </c>
      <c r="D15" s="278"/>
      <c r="E15" s="271"/>
      <c r="F15" s="281"/>
      <c r="G15" s="281"/>
      <c r="H15" s="281"/>
      <c r="I15" s="281"/>
      <c r="J15" s="281"/>
      <c r="K15" s="281"/>
      <c r="L15" s="268"/>
      <c r="T15" s="283"/>
    </row>
    <row r="16" spans="1:20" ht="24.75" customHeight="1" x14ac:dyDescent="0.2">
      <c r="A16" s="268"/>
      <c r="B16" s="471"/>
      <c r="C16" s="97" t="s">
        <v>240</v>
      </c>
      <c r="D16" s="278"/>
      <c r="E16" s="482">
        <v>5</v>
      </c>
      <c r="F16" s="473" t="s">
        <v>245</v>
      </c>
      <c r="G16" s="474"/>
      <c r="H16" s="474"/>
      <c r="I16" s="474"/>
      <c r="J16" s="474"/>
      <c r="K16" s="475"/>
      <c r="L16" s="268"/>
    </row>
    <row r="17" spans="1:13" ht="24.75" customHeight="1" x14ac:dyDescent="0.2">
      <c r="A17" s="268"/>
      <c r="B17" s="471"/>
      <c r="C17" s="339" t="s">
        <v>359</v>
      </c>
      <c r="D17" s="278"/>
      <c r="E17" s="483"/>
      <c r="F17" s="466" t="s">
        <v>361</v>
      </c>
      <c r="G17" s="467"/>
      <c r="H17" s="467"/>
      <c r="I17" s="467"/>
      <c r="J17" s="467"/>
      <c r="K17" s="468"/>
      <c r="L17" s="268"/>
    </row>
    <row r="18" spans="1:13" ht="24.75" customHeight="1" x14ac:dyDescent="0.2">
      <c r="A18" s="268"/>
      <c r="B18" s="471"/>
      <c r="C18" s="339" t="s">
        <v>360</v>
      </c>
      <c r="D18" s="278"/>
      <c r="E18" s="483"/>
      <c r="F18" s="466"/>
      <c r="G18" s="467"/>
      <c r="H18" s="467"/>
      <c r="I18" s="467"/>
      <c r="J18" s="467"/>
      <c r="K18" s="468"/>
      <c r="L18" s="268"/>
      <c r="M18" s="38" t="s">
        <v>397</v>
      </c>
    </row>
    <row r="19" spans="1:13" ht="24.75" customHeight="1" thickBot="1" x14ac:dyDescent="0.25">
      <c r="A19" s="268"/>
      <c r="B19" s="472"/>
      <c r="C19" s="98" t="s">
        <v>241</v>
      </c>
      <c r="D19" s="275"/>
      <c r="E19" s="483"/>
      <c r="F19" s="466" t="s">
        <v>398</v>
      </c>
      <c r="G19" s="467"/>
      <c r="H19" s="467"/>
      <c r="I19" s="467"/>
      <c r="J19" s="467"/>
      <c r="K19" s="468"/>
      <c r="L19" s="268"/>
      <c r="M19" s="38" t="s">
        <v>397</v>
      </c>
    </row>
    <row r="20" spans="1:13" ht="24.75" customHeight="1" thickBot="1" x14ac:dyDescent="0.25">
      <c r="A20" s="268"/>
      <c r="B20" s="95" t="s">
        <v>2</v>
      </c>
      <c r="C20" s="113" t="s">
        <v>155</v>
      </c>
      <c r="D20" s="279"/>
      <c r="E20" s="483"/>
      <c r="F20" s="479" t="s">
        <v>246</v>
      </c>
      <c r="G20" s="480"/>
      <c r="H20" s="480"/>
      <c r="I20" s="480"/>
      <c r="J20" s="480"/>
      <c r="K20" s="481"/>
      <c r="L20" s="268"/>
      <c r="M20" s="38" t="s">
        <v>397</v>
      </c>
    </row>
    <row r="21" spans="1:13" ht="24.75" customHeight="1" x14ac:dyDescent="0.2">
      <c r="A21" s="268"/>
      <c r="B21" s="469" t="s">
        <v>8</v>
      </c>
      <c r="C21" s="469"/>
      <c r="D21" s="268"/>
      <c r="E21" s="483"/>
      <c r="F21" s="460" t="s">
        <v>366</v>
      </c>
      <c r="G21" s="461"/>
      <c r="H21" s="461"/>
      <c r="I21" s="461"/>
      <c r="J21" s="461"/>
      <c r="K21" s="462"/>
      <c r="L21" s="268"/>
    </row>
    <row r="22" spans="1:13" ht="24.75" customHeight="1" x14ac:dyDescent="0.2">
      <c r="A22" s="268"/>
      <c r="B22" s="469"/>
      <c r="C22" s="469"/>
      <c r="D22" s="268"/>
      <c r="E22" s="483"/>
      <c r="F22" s="476" t="s">
        <v>323</v>
      </c>
      <c r="G22" s="477"/>
      <c r="H22" s="477"/>
      <c r="I22" s="477"/>
      <c r="J22" s="477"/>
      <c r="K22" s="478"/>
      <c r="L22" s="268"/>
    </row>
    <row r="23" spans="1:13" ht="24.75" customHeight="1" x14ac:dyDescent="0.2">
      <c r="A23" s="268"/>
      <c r="B23" s="268"/>
      <c r="C23" s="268"/>
      <c r="D23" s="268"/>
      <c r="E23" s="484"/>
      <c r="F23" s="463" t="s">
        <v>324</v>
      </c>
      <c r="G23" s="464"/>
      <c r="H23" s="464"/>
      <c r="I23" s="464"/>
      <c r="J23" s="464"/>
      <c r="K23" s="465"/>
      <c r="L23" s="268"/>
      <c r="M23" s="38" t="s">
        <v>397</v>
      </c>
    </row>
    <row r="24" spans="1:13" ht="24.75" customHeight="1" x14ac:dyDescent="0.2">
      <c r="A24" s="268"/>
      <c r="B24" s="268"/>
      <c r="C24" s="268"/>
      <c r="D24" s="268"/>
      <c r="E24" s="282"/>
      <c r="F24" s="278"/>
      <c r="G24" s="278"/>
      <c r="H24" s="278"/>
      <c r="I24" s="278"/>
      <c r="J24" s="278"/>
      <c r="K24" s="278"/>
      <c r="L24" s="268"/>
    </row>
    <row r="25" spans="1:13" ht="24.75" customHeight="1" x14ac:dyDescent="0.2">
      <c r="A25" s="268"/>
      <c r="B25" s="445" t="s">
        <v>287</v>
      </c>
      <c r="C25" s="454" t="s">
        <v>364</v>
      </c>
      <c r="D25" s="455"/>
      <c r="E25" s="455"/>
      <c r="F25" s="455"/>
      <c r="G25" s="455"/>
      <c r="H25" s="455"/>
      <c r="I25" s="455"/>
      <c r="J25" s="455"/>
      <c r="K25" s="456"/>
      <c r="L25" s="268"/>
    </row>
    <row r="26" spans="1:13" x14ac:dyDescent="0.2">
      <c r="A26" s="268"/>
      <c r="B26" s="446"/>
      <c r="C26" s="457"/>
      <c r="D26" s="458"/>
      <c r="E26" s="458"/>
      <c r="F26" s="458"/>
      <c r="G26" s="458"/>
      <c r="H26" s="458"/>
      <c r="I26" s="458"/>
      <c r="J26" s="458"/>
      <c r="K26" s="459"/>
      <c r="L26" s="268"/>
    </row>
    <row r="27" spans="1:13" ht="24.75" customHeight="1" x14ac:dyDescent="0.2">
      <c r="A27" s="268"/>
      <c r="B27" s="446"/>
      <c r="C27" s="451"/>
      <c r="D27" s="452"/>
      <c r="E27" s="452"/>
      <c r="F27" s="452"/>
      <c r="G27" s="452"/>
      <c r="H27" s="452"/>
      <c r="I27" s="452"/>
      <c r="J27" s="452"/>
      <c r="K27" s="453"/>
      <c r="L27" s="268"/>
    </row>
    <row r="28" spans="1:13" ht="24.75" customHeight="1" x14ac:dyDescent="0.2">
      <c r="A28" s="268"/>
      <c r="B28" s="446"/>
      <c r="C28" s="451"/>
      <c r="D28" s="452"/>
      <c r="E28" s="452"/>
      <c r="F28" s="452"/>
      <c r="G28" s="452"/>
      <c r="H28" s="452"/>
      <c r="I28" s="452"/>
      <c r="J28" s="452"/>
      <c r="K28" s="453"/>
      <c r="L28" s="268"/>
    </row>
    <row r="29" spans="1:13" ht="24.75" customHeight="1" x14ac:dyDescent="0.2">
      <c r="A29" s="268"/>
      <c r="B29" s="446"/>
      <c r="C29" s="451"/>
      <c r="D29" s="452"/>
      <c r="E29" s="452"/>
      <c r="F29" s="452"/>
      <c r="G29" s="452"/>
      <c r="H29" s="452"/>
      <c r="I29" s="452"/>
      <c r="J29" s="452"/>
      <c r="K29" s="453"/>
      <c r="L29" s="268"/>
    </row>
    <row r="30" spans="1:13" ht="24.75" customHeight="1" x14ac:dyDescent="0.2">
      <c r="A30" s="268"/>
      <c r="B30" s="446"/>
      <c r="C30" s="451"/>
      <c r="D30" s="452"/>
      <c r="E30" s="452"/>
      <c r="F30" s="452"/>
      <c r="G30" s="452"/>
      <c r="H30" s="452"/>
      <c r="I30" s="452"/>
      <c r="J30" s="452"/>
      <c r="K30" s="453"/>
      <c r="L30" s="268"/>
    </row>
    <row r="31" spans="1:13" ht="24.75" customHeight="1" x14ac:dyDescent="0.2">
      <c r="A31" s="268"/>
      <c r="B31" s="446"/>
      <c r="C31" s="451"/>
      <c r="D31" s="452"/>
      <c r="E31" s="452"/>
      <c r="F31" s="452"/>
      <c r="G31" s="452"/>
      <c r="H31" s="452"/>
      <c r="I31" s="452"/>
      <c r="J31" s="452"/>
      <c r="K31" s="453"/>
      <c r="L31" s="268"/>
    </row>
    <row r="32" spans="1:13" ht="24.75" customHeight="1" x14ac:dyDescent="0.2">
      <c r="A32" s="268"/>
      <c r="B32" s="446"/>
      <c r="C32" s="451"/>
      <c r="D32" s="452"/>
      <c r="E32" s="452"/>
      <c r="F32" s="452"/>
      <c r="G32" s="452"/>
      <c r="H32" s="452"/>
      <c r="I32" s="452"/>
      <c r="J32" s="452"/>
      <c r="K32" s="453"/>
      <c r="L32" s="268"/>
    </row>
    <row r="33" spans="1:12" ht="24.75" customHeight="1" x14ac:dyDescent="0.2">
      <c r="A33" s="268"/>
      <c r="B33" s="446"/>
      <c r="C33" s="451"/>
      <c r="D33" s="452"/>
      <c r="E33" s="452"/>
      <c r="F33" s="452"/>
      <c r="G33" s="452"/>
      <c r="H33" s="452"/>
      <c r="I33" s="452"/>
      <c r="J33" s="452"/>
      <c r="K33" s="453"/>
      <c r="L33" s="268"/>
    </row>
    <row r="34" spans="1:12" ht="24.75" customHeight="1" x14ac:dyDescent="0.2">
      <c r="A34" s="268"/>
      <c r="B34" s="446"/>
      <c r="C34" s="451"/>
      <c r="D34" s="452"/>
      <c r="E34" s="452"/>
      <c r="F34" s="452"/>
      <c r="G34" s="452"/>
      <c r="H34" s="452"/>
      <c r="I34" s="452"/>
      <c r="J34" s="452"/>
      <c r="K34" s="453"/>
      <c r="L34" s="268"/>
    </row>
    <row r="35" spans="1:12" ht="24.75" customHeight="1" x14ac:dyDescent="0.2">
      <c r="A35" s="268"/>
      <c r="B35" s="447"/>
      <c r="C35" s="448"/>
      <c r="D35" s="449"/>
      <c r="E35" s="449"/>
      <c r="F35" s="449"/>
      <c r="G35" s="449"/>
      <c r="H35" s="449"/>
      <c r="I35" s="449"/>
      <c r="J35" s="449"/>
      <c r="K35" s="450"/>
      <c r="L35" s="268"/>
    </row>
    <row r="36" spans="1:12" ht="11.25" customHeight="1" x14ac:dyDescent="0.2">
      <c r="A36" s="268"/>
      <c r="B36" s="268"/>
      <c r="C36" s="268"/>
      <c r="D36" s="268"/>
      <c r="E36" s="271"/>
      <c r="F36" s="268"/>
      <c r="G36" s="268"/>
      <c r="H36" s="268"/>
      <c r="I36" s="268"/>
      <c r="J36" s="268"/>
      <c r="K36" s="268"/>
      <c r="L36" s="268"/>
    </row>
    <row r="37" spans="1:12" ht="24.75" customHeight="1" x14ac:dyDescent="0.2"/>
  </sheetData>
  <sheetProtection password="B0C5" sheet="1" objects="1" scenarios="1"/>
  <mergeCells count="31">
    <mergeCell ref="B5:B10"/>
    <mergeCell ref="C8:C10"/>
    <mergeCell ref="E4:E6"/>
    <mergeCell ref="F4:K6"/>
    <mergeCell ref="B11:B12"/>
    <mergeCell ref="C11:C12"/>
    <mergeCell ref="F8:K10"/>
    <mergeCell ref="E8:E10"/>
    <mergeCell ref="F12:K14"/>
    <mergeCell ref="E12:E14"/>
    <mergeCell ref="F21:K21"/>
    <mergeCell ref="F23:K23"/>
    <mergeCell ref="F17:K18"/>
    <mergeCell ref="B21:C22"/>
    <mergeCell ref="B15:B19"/>
    <mergeCell ref="F16:K16"/>
    <mergeCell ref="F22:K22"/>
    <mergeCell ref="F19:K19"/>
    <mergeCell ref="F20:K20"/>
    <mergeCell ref="E16:E23"/>
    <mergeCell ref="B25:B35"/>
    <mergeCell ref="C35:K35"/>
    <mergeCell ref="C34:K34"/>
    <mergeCell ref="C33:K33"/>
    <mergeCell ref="C32:K32"/>
    <mergeCell ref="C31:K31"/>
    <mergeCell ref="C30:K30"/>
    <mergeCell ref="C29:K29"/>
    <mergeCell ref="C28:K28"/>
    <mergeCell ref="C27:K27"/>
    <mergeCell ref="C25:K26"/>
  </mergeCells>
  <hyperlinks>
    <hyperlink ref="F21:K21" r:id="rId1" display="Multi-coloured manual" xr:uid="{00000000-0004-0000-0000-000000000000}"/>
    <hyperlink ref="F22:K22" r:id="rId2" display="English indices of deprivation" xr:uid="{00000000-0004-0000-0000-000001000000}"/>
  </hyperlinks>
  <pageMargins left="0.7" right="0.7" top="0.75" bottom="0.75" header="0.3" footer="0.3"/>
  <pageSetup paperSize="9" scale="51" orientation="landscape" r:id="rId3"/>
  <headerFooter>
    <oddFooter>&amp;CUncontrolled when printed: &amp;D |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calculator'!L100</f>
        <v>Sensitivity Analysis: SA5: Duration of benefits - Option choice is optimistic</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440"/>
      <c r="U10" s="77"/>
      <c r="V10" s="77"/>
    </row>
    <row r="11" spans="1:22" s="1" customFormat="1" ht="18.75" customHeight="1" thickBot="1" x14ac:dyDescent="0.25">
      <c r="A11" s="4"/>
      <c r="B11" s="970" t="s">
        <v>333</v>
      </c>
      <c r="C11" s="988"/>
      <c r="D11" s="1034" t="str">
        <f>'PF calculator'!D11</f>
        <v>Internal Drainage Board</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0</v>
      </c>
      <c r="P28" s="1009"/>
      <c r="Q28" s="1010" t="s">
        <v>102</v>
      </c>
      <c r="R28" s="1010"/>
      <c r="S28" s="1010"/>
      <c r="T28" s="439"/>
      <c r="U28" s="77"/>
      <c r="V28" s="77"/>
    </row>
    <row r="29" spans="1:22"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0</v>
      </c>
      <c r="P31" s="1009"/>
      <c r="Q31" s="1005">
        <f>'PF calculator'!Q31</f>
        <v>0</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0</v>
      </c>
      <c r="P32" s="1004"/>
      <c r="Q32" s="395"/>
      <c r="R32" s="395"/>
      <c r="S32" s="395"/>
      <c r="T32" s="440"/>
      <c r="U32" s="77"/>
      <c r="V32" s="77"/>
    </row>
    <row r="33" spans="1:22"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140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5"/>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1070">
        <f>INT('PF calculator'!E38*0.75)</f>
        <v>84</v>
      </c>
      <c r="F38" s="1072"/>
      <c r="G38" s="441"/>
      <c r="H38" s="395"/>
      <c r="I38" s="395"/>
      <c r="J38" s="395"/>
      <c r="K38" s="395"/>
      <c r="L38" s="993"/>
      <c r="M38" s="993"/>
      <c r="N38" s="993"/>
      <c r="O38" s="993"/>
      <c r="P38" s="993"/>
      <c r="Q38" s="993"/>
      <c r="R38" s="993"/>
      <c r="S38" s="993"/>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410"/>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f>-(SUMPRODUCT($M$46:$P$46,$M$52:$P$52))*(VLOOKUP($E$38,'Policy assumptions and formulae'!A10:D109,4,FALSE))</f>
        <v>0</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f>-(SUMPRODUCT($M$47:$P$47,$M$52:$P$52))*(VLOOKUP($E$38,'Policy assumptions and formulae'!A10:D109,4,FALSE))</f>
        <v>0</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f>-(SUMPRODUCT($M$48:$P$48,$M$52:$P$52))*(VLOOKUP($E$38,'Policy assumptions and formulae'!A10:D109,4,FALSE))</f>
        <v>0</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f>IF($E$58+$E$38&lt;2041,"Ltd by DoB",(-SUMPRODUCT($M$61:$P$61,$M$67:$P$67)*VLOOKUP($E$38,'Policy assumptions and formulae'!$A$10:$D$109,4,FALSE))-(-SUMPRODUCT($M$61:$P$61,$M$67:$P$67)*VLOOKUP((2040-$E$58),'Policy assumptions and formulae'!$A$10:$D$109,4,FALSE)))</f>
        <v>0</v>
      </c>
      <c r="S61" s="985"/>
      <c r="T61" s="439"/>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f>IF($E$58+$E$38&lt;2041,"Ltd by DoB",(-SUMPRODUCT($M$62:$P$62,$M$67:$P$67)*VLOOKUP($E$38,'Policy assumptions and formulae'!$A$10:$D$109,4,FALSE))-(-SUMPRODUCT($M$62:$P$62,$M$67:$P$67)*VLOOKUP((2040-$E$58),'Policy assumptions and formulae'!$A$10:$D$109,4,FALSE)))</f>
        <v>0</v>
      </c>
      <c r="S62" s="985"/>
      <c r="T62" s="439"/>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f>IF($E$58+$E$38&lt;2041,"Ltd by DoB",(-SUMPRODUCT($M$63:$P$63,$M$67:$P$67)*VLOOKUP($E$38,'Policy assumptions and formulae'!$A$10:$D$109,4,FALSE))-(-SUMPRODUCT($M$63:$P$63,$M$67:$P$67)*VLOOKUP((2040-$E$58),'Policy assumptions and formulae'!$A$10:$D$109,4,FALSE)))</f>
        <v>0</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10543218.430444287</v>
      </c>
      <c r="S74" s="975"/>
      <c r="T74" s="440"/>
      <c r="U74" s="77"/>
      <c r="V74" s="77"/>
    </row>
    <row r="75" spans="1:22"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10818074.42156416</v>
      </c>
      <c r="S75" s="975"/>
      <c r="T75" s="440"/>
      <c r="U75" s="77"/>
      <c r="V75" s="77"/>
    </row>
    <row r="76" spans="1:22"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11092930.412684031</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f>(((H83-D83)*'Policy assumptions and formulae'!AR12)+((I83-E83)*'Policy assumptions and formulae'!AS12)+((J83-F83)*'Policy assumptions and formulae'!AT12))*VLOOKUP($E$38,'Policy assumptions and formulae'!$A$10:$D$109,4,FALSE)</f>
        <v>13334935.540207976</v>
      </c>
      <c r="M83" s="932"/>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f>(((H84-D84)*'Policy assumptions and formulae'!AR13)+((I84-E84)*'Policy assumptions and formulae'!AS13)+((J84-F84)*'Policy assumptions and formulae'!AT13))*VLOOKUP($E$38,'Policy assumptions and formulae'!$A$10:$D$109,4,FALSE)</f>
        <v>7616992.8059711885</v>
      </c>
      <c r="M84" s="932"/>
      <c r="N84" s="968" t="s">
        <v>380</v>
      </c>
      <c r="O84" s="969"/>
      <c r="P84" s="427">
        <f>'PF calculator'!P84</f>
        <v>130</v>
      </c>
      <c r="Q84" s="328"/>
      <c r="R84" s="953">
        <f>(P84*'Policy assumptions and formulae'!AT23)*VLOOKUP($E$38,'Policy assumptions and formulae'!$A$10:$D$109,4,FALSE)</f>
        <v>49555503.696718834</v>
      </c>
      <c r="S84" s="954"/>
      <c r="T84" s="439"/>
    </row>
    <row r="85" spans="1:22"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f>(((H85-D85)*'Policy assumptions and formulae'!AR14)+((I85-E85)*'Policy assumptions and formulae'!AS14)+((J85-F85)*'Policy assumptions and formulae'!AT14))*VLOOKUP($E$38,'Policy assumptions and formulae'!$A$10:$D$109,4,FALSE)</f>
        <v>7616992.8059711885</v>
      </c>
      <c r="M85" s="932"/>
      <c r="N85" s="968" t="s">
        <v>381</v>
      </c>
      <c r="O85" s="969"/>
      <c r="P85" s="427">
        <f>'PF calculator'!P85</f>
        <v>131</v>
      </c>
      <c r="Q85" s="328"/>
      <c r="R85" s="953">
        <f>(P85*'Policy assumptions and formulae'!AT24)*VLOOKUP($E$38,'Policy assumptions and formulae'!$A$10:$D$109,4,FALSE)</f>
        <v>24968349.939500641</v>
      </c>
      <c r="S85" s="954"/>
      <c r="T85" s="439"/>
    </row>
    <row r="86" spans="1:22"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f>(((H86-D86)*'Policy assumptions and formulae'!AR15)+((I86-E86)*'Policy assumptions and formulae'!AS15)+((J86-F86)*'Policy assumptions and formulae'!AT15))*VLOOKUP($E$38,'Policy assumptions and formulae'!$A$10:$D$109,4,FALSE)</f>
        <v>4241673.8828520179</v>
      </c>
      <c r="M86" s="932"/>
      <c r="N86" s="963" t="s">
        <v>352</v>
      </c>
      <c r="O86" s="964"/>
      <c r="P86" s="427">
        <f>'PF calculator'!P86</f>
        <v>132</v>
      </c>
      <c r="Q86" s="328"/>
      <c r="R86" s="953">
        <f>(P86*'Policy assumptions and formulae'!AT25)*VLOOKUP($E$38,'Policy assumptions and formulae'!$A$10:$D$109,4,FALSE)</f>
        <v>12579474.015320934</v>
      </c>
      <c r="S86" s="954"/>
      <c r="T86" s="439"/>
    </row>
    <row r="87" spans="1:22"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f>(((H87-D87)*'Policy assumptions and formulae'!AR16)+((I87-E87)*'Policy assumptions and formulae'!AS16)+((J87-F87)*'Policy assumptions and formulae'!AT16))*VLOOKUP($E$38,'Policy assumptions and formulae'!$A$10:$D$109,4,FALSE)</f>
        <v>457435.41873894306</v>
      </c>
      <c r="M87" s="932"/>
      <c r="N87" s="963"/>
      <c r="O87" s="964"/>
      <c r="P87" s="329"/>
      <c r="Q87" s="328"/>
      <c r="R87" s="330"/>
      <c r="S87" s="330"/>
      <c r="T87" s="439"/>
    </row>
    <row r="88" spans="1:22"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f>(((H88-D88)*'Policy assumptions and formulae'!AR17)+((I88-E88)*'Policy assumptions and formulae'!AS17)+((J88-F88)*'Policy assumptions and formulae'!AT17))*VLOOKUP($E$38,'Policy assumptions and formulae'!$A$10:$D$109,4,FALSE)</f>
        <v>2917883.504380228</v>
      </c>
      <c r="M88" s="932"/>
      <c r="N88" s="391"/>
      <c r="O88" s="391"/>
      <c r="P88" s="391"/>
      <c r="Q88" s="391"/>
      <c r="R88" s="391"/>
      <c r="S88" s="391"/>
      <c r="T88" s="439"/>
    </row>
    <row r="89" spans="1:22"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f>(((H89-D89)*'Policy assumptions and formulae'!AR18)+((I89-E89)*'Policy assumptions and formulae'!AS18)+((J89-F89)*'Policy assumptions and formulae'!AT18))*VLOOKUP($E$38,'Policy assumptions and formulae'!$A$10:$D$109,4,FALSE)</f>
        <v>4241673.8828520179</v>
      </c>
      <c r="M89" s="932"/>
      <c r="N89" s="428"/>
      <c r="O89" s="428"/>
      <c r="P89" s="331"/>
      <c r="Q89" s="328"/>
      <c r="R89" s="332"/>
      <c r="S89" s="332"/>
      <c r="T89" s="439"/>
    </row>
    <row r="90" spans="1:22"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f>(((H90-D90)*'Policy assumptions and formulae'!AR19)+((I90-E90)*'Policy assumptions and formulae'!AS19)+((J90-F90)*'Policy assumptions and formulae'!AT19))*VLOOKUP($E$38,'Policy assumptions and formulae'!$A$10:$D$109,4,FALSE)</f>
        <v>97031.755490078838</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str">
        <f>IF(E39=0,0,IF(MAX((E39-SUM(D96:E104)),0)&gt;0,E39-SUM(D96:D104),"Ltd by high OM1b,2,3,4 values"))</f>
        <v>Ltd by high OM1b,2,3,4 values</v>
      </c>
      <c r="E95" s="944"/>
      <c r="F95" s="945">
        <f>'PF calculator'!G95</f>
        <v>6</v>
      </c>
      <c r="G95" s="946"/>
      <c r="H95" s="943">
        <f>IF(D95="Ltd by high OM1b,2,3,4 values",0,D95*(F95/100))</f>
        <v>0</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13</v>
      </c>
      <c r="E96" s="956"/>
      <c r="F96" s="945">
        <f>'PF calculator'!G96</f>
        <v>20</v>
      </c>
      <c r="G96" s="946"/>
      <c r="H96" s="943">
        <f t="shared" ref="H96:H102" si="0">D96*(F96/100)</f>
        <v>2.6</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0</v>
      </c>
      <c r="E97" s="944"/>
      <c r="F97" s="945">
        <f>'PF calculator'!G97</f>
        <v>45</v>
      </c>
      <c r="G97" s="946"/>
      <c r="H97" s="943">
        <f t="shared" si="0"/>
        <v>0</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0</v>
      </c>
      <c r="E98" s="944"/>
      <c r="F98" s="945">
        <f>'PF calculator'!G98</f>
        <v>30</v>
      </c>
      <c r="G98" s="946"/>
      <c r="H98" s="943">
        <f t="shared" si="0"/>
        <v>0</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0</v>
      </c>
      <c r="E99" s="944"/>
      <c r="F99" s="945">
        <f>'PF calculator'!G99</f>
        <v>20</v>
      </c>
      <c r="G99" s="946"/>
      <c r="H99" s="943">
        <f t="shared" si="0"/>
        <v>0</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10543218.430444287</v>
      </c>
      <c r="E100" s="944"/>
      <c r="F100" s="945">
        <f>'PF calculator'!G100</f>
        <v>45</v>
      </c>
      <c r="G100" s="946"/>
      <c r="H100" s="943">
        <f t="shared" si="0"/>
        <v>4744448.2936999295</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10818074.42156416</v>
      </c>
      <c r="E101" s="944"/>
      <c r="F101" s="945">
        <f>'PF calculator'!G101</f>
        <v>30</v>
      </c>
      <c r="G101" s="946"/>
      <c r="H101" s="943">
        <f t="shared" si="0"/>
        <v>3245422.3264692477</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11092930.412684031</v>
      </c>
      <c r="E102" s="944"/>
      <c r="F102" s="945">
        <f>'PF calculator'!G102</f>
        <v>20</v>
      </c>
      <c r="G102" s="946"/>
      <c r="H102" s="943">
        <f t="shared" si="0"/>
        <v>2218586.0825368064</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40524619.596463643</v>
      </c>
      <c r="E103" s="1063"/>
      <c r="F103" s="945">
        <f>'PF calculator'!G103</f>
        <v>20</v>
      </c>
      <c r="G103" s="946"/>
      <c r="H103" s="943">
        <f>IF(D103="Ltd by negative OM4 values",0,D103*(F103/100))</f>
        <v>8104923.9192927293</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87103327.651540399</v>
      </c>
      <c r="E104" s="950"/>
      <c r="F104" s="945">
        <f>'PF calculator'!G104</f>
        <v>20</v>
      </c>
      <c r="G104" s="946"/>
      <c r="H104" s="943">
        <f>D104*(F104/100)</f>
        <v>17420665.530308079</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160082183.5126965</v>
      </c>
      <c r="E105" s="943"/>
      <c r="F105" s="1059" t="str">
        <f>'PF calculator'!F105:G105</f>
        <v>pv max. eligible GiA</v>
      </c>
      <c r="G105" s="1060"/>
      <c r="H105" s="1061">
        <f>SUM(H95:I104)</f>
        <v>35734048.752306789</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20">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L38:S38"/>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14" priority="2">
      <formula>$D$11="Water Company"</formula>
    </cfRule>
    <cfRule type="expression" dxfId="13" priority="3">
      <formula>$D$11="Highways Authority"</formula>
    </cfRule>
    <cfRule type="expression" dxfId="12" priority="4">
      <formula>$D$11="Internal Drainage Board"</formula>
    </cfRule>
    <cfRule type="expression" dxfId="11" priority="5">
      <formula>$D$11="Local Authority"</formula>
    </cfRule>
  </conditionalFormatting>
  <conditionalFormatting sqref="K28:L32">
    <cfRule type="expression" dxfId="10" priority="1">
      <formula>$Q$22="Insufficient contribution to appraisal costs"</formula>
    </cfRule>
  </conditionalFormatting>
  <pageMargins left="0.7" right="0.7" top="0.75" bottom="0.75" header="0.3" footer="0.3"/>
  <pageSetup paperSize="9" scale="3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calculator'!L101</f>
        <v>Sensitivity Analysis: SA6: Strategic considerations not demonstrated</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IFERROR(($E$41/MIN(($K$22+$K$24),$E$34)),"n/a")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440"/>
      <c r="U10" s="77"/>
      <c r="V10" s="77"/>
    </row>
    <row r="11" spans="1:22" s="1" customFormat="1" ht="18.75" customHeight="1" thickBot="1" x14ac:dyDescent="0.25">
      <c r="A11" s="4"/>
      <c r="B11" s="970" t="s">
        <v>333</v>
      </c>
      <c r="C11" s="988"/>
      <c r="D11" s="1034" t="str">
        <f>'PF calculator'!D11</f>
        <v>Internal Drainage Board</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73" t="s">
        <v>94</v>
      </c>
      <c r="F17" s="1074"/>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t="str">
        <f>IF(E23="low BCR","n/a",0.45*$E$23/MAX($E$33,$E$31))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0</v>
      </c>
      <c r="P28" s="1009"/>
      <c r="Q28" s="1010" t="s">
        <v>102</v>
      </c>
      <c r="R28" s="1010"/>
      <c r="S28" s="1010"/>
      <c r="T28" s="439"/>
      <c r="U28" s="77"/>
      <c r="V28" s="77"/>
    </row>
    <row r="29" spans="1:22"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0</v>
      </c>
      <c r="P31" s="1009"/>
      <c r="Q31" s="1005">
        <f>'PF calculator'!Q31</f>
        <v>0</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0</v>
      </c>
      <c r="P32" s="1004"/>
      <c r="Q32" s="395"/>
      <c r="R32" s="395"/>
      <c r="S32" s="395"/>
      <c r="T32" s="440"/>
      <c r="U32" s="77"/>
      <c r="V32" s="77"/>
    </row>
    <row r="33" spans="1:22"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140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85"/>
      <c r="T61" s="439"/>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85"/>
      <c r="T62" s="439"/>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440"/>
      <c r="U74" s="77"/>
      <c r="V74" s="77"/>
    </row>
    <row r="75" spans="1:22"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440"/>
      <c r="U75" s="77"/>
      <c r="V75" s="77"/>
    </row>
    <row r="76" spans="1:22"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439"/>
    </row>
    <row r="85" spans="1:22"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439"/>
    </row>
    <row r="86" spans="1:22"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439"/>
    </row>
    <row r="87" spans="1:22"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439"/>
    </row>
    <row r="88" spans="1:22"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439"/>
    </row>
    <row r="89" spans="1:22"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439"/>
    </row>
    <row r="90" spans="1:22"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e">
        <f>IF(E39=0,0,IF(MAX((E39-SUM(D96:E104)),0)&gt;0,E39-SUM(D96:D104),"Ltd by high OM1b,2,3,4 values"))</f>
        <v>#N/A</v>
      </c>
      <c r="E95" s="944"/>
      <c r="F95" s="945">
        <f>'PF calculator'!G95</f>
        <v>6</v>
      </c>
      <c r="G95" s="946"/>
      <c r="H95" s="935" t="e">
        <f>IF(D95="Ltd by high OM1b,2,3,4 values",0,D95*(F95/100))</f>
        <v>#N/A</v>
      </c>
      <c r="I95" s="936"/>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13</v>
      </c>
      <c r="E96" s="956"/>
      <c r="F96" s="945">
        <f>'PF calculator'!G96</f>
        <v>20</v>
      </c>
      <c r="G96" s="946"/>
      <c r="H96" s="935">
        <f t="shared" ref="H96:H102" si="0">D96*(F96/100)</f>
        <v>2.6</v>
      </c>
      <c r="I96" s="936"/>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t="e">
        <f>IF(R61="Ltd by DoB",R46,R46+R61)</f>
        <v>#N/A</v>
      </c>
      <c r="E97" s="944"/>
      <c r="F97" s="945">
        <f>'PF calculator'!G97</f>
        <v>45</v>
      </c>
      <c r="G97" s="946"/>
      <c r="H97" s="943" t="e">
        <f t="shared" si="0"/>
        <v>#N/A</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t="e">
        <f>IF(R62="Ltd by DoB",R47,R47+R62)</f>
        <v>#N/A</v>
      </c>
      <c r="E98" s="944"/>
      <c r="F98" s="945">
        <f>'PF calculator'!G98</f>
        <v>30</v>
      </c>
      <c r="G98" s="946"/>
      <c r="H98" s="943" t="e">
        <f t="shared" si="0"/>
        <v>#N/A</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t="e">
        <f>IF(R63="Ltd by DoB",R48,R48+R63)</f>
        <v>#N/A</v>
      </c>
      <c r="E99" s="944"/>
      <c r="F99" s="945">
        <f>'PF calculator'!G99</f>
        <v>20</v>
      </c>
      <c r="G99" s="946"/>
      <c r="H99" s="943" t="e">
        <f t="shared" si="0"/>
        <v>#N/A</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t="e">
        <f>R74</f>
        <v>#N/A</v>
      </c>
      <c r="E100" s="944"/>
      <c r="F100" s="945">
        <f>'PF calculator'!G100</f>
        <v>45</v>
      </c>
      <c r="G100" s="946"/>
      <c r="H100" s="943" t="e">
        <f t="shared" si="0"/>
        <v>#N/A</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t="e">
        <f>R75</f>
        <v>#N/A</v>
      </c>
      <c r="E101" s="944"/>
      <c r="F101" s="945">
        <f>'PF calculator'!G101</f>
        <v>30</v>
      </c>
      <c r="G101" s="946"/>
      <c r="H101" s="943" t="e">
        <f t="shared" si="0"/>
        <v>#N/A</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t="e">
        <f>R76</f>
        <v>#N/A</v>
      </c>
      <c r="E102" s="944"/>
      <c r="F102" s="945">
        <f>'PF calculator'!G102</f>
        <v>20</v>
      </c>
      <c r="G102" s="946"/>
      <c r="H102" s="943" t="e">
        <f t="shared" si="0"/>
        <v>#N/A</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t="e">
        <f>IF(SUM(L83:M90)&lt;0,"Ltd by negative OM4 values",SUM(L83:M90))</f>
        <v>#N/A</v>
      </c>
      <c r="E103" s="1063"/>
      <c r="F103" s="945">
        <f>'PF calculator'!G103</f>
        <v>20</v>
      </c>
      <c r="G103" s="946"/>
      <c r="H103" s="943" t="e">
        <f>IF(D103="Ltd by negative OM4 values",0,D103*(F103/100))</f>
        <v>#N/A</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t="e">
        <f>SUM(R84:S86)</f>
        <v>#N/A</v>
      </c>
      <c r="E104" s="950"/>
      <c r="F104" s="945">
        <f>'PF calculator'!G104</f>
        <v>20</v>
      </c>
      <c r="G104" s="946"/>
      <c r="H104" s="943" t="e">
        <f>D104*(F104/100)</f>
        <v>#N/A</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t="e">
        <f>SUM(D95:E104)</f>
        <v>#N/A</v>
      </c>
      <c r="E105" s="943"/>
      <c r="F105" s="1059" t="str">
        <f>'PF calculator'!F105:G105</f>
        <v>pv max. eligible GiA</v>
      </c>
      <c r="G105" s="1060"/>
      <c r="H105" s="1061" t="e">
        <f>SUM(H95:I104)</f>
        <v>#N/A</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9" priority="2">
      <formula>$D$11="Water Company"</formula>
    </cfRule>
    <cfRule type="expression" dxfId="8" priority="3">
      <formula>$D$11="Highways Authority"</formula>
    </cfRule>
    <cfRule type="expression" dxfId="7" priority="4">
      <formula>$D$11="Internal Drainage Board"</formula>
    </cfRule>
    <cfRule type="expression" dxfId="6" priority="5">
      <formula>$D$11="Local Authority"</formula>
    </cfRule>
  </conditionalFormatting>
  <conditionalFormatting sqref="K28:L32">
    <cfRule type="expression" dxfId="5" priority="1">
      <formula>$Q$22="Insufficient contribution to appraisal costs"</formula>
    </cfRule>
  </conditionalFormatting>
  <pageMargins left="0.7" right="0.7" top="0.75" bottom="0.75" header="0.3" footer="0.3"/>
  <pageSetup paperSize="9" scale="38"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6" tint="0.39997558519241921"/>
  </sheetPr>
  <dimension ref="A1:V107"/>
  <sheetViews>
    <sheetView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calculator'!L102</f>
        <v>Sensitivity Analysis: SA7: Change in environmental habitat is optimistic</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440"/>
      <c r="U10" s="77"/>
      <c r="V10" s="77"/>
    </row>
    <row r="11" spans="1:22" s="1" customFormat="1" ht="18.75" customHeight="1" thickBot="1" x14ac:dyDescent="0.25">
      <c r="A11" s="4"/>
      <c r="B11" s="970" t="s">
        <v>333</v>
      </c>
      <c r="C11" s="988"/>
      <c r="D11" s="1034" t="str">
        <f>'PF calculator'!D11</f>
        <v>Internal Drainage Board</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0</v>
      </c>
      <c r="P28" s="1009"/>
      <c r="Q28" s="1010" t="s">
        <v>102</v>
      </c>
      <c r="R28" s="1010"/>
      <c r="S28" s="1010"/>
      <c r="T28" s="439"/>
      <c r="U28" s="77"/>
      <c r="V28" s="77"/>
    </row>
    <row r="29" spans="1:22"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0</v>
      </c>
      <c r="P31" s="1009"/>
      <c r="Q31" s="1005">
        <f>'PF calculator'!Q31</f>
        <v>0</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0</v>
      </c>
      <c r="P32" s="1004"/>
      <c r="Q32" s="395"/>
      <c r="R32" s="395"/>
      <c r="S32" s="395"/>
      <c r="T32" s="440"/>
      <c r="U32" s="77"/>
      <c r="V32" s="77"/>
    </row>
    <row r="33" spans="1:22"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140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85"/>
      <c r="T61" s="439"/>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85"/>
      <c r="T62" s="439"/>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351</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440"/>
      <c r="U74" s="77"/>
      <c r="V74" s="77"/>
    </row>
    <row r="75" spans="1:22"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440"/>
      <c r="U75" s="77"/>
      <c r="V75" s="77"/>
    </row>
    <row r="76" spans="1:22"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83</v>
      </c>
      <c r="F83" s="426">
        <f>'PF calculator'!F83</f>
        <v>84</v>
      </c>
      <c r="G83" s="961"/>
      <c r="H83" s="426">
        <f>'PF calculator'!H83</f>
        <v>106</v>
      </c>
      <c r="I83" s="444">
        <f>'PF calculator'!I83+('PF calculator'!J83*0.25)</f>
        <v>134</v>
      </c>
      <c r="J83" s="444">
        <f>'PF calculator'!J83*0.75</f>
        <v>81</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86</v>
      </c>
      <c r="F84" s="426">
        <f>'PF calculator'!F84</f>
        <v>87</v>
      </c>
      <c r="G84" s="961"/>
      <c r="H84" s="426">
        <f>'PF calculator'!H84</f>
        <v>109</v>
      </c>
      <c r="I84" s="444">
        <f>'PF calculator'!I84+('PF calculator'!J84*0.25)</f>
        <v>137.75</v>
      </c>
      <c r="J84" s="444">
        <f>'PF calculator'!J84*0.75</f>
        <v>83.25</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439"/>
    </row>
    <row r="85" spans="1:22" ht="18.75" customHeight="1" thickBot="1" x14ac:dyDescent="0.25">
      <c r="A85" s="5"/>
      <c r="B85" s="957" t="s">
        <v>55</v>
      </c>
      <c r="C85" s="958"/>
      <c r="D85" s="426">
        <f>'PF calculator'!D85</f>
        <v>88</v>
      </c>
      <c r="E85" s="426">
        <f>'PF calculator'!E85</f>
        <v>89</v>
      </c>
      <c r="F85" s="426">
        <f>'PF calculator'!F85</f>
        <v>90</v>
      </c>
      <c r="G85" s="961"/>
      <c r="H85" s="426">
        <f>'PF calculator'!H85</f>
        <v>112</v>
      </c>
      <c r="I85" s="444">
        <f>'PF calculator'!I85+('PF calculator'!J85*0.25)</f>
        <v>141.5</v>
      </c>
      <c r="J85" s="444">
        <f>'PF calculator'!J85*0.75</f>
        <v>85.5</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439"/>
    </row>
    <row r="86" spans="1:22" ht="18.75" customHeight="1" thickBot="1" x14ac:dyDescent="0.25">
      <c r="A86" s="5"/>
      <c r="B86" s="957" t="s">
        <v>107</v>
      </c>
      <c r="C86" s="958"/>
      <c r="D86" s="426">
        <f>'PF calculator'!D86</f>
        <v>91</v>
      </c>
      <c r="E86" s="426">
        <f>'PF calculator'!E86</f>
        <v>92</v>
      </c>
      <c r="F86" s="426">
        <f>'PF calculator'!F86</f>
        <v>93</v>
      </c>
      <c r="G86" s="961"/>
      <c r="H86" s="426">
        <f>'PF calculator'!H86</f>
        <v>115</v>
      </c>
      <c r="I86" s="444">
        <f>'PF calculator'!I86+('PF calculator'!J86*0.25)</f>
        <v>145.25</v>
      </c>
      <c r="J86" s="444">
        <f>'PF calculator'!J86*0.75</f>
        <v>87.75</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439"/>
    </row>
    <row r="87" spans="1:22" ht="18.75" customHeight="1" thickBot="1" x14ac:dyDescent="0.25">
      <c r="A87" s="5"/>
      <c r="B87" s="957" t="s">
        <v>108</v>
      </c>
      <c r="C87" s="958"/>
      <c r="D87" s="426">
        <f>'PF calculator'!D87</f>
        <v>94</v>
      </c>
      <c r="E87" s="426">
        <f>'PF calculator'!E87</f>
        <v>95</v>
      </c>
      <c r="F87" s="426">
        <f>'PF calculator'!F87</f>
        <v>96</v>
      </c>
      <c r="G87" s="961"/>
      <c r="H87" s="426">
        <f>'PF calculator'!H87</f>
        <v>118</v>
      </c>
      <c r="I87" s="444">
        <f>'PF calculator'!I87+('PF calculator'!J87*0.25)</f>
        <v>149</v>
      </c>
      <c r="J87" s="444">
        <f>'PF calculator'!J87*0.75</f>
        <v>90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439"/>
    </row>
    <row r="88" spans="1:22" ht="18.75" customHeight="1" thickBot="1" x14ac:dyDescent="0.25">
      <c r="A88" s="5"/>
      <c r="B88" s="957" t="s">
        <v>329</v>
      </c>
      <c r="C88" s="958"/>
      <c r="D88" s="426">
        <f>'PF calculator'!D88</f>
        <v>97</v>
      </c>
      <c r="E88" s="426">
        <f>'PF calculator'!E88</f>
        <v>98</v>
      </c>
      <c r="F88" s="426">
        <f>'PF calculator'!F88</f>
        <v>99</v>
      </c>
      <c r="G88" s="961"/>
      <c r="H88" s="426">
        <f>'PF calculator'!H88</f>
        <v>121</v>
      </c>
      <c r="I88" s="444">
        <f>'PF calculator'!I88+('PF calculator'!J88*0.25)</f>
        <v>152.75</v>
      </c>
      <c r="J88" s="444">
        <f>'PF calculator'!J88*0.75</f>
        <v>92.25</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439"/>
    </row>
    <row r="89" spans="1:22" ht="18.75" customHeight="1" thickBot="1" x14ac:dyDescent="0.25">
      <c r="A89" s="5"/>
      <c r="B89" s="957" t="s">
        <v>109</v>
      </c>
      <c r="C89" s="958"/>
      <c r="D89" s="426">
        <f>'PF calculator'!D89</f>
        <v>100</v>
      </c>
      <c r="E89" s="426">
        <f>'PF calculator'!E89</f>
        <v>101</v>
      </c>
      <c r="F89" s="426">
        <f>'PF calculator'!F89</f>
        <v>102</v>
      </c>
      <c r="G89" s="961"/>
      <c r="H89" s="426">
        <f>'PF calculator'!H89</f>
        <v>124</v>
      </c>
      <c r="I89" s="444">
        <f>'PF calculator'!I89+('PF calculator'!J89*0.25)</f>
        <v>156.5</v>
      </c>
      <c r="J89" s="444">
        <f>'PF calculator'!J89*0.75</f>
        <v>94.5</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439"/>
    </row>
    <row r="90" spans="1:22" ht="18.75" customHeight="1" thickBot="1" x14ac:dyDescent="0.25">
      <c r="A90" s="5"/>
      <c r="B90" s="957" t="s">
        <v>110</v>
      </c>
      <c r="C90" s="958"/>
      <c r="D90" s="426">
        <f>'PF calculator'!D90</f>
        <v>103</v>
      </c>
      <c r="E90" s="426">
        <f>'PF calculator'!E90</f>
        <v>104</v>
      </c>
      <c r="F90" s="426">
        <f>'PF calculator'!F90</f>
        <v>105</v>
      </c>
      <c r="G90" s="961"/>
      <c r="H90" s="426">
        <f>'PF calculator'!H90</f>
        <v>127</v>
      </c>
      <c r="I90" s="444">
        <f>'PF calculator'!I90+('PF calculator'!J90*0.25)</f>
        <v>160.25</v>
      </c>
      <c r="J90" s="444">
        <f>'PF calculator'!J90*0.75</f>
        <v>96.75</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e">
        <f>IF(E39=0,0,IF(MAX((E39-SUM(D96:E104)),0)&gt;0,E39-SUM(D96:D104),"Ltd by high OM1b,2,3,4 values"))</f>
        <v>#N/A</v>
      </c>
      <c r="E95" s="944"/>
      <c r="F95" s="945">
        <f>'PF calculator'!G95</f>
        <v>6</v>
      </c>
      <c r="G95" s="946"/>
      <c r="H95" s="943" t="e">
        <f>IF(D95="Ltd by high OM1b,2,3,4 values",0,D95*(F95/100))</f>
        <v>#N/A</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13</v>
      </c>
      <c r="E96" s="956"/>
      <c r="F96" s="945">
        <f>'PF calculator'!G96</f>
        <v>20</v>
      </c>
      <c r="G96" s="946"/>
      <c r="H96" s="943">
        <f t="shared" ref="H96:H102" si="0">D96*(F96/100)</f>
        <v>2.6</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t="e">
        <f>IF(R61="Ltd by DoB",R46,R46+R61)</f>
        <v>#N/A</v>
      </c>
      <c r="E97" s="944"/>
      <c r="F97" s="945">
        <f>'PF calculator'!G97</f>
        <v>45</v>
      </c>
      <c r="G97" s="946"/>
      <c r="H97" s="943" t="e">
        <f t="shared" si="0"/>
        <v>#N/A</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t="e">
        <f>IF(R62="Ltd by DoB",R47,R47+R62)</f>
        <v>#N/A</v>
      </c>
      <c r="E98" s="944"/>
      <c r="F98" s="945">
        <f>'PF calculator'!G98</f>
        <v>30</v>
      </c>
      <c r="G98" s="946"/>
      <c r="H98" s="943" t="e">
        <f t="shared" si="0"/>
        <v>#N/A</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t="e">
        <f>IF(R63="Ltd by DoB",R48,R48+R63)</f>
        <v>#N/A</v>
      </c>
      <c r="E99" s="944"/>
      <c r="F99" s="945">
        <f>'PF calculator'!G99</f>
        <v>20</v>
      </c>
      <c r="G99" s="946"/>
      <c r="H99" s="943" t="e">
        <f t="shared" si="0"/>
        <v>#N/A</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t="e">
        <f>R74</f>
        <v>#N/A</v>
      </c>
      <c r="E100" s="944"/>
      <c r="F100" s="945">
        <f>'PF calculator'!G100</f>
        <v>45</v>
      </c>
      <c r="G100" s="946"/>
      <c r="H100" s="943" t="e">
        <f t="shared" si="0"/>
        <v>#N/A</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t="e">
        <f>R75</f>
        <v>#N/A</v>
      </c>
      <c r="E101" s="944"/>
      <c r="F101" s="945">
        <f>'PF calculator'!G101</f>
        <v>30</v>
      </c>
      <c r="G101" s="946"/>
      <c r="H101" s="943" t="e">
        <f t="shared" si="0"/>
        <v>#N/A</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t="e">
        <f>R76</f>
        <v>#N/A</v>
      </c>
      <c r="E102" s="944"/>
      <c r="F102" s="945">
        <f>'PF calculator'!G102</f>
        <v>20</v>
      </c>
      <c r="G102" s="946"/>
      <c r="H102" s="943" t="e">
        <f t="shared" si="0"/>
        <v>#N/A</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t="e">
        <f>IF(SUM(L83:M90)&lt;0,"Ltd by negative OM4 values",SUM(L83:M90))</f>
        <v>#N/A</v>
      </c>
      <c r="E103" s="1063"/>
      <c r="F103" s="945">
        <f>'PF calculator'!G103</f>
        <v>20</v>
      </c>
      <c r="G103" s="946"/>
      <c r="H103" s="943" t="e">
        <f>IF(D103="Ltd by negative OM4 values",0,D103*(F103/100))</f>
        <v>#N/A</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t="e">
        <f>SUM(R84:S86)</f>
        <v>#N/A</v>
      </c>
      <c r="E104" s="950"/>
      <c r="F104" s="945">
        <f>'PF calculator'!G104</f>
        <v>20</v>
      </c>
      <c r="G104" s="946"/>
      <c r="H104" s="943" t="e">
        <f>D104*(F104/100)</f>
        <v>#N/A</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t="e">
        <f>SUM(D95:E104)</f>
        <v>#N/A</v>
      </c>
      <c r="E105" s="943"/>
      <c r="F105" s="1059" t="str">
        <f>'PF calculator'!F105:G105</f>
        <v>pv max. eligible GiA</v>
      </c>
      <c r="G105" s="1060"/>
      <c r="H105" s="1061" t="e">
        <f>SUM(H95:I104)</f>
        <v>#N/A</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P12:S13"/>
    <mergeCell ref="B15:S15"/>
    <mergeCell ref="B17:D17"/>
    <mergeCell ref="E17:F17"/>
    <mergeCell ref="B9:C9"/>
    <mergeCell ref="D9:F9"/>
    <mergeCell ref="O9:Q9"/>
    <mergeCell ref="B10:C10"/>
    <mergeCell ref="D10:I10"/>
    <mergeCell ref="O10:Q10"/>
    <mergeCell ref="B19:D19"/>
    <mergeCell ref="E19:F19"/>
    <mergeCell ref="H19:J19"/>
    <mergeCell ref="K19:L19"/>
    <mergeCell ref="B21:D21"/>
    <mergeCell ref="E21:F21"/>
    <mergeCell ref="H21:J21"/>
    <mergeCell ref="K21:L21"/>
    <mergeCell ref="B11:C11"/>
    <mergeCell ref="D11:F11"/>
    <mergeCell ref="K26:L27"/>
    <mergeCell ref="M26:N27"/>
    <mergeCell ref="O26:P27"/>
    <mergeCell ref="B27:D27"/>
    <mergeCell ref="E27:F27"/>
    <mergeCell ref="H27:J27"/>
    <mergeCell ref="B23:D23"/>
    <mergeCell ref="E23:F23"/>
    <mergeCell ref="H23:J23"/>
    <mergeCell ref="K23:L23"/>
    <mergeCell ref="M23:P23"/>
    <mergeCell ref="B25:S25"/>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4" priority="2">
      <formula>$D$11="Water Company"</formula>
    </cfRule>
    <cfRule type="expression" dxfId="3" priority="3">
      <formula>$D$11="Highways Authority"</formula>
    </cfRule>
    <cfRule type="expression" dxfId="2" priority="4">
      <formula>$D$11="Internal Drainage Board"</formula>
    </cfRule>
    <cfRule type="expression" dxfId="1" priority="5">
      <formula>$D$11="Local Authority"</formula>
    </cfRule>
  </conditionalFormatting>
  <conditionalFormatting sqref="K28:L32">
    <cfRule type="expression" dxfId="0" priority="1">
      <formula>$Q$22="Insufficient contribution to appraisal costs"</formula>
    </cfRule>
  </conditionalFormatting>
  <pageMargins left="0.7" right="0.7" top="0.75" bottom="0.75" header="0.3" footer="0.3"/>
  <pageSetup paperSize="9" scale="3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499984740745262"/>
    <pageSetUpPr fitToPage="1"/>
  </sheetPr>
  <dimension ref="A1:AF107"/>
  <sheetViews>
    <sheetView showGridLines="0" tabSelected="1" view="pageBreakPreview" topLeftCell="B1" zoomScale="108" zoomScaleNormal="60" zoomScaleSheetLayoutView="108" workbookViewId="0">
      <selection activeCell="D11" sqref="D11:F11"/>
    </sheetView>
  </sheetViews>
  <sheetFormatPr baseColWidth="10" defaultColWidth="8.85546875" defaultRowHeight="16" x14ac:dyDescent="0.2"/>
  <cols>
    <col min="1" max="1" width="0.5703125" style="9" customWidth="1"/>
    <col min="2" max="19" width="10.85546875" style="3" customWidth="1"/>
    <col min="20" max="20" width="0.5703125" style="9" customWidth="1"/>
    <col min="21" max="21" width="8.85546875" style="39"/>
    <col min="22" max="22" width="8.85546875" style="1"/>
    <col min="23" max="16384" width="8.85546875" style="3"/>
  </cols>
  <sheetData>
    <row r="1" spans="1:21" ht="20" x14ac:dyDescent="0.2">
      <c r="A1" s="260"/>
      <c r="B1" s="589" t="s">
        <v>318</v>
      </c>
      <c r="C1" s="589"/>
      <c r="D1" s="589"/>
      <c r="E1" s="589"/>
      <c r="F1" s="589"/>
      <c r="G1" s="589"/>
      <c r="H1" s="589"/>
      <c r="I1" s="589"/>
      <c r="J1" s="589"/>
      <c r="K1" s="589"/>
      <c r="L1" s="589"/>
      <c r="M1" s="589"/>
      <c r="N1" s="589"/>
      <c r="O1" s="589"/>
      <c r="P1" s="589"/>
      <c r="Q1" s="589"/>
      <c r="R1" s="589"/>
      <c r="S1" s="589"/>
      <c r="T1" s="260"/>
    </row>
    <row r="2" spans="1:21" ht="33" x14ac:dyDescent="0.2">
      <c r="A2" s="250"/>
      <c r="B2" s="590" t="s">
        <v>57</v>
      </c>
      <c r="C2" s="590"/>
      <c r="D2" s="590"/>
      <c r="E2" s="590"/>
      <c r="F2" s="590"/>
      <c r="G2" s="590"/>
      <c r="H2" s="590"/>
      <c r="I2" s="590"/>
      <c r="J2" s="590"/>
      <c r="K2" s="590"/>
      <c r="L2" s="590"/>
      <c r="M2" s="590"/>
      <c r="N2" s="590"/>
      <c r="O2" s="590"/>
      <c r="P2" s="590"/>
      <c r="Q2" s="590"/>
      <c r="R2" s="590"/>
      <c r="S2" s="590"/>
      <c r="T2" s="251"/>
    </row>
    <row r="3" spans="1:21" ht="23" x14ac:dyDescent="0.2">
      <c r="A3" s="252"/>
      <c r="B3" s="591" t="s">
        <v>373</v>
      </c>
      <c r="C3" s="591"/>
      <c r="D3" s="591"/>
      <c r="E3" s="591"/>
      <c r="F3" s="591"/>
      <c r="G3" s="591"/>
      <c r="H3" s="591"/>
      <c r="I3" s="591"/>
      <c r="J3" s="591"/>
      <c r="K3" s="591"/>
      <c r="L3" s="591"/>
      <c r="M3" s="591"/>
      <c r="N3" s="591"/>
      <c r="O3" s="591"/>
      <c r="P3" s="591"/>
      <c r="Q3" s="591"/>
      <c r="R3" s="591"/>
      <c r="S3" s="591"/>
      <c r="T3" s="253"/>
    </row>
    <row r="4" spans="1:21" s="1" customFormat="1" ht="19.5" customHeight="1" thickBot="1" x14ac:dyDescent="0.25">
      <c r="A4" s="254"/>
      <c r="B4" s="592" t="s">
        <v>374</v>
      </c>
      <c r="C4" s="592"/>
      <c r="D4" s="592"/>
      <c r="E4" s="592"/>
      <c r="F4" s="592"/>
      <c r="G4" s="592"/>
      <c r="H4" s="592"/>
      <c r="I4" s="592"/>
      <c r="J4" s="592"/>
      <c r="K4" s="592"/>
      <c r="L4" s="592"/>
      <c r="M4" s="592"/>
      <c r="N4" s="592"/>
      <c r="O4" s="592"/>
      <c r="P4" s="592"/>
      <c r="Q4" s="137" t="s">
        <v>58</v>
      </c>
      <c r="R4" s="264" t="s">
        <v>308</v>
      </c>
      <c r="S4" s="266" t="s">
        <v>307</v>
      </c>
      <c r="T4" s="255"/>
      <c r="U4" s="39"/>
    </row>
    <row r="5" spans="1:21" ht="18.75" customHeight="1" thickTop="1" x14ac:dyDescent="0.2">
      <c r="A5" s="252"/>
      <c r="B5" s="138" t="s">
        <v>176</v>
      </c>
      <c r="C5" s="138"/>
      <c r="D5" s="139"/>
      <c r="E5" s="139"/>
      <c r="F5" s="139"/>
      <c r="G5" s="139"/>
      <c r="H5" s="139"/>
      <c r="I5" s="139"/>
      <c r="J5" s="140"/>
      <c r="K5" s="140"/>
      <c r="L5" s="140"/>
      <c r="M5" s="140"/>
      <c r="N5" s="140"/>
      <c r="O5" s="140"/>
      <c r="P5" s="140"/>
      <c r="Q5" s="141"/>
      <c r="R5" s="598" t="s">
        <v>60</v>
      </c>
      <c r="S5" s="599"/>
      <c r="T5" s="253"/>
    </row>
    <row r="6" spans="1:21" ht="7.5" customHeight="1" thickBot="1" x14ac:dyDescent="0.25">
      <c r="A6" s="252"/>
      <c r="B6" s="138"/>
      <c r="C6" s="138"/>
      <c r="D6" s="139"/>
      <c r="E6" s="139"/>
      <c r="F6" s="139"/>
      <c r="G6" s="139"/>
      <c r="H6" s="139"/>
      <c r="I6" s="139"/>
      <c r="J6" s="140"/>
      <c r="K6" s="140"/>
      <c r="L6" s="140"/>
      <c r="M6" s="140"/>
      <c r="N6" s="140"/>
      <c r="O6" s="140"/>
      <c r="P6" s="140"/>
      <c r="Q6" s="141"/>
      <c r="R6" s="618" t="s">
        <v>61</v>
      </c>
      <c r="S6" s="618"/>
      <c r="T6" s="253"/>
    </row>
    <row r="7" spans="1:21" s="1" customFormat="1" ht="18.75" customHeight="1" thickBot="1" x14ac:dyDescent="0.25">
      <c r="A7" s="254"/>
      <c r="B7" s="501" t="s">
        <v>328</v>
      </c>
      <c r="C7" s="501"/>
      <c r="D7" s="626" t="s">
        <v>438</v>
      </c>
      <c r="E7" s="627"/>
      <c r="F7" s="627"/>
      <c r="G7" s="627"/>
      <c r="H7" s="627"/>
      <c r="I7" s="628"/>
      <c r="J7" s="142"/>
      <c r="K7" s="499" t="s">
        <v>334</v>
      </c>
      <c r="L7" s="500"/>
      <c r="M7" s="629" t="s">
        <v>435</v>
      </c>
      <c r="N7" s="630"/>
      <c r="O7" s="145"/>
      <c r="P7" s="143"/>
      <c r="Q7" s="143"/>
      <c r="R7" s="619"/>
      <c r="S7" s="619"/>
      <c r="T7" s="255"/>
      <c r="U7" s="39"/>
    </row>
    <row r="8" spans="1:21" s="1" customFormat="1" ht="18.75" customHeight="1" thickBot="1" x14ac:dyDescent="0.25">
      <c r="A8" s="254"/>
      <c r="B8" s="501" t="s">
        <v>330</v>
      </c>
      <c r="C8" s="501"/>
      <c r="D8" s="602" t="s">
        <v>436</v>
      </c>
      <c r="E8" s="603"/>
      <c r="F8" s="604"/>
      <c r="G8" s="150"/>
      <c r="H8" s="143"/>
      <c r="I8" s="143"/>
      <c r="J8" s="143"/>
      <c r="K8" s="499" t="s">
        <v>335</v>
      </c>
      <c r="L8" s="500"/>
      <c r="M8" s="605">
        <v>1</v>
      </c>
      <c r="N8" s="606"/>
      <c r="O8" s="595" t="s">
        <v>372</v>
      </c>
      <c r="P8" s="596"/>
      <c r="Q8" s="597"/>
      <c r="R8" s="123">
        <f>$E$39/$E$33</f>
        <v>3.026634382566586E-2</v>
      </c>
      <c r="S8" s="124" t="s">
        <v>15</v>
      </c>
      <c r="T8" s="255"/>
      <c r="U8" s="39"/>
    </row>
    <row r="9" spans="1:21" s="1" customFormat="1" ht="18.75" customHeight="1" thickBot="1" x14ac:dyDescent="0.25">
      <c r="A9" s="254"/>
      <c r="B9" s="499" t="s">
        <v>331</v>
      </c>
      <c r="C9" s="499"/>
      <c r="D9" s="611">
        <v>43900</v>
      </c>
      <c r="E9" s="612"/>
      <c r="F9" s="613"/>
      <c r="G9" s="150"/>
      <c r="H9" s="143"/>
      <c r="I9" s="143"/>
      <c r="J9" s="143"/>
      <c r="K9" s="144"/>
      <c r="L9" s="144"/>
      <c r="M9" s="144"/>
      <c r="N9" s="144"/>
      <c r="O9" s="593" t="s">
        <v>128</v>
      </c>
      <c r="P9" s="593"/>
      <c r="Q9" s="594"/>
      <c r="R9" s="125" t="str">
        <f>IFERROR(($E$39/MIN(($K$21+$K$23),$E$33)),"n/a")</f>
        <v>n/a</v>
      </c>
      <c r="S9" s="124" t="s">
        <v>15</v>
      </c>
      <c r="T9" s="255"/>
      <c r="U9" s="39"/>
    </row>
    <row r="10" spans="1:21" s="1" customFormat="1" ht="18.75" customHeight="1" thickBot="1" x14ac:dyDescent="0.25">
      <c r="A10" s="254"/>
      <c r="B10" s="501" t="s">
        <v>332</v>
      </c>
      <c r="C10" s="502"/>
      <c r="D10" s="614" t="s">
        <v>439</v>
      </c>
      <c r="E10" s="615"/>
      <c r="F10" s="615"/>
      <c r="G10" s="615"/>
      <c r="H10" s="615"/>
      <c r="I10" s="616"/>
      <c r="J10" s="145"/>
      <c r="K10" s="146"/>
      <c r="L10" s="146"/>
      <c r="M10" s="146"/>
      <c r="N10" s="146"/>
      <c r="O10" s="593" t="s">
        <v>129</v>
      </c>
      <c r="P10" s="593"/>
      <c r="Q10" s="594"/>
      <c r="R10" s="125">
        <f>IF($K$33&gt;0,$E$39/$K$33,"n/a")</f>
        <v>0.7142857142857143</v>
      </c>
      <c r="S10" s="124" t="s">
        <v>15</v>
      </c>
      <c r="T10" s="255"/>
      <c r="U10" s="39"/>
    </row>
    <row r="11" spans="1:21" s="1" customFormat="1" ht="18.75" customHeight="1" thickBot="1" x14ac:dyDescent="0.25">
      <c r="A11" s="254"/>
      <c r="B11" s="501" t="s">
        <v>333</v>
      </c>
      <c r="C11" s="502"/>
      <c r="D11" s="607" t="s">
        <v>442</v>
      </c>
      <c r="E11" s="608"/>
      <c r="F11" s="609"/>
      <c r="G11" s="151"/>
      <c r="H11" s="143"/>
      <c r="I11" s="143"/>
      <c r="J11" s="143"/>
      <c r="K11" s="146"/>
      <c r="L11" s="146"/>
      <c r="M11" s="146"/>
      <c r="N11" s="146"/>
      <c r="O11" s="143"/>
      <c r="P11" s="143"/>
      <c r="Q11" s="147"/>
      <c r="R11" s="148"/>
      <c r="S11" s="143"/>
      <c r="T11" s="255"/>
      <c r="U11" s="39"/>
    </row>
    <row r="12" spans="1:21" ht="18.75" customHeight="1" x14ac:dyDescent="0.2">
      <c r="A12" s="252"/>
      <c r="B12" s="610" t="s">
        <v>62</v>
      </c>
      <c r="C12" s="610"/>
      <c r="D12" s="610"/>
      <c r="E12" s="610"/>
      <c r="F12" s="610"/>
      <c r="G12" s="610"/>
      <c r="H12" s="143"/>
      <c r="I12" s="143"/>
      <c r="J12" s="143"/>
      <c r="K12" s="146"/>
      <c r="L12" s="146"/>
      <c r="M12" s="146"/>
      <c r="N12" s="146"/>
      <c r="O12" s="143"/>
      <c r="P12" s="631" t="str">
        <f>IF(R8&lt;1,"FCERM GiA eligibility is removed as costs exceed benefits",IF(R8&lt;2,"Caution. Low benefit to cost ratio. Cost increases may affect FCERM GiA eligibility",""))</f>
        <v>FCERM GiA eligibility is removed as costs exceed benefits</v>
      </c>
      <c r="Q12" s="631"/>
      <c r="R12" s="631"/>
      <c r="S12" s="631"/>
      <c r="T12" s="253"/>
    </row>
    <row r="13" spans="1:21" ht="18.75" customHeight="1" x14ac:dyDescent="0.2">
      <c r="A13" s="252"/>
      <c r="B13" s="632" t="s">
        <v>367</v>
      </c>
      <c r="C13" s="632"/>
      <c r="D13" s="632"/>
      <c r="E13" s="632"/>
      <c r="F13" s="632"/>
      <c r="G13" s="632"/>
      <c r="H13" s="632"/>
      <c r="I13" s="632"/>
      <c r="J13" s="143"/>
      <c r="K13" s="146"/>
      <c r="L13" s="146"/>
      <c r="M13" s="146"/>
      <c r="N13" s="146"/>
      <c r="O13" s="143"/>
      <c r="P13" s="631"/>
      <c r="Q13" s="631"/>
      <c r="R13" s="631"/>
      <c r="S13" s="631"/>
      <c r="T13" s="253"/>
    </row>
    <row r="14" spans="1:21" ht="7.5" customHeight="1" thickBot="1" x14ac:dyDescent="0.25">
      <c r="A14" s="252"/>
      <c r="B14" s="246"/>
      <c r="C14" s="246"/>
      <c r="D14" s="246"/>
      <c r="E14" s="246"/>
      <c r="F14" s="246"/>
      <c r="G14" s="246"/>
      <c r="H14" s="246"/>
      <c r="I14" s="246"/>
      <c r="J14" s="246"/>
      <c r="K14" s="246"/>
      <c r="L14" s="246"/>
      <c r="M14" s="246"/>
      <c r="N14" s="246"/>
      <c r="O14" s="246"/>
      <c r="P14" s="246"/>
      <c r="Q14" s="246"/>
      <c r="R14" s="246"/>
      <c r="S14" s="246"/>
      <c r="T14" s="253"/>
    </row>
    <row r="15" spans="1:21" ht="18.75" customHeight="1" x14ac:dyDescent="0.2">
      <c r="A15" s="252"/>
      <c r="B15" s="520" t="s">
        <v>175</v>
      </c>
      <c r="C15" s="520"/>
      <c r="D15" s="520"/>
      <c r="E15" s="520"/>
      <c r="F15" s="520"/>
      <c r="G15" s="520"/>
      <c r="H15" s="520"/>
      <c r="I15" s="520"/>
      <c r="J15" s="520"/>
      <c r="K15" s="520"/>
      <c r="L15" s="520"/>
      <c r="M15" s="520"/>
      <c r="N15" s="520"/>
      <c r="O15" s="520"/>
      <c r="P15" s="520"/>
      <c r="Q15" s="520"/>
      <c r="R15" s="520"/>
      <c r="S15" s="520"/>
      <c r="T15" s="253"/>
    </row>
    <row r="16" spans="1:21" ht="7.5" customHeight="1" thickBot="1" x14ac:dyDescent="0.25">
      <c r="A16" s="252"/>
      <c r="B16" s="152"/>
      <c r="C16" s="140"/>
      <c r="D16" s="140"/>
      <c r="E16" s="140"/>
      <c r="F16" s="140"/>
      <c r="G16" s="140"/>
      <c r="H16" s="140"/>
      <c r="I16" s="140"/>
      <c r="J16" s="140"/>
      <c r="K16" s="140"/>
      <c r="L16" s="140"/>
      <c r="M16" s="153"/>
      <c r="N16" s="153"/>
      <c r="O16" s="153"/>
      <c r="P16" s="153"/>
      <c r="Q16" s="153"/>
      <c r="R16" s="153"/>
      <c r="S16" s="153"/>
      <c r="T16" s="253"/>
    </row>
    <row r="17" spans="1:21" ht="18.75" customHeight="1" thickBot="1" x14ac:dyDescent="0.25">
      <c r="A17" s="252"/>
      <c r="B17" s="516" t="s">
        <v>336</v>
      </c>
      <c r="C17" s="516"/>
      <c r="D17" s="517"/>
      <c r="E17" s="624" t="s">
        <v>437</v>
      </c>
      <c r="F17" s="625"/>
      <c r="G17" s="544" t="str">
        <f>IF(R8&lt;1,"",IF(Strategic_Approach="No","GiA reduced to 45% of maximum to avoid risk of double counting benefits","See guidance.  Evidence provided in the business case"))</f>
        <v/>
      </c>
      <c r="H17" s="544"/>
      <c r="I17" s="544"/>
      <c r="J17" s="544"/>
      <c r="K17" s="155"/>
      <c r="L17" s="155"/>
      <c r="M17" s="144"/>
      <c r="N17" s="144"/>
      <c r="O17" s="144"/>
      <c r="P17" s="144"/>
      <c r="Q17" s="144"/>
      <c r="R17" s="144"/>
      <c r="S17" s="144"/>
      <c r="T17" s="253"/>
    </row>
    <row r="18" spans="1:21" ht="9" customHeight="1" thickBot="1" x14ac:dyDescent="0.25">
      <c r="A18" s="252"/>
      <c r="B18" s="143"/>
      <c r="C18" s="143"/>
      <c r="D18" s="143"/>
      <c r="E18" s="143"/>
      <c r="F18" s="143"/>
      <c r="G18" s="544"/>
      <c r="H18" s="544"/>
      <c r="I18" s="544"/>
      <c r="J18" s="544"/>
      <c r="K18" s="143"/>
      <c r="L18" s="143"/>
      <c r="M18" s="617" t="str">
        <f>IF(R8&lt;1,"",IF(K33&lt;E21,"Insufficient contributions to secure FCERM GiA",IF(K19&lt;1.05,"Review maturity of the risk contingency and any contributions to minimise the risk of exceeding FCERM GiA limits","")))</f>
        <v/>
      </c>
      <c r="N18" s="617"/>
      <c r="O18" s="617"/>
      <c r="P18" s="617"/>
      <c r="Q18" s="617"/>
      <c r="R18" s="617"/>
      <c r="S18" s="144"/>
      <c r="T18" s="253"/>
    </row>
    <row r="19" spans="1:21" ht="18.75" customHeight="1" thickBot="1" x14ac:dyDescent="0.25">
      <c r="A19" s="252"/>
      <c r="B19" s="527" t="s">
        <v>64</v>
      </c>
      <c r="C19" s="527"/>
      <c r="D19" s="528"/>
      <c r="E19" s="620" t="str">
        <f>IF(E23="low BCR","n/a",IF(Strategic_Approach="Yes",$E$23/MAX($E$33,$E$31),0.45*$E$23/MAX($E$33,$E$31)))</f>
        <v>n/a</v>
      </c>
      <c r="F19" s="621"/>
      <c r="G19" s="143"/>
      <c r="H19" s="527" t="s">
        <v>65</v>
      </c>
      <c r="I19" s="527"/>
      <c r="J19" s="528"/>
      <c r="K19" s="622" t="str">
        <f>IF(E23="low BCR","n/a",IF(Strategic_Approach="Yes",IF(D11="Environment Agency",E23/MAX(MAX(E33,E31)-K33,1),E19+K33/E31),IF(D11="Environment Agency",E23*0.45/MAX(MAX(E33,E31)-K33,1),E19+K33/E31)))</f>
        <v>n/a</v>
      </c>
      <c r="L19" s="623"/>
      <c r="M19" s="617"/>
      <c r="N19" s="617"/>
      <c r="O19" s="617"/>
      <c r="P19" s="617"/>
      <c r="Q19" s="617"/>
      <c r="R19" s="617"/>
      <c r="S19" s="144"/>
      <c r="T19" s="253"/>
    </row>
    <row r="20" spans="1:21" ht="9" customHeight="1" thickBot="1" x14ac:dyDescent="0.25">
      <c r="A20" s="252"/>
      <c r="B20" s="143"/>
      <c r="C20" s="143"/>
      <c r="D20" s="143"/>
      <c r="E20" s="154"/>
      <c r="F20" s="154"/>
      <c r="G20" s="143"/>
      <c r="H20" s="143"/>
      <c r="I20" s="143"/>
      <c r="J20" s="143"/>
      <c r="K20" s="143"/>
      <c r="L20" s="143"/>
      <c r="M20" s="617"/>
      <c r="N20" s="617"/>
      <c r="O20" s="617"/>
      <c r="P20" s="617"/>
      <c r="Q20" s="617"/>
      <c r="R20" s="617"/>
      <c r="S20" s="144"/>
      <c r="T20" s="253"/>
    </row>
    <row r="21" spans="1:21" ht="18.75" customHeight="1" thickBot="1" x14ac:dyDescent="0.25">
      <c r="A21" s="252"/>
      <c r="B21" s="499" t="s">
        <v>130</v>
      </c>
      <c r="C21" s="499"/>
      <c r="D21" s="500"/>
      <c r="E21" s="507" t="str">
        <f>IF(E23="low BCR","n/a",ROUNDUP((IF(Strategic_Approach="Yes",MAX(IF(D11="Environment Agency",MAX(E33,E31)-MIN(E23,E33),E31*(1-(E19))),0),IF(D11="Environment Agency",MAX(E33,E31)-MIN(E23*0.45,E33),E31*(1-(E19))))),0))</f>
        <v>n/a</v>
      </c>
      <c r="F21" s="508"/>
      <c r="G21" s="143"/>
      <c r="H21" s="499" t="s">
        <v>66</v>
      </c>
      <c r="I21" s="499"/>
      <c r="J21" s="500"/>
      <c r="K21" s="535" t="str">
        <f>IF(E23="low BCR","n/a",IF(ROUNDUP(K19,4)&lt;100%,0,IF(K32+M32&gt;E31,0,E31-(K32+M32))))</f>
        <v>n/a</v>
      </c>
      <c r="L21" s="536"/>
      <c r="M21" s="542" t="str">
        <f>IF(R8&lt;1,"",IF(M18="Insufficient contributions to secure FCERM GiA","",IF(K21&gt;E23,"Insufficient eligible FCERM GiA towards cost for approval",IF(K32+M32&gt;=E31,"No FCERM GiA required",""))))</f>
        <v/>
      </c>
      <c r="N21" s="543"/>
      <c r="O21" s="543"/>
      <c r="P21" s="543"/>
      <c r="Q21" s="543"/>
      <c r="R21" s="144"/>
      <c r="S21" s="144"/>
      <c r="T21" s="253"/>
    </row>
    <row r="22" spans="1:21" ht="9" customHeight="1" thickBot="1" x14ac:dyDescent="0.25">
      <c r="A22" s="252"/>
      <c r="B22" s="143"/>
      <c r="C22" s="143"/>
      <c r="D22" s="143"/>
      <c r="E22" s="143"/>
      <c r="F22" s="143"/>
      <c r="G22" s="143"/>
      <c r="H22" s="143"/>
      <c r="I22" s="143"/>
      <c r="J22" s="143"/>
      <c r="K22" s="143"/>
      <c r="L22" s="143"/>
      <c r="M22" s="144"/>
      <c r="N22" s="144"/>
      <c r="O22" s="144"/>
      <c r="P22" s="144"/>
      <c r="Q22" s="156"/>
      <c r="R22" s="156"/>
      <c r="S22" s="156"/>
      <c r="T22" s="253"/>
    </row>
    <row r="23" spans="1:21" ht="18.75" customHeight="1" thickBot="1" x14ac:dyDescent="0.25">
      <c r="A23" s="252"/>
      <c r="B23" s="516" t="s">
        <v>67</v>
      </c>
      <c r="C23" s="516"/>
      <c r="D23" s="517"/>
      <c r="E23" s="507" t="str">
        <f>IF(R8&lt;1,"low BCR",H105)</f>
        <v>low BCR</v>
      </c>
      <c r="F23" s="508"/>
      <c r="G23" s="143"/>
      <c r="H23" s="499" t="s">
        <v>68</v>
      </c>
      <c r="I23" s="499"/>
      <c r="J23" s="500"/>
      <c r="K23" s="535" t="str">
        <f>IF(E23="low BCR","n/a",IF(D11="Environment Agency",(IF(ROUNDUP(K19,4)&lt;100%,0,IF(E32-O32&gt;E23,0,IF(O32&lt;E32,E32-O32,0)))),0))</f>
        <v>n/a</v>
      </c>
      <c r="L23" s="536"/>
      <c r="M23" s="533" t="str">
        <f>IF(K23="n/a","",IF(D11="Environment Agency",IF(E32-O32&gt;E23,"Insufficient eligible FCERM GiA towards future costs",""),"Other RMAs not eligible for FCERM GiA towards future costs"))</f>
        <v/>
      </c>
      <c r="N23" s="534"/>
      <c r="O23" s="534"/>
      <c r="P23" s="534"/>
      <c r="Q23" s="534"/>
      <c r="R23" s="156"/>
      <c r="S23" s="156"/>
      <c r="T23" s="253"/>
    </row>
    <row r="24" spans="1:21" ht="9.75" customHeight="1" thickBot="1" x14ac:dyDescent="0.25">
      <c r="A24" s="252"/>
      <c r="B24" s="246"/>
      <c r="C24" s="246"/>
      <c r="D24" s="246"/>
      <c r="E24" s="246"/>
      <c r="F24" s="246"/>
      <c r="G24" s="246"/>
      <c r="H24" s="246"/>
      <c r="I24" s="246"/>
      <c r="J24" s="246"/>
      <c r="K24" s="246"/>
      <c r="L24" s="246"/>
      <c r="M24" s="246"/>
      <c r="N24" s="246"/>
      <c r="O24" s="246"/>
      <c r="P24" s="246"/>
      <c r="Q24" s="246"/>
      <c r="R24" s="246"/>
      <c r="S24" s="246"/>
      <c r="T24" s="253"/>
    </row>
    <row r="25" spans="1:21" ht="18.75" customHeight="1" x14ac:dyDescent="0.2">
      <c r="A25" s="252"/>
      <c r="B25" s="520" t="str">
        <f>IF(M7="Pre-SOC","SECTION 3: Costs and contributions for the CHOSEN OPTION (over the duration of benefits period)",IF(OR(M7="SOC",M7="Change (before OBC)"),"SECTION 3: Costs and contributions for the LEADING OPTION (over the duration of benefits period)","SECTION 3: Costs and contributions for the PREFERRED OPTION (over the duration of benefits period)"))</f>
        <v>SECTION 3: Costs and contributions for the PREFERRED OPTION (over the duration of benefits period)</v>
      </c>
      <c r="C25" s="520"/>
      <c r="D25" s="520"/>
      <c r="E25" s="520"/>
      <c r="F25" s="520"/>
      <c r="G25" s="520"/>
      <c r="H25" s="520"/>
      <c r="I25" s="520"/>
      <c r="J25" s="520"/>
      <c r="K25" s="520"/>
      <c r="L25" s="520"/>
      <c r="M25" s="520"/>
      <c r="N25" s="520"/>
      <c r="O25" s="520"/>
      <c r="P25" s="520"/>
      <c r="Q25" s="520"/>
      <c r="R25" s="520"/>
      <c r="S25" s="520"/>
      <c r="T25" s="253"/>
    </row>
    <row r="26" spans="1:21" ht="7.5" customHeight="1" x14ac:dyDescent="0.2">
      <c r="A26" s="252"/>
      <c r="B26" s="140"/>
      <c r="C26" s="140"/>
      <c r="D26" s="140"/>
      <c r="E26" s="140"/>
      <c r="F26" s="140"/>
      <c r="G26" s="140"/>
      <c r="H26" s="157"/>
      <c r="I26" s="140"/>
      <c r="J26" s="140"/>
      <c r="K26" s="539" t="s">
        <v>100</v>
      </c>
      <c r="L26" s="539"/>
      <c r="M26" s="539" t="s">
        <v>98</v>
      </c>
      <c r="N26" s="539"/>
      <c r="O26" s="539" t="s">
        <v>99</v>
      </c>
      <c r="P26" s="539"/>
      <c r="Q26" s="140"/>
      <c r="R26" s="140"/>
      <c r="S26" s="140"/>
      <c r="T26" s="253"/>
    </row>
    <row r="27" spans="1:21" ht="18.75" customHeight="1" thickBot="1" x14ac:dyDescent="0.25">
      <c r="A27" s="252"/>
      <c r="B27" s="600" t="str">
        <f>IF(OR(M7="Pre-SOC",M7="SOC",M7="Change (before OBC)",M7="OBC"),"Estimated project costs","Project costs")</f>
        <v>Estimated project costs</v>
      </c>
      <c r="C27" s="600"/>
      <c r="D27" s="600"/>
      <c r="E27" s="601" t="s">
        <v>97</v>
      </c>
      <c r="F27" s="601"/>
      <c r="G27" s="140"/>
      <c r="H27" s="541" t="str">
        <f>IF(M7="Pre-SOC","Estimated contributions",IF(OR(M7="Pre-SOC",M7="SOC",M7="Change (before OBC)",M7="OBC"),"Contributions proposed to date","Contributions secured to date"))</f>
        <v>Contributions proposed to date</v>
      </c>
      <c r="I27" s="541"/>
      <c r="J27" s="541"/>
      <c r="K27" s="540"/>
      <c r="L27" s="540"/>
      <c r="M27" s="540"/>
      <c r="N27" s="540"/>
      <c r="O27" s="540"/>
      <c r="P27" s="540"/>
      <c r="Q27" s="140"/>
      <c r="R27" s="140"/>
      <c r="S27" s="140"/>
      <c r="T27" s="253"/>
    </row>
    <row r="28" spans="1:21" s="1" customFormat="1" ht="18.75" customHeight="1" thickBot="1" x14ac:dyDescent="0.25">
      <c r="A28" s="254"/>
      <c r="B28" s="499" t="s">
        <v>337</v>
      </c>
      <c r="C28" s="499"/>
      <c r="D28" s="500"/>
      <c r="E28" s="513">
        <v>100</v>
      </c>
      <c r="F28" s="514"/>
      <c r="G28" s="143"/>
      <c r="H28" s="499" t="s">
        <v>341</v>
      </c>
      <c r="I28" s="499"/>
      <c r="J28" s="515"/>
      <c r="K28" s="503">
        <v>14</v>
      </c>
      <c r="L28" s="504"/>
      <c r="M28" s="503">
        <v>18</v>
      </c>
      <c r="N28" s="504"/>
      <c r="O28" s="503"/>
      <c r="P28" s="504"/>
      <c r="Q28" s="555" t="s">
        <v>368</v>
      </c>
      <c r="R28" s="555"/>
      <c r="S28" s="555"/>
      <c r="T28" s="253"/>
      <c r="U28" s="39"/>
    </row>
    <row r="29" spans="1:21" s="1" customFormat="1" ht="18.75" customHeight="1" thickBot="1" x14ac:dyDescent="0.25">
      <c r="A29" s="254"/>
      <c r="B29" s="499" t="s">
        <v>338</v>
      </c>
      <c r="C29" s="499"/>
      <c r="D29" s="500"/>
      <c r="E29" s="513">
        <v>200</v>
      </c>
      <c r="F29" s="514"/>
      <c r="G29" s="143"/>
      <c r="H29" s="499" t="s">
        <v>342</v>
      </c>
      <c r="I29" s="499"/>
      <c r="J29" s="515"/>
      <c r="K29" s="503">
        <v>15</v>
      </c>
      <c r="L29" s="504"/>
      <c r="M29" s="503">
        <v>19</v>
      </c>
      <c r="N29" s="504"/>
      <c r="O29" s="503"/>
      <c r="P29" s="504"/>
      <c r="Q29" s="549" t="s">
        <v>440</v>
      </c>
      <c r="R29" s="550"/>
      <c r="S29" s="551"/>
      <c r="T29" s="253"/>
      <c r="U29" s="39"/>
    </row>
    <row r="30" spans="1:21" s="1" customFormat="1" ht="18.75" customHeight="1" thickBot="1" x14ac:dyDescent="0.25">
      <c r="A30" s="254"/>
      <c r="B30" s="499" t="s">
        <v>339</v>
      </c>
      <c r="C30" s="499"/>
      <c r="D30" s="500"/>
      <c r="E30" s="513">
        <v>3000</v>
      </c>
      <c r="F30" s="514"/>
      <c r="G30" s="143"/>
      <c r="H30" s="499" t="s">
        <v>343</v>
      </c>
      <c r="I30" s="499"/>
      <c r="J30" s="515"/>
      <c r="K30" s="503">
        <v>16</v>
      </c>
      <c r="L30" s="504"/>
      <c r="M30" s="503">
        <v>20</v>
      </c>
      <c r="N30" s="504"/>
      <c r="O30" s="503"/>
      <c r="P30" s="504"/>
      <c r="Q30" s="549" t="s">
        <v>441</v>
      </c>
      <c r="R30" s="550"/>
      <c r="S30" s="551"/>
      <c r="T30" s="255"/>
      <c r="U30" s="39"/>
    </row>
    <row r="31" spans="1:21" s="1" customFormat="1" ht="18.75" customHeight="1" thickBot="1" x14ac:dyDescent="0.25">
      <c r="A31" s="254"/>
      <c r="B31" s="501" t="s">
        <v>69</v>
      </c>
      <c r="C31" s="501"/>
      <c r="D31" s="502"/>
      <c r="E31" s="511">
        <f>SUM(E28:E30)</f>
        <v>3300</v>
      </c>
      <c r="F31" s="512"/>
      <c r="G31" s="143"/>
      <c r="H31" s="499" t="s">
        <v>344</v>
      </c>
      <c r="I31" s="499"/>
      <c r="J31" s="515"/>
      <c r="K31" s="505">
        <v>17</v>
      </c>
      <c r="L31" s="506"/>
      <c r="M31" s="505">
        <v>21</v>
      </c>
      <c r="N31" s="506"/>
      <c r="O31" s="505"/>
      <c r="P31" s="506"/>
      <c r="Q31" s="552"/>
      <c r="R31" s="553"/>
      <c r="S31" s="554"/>
      <c r="T31" s="255"/>
      <c r="U31" s="39"/>
    </row>
    <row r="32" spans="1:21" s="1" customFormat="1" ht="18.75" customHeight="1" thickBot="1" x14ac:dyDescent="0.25">
      <c r="A32" s="254"/>
      <c r="B32" s="499" t="s">
        <v>340</v>
      </c>
      <c r="C32" s="499"/>
      <c r="D32" s="500"/>
      <c r="E32" s="513">
        <v>4</v>
      </c>
      <c r="F32" s="514"/>
      <c r="G32" s="143"/>
      <c r="H32" s="516" t="s">
        <v>70</v>
      </c>
      <c r="I32" s="516"/>
      <c r="J32" s="517"/>
      <c r="K32" s="509">
        <f>SUM(K28:L31)</f>
        <v>62</v>
      </c>
      <c r="L32" s="510"/>
      <c r="M32" s="509">
        <f>SUM(M28:N31)</f>
        <v>78</v>
      </c>
      <c r="N32" s="510"/>
      <c r="O32" s="509">
        <f>SUM(O28:P31)</f>
        <v>0</v>
      </c>
      <c r="P32" s="510"/>
      <c r="Q32" s="143"/>
      <c r="R32" s="143"/>
      <c r="S32" s="143"/>
      <c r="T32" s="255"/>
      <c r="U32" s="39"/>
    </row>
    <row r="33" spans="1:32" s="1" customFormat="1" ht="18.75" customHeight="1" thickBot="1" x14ac:dyDescent="0.25">
      <c r="A33" s="254"/>
      <c r="B33" s="499" t="s">
        <v>147</v>
      </c>
      <c r="C33" s="499"/>
      <c r="D33" s="500"/>
      <c r="E33" s="507">
        <f>SUM(E31:F32)</f>
        <v>3304</v>
      </c>
      <c r="F33" s="508"/>
      <c r="G33" s="143"/>
      <c r="H33" s="499" t="s">
        <v>71</v>
      </c>
      <c r="I33" s="499"/>
      <c r="J33" s="500"/>
      <c r="K33" s="507">
        <f>IF(D11="Environment Agency",K32+M32+O32,K32+M32)</f>
        <v>140</v>
      </c>
      <c r="L33" s="508"/>
      <c r="M33" s="544" t="str">
        <f>IF(E32&gt;0,IF(D11="Environment Agency","","Contributions to future costs are not included in GiA calculation.  Other RMAs are encouraged to secure contributions towards future costs, separately"),"")</f>
        <v>Contributions to future costs are not included in GiA calculation.  Other RMAs are encouraged to secure contributions towards future costs, separately</v>
      </c>
      <c r="N33" s="544"/>
      <c r="O33" s="544"/>
      <c r="P33" s="544"/>
      <c r="Q33" s="544"/>
      <c r="R33" s="544"/>
      <c r="S33" s="544"/>
      <c r="T33" s="255"/>
      <c r="U33" s="39"/>
      <c r="Z33" s="311"/>
      <c r="AA33" s="312"/>
      <c r="AB33" s="312"/>
      <c r="AC33" s="312"/>
      <c r="AD33" s="312"/>
      <c r="AE33" s="312"/>
      <c r="AF33" s="311"/>
    </row>
    <row r="34" spans="1:32" ht="9.75" customHeight="1" thickBot="1" x14ac:dyDescent="0.25">
      <c r="A34" s="252"/>
      <c r="B34" s="246"/>
      <c r="C34" s="246"/>
      <c r="D34" s="246"/>
      <c r="E34" s="246"/>
      <c r="F34" s="246"/>
      <c r="G34" s="247"/>
      <c r="H34" s="247"/>
      <c r="I34" s="247"/>
      <c r="J34" s="246"/>
      <c r="K34" s="246"/>
      <c r="L34" s="246"/>
      <c r="M34" s="545"/>
      <c r="N34" s="545"/>
      <c r="O34" s="545"/>
      <c r="P34" s="545"/>
      <c r="Q34" s="545"/>
      <c r="R34" s="545"/>
      <c r="S34" s="545"/>
      <c r="T34" s="253"/>
      <c r="Z34" s="312"/>
      <c r="AA34" s="312"/>
      <c r="AB34" s="312"/>
      <c r="AC34" s="312"/>
      <c r="AD34" s="312"/>
      <c r="AE34" s="312"/>
      <c r="AF34" s="9"/>
    </row>
    <row r="35" spans="1:32" ht="18.75" customHeight="1" x14ac:dyDescent="0.2">
      <c r="A35" s="252"/>
      <c r="B35" s="520" t="s">
        <v>177</v>
      </c>
      <c r="C35" s="520"/>
      <c r="D35" s="520"/>
      <c r="E35" s="520"/>
      <c r="F35" s="520"/>
      <c r="G35" s="520"/>
      <c r="H35" s="520"/>
      <c r="I35" s="520"/>
      <c r="J35" s="520"/>
      <c r="K35" s="520"/>
      <c r="L35" s="520"/>
      <c r="M35" s="520"/>
      <c r="N35" s="520"/>
      <c r="O35" s="520"/>
      <c r="P35" s="520"/>
      <c r="Q35" s="520"/>
      <c r="R35" s="520"/>
      <c r="S35" s="520"/>
      <c r="T35" s="253"/>
      <c r="Z35" s="312"/>
      <c r="AA35" s="312"/>
      <c r="AB35" s="312"/>
      <c r="AC35" s="312"/>
      <c r="AD35" s="312"/>
      <c r="AE35" s="312"/>
      <c r="AF35" s="9"/>
    </row>
    <row r="36" spans="1:32" ht="7.5" customHeight="1" thickBot="1" x14ac:dyDescent="0.25">
      <c r="A36" s="252"/>
      <c r="B36" s="140"/>
      <c r="C36" s="140"/>
      <c r="D36" s="140"/>
      <c r="E36" s="140"/>
      <c r="F36" s="140"/>
      <c r="G36" s="140"/>
      <c r="H36" s="140"/>
      <c r="I36" s="140"/>
      <c r="J36" s="140"/>
      <c r="K36" s="140"/>
      <c r="L36" s="140"/>
      <c r="M36" s="140"/>
      <c r="N36" s="140"/>
      <c r="O36" s="140"/>
      <c r="P36" s="140"/>
      <c r="Q36" s="140"/>
      <c r="R36" s="140"/>
      <c r="S36" s="140"/>
      <c r="T36" s="253"/>
    </row>
    <row r="37" spans="1:32" s="1" customFormat="1" ht="18.75" customHeight="1" thickBot="1" x14ac:dyDescent="0.25">
      <c r="A37" s="254"/>
      <c r="B37" s="499" t="s">
        <v>345</v>
      </c>
      <c r="C37" s="499"/>
      <c r="D37" s="500"/>
      <c r="E37" s="513">
        <v>12</v>
      </c>
      <c r="F37" s="514"/>
      <c r="G37" s="143"/>
      <c r="H37" s="537" t="s">
        <v>346</v>
      </c>
      <c r="I37" s="537"/>
      <c r="J37" s="538"/>
      <c r="K37" s="267"/>
      <c r="L37" s="533" t="str">
        <f>IF(OR(M7="Pre-SOC",M7="SOC",M7="Change (before OBC)"),"Not required",IF(K37="No","By not completing the economic summary sheet FCERM GiA may be delayed",""))</f>
        <v/>
      </c>
      <c r="M37" s="534"/>
      <c r="N37" s="534"/>
      <c r="O37" s="534"/>
      <c r="P37" s="534"/>
      <c r="Q37" s="534"/>
      <c r="R37" s="534"/>
      <c r="S37" s="159"/>
      <c r="T37" s="255"/>
      <c r="U37" s="39"/>
    </row>
    <row r="38" spans="1:32" s="1" customFormat="1" ht="18.75" customHeight="1" thickBot="1" x14ac:dyDescent="0.25">
      <c r="A38" s="254"/>
      <c r="B38" s="527" t="s">
        <v>369</v>
      </c>
      <c r="C38" s="527"/>
      <c r="D38" s="528"/>
      <c r="E38" s="531">
        <v>112</v>
      </c>
      <c r="F38" s="532"/>
      <c r="G38" s="143"/>
      <c r="H38" s="499" t="s">
        <v>347</v>
      </c>
      <c r="I38" s="499"/>
      <c r="J38" s="500"/>
      <c r="K38" s="267"/>
      <c r="L38" s="518" t="str">
        <f>IF(OR(M7="Pre-SOC",M7="SOC",M7="Change (before OBC)"),"Not required",IF(K38="No","Economic data (annual benefits and costs) for all short-list options is required in business cases from OBC onwards",""))</f>
        <v/>
      </c>
      <c r="M38" s="519"/>
      <c r="N38" s="519"/>
      <c r="O38" s="519"/>
      <c r="P38" s="519"/>
      <c r="Q38" s="519"/>
      <c r="R38" s="519"/>
      <c r="S38" s="159"/>
      <c r="T38" s="255"/>
      <c r="U38" s="39"/>
    </row>
    <row r="39" spans="1:32" s="1" customFormat="1" ht="18.75" customHeight="1" thickBot="1" x14ac:dyDescent="0.25">
      <c r="A39" s="254"/>
      <c r="B39" s="527" t="s">
        <v>370</v>
      </c>
      <c r="C39" s="527"/>
      <c r="D39" s="528"/>
      <c r="E39" s="556">
        <v>100</v>
      </c>
      <c r="F39" s="557"/>
      <c r="G39" s="522" t="str">
        <f>IF(OR(M7="OBC",M7="FBC",M7="Change (after OBC)"),IF(E39='Economic summary'!B12,"","OM1a not equal to Economic summary"),"")</f>
        <v>OM1a not equal to Economic summary</v>
      </c>
      <c r="H39" s="523"/>
      <c r="I39" s="523"/>
      <c r="J39" s="523"/>
      <c r="K39" s="158"/>
      <c r="L39" s="519"/>
      <c r="M39" s="519"/>
      <c r="N39" s="519"/>
      <c r="O39" s="519"/>
      <c r="P39" s="519"/>
      <c r="Q39" s="519"/>
      <c r="R39" s="519"/>
      <c r="S39" s="143"/>
      <c r="T39" s="255"/>
      <c r="U39" s="39"/>
    </row>
    <row r="40" spans="1:32" s="1" customFormat="1" ht="7.5" customHeight="1" thickBot="1" x14ac:dyDescent="0.25">
      <c r="A40" s="254"/>
      <c r="B40" s="335"/>
      <c r="C40" s="335"/>
      <c r="D40" s="335"/>
      <c r="E40" s="335"/>
      <c r="F40" s="335"/>
      <c r="G40" s="335"/>
      <c r="H40" s="334"/>
      <c r="I40" s="334"/>
      <c r="J40" s="334"/>
      <c r="K40" s="157"/>
      <c r="L40" s="333"/>
      <c r="M40" s="333"/>
      <c r="N40" s="333"/>
      <c r="O40" s="333"/>
      <c r="P40" s="333"/>
      <c r="Q40" s="333"/>
      <c r="R40" s="333"/>
      <c r="S40" s="143"/>
      <c r="T40" s="255"/>
      <c r="U40" s="39"/>
    </row>
    <row r="41" spans="1:32" ht="18.75" customHeight="1" thickBot="1" x14ac:dyDescent="0.25">
      <c r="A41" s="252"/>
      <c r="B41" s="638" t="s">
        <v>371</v>
      </c>
      <c r="C41" s="638"/>
      <c r="D41" s="638"/>
      <c r="E41" s="558">
        <v>13</v>
      </c>
      <c r="F41" s="559"/>
      <c r="G41" s="143"/>
      <c r="H41" s="179"/>
      <c r="I41" s="179"/>
      <c r="J41" s="179"/>
      <c r="K41" s="179"/>
      <c r="L41" s="180"/>
      <c r="M41" s="180"/>
      <c r="N41" s="180"/>
      <c r="O41" s="180"/>
      <c r="P41" s="180"/>
      <c r="Q41" s="180"/>
      <c r="R41" s="180"/>
      <c r="S41" s="143"/>
      <c r="T41" s="253"/>
    </row>
    <row r="42" spans="1:32" ht="13.5" customHeight="1" thickBot="1" x14ac:dyDescent="0.25">
      <c r="A42" s="252"/>
      <c r="B42" s="639"/>
      <c r="C42" s="639"/>
      <c r="D42" s="639"/>
      <c r="E42" s="248"/>
      <c r="F42" s="248"/>
      <c r="G42" s="248"/>
      <c r="H42" s="248"/>
      <c r="I42" s="248"/>
      <c r="J42" s="248"/>
      <c r="K42" s="248"/>
      <c r="L42" s="249"/>
      <c r="M42" s="249"/>
      <c r="N42" s="249"/>
      <c r="O42" s="249"/>
      <c r="P42" s="249"/>
      <c r="Q42" s="249"/>
      <c r="R42" s="249"/>
      <c r="S42" s="248"/>
      <c r="T42" s="253"/>
    </row>
    <row r="43" spans="1:32" ht="18.75" customHeight="1" x14ac:dyDescent="0.2">
      <c r="A43" s="252"/>
      <c r="B43" s="520" t="s">
        <v>390</v>
      </c>
      <c r="C43" s="520"/>
      <c r="D43" s="520"/>
      <c r="E43" s="520"/>
      <c r="F43" s="520"/>
      <c r="G43" s="520"/>
      <c r="H43" s="520"/>
      <c r="I43" s="520"/>
      <c r="J43" s="520"/>
      <c r="K43" s="520"/>
      <c r="L43" s="520"/>
      <c r="M43" s="520"/>
      <c r="N43" s="520"/>
      <c r="O43" s="520"/>
      <c r="P43" s="520"/>
      <c r="Q43" s="520"/>
      <c r="R43" s="520"/>
      <c r="S43" s="520"/>
      <c r="T43" s="253"/>
    </row>
    <row r="44" spans="1:32" ht="7.5" customHeight="1" x14ac:dyDescent="0.2">
      <c r="A44" s="252"/>
      <c r="B44" s="160"/>
      <c r="C44" s="140"/>
      <c r="D44" s="140"/>
      <c r="E44" s="140"/>
      <c r="F44" s="140"/>
      <c r="G44" s="140"/>
      <c r="H44" s="140"/>
      <c r="I44" s="140"/>
      <c r="J44" s="140"/>
      <c r="K44" s="140"/>
      <c r="L44" s="140"/>
      <c r="M44" s="140"/>
      <c r="N44" s="140"/>
      <c r="O44" s="140"/>
      <c r="P44" s="140"/>
      <c r="Q44" s="140"/>
      <c r="R44" s="140"/>
      <c r="S44" s="140"/>
      <c r="T44" s="253"/>
    </row>
    <row r="45" spans="1:32" ht="18.75" customHeight="1" thickBot="1" x14ac:dyDescent="0.25">
      <c r="A45" s="256"/>
      <c r="B45" s="516" t="s">
        <v>132</v>
      </c>
      <c r="C45" s="516"/>
      <c r="D45" s="516"/>
      <c r="E45" s="516"/>
      <c r="F45" s="521" t="s">
        <v>72</v>
      </c>
      <c r="G45" s="521"/>
      <c r="H45" s="521"/>
      <c r="I45" s="521"/>
      <c r="J45" s="521"/>
      <c r="K45" s="143"/>
      <c r="L45" s="521" t="s">
        <v>73</v>
      </c>
      <c r="M45" s="521"/>
      <c r="N45" s="521"/>
      <c r="O45" s="521"/>
      <c r="P45" s="521"/>
      <c r="Q45" s="143"/>
      <c r="R45" s="546" t="s">
        <v>74</v>
      </c>
      <c r="S45" s="546"/>
      <c r="T45" s="253"/>
    </row>
    <row r="46" spans="1:32" s="1" customFormat="1" ht="18.75" customHeight="1" thickBot="1" x14ac:dyDescent="0.25">
      <c r="A46" s="256"/>
      <c r="B46" s="499" t="s">
        <v>348</v>
      </c>
      <c r="C46" s="499"/>
      <c r="D46" s="499"/>
      <c r="E46" s="515"/>
      <c r="F46" s="126"/>
      <c r="G46" s="102">
        <v>22</v>
      </c>
      <c r="H46" s="102">
        <v>23</v>
      </c>
      <c r="I46" s="102">
        <v>24</v>
      </c>
      <c r="J46" s="102">
        <v>25</v>
      </c>
      <c r="K46" s="143"/>
      <c r="L46" s="127" t="str">
        <f>IF(SUM(G46:J46)&lt;&gt;SUM(F51:J51),"n/a",F51)</f>
        <v>n/a</v>
      </c>
      <c r="M46" s="127" t="str">
        <f>IF(SUM(G46:J46)&lt;&gt;SUM(F51:J51),"n/a",G51-G46)</f>
        <v>n/a</v>
      </c>
      <c r="N46" s="127" t="str">
        <f>IF(SUM(G46:J46)&lt;&gt;SUM(F51:J51),"n/a",H51-H46)</f>
        <v>n/a</v>
      </c>
      <c r="O46" s="127" t="str">
        <f>IF(SUM(G46:J46)&lt;&gt;SUM(F51:J51),"n/a",I51-I46)</f>
        <v>n/a</v>
      </c>
      <c r="P46" s="127" t="str">
        <f>IF(SUM(G46:J46)&lt;&gt;SUM(F51:J51),"n/a",J51-J46)</f>
        <v>n/a</v>
      </c>
      <c r="Q46" s="143"/>
      <c r="R46" s="509" t="e">
        <f>-(SUMPRODUCT($M$46:$P$46,$M$52:$P$52))*(VLOOKUP($E$38,'Policy assumptions and formulae'!A10:D109,4,FALSE))</f>
        <v>#N/A</v>
      </c>
      <c r="S46" s="547"/>
      <c r="T46" s="255"/>
      <c r="U46" s="39"/>
    </row>
    <row r="47" spans="1:32" s="1" customFormat="1" ht="18.75" customHeight="1" thickBot="1" x14ac:dyDescent="0.25">
      <c r="A47" s="256"/>
      <c r="B47" s="499" t="s">
        <v>349</v>
      </c>
      <c r="C47" s="499"/>
      <c r="D47" s="499"/>
      <c r="E47" s="515"/>
      <c r="F47" s="126"/>
      <c r="G47" s="102">
        <v>26</v>
      </c>
      <c r="H47" s="102">
        <v>27</v>
      </c>
      <c r="I47" s="102">
        <v>28</v>
      </c>
      <c r="J47" s="102">
        <v>29</v>
      </c>
      <c r="K47" s="143"/>
      <c r="L47" s="127" t="str">
        <f>IF(SUM(G47:J47)&lt;&gt;SUM(F52:J52),"n/a",F52)</f>
        <v>n/a</v>
      </c>
      <c r="M47" s="127" t="str">
        <f>IF(SUM(G47:J47)&lt;&gt;SUM(F52:J52),"n/a",G52-G47)</f>
        <v>n/a</v>
      </c>
      <c r="N47" s="127" t="str">
        <f>IF(SUM(G47:J47)&lt;&gt;SUM(F52:J52),"n/a",H52-H47)</f>
        <v>n/a</v>
      </c>
      <c r="O47" s="127" t="str">
        <f>IF(SUM(G47:J47)&lt;&gt;SUM(F52:J52),"n/a",I52-I47)</f>
        <v>n/a</v>
      </c>
      <c r="P47" s="127" t="str">
        <f>IF(SUM(G47:J47)&lt;&gt;SUM(F52:J52),"n/a",J52-J47)</f>
        <v>n/a</v>
      </c>
      <c r="Q47" s="143"/>
      <c r="R47" s="509" t="e">
        <f>-(SUMPRODUCT($M$47:$P$47,$M$52:$P$52))*(VLOOKUP($E$38,'Policy assumptions and formulae'!A10:D109,4,FALSE))</f>
        <v>#N/A</v>
      </c>
      <c r="S47" s="547"/>
      <c r="T47" s="255"/>
      <c r="U47" s="39"/>
    </row>
    <row r="48" spans="1:32" s="1" customFormat="1" ht="18.75" customHeight="1" thickBot="1" x14ac:dyDescent="0.25">
      <c r="A48" s="256"/>
      <c r="B48" s="499" t="s">
        <v>350</v>
      </c>
      <c r="C48" s="499"/>
      <c r="D48" s="499"/>
      <c r="E48" s="515"/>
      <c r="F48" s="126"/>
      <c r="G48" s="102">
        <v>30</v>
      </c>
      <c r="H48" s="102">
        <v>31</v>
      </c>
      <c r="I48" s="102">
        <v>32</v>
      </c>
      <c r="J48" s="102">
        <v>33</v>
      </c>
      <c r="K48" s="143"/>
      <c r="L48" s="127" t="str">
        <f>IF(SUM(G48:J48)&lt;&gt;SUM(F53:J53),"n/a",F53)</f>
        <v>n/a</v>
      </c>
      <c r="M48" s="127" t="str">
        <f>IF(SUM(G48:J48)&lt;&gt;SUM(F53:J53),"n/a",G53-G48)</f>
        <v>n/a</v>
      </c>
      <c r="N48" s="127" t="str">
        <f>IF(SUM(G48:J48)&lt;&gt;SUM(F53:J53),"n/a",H53-H48)</f>
        <v>n/a</v>
      </c>
      <c r="O48" s="127" t="str">
        <f>IF(SUM(G48:J48)&lt;&gt;SUM(F53:J53),"n/a",I53-I48)</f>
        <v>n/a</v>
      </c>
      <c r="P48" s="127" t="str">
        <f>IF(SUM(G48:J48)&lt;&gt;SUM(F53:J53),"n/a",J53-J48)</f>
        <v>n/a</v>
      </c>
      <c r="Q48" s="143"/>
      <c r="R48" s="509" t="e">
        <f>-(SUMPRODUCT($M$48:$P$48,$M$52:$P$52))*(VLOOKUP($E$38,'Policy assumptions and formulae'!A10:D109,4,FALSE))</f>
        <v>#N/A</v>
      </c>
      <c r="S48" s="547"/>
      <c r="T48" s="255"/>
      <c r="U48" s="39"/>
    </row>
    <row r="49" spans="1:21" ht="29.25" customHeight="1" x14ac:dyDescent="0.2">
      <c r="A49" s="252"/>
      <c r="B49" s="140"/>
      <c r="C49" s="140"/>
      <c r="D49" s="140"/>
      <c r="E49" s="140"/>
      <c r="F49" s="161" t="s">
        <v>95</v>
      </c>
      <c r="G49" s="161" t="s">
        <v>96</v>
      </c>
      <c r="H49" s="161" t="s">
        <v>183</v>
      </c>
      <c r="I49" s="161" t="s">
        <v>75</v>
      </c>
      <c r="J49" s="161" t="s">
        <v>76</v>
      </c>
      <c r="K49" s="140"/>
      <c r="L49" s="161" t="s">
        <v>95</v>
      </c>
      <c r="M49" s="161" t="s">
        <v>96</v>
      </c>
      <c r="N49" s="161" t="s">
        <v>183</v>
      </c>
      <c r="O49" s="161" t="s">
        <v>75</v>
      </c>
      <c r="P49" s="161" t="s">
        <v>76</v>
      </c>
      <c r="Q49" s="140"/>
      <c r="R49" s="140"/>
      <c r="S49" s="140"/>
      <c r="T49" s="253"/>
    </row>
    <row r="50" spans="1:21" ht="18.75" customHeight="1" x14ac:dyDescent="0.2">
      <c r="A50" s="252"/>
      <c r="B50" s="516" t="s">
        <v>132</v>
      </c>
      <c r="C50" s="516"/>
      <c r="D50" s="516"/>
      <c r="E50" s="516"/>
      <c r="F50" s="521" t="s">
        <v>389</v>
      </c>
      <c r="G50" s="521"/>
      <c r="H50" s="521"/>
      <c r="I50" s="521"/>
      <c r="J50" s="521"/>
      <c r="K50" s="143"/>
      <c r="L50" s="580" t="s">
        <v>120</v>
      </c>
      <c r="M50" s="580"/>
      <c r="N50" s="580"/>
      <c r="O50" s="580"/>
      <c r="P50" s="580"/>
      <c r="Q50" s="140"/>
      <c r="R50" s="140"/>
      <c r="S50" s="140"/>
      <c r="T50" s="253"/>
    </row>
    <row r="51" spans="1:21" ht="18.75" customHeight="1" x14ac:dyDescent="0.2">
      <c r="A51" s="252"/>
      <c r="B51" s="499" t="s">
        <v>348</v>
      </c>
      <c r="C51" s="499"/>
      <c r="D51" s="499"/>
      <c r="E51" s="515"/>
      <c r="F51" s="102">
        <v>34</v>
      </c>
      <c r="G51" s="102">
        <v>35</v>
      </c>
      <c r="H51" s="102">
        <v>36</v>
      </c>
      <c r="I51" s="102">
        <v>37</v>
      </c>
      <c r="J51" s="102">
        <v>38</v>
      </c>
      <c r="K51" s="143"/>
      <c r="L51" s="581"/>
      <c r="M51" s="581"/>
      <c r="N51" s="581"/>
      <c r="O51" s="581"/>
      <c r="P51" s="581"/>
      <c r="Q51" s="140"/>
      <c r="R51" s="140"/>
      <c r="S51" s="140"/>
      <c r="T51" s="253"/>
    </row>
    <row r="52" spans="1:21" ht="18.75" customHeight="1" x14ac:dyDescent="0.2">
      <c r="A52" s="252"/>
      <c r="B52" s="499" t="s">
        <v>349</v>
      </c>
      <c r="C52" s="499"/>
      <c r="D52" s="499"/>
      <c r="E52" s="515"/>
      <c r="F52" s="102">
        <v>39</v>
      </c>
      <c r="G52" s="102">
        <v>40</v>
      </c>
      <c r="H52" s="102">
        <v>41</v>
      </c>
      <c r="I52" s="102">
        <v>42</v>
      </c>
      <c r="J52" s="102">
        <v>43</v>
      </c>
      <c r="K52" s="143"/>
      <c r="L52" s="128">
        <f>'Policy assumptions and formulae'!$AD$56</f>
        <v>0</v>
      </c>
      <c r="M52" s="128">
        <f>'Policy assumptions and formulae'!$AD$55</f>
        <v>58.833333333333343</v>
      </c>
      <c r="N52" s="128">
        <f>'Policy assumptions and formulae'!$AD$54</f>
        <v>294.16666666666674</v>
      </c>
      <c r="O52" s="128">
        <f>'Policy assumptions and formulae'!$AD$53</f>
        <v>1000.1666666666665</v>
      </c>
      <c r="P52" s="128">
        <f>'Policy assumptions and formulae'!$AD$52</f>
        <v>1588.5000000000002</v>
      </c>
      <c r="Q52" s="140"/>
      <c r="R52" s="140"/>
      <c r="S52" s="140"/>
      <c r="T52" s="253"/>
    </row>
    <row r="53" spans="1:21" ht="18.75" customHeight="1" x14ac:dyDescent="0.2">
      <c r="A53" s="252"/>
      <c r="B53" s="499" t="s">
        <v>351</v>
      </c>
      <c r="C53" s="499"/>
      <c r="D53" s="499"/>
      <c r="E53" s="515"/>
      <c r="F53" s="102">
        <v>44</v>
      </c>
      <c r="G53" s="102">
        <v>45</v>
      </c>
      <c r="H53" s="102">
        <v>46</v>
      </c>
      <c r="I53" s="102">
        <v>47</v>
      </c>
      <c r="J53" s="102">
        <v>48</v>
      </c>
      <c r="K53" s="143"/>
      <c r="L53" s="162" t="str">
        <f>IF(NOT(SUM(G46:J46)=SUM(F51:J51)),"Error. Total households at risk today and at risk after project completion are not equal.",IF(NOT(SUM(G47:J47)=SUM(F52:J52)),"Error. Total households at risk today and at risk after project completion are not equal.",IF(NOT(SUM(G48:J48)=SUM(F53:J53)),"Error. Total households at risk today and at risk after project completion are not equal.","")))</f>
        <v>Error. Total households at risk today and at risk after project completion are not equal.</v>
      </c>
      <c r="M53" s="143"/>
      <c r="N53" s="143"/>
      <c r="O53" s="143"/>
      <c r="P53" s="143"/>
      <c r="Q53" s="140"/>
      <c r="R53" s="140"/>
      <c r="S53" s="140"/>
      <c r="T53" s="253"/>
    </row>
    <row r="54" spans="1:21" ht="28.5" customHeight="1" x14ac:dyDescent="0.2">
      <c r="A54" s="252"/>
      <c r="B54" s="140"/>
      <c r="C54" s="140"/>
      <c r="D54" s="140"/>
      <c r="E54" s="140"/>
      <c r="F54" s="161" t="s">
        <v>95</v>
      </c>
      <c r="G54" s="161" t="s">
        <v>96</v>
      </c>
      <c r="H54" s="161" t="s">
        <v>183</v>
      </c>
      <c r="I54" s="161" t="s">
        <v>75</v>
      </c>
      <c r="J54" s="161" t="s">
        <v>76</v>
      </c>
      <c r="K54" s="140"/>
      <c r="L54" s="560" t="s">
        <v>182</v>
      </c>
      <c r="M54" s="560"/>
      <c r="N54" s="560"/>
      <c r="O54" s="560"/>
      <c r="P54" s="560"/>
      <c r="Q54" s="560"/>
      <c r="R54" s="560"/>
      <c r="S54" s="140"/>
      <c r="T54" s="253"/>
    </row>
    <row r="55" spans="1:21" ht="7.5" customHeight="1" x14ac:dyDescent="0.2">
      <c r="A55" s="252"/>
      <c r="B55" s="245"/>
      <c r="C55" s="245"/>
      <c r="D55" s="245"/>
      <c r="E55" s="245"/>
      <c r="F55" s="245"/>
      <c r="G55" s="245"/>
      <c r="H55" s="245"/>
      <c r="I55" s="245"/>
      <c r="J55" s="245"/>
      <c r="K55" s="245"/>
      <c r="L55" s="245"/>
      <c r="M55" s="245"/>
      <c r="N55" s="245"/>
      <c r="O55" s="245"/>
      <c r="P55" s="245"/>
      <c r="Q55" s="245"/>
      <c r="R55" s="245"/>
      <c r="S55" s="245"/>
      <c r="T55" s="253"/>
    </row>
    <row r="56" spans="1:21" ht="18.75" customHeight="1" x14ac:dyDescent="0.2">
      <c r="A56" s="252"/>
      <c r="B56" s="520" t="s">
        <v>391</v>
      </c>
      <c r="C56" s="520"/>
      <c r="D56" s="520"/>
      <c r="E56" s="520"/>
      <c r="F56" s="520"/>
      <c r="G56" s="520"/>
      <c r="H56" s="520"/>
      <c r="I56" s="520"/>
      <c r="J56" s="520"/>
      <c r="K56" s="520"/>
      <c r="L56" s="520"/>
      <c r="M56" s="520"/>
      <c r="N56" s="520"/>
      <c r="O56" s="520"/>
      <c r="P56" s="520"/>
      <c r="Q56" s="520"/>
      <c r="R56" s="520"/>
      <c r="S56" s="520"/>
      <c r="T56" s="253"/>
    </row>
    <row r="57" spans="1:21" ht="7.5" customHeight="1" thickBot="1" x14ac:dyDescent="0.25">
      <c r="A57" s="252"/>
      <c r="B57" s="140"/>
      <c r="C57" s="140"/>
      <c r="D57" s="140"/>
      <c r="E57" s="140"/>
      <c r="F57" s="140"/>
      <c r="G57" s="140"/>
      <c r="H57" s="140"/>
      <c r="I57" s="140"/>
      <c r="J57" s="140"/>
      <c r="K57" s="140"/>
      <c r="L57" s="140"/>
      <c r="M57" s="140"/>
      <c r="N57" s="140"/>
      <c r="O57" s="140"/>
      <c r="P57" s="140"/>
      <c r="Q57" s="140"/>
      <c r="R57" s="140"/>
      <c r="S57" s="140"/>
      <c r="T57" s="253"/>
    </row>
    <row r="58" spans="1:21" s="1" customFormat="1" ht="18.75" customHeight="1" thickBot="1" x14ac:dyDescent="0.25">
      <c r="A58" s="254"/>
      <c r="B58" s="568" t="s">
        <v>392</v>
      </c>
      <c r="C58" s="568"/>
      <c r="D58" s="568"/>
      <c r="E58" s="651">
        <v>2020</v>
      </c>
      <c r="F58" s="652"/>
      <c r="G58" s="162" t="str">
        <f>IF($E$58+$E$38&lt;2040,"OM2 (2040) FCERM GiA eligibility is not applicable","")</f>
        <v/>
      </c>
      <c r="H58" s="143"/>
      <c r="I58" s="143"/>
      <c r="J58" s="143"/>
      <c r="K58" s="143"/>
      <c r="L58" s="143"/>
      <c r="M58" s="143"/>
      <c r="N58" s="143"/>
      <c r="O58" s="143"/>
      <c r="P58" s="143"/>
      <c r="Q58" s="143"/>
      <c r="R58" s="143"/>
      <c r="S58" s="143"/>
      <c r="T58" s="255"/>
      <c r="U58" s="39"/>
    </row>
    <row r="59" spans="1:21" ht="7.5" customHeight="1" x14ac:dyDescent="0.2">
      <c r="A59" s="252"/>
      <c r="B59" s="568"/>
      <c r="C59" s="568"/>
      <c r="D59" s="568"/>
      <c r="E59" s="143"/>
      <c r="F59" s="143"/>
      <c r="G59" s="143"/>
      <c r="H59" s="143"/>
      <c r="I59" s="143"/>
      <c r="J59" s="143"/>
      <c r="K59" s="143"/>
      <c r="L59" s="143"/>
      <c r="M59" s="143"/>
      <c r="N59" s="143"/>
      <c r="O59" s="143"/>
      <c r="P59" s="143"/>
      <c r="Q59" s="143"/>
      <c r="R59" s="143"/>
      <c r="S59" s="143"/>
      <c r="T59" s="253"/>
    </row>
    <row r="60" spans="1:21" ht="18.75" customHeight="1" thickBot="1" x14ac:dyDescent="0.25">
      <c r="A60" s="252"/>
      <c r="B60" s="516" t="s">
        <v>132</v>
      </c>
      <c r="C60" s="516"/>
      <c r="D60" s="516"/>
      <c r="E60" s="516"/>
      <c r="F60" s="521" t="s">
        <v>78</v>
      </c>
      <c r="G60" s="521"/>
      <c r="H60" s="521"/>
      <c r="I60" s="521"/>
      <c r="J60" s="521"/>
      <c r="K60" s="143"/>
      <c r="L60" s="521" t="s">
        <v>73</v>
      </c>
      <c r="M60" s="521"/>
      <c r="N60" s="521"/>
      <c r="O60" s="521"/>
      <c r="P60" s="521"/>
      <c r="Q60" s="143"/>
      <c r="R60" s="546" t="s">
        <v>74</v>
      </c>
      <c r="S60" s="546"/>
      <c r="T60" s="253"/>
    </row>
    <row r="61" spans="1:21" ht="18.75" customHeight="1" thickBot="1" x14ac:dyDescent="0.25">
      <c r="A61" s="252"/>
      <c r="B61" s="499" t="s">
        <v>348</v>
      </c>
      <c r="C61" s="499"/>
      <c r="D61" s="499"/>
      <c r="E61" s="515"/>
      <c r="F61" s="126"/>
      <c r="G61" s="103">
        <v>49</v>
      </c>
      <c r="H61" s="103">
        <v>50</v>
      </c>
      <c r="I61" s="103">
        <v>51</v>
      </c>
      <c r="J61" s="103">
        <v>52</v>
      </c>
      <c r="K61" s="143"/>
      <c r="L61" s="127" t="str">
        <f>IF(SUM(G61:J61)&lt;&gt;SUM(F66:J66),"n/a",F66)</f>
        <v>n/a</v>
      </c>
      <c r="M61" s="127" t="str">
        <f>IF(SUM(G61:J61)&lt;&gt;SUM(F66:J66),"n/a",G66-G61)</f>
        <v>n/a</v>
      </c>
      <c r="N61" s="127" t="str">
        <f>IF(SUM(G61:J61)&lt;&gt;SUM(F66:J66),"n/a",H66-H61)</f>
        <v>n/a</v>
      </c>
      <c r="O61" s="127" t="str">
        <f>IF(SUM(G61:J61)&lt;&gt;SUM(F66:J66),"n/a",I66-I61)</f>
        <v>n/a</v>
      </c>
      <c r="P61" s="127" t="str">
        <f>IF(SUM(G61:J61)&lt;&gt;SUM(F66:J66),"n/a",J66-J61)</f>
        <v>n/a</v>
      </c>
      <c r="Q61" s="143"/>
      <c r="R61" s="509" t="e">
        <f>IF($E$58+$E$38&lt;2041,"Ltd by DoB",(-SUMPRODUCT($M$61:$P$61,$M$67:$P$67)*VLOOKUP($E$38,'Policy assumptions and formulae'!$A$10:$D$109,4,FALSE))-(-SUMPRODUCT($M$61:$P$61,$M$67:$P$67)*VLOOKUP((2040-$E$58),'Policy assumptions and formulae'!$A$10:$D$109,4,FALSE)))</f>
        <v>#N/A</v>
      </c>
      <c r="S61" s="547"/>
      <c r="T61" s="253"/>
    </row>
    <row r="62" spans="1:21" ht="18.75" customHeight="1" thickBot="1" x14ac:dyDescent="0.25">
      <c r="A62" s="252"/>
      <c r="B62" s="499" t="s">
        <v>349</v>
      </c>
      <c r="C62" s="499"/>
      <c r="D62" s="499"/>
      <c r="E62" s="515"/>
      <c r="F62" s="126"/>
      <c r="G62" s="103">
        <v>53</v>
      </c>
      <c r="H62" s="103">
        <v>54</v>
      </c>
      <c r="I62" s="103">
        <v>55</v>
      </c>
      <c r="J62" s="103">
        <v>56</v>
      </c>
      <c r="K62" s="143"/>
      <c r="L62" s="127" t="str">
        <f>IF(SUM(G62:J62)&lt;&gt;SUM(F67:J67),"n/a",F67)</f>
        <v>n/a</v>
      </c>
      <c r="M62" s="127" t="str">
        <f>IF(SUM(G62:J62)&lt;&gt;SUM(F67:J67),"n/a",G67-G62)</f>
        <v>n/a</v>
      </c>
      <c r="N62" s="127" t="str">
        <f>IF(SUM(G62:J62)&lt;&gt;SUM(F67:J67),"n/a",H67-H62)</f>
        <v>n/a</v>
      </c>
      <c r="O62" s="127" t="str">
        <f>IF(SUM(G62:J62)&lt;&gt;SUM(F67:J67),"n/a",I67-I62)</f>
        <v>n/a</v>
      </c>
      <c r="P62" s="127" t="str">
        <f>IF(SUM(G62:J62)&lt;&gt;SUM(F67:J67),"n/a",J67-J62)</f>
        <v>n/a</v>
      </c>
      <c r="Q62" s="143"/>
      <c r="R62" s="509" t="e">
        <f>IF($E$58+$E$38&lt;2041,"Ltd by DoB",(-SUMPRODUCT($M$62:$P$62,$M$67:$P$67)*VLOOKUP($E$38,'Policy assumptions and formulae'!$A$10:$D$109,4,FALSE))-(-SUMPRODUCT($M$62:$P$62,$M$67:$P$67)*VLOOKUP((2040-$E$58),'Policy assumptions and formulae'!$A$10:$D$109,4,FALSE)))</f>
        <v>#N/A</v>
      </c>
      <c r="S62" s="547"/>
      <c r="T62" s="253"/>
    </row>
    <row r="63" spans="1:21" ht="18.75" customHeight="1" thickBot="1" x14ac:dyDescent="0.25">
      <c r="A63" s="252"/>
      <c r="B63" s="499" t="s">
        <v>350</v>
      </c>
      <c r="C63" s="499"/>
      <c r="D63" s="499"/>
      <c r="E63" s="515"/>
      <c r="F63" s="126"/>
      <c r="G63" s="103">
        <v>57</v>
      </c>
      <c r="H63" s="103">
        <v>58</v>
      </c>
      <c r="I63" s="103">
        <v>59</v>
      </c>
      <c r="J63" s="103">
        <v>60</v>
      </c>
      <c r="K63" s="143"/>
      <c r="L63" s="127" t="str">
        <f>IF(SUM(G63:J63)&lt;&gt;SUM(F68:J68),"n/a",F68)</f>
        <v>n/a</v>
      </c>
      <c r="M63" s="127" t="str">
        <f>IF(SUM(G63:J63)&lt;&gt;SUM(F68:J68),"n/a",G68-G63)</f>
        <v>n/a</v>
      </c>
      <c r="N63" s="127" t="str">
        <f>IF(SUM(G63:J63)&lt;&gt;SUM(F68:J68),"n/a",H68-H63)</f>
        <v>n/a</v>
      </c>
      <c r="O63" s="127" t="str">
        <f>IF(SUM(G63:J63)&lt;&gt;SUM(F68:J68),"n/a",I68-I63)</f>
        <v>n/a</v>
      </c>
      <c r="P63" s="127" t="str">
        <f>IF(SUM(G63:J63)&lt;&gt;SUM(F68:J68),"n/a",J68-J63)</f>
        <v>n/a</v>
      </c>
      <c r="Q63" s="143"/>
      <c r="R63" s="509" t="e">
        <f>IF($E$58+$E$38&lt;2041,"Ltd by DoB",(-SUMPRODUCT($M$63:$P$63,$M$67:$P$67)*VLOOKUP($E$38,'Policy assumptions and formulae'!$A$10:$D$109,4,FALSE))-(-SUMPRODUCT($M$63:$P$63,$M$67:$P$67)*VLOOKUP((2040-$E$58),'Policy assumptions and formulae'!$A$10:$D$109,4,FALSE)))</f>
        <v>#N/A</v>
      </c>
      <c r="S63" s="547"/>
      <c r="T63" s="253"/>
    </row>
    <row r="64" spans="1:21" ht="28.5" customHeight="1" x14ac:dyDescent="0.2">
      <c r="A64" s="252"/>
      <c r="B64" s="140"/>
      <c r="C64" s="140"/>
      <c r="D64" s="140"/>
      <c r="E64" s="140"/>
      <c r="F64" s="161" t="s">
        <v>95</v>
      </c>
      <c r="G64" s="161" t="s">
        <v>96</v>
      </c>
      <c r="H64" s="161" t="s">
        <v>183</v>
      </c>
      <c r="I64" s="161" t="s">
        <v>75</v>
      </c>
      <c r="J64" s="161" t="s">
        <v>76</v>
      </c>
      <c r="K64" s="163"/>
      <c r="L64" s="161" t="s">
        <v>95</v>
      </c>
      <c r="M64" s="161" t="s">
        <v>96</v>
      </c>
      <c r="N64" s="161" t="s">
        <v>183</v>
      </c>
      <c r="O64" s="161" t="s">
        <v>75</v>
      </c>
      <c r="P64" s="161" t="s">
        <v>76</v>
      </c>
      <c r="Q64" s="140"/>
      <c r="R64" s="140"/>
      <c r="S64" s="140"/>
      <c r="T64" s="253"/>
    </row>
    <row r="65" spans="1:21" ht="18.75" customHeight="1" x14ac:dyDescent="0.2">
      <c r="A65" s="252"/>
      <c r="B65" s="516" t="s">
        <v>132</v>
      </c>
      <c r="C65" s="516"/>
      <c r="D65" s="516"/>
      <c r="E65" s="516"/>
      <c r="F65" s="521" t="s">
        <v>389</v>
      </c>
      <c r="G65" s="521"/>
      <c r="H65" s="521"/>
      <c r="I65" s="521"/>
      <c r="J65" s="521"/>
      <c r="K65" s="143"/>
      <c r="L65" s="580" t="s">
        <v>120</v>
      </c>
      <c r="M65" s="580"/>
      <c r="N65" s="580"/>
      <c r="O65" s="580"/>
      <c r="P65" s="580"/>
      <c r="Q65" s="143"/>
      <c r="R65" s="143"/>
      <c r="S65" s="143"/>
      <c r="T65" s="253"/>
    </row>
    <row r="66" spans="1:21" ht="18.75" customHeight="1" x14ac:dyDescent="0.2">
      <c r="A66" s="252"/>
      <c r="B66" s="499" t="s">
        <v>348</v>
      </c>
      <c r="C66" s="499"/>
      <c r="D66" s="499"/>
      <c r="E66" s="515"/>
      <c r="F66" s="103">
        <v>61</v>
      </c>
      <c r="G66" s="103">
        <v>62</v>
      </c>
      <c r="H66" s="103">
        <v>63</v>
      </c>
      <c r="I66" s="103">
        <v>64</v>
      </c>
      <c r="J66" s="103">
        <v>65</v>
      </c>
      <c r="K66" s="143"/>
      <c r="L66" s="581"/>
      <c r="M66" s="581"/>
      <c r="N66" s="581"/>
      <c r="O66" s="581"/>
      <c r="P66" s="581"/>
      <c r="Q66" s="143"/>
      <c r="R66" s="143"/>
      <c r="S66" s="143"/>
      <c r="T66" s="253"/>
    </row>
    <row r="67" spans="1:21" ht="18.75" customHeight="1" x14ac:dyDescent="0.2">
      <c r="A67" s="252"/>
      <c r="B67" s="499" t="s">
        <v>349</v>
      </c>
      <c r="C67" s="499"/>
      <c r="D67" s="499"/>
      <c r="E67" s="515"/>
      <c r="F67" s="103">
        <v>66</v>
      </c>
      <c r="G67" s="103">
        <v>67</v>
      </c>
      <c r="H67" s="103">
        <v>68</v>
      </c>
      <c r="I67" s="103">
        <v>69</v>
      </c>
      <c r="J67" s="103">
        <v>70</v>
      </c>
      <c r="K67" s="143"/>
      <c r="L67" s="128">
        <f>'Policy assumptions and formulae'!$AD$56</f>
        <v>0</v>
      </c>
      <c r="M67" s="128">
        <f>'Policy assumptions and formulae'!$AD$55</f>
        <v>58.833333333333343</v>
      </c>
      <c r="N67" s="128">
        <f>'Policy assumptions and formulae'!$AD$54</f>
        <v>294.16666666666674</v>
      </c>
      <c r="O67" s="128">
        <f>'Policy assumptions and formulae'!$AD$53</f>
        <v>1000.1666666666665</v>
      </c>
      <c r="P67" s="128">
        <f>'Policy assumptions and formulae'!$AD$52</f>
        <v>1588.5000000000002</v>
      </c>
      <c r="Q67" s="143"/>
      <c r="R67" s="143"/>
      <c r="S67" s="143"/>
      <c r="T67" s="253"/>
    </row>
    <row r="68" spans="1:21" ht="18.75" customHeight="1" x14ac:dyDescent="0.2">
      <c r="A68" s="252"/>
      <c r="B68" s="499" t="s">
        <v>350</v>
      </c>
      <c r="C68" s="499"/>
      <c r="D68" s="499"/>
      <c r="E68" s="515"/>
      <c r="F68" s="103">
        <v>71</v>
      </c>
      <c r="G68" s="103">
        <v>72</v>
      </c>
      <c r="H68" s="103">
        <v>73</v>
      </c>
      <c r="I68" s="103">
        <v>74</v>
      </c>
      <c r="J68" s="103">
        <v>75</v>
      </c>
      <c r="K68" s="143"/>
      <c r="L68" s="162" t="str">
        <f>IF(NOT(SUM(G61:J61)=SUM(F66:J66)),"Error. Total households at risk from 2040 and at risk after project completion are not equal.",IF(NOT(SUM(G62:J62)=SUM(F67:J67)),"Error. Total households at risk from 2040 and at risk after project completion are not equal.",IF(NOT(SUM(G63:J63)=SUM(F68:J68)),"Error. Total households at risk from 2040 and at risk after project completion are not equal.","")))</f>
        <v>Error. Total households at risk from 2040 and at risk after project completion are not equal.</v>
      </c>
      <c r="M68" s="143"/>
      <c r="N68" s="143"/>
      <c r="O68" s="143"/>
      <c r="P68" s="143"/>
      <c r="Q68" s="143"/>
      <c r="R68" s="143"/>
      <c r="S68" s="143"/>
      <c r="T68" s="253"/>
    </row>
    <row r="69" spans="1:21" ht="28.5" customHeight="1" x14ac:dyDescent="0.2">
      <c r="A69" s="252"/>
      <c r="B69" s="140"/>
      <c r="C69" s="140"/>
      <c r="D69" s="140"/>
      <c r="E69" s="140"/>
      <c r="F69" s="161" t="s">
        <v>95</v>
      </c>
      <c r="G69" s="161" t="s">
        <v>96</v>
      </c>
      <c r="H69" s="161" t="s">
        <v>183</v>
      </c>
      <c r="I69" s="161" t="s">
        <v>75</v>
      </c>
      <c r="J69" s="161" t="s">
        <v>76</v>
      </c>
      <c r="K69" s="140"/>
      <c r="L69" s="560" t="s">
        <v>182</v>
      </c>
      <c r="M69" s="560"/>
      <c r="N69" s="560"/>
      <c r="O69" s="560"/>
      <c r="P69" s="560"/>
      <c r="Q69" s="560"/>
      <c r="R69" s="560"/>
      <c r="S69" s="140"/>
      <c r="T69" s="253"/>
    </row>
    <row r="70" spans="1:21" ht="7.5" customHeight="1" thickBot="1" x14ac:dyDescent="0.25">
      <c r="A70" s="252"/>
      <c r="B70" s="246"/>
      <c r="C70" s="246"/>
      <c r="D70" s="246"/>
      <c r="E70" s="246"/>
      <c r="F70" s="246"/>
      <c r="G70" s="246"/>
      <c r="H70" s="246"/>
      <c r="I70" s="246"/>
      <c r="J70" s="246"/>
      <c r="K70" s="246"/>
      <c r="L70" s="246"/>
      <c r="M70" s="246"/>
      <c r="N70" s="246"/>
      <c r="O70" s="246"/>
      <c r="P70" s="246"/>
      <c r="Q70" s="246"/>
      <c r="R70" s="246"/>
      <c r="S70" s="246"/>
      <c r="T70" s="253"/>
    </row>
    <row r="71" spans="1:21" ht="18.75" customHeight="1" x14ac:dyDescent="0.2">
      <c r="A71" s="252"/>
      <c r="B71" s="520" t="s">
        <v>178</v>
      </c>
      <c r="C71" s="520"/>
      <c r="D71" s="520"/>
      <c r="E71" s="520"/>
      <c r="F71" s="520"/>
      <c r="G71" s="520"/>
      <c r="H71" s="520"/>
      <c r="I71" s="520"/>
      <c r="J71" s="520"/>
      <c r="K71" s="520"/>
      <c r="L71" s="520"/>
      <c r="M71" s="520"/>
      <c r="N71" s="520"/>
      <c r="O71" s="520"/>
      <c r="P71" s="520"/>
      <c r="Q71" s="520"/>
      <c r="R71" s="520"/>
      <c r="S71" s="520"/>
      <c r="T71" s="253"/>
    </row>
    <row r="72" spans="1:21" ht="7.5" customHeight="1" x14ac:dyDescent="0.2">
      <c r="A72" s="252"/>
      <c r="B72" s="140"/>
      <c r="C72" s="140"/>
      <c r="D72" s="140"/>
      <c r="E72" s="140"/>
      <c r="F72" s="140"/>
      <c r="G72" s="140"/>
      <c r="H72" s="140"/>
      <c r="I72" s="140"/>
      <c r="J72" s="140"/>
      <c r="K72" s="140"/>
      <c r="L72" s="140"/>
      <c r="M72" s="140"/>
      <c r="N72" s="140"/>
      <c r="O72" s="140"/>
      <c r="P72" s="140"/>
      <c r="Q72" s="140"/>
      <c r="R72" s="140"/>
      <c r="S72" s="140"/>
      <c r="T72" s="253"/>
    </row>
    <row r="73" spans="1:21" ht="18.75" customHeight="1" thickBot="1" x14ac:dyDescent="0.25">
      <c r="A73" s="252"/>
      <c r="B73" s="516" t="s">
        <v>132</v>
      </c>
      <c r="C73" s="516"/>
      <c r="D73" s="516"/>
      <c r="E73" s="516"/>
      <c r="F73" s="521" t="s">
        <v>72</v>
      </c>
      <c r="G73" s="521"/>
      <c r="H73" s="143"/>
      <c r="I73" s="143"/>
      <c r="J73" s="640" t="s">
        <v>122</v>
      </c>
      <c r="K73" s="640"/>
      <c r="L73" s="640"/>
      <c r="M73" s="640"/>
      <c r="N73" s="143"/>
      <c r="O73" s="143"/>
      <c r="P73" s="143"/>
      <c r="Q73" s="143"/>
      <c r="R73" s="546" t="s">
        <v>74</v>
      </c>
      <c r="S73" s="546"/>
      <c r="T73" s="253"/>
    </row>
    <row r="74" spans="1:21" s="1" customFormat="1" ht="18.75" customHeight="1" thickBot="1" x14ac:dyDescent="0.2">
      <c r="A74" s="254"/>
      <c r="B74" s="499" t="s">
        <v>348</v>
      </c>
      <c r="C74" s="499"/>
      <c r="D74" s="499"/>
      <c r="E74" s="515"/>
      <c r="F74" s="103">
        <v>76</v>
      </c>
      <c r="G74" s="103">
        <v>77</v>
      </c>
      <c r="H74" s="143"/>
      <c r="I74" s="143"/>
      <c r="J74" s="529" t="s">
        <v>123</v>
      </c>
      <c r="K74" s="529"/>
      <c r="L74" s="529"/>
      <c r="M74" s="530"/>
      <c r="N74" s="129">
        <f>'Policy assumptions and formulae'!$AJ$7</f>
        <v>6800</v>
      </c>
      <c r="O74" s="129">
        <f>'Policy assumptions and formulae'!$AJ$7</f>
        <v>6800</v>
      </c>
      <c r="P74" s="165"/>
      <c r="Q74" s="143"/>
      <c r="R74" s="509" t="e">
        <f>SUMPRODUCT($N$76:$O$76,$F$74:$G$74)*VLOOKUP($E$38,'Policy assumptions and formulae'!$A$10:$D$109,4,FALSE)</f>
        <v>#N/A</v>
      </c>
      <c r="S74" s="510"/>
      <c r="T74" s="255"/>
      <c r="U74" s="39"/>
    </row>
    <row r="75" spans="1:21" s="1" customFormat="1" ht="18.75" customHeight="1" thickBot="1" x14ac:dyDescent="0.2">
      <c r="A75" s="254"/>
      <c r="B75" s="499" t="s">
        <v>349</v>
      </c>
      <c r="C75" s="499"/>
      <c r="D75" s="499"/>
      <c r="E75" s="515"/>
      <c r="F75" s="103">
        <v>78</v>
      </c>
      <c r="G75" s="103">
        <v>79</v>
      </c>
      <c r="H75" s="143"/>
      <c r="I75" s="143"/>
      <c r="J75" s="578" t="s">
        <v>124</v>
      </c>
      <c r="K75" s="578"/>
      <c r="L75" s="578"/>
      <c r="M75" s="579"/>
      <c r="N75" s="130">
        <f>'Policy assumptions and formulae'!AJ28</f>
        <v>50</v>
      </c>
      <c r="O75" s="130">
        <f>'Policy assumptions and formulae'!AJ26</f>
        <v>20</v>
      </c>
      <c r="P75" s="166" t="s">
        <v>121</v>
      </c>
      <c r="Q75" s="143"/>
      <c r="R75" s="509" t="e">
        <f>SUMPRODUCT($N$76:$O$76,$F$75:$G$75)*VLOOKUP($E$38,'Policy assumptions and formulae'!$A$10:$D$109,4,FALSE)</f>
        <v>#N/A</v>
      </c>
      <c r="S75" s="510"/>
      <c r="T75" s="255"/>
      <c r="U75" s="39"/>
    </row>
    <row r="76" spans="1:21" s="1" customFormat="1" ht="18.75" customHeight="1" thickBot="1" x14ac:dyDescent="0.2">
      <c r="A76" s="254"/>
      <c r="B76" s="499" t="s">
        <v>350</v>
      </c>
      <c r="C76" s="499"/>
      <c r="D76" s="499"/>
      <c r="E76" s="515"/>
      <c r="F76" s="103">
        <v>80</v>
      </c>
      <c r="G76" s="103">
        <v>81</v>
      </c>
      <c r="H76" s="143"/>
      <c r="I76" s="143"/>
      <c r="J76" s="548" t="s">
        <v>125</v>
      </c>
      <c r="K76" s="548"/>
      <c r="L76" s="548"/>
      <c r="M76" s="548"/>
      <c r="N76" s="129">
        <f>'Policy assumptions and formulae'!$AM$28</f>
        <v>1341.3864802956614</v>
      </c>
      <c r="O76" s="129">
        <f>'Policy assumptions and formulae'!$AM$26</f>
        <v>3417.4480141353602</v>
      </c>
      <c r="P76" s="167"/>
      <c r="Q76" s="143"/>
      <c r="R76" s="509" t="e">
        <f>SUMPRODUCT($N$76:$O$76,$F$76:$G$76)*VLOOKUP($E$38,'Policy assumptions and formulae'!$A$10:$D$109,4,FALSE)</f>
        <v>#N/A</v>
      </c>
      <c r="S76" s="510"/>
      <c r="T76" s="255"/>
      <c r="U76" s="39"/>
    </row>
    <row r="77" spans="1:21" ht="30" x14ac:dyDescent="0.15">
      <c r="A77" s="252"/>
      <c r="B77" s="143"/>
      <c r="C77" s="143"/>
      <c r="D77" s="143"/>
      <c r="E77" s="143"/>
      <c r="F77" s="161" t="s">
        <v>415</v>
      </c>
      <c r="G77" s="161" t="s">
        <v>80</v>
      </c>
      <c r="H77" s="143"/>
      <c r="I77" s="143"/>
      <c r="J77" s="548"/>
      <c r="K77" s="548"/>
      <c r="L77" s="548"/>
      <c r="M77" s="548"/>
      <c r="N77" s="164" t="s">
        <v>54</v>
      </c>
      <c r="O77" s="164" t="s">
        <v>47</v>
      </c>
      <c r="P77" s="167"/>
      <c r="Q77" s="143"/>
      <c r="R77" s="143"/>
      <c r="S77" s="143"/>
      <c r="T77" s="253"/>
    </row>
    <row r="78" spans="1:21" ht="7.5" customHeight="1" thickBot="1" x14ac:dyDescent="0.25">
      <c r="A78" s="252"/>
      <c r="B78" s="246"/>
      <c r="C78" s="246"/>
      <c r="D78" s="246"/>
      <c r="E78" s="246"/>
      <c r="F78" s="246"/>
      <c r="G78" s="246"/>
      <c r="H78" s="246"/>
      <c r="I78" s="246"/>
      <c r="J78" s="246"/>
      <c r="K78" s="246"/>
      <c r="L78" s="246"/>
      <c r="M78" s="246"/>
      <c r="N78" s="246"/>
      <c r="O78" s="246"/>
      <c r="P78" s="246"/>
      <c r="Q78" s="246"/>
      <c r="R78" s="246"/>
      <c r="S78" s="246"/>
      <c r="T78" s="253"/>
    </row>
    <row r="79" spans="1:21" ht="18.75" customHeight="1" x14ac:dyDescent="0.2">
      <c r="A79" s="252"/>
      <c r="B79" s="520" t="s">
        <v>179</v>
      </c>
      <c r="C79" s="520"/>
      <c r="D79" s="520"/>
      <c r="E79" s="520"/>
      <c r="F79" s="520"/>
      <c r="G79" s="520"/>
      <c r="H79" s="520"/>
      <c r="I79" s="520"/>
      <c r="J79" s="520"/>
      <c r="K79" s="520"/>
      <c r="L79" s="520"/>
      <c r="M79" s="520"/>
      <c r="N79" s="520"/>
      <c r="O79" s="520"/>
      <c r="P79" s="520"/>
      <c r="Q79" s="520"/>
      <c r="R79" s="520"/>
      <c r="S79" s="520"/>
      <c r="T79" s="253"/>
    </row>
    <row r="80" spans="1:21" ht="7.5" customHeight="1" x14ac:dyDescent="0.2">
      <c r="A80" s="252"/>
      <c r="B80" s="152"/>
      <c r="C80" s="140"/>
      <c r="D80" s="140"/>
      <c r="E80" s="140"/>
      <c r="F80" s="140"/>
      <c r="G80" s="140"/>
      <c r="H80" s="140"/>
      <c r="I80" s="140"/>
      <c r="J80" s="140"/>
      <c r="K80" s="140"/>
      <c r="L80" s="140"/>
      <c r="M80" s="140"/>
      <c r="N80" s="140"/>
      <c r="O80" s="140"/>
      <c r="P80" s="140"/>
      <c r="Q80" s="140"/>
      <c r="R80" s="140"/>
      <c r="S80" s="140"/>
      <c r="T80" s="253"/>
    </row>
    <row r="81" spans="1:21" ht="18.75" customHeight="1" x14ac:dyDescent="0.15">
      <c r="A81" s="252"/>
      <c r="B81" s="168"/>
      <c r="C81" s="157"/>
      <c r="D81" s="565" t="s">
        <v>393</v>
      </c>
      <c r="E81" s="566"/>
      <c r="F81" s="566"/>
      <c r="G81" s="565" t="s">
        <v>394</v>
      </c>
      <c r="H81" s="566"/>
      <c r="I81" s="566"/>
      <c r="J81" s="566"/>
      <c r="K81" s="566"/>
      <c r="L81" s="140"/>
      <c r="M81" s="140"/>
      <c r="N81" s="140"/>
      <c r="O81" s="140"/>
      <c r="P81" s="140"/>
      <c r="Q81" s="140"/>
      <c r="R81" s="140"/>
      <c r="S81" s="140"/>
      <c r="T81" s="253"/>
    </row>
    <row r="82" spans="1:21" ht="18.75" customHeight="1" thickBot="1" x14ac:dyDescent="0.2">
      <c r="A82" s="252"/>
      <c r="B82" s="656" t="s">
        <v>384</v>
      </c>
      <c r="C82" s="656"/>
      <c r="D82" s="169" t="s">
        <v>325</v>
      </c>
      <c r="E82" s="169" t="s">
        <v>326</v>
      </c>
      <c r="F82" s="169" t="s">
        <v>327</v>
      </c>
      <c r="G82" s="157"/>
      <c r="H82" s="169" t="s">
        <v>325</v>
      </c>
      <c r="I82" s="169" t="s">
        <v>326</v>
      </c>
      <c r="J82" s="169" t="s">
        <v>327</v>
      </c>
      <c r="K82" s="140"/>
      <c r="L82" s="526" t="s">
        <v>74</v>
      </c>
      <c r="M82" s="526"/>
      <c r="N82" s="566" t="s">
        <v>385</v>
      </c>
      <c r="O82" s="566"/>
      <c r="P82" s="566"/>
      <c r="Q82" s="566"/>
      <c r="R82" s="566"/>
      <c r="S82" s="140"/>
      <c r="T82" s="253"/>
      <c r="U82" s="336"/>
    </row>
    <row r="83" spans="1:21" ht="18.75" customHeight="1" thickBot="1" x14ac:dyDescent="0.25">
      <c r="A83" s="252"/>
      <c r="B83" s="524" t="s">
        <v>105</v>
      </c>
      <c r="C83" s="525"/>
      <c r="D83" s="104">
        <v>82</v>
      </c>
      <c r="E83" s="104">
        <v>83</v>
      </c>
      <c r="F83" s="104">
        <v>84</v>
      </c>
      <c r="G83" s="586"/>
      <c r="H83" s="104">
        <v>106</v>
      </c>
      <c r="I83" s="104">
        <v>107</v>
      </c>
      <c r="J83" s="104">
        <v>108</v>
      </c>
      <c r="K83" s="567" t="str">
        <f>IF(SUM(D83:F90)&lt;&gt;SUM(H83:J90),"Error in net change habitat","")</f>
        <v>Error in net change habitat</v>
      </c>
      <c r="L83" s="584" t="e">
        <f>(((H83-D83)*'Policy assumptions and formulae'!AR12)+((I83-E83)*'Policy assumptions and formulae'!AS12)+((J83-F83)*'Policy assumptions and formulae'!AT12))*VLOOKUP($E$38,'Policy assumptions and formulae'!$A$10:$D$109,4,FALSE)</f>
        <v>#N/A</v>
      </c>
      <c r="M83" s="585"/>
      <c r="N83" s="140"/>
      <c r="O83" s="168"/>
      <c r="P83" s="322" t="s">
        <v>379</v>
      </c>
      <c r="Q83" s="323"/>
      <c r="R83" s="641" t="s">
        <v>74</v>
      </c>
      <c r="S83" s="641"/>
      <c r="T83" s="253"/>
    </row>
    <row r="84" spans="1:21" ht="18.75" customHeight="1" thickBot="1" x14ac:dyDescent="0.25">
      <c r="A84" s="252"/>
      <c r="B84" s="524" t="s">
        <v>106</v>
      </c>
      <c r="C84" s="525"/>
      <c r="D84" s="104">
        <v>85</v>
      </c>
      <c r="E84" s="104">
        <v>86</v>
      </c>
      <c r="F84" s="104">
        <v>87</v>
      </c>
      <c r="G84" s="586"/>
      <c r="H84" s="104">
        <v>109</v>
      </c>
      <c r="I84" s="104">
        <v>110</v>
      </c>
      <c r="J84" s="104">
        <v>111</v>
      </c>
      <c r="K84" s="567"/>
      <c r="L84" s="584" t="e">
        <f>(((H84-D84)*'Policy assumptions and formulae'!AR13)+((I84-E84)*'Policy assumptions and formulae'!AS13)+((J84-F84)*'Policy assumptions and formulae'!AT13))*VLOOKUP($E$38,'Policy assumptions and formulae'!$A$10:$D$109,4,FALSE)</f>
        <v>#N/A</v>
      </c>
      <c r="M84" s="585"/>
      <c r="N84" s="563" t="s">
        <v>380</v>
      </c>
      <c r="O84" s="564"/>
      <c r="P84" s="319">
        <v>130</v>
      </c>
      <c r="Q84" s="323"/>
      <c r="R84" s="561" t="e">
        <f>(P84*'Policy assumptions and formulae'!AT23)*VLOOKUP($E$38,'Policy assumptions and formulae'!$A$10:$D$109,4,FALSE)</f>
        <v>#N/A</v>
      </c>
      <c r="S84" s="562"/>
      <c r="T84" s="253"/>
    </row>
    <row r="85" spans="1:21" ht="18.75" customHeight="1" thickBot="1" x14ac:dyDescent="0.25">
      <c r="A85" s="252"/>
      <c r="B85" s="524" t="s">
        <v>55</v>
      </c>
      <c r="C85" s="525"/>
      <c r="D85" s="104">
        <v>88</v>
      </c>
      <c r="E85" s="104">
        <v>89</v>
      </c>
      <c r="F85" s="104">
        <v>90</v>
      </c>
      <c r="G85" s="586"/>
      <c r="H85" s="104">
        <v>112</v>
      </c>
      <c r="I85" s="104">
        <v>113</v>
      </c>
      <c r="J85" s="104">
        <v>114</v>
      </c>
      <c r="K85" s="567"/>
      <c r="L85" s="584" t="e">
        <f>(((H85-D85)*'Policy assumptions and formulae'!AR14)+((I85-E85)*'Policy assumptions and formulae'!AS14)+((J85-F85)*'Policy assumptions and formulae'!AT14))*VLOOKUP($E$38,'Policy assumptions and formulae'!$A$10:$D$109,4,FALSE)</f>
        <v>#N/A</v>
      </c>
      <c r="M85" s="585"/>
      <c r="N85" s="563" t="s">
        <v>381</v>
      </c>
      <c r="O85" s="564"/>
      <c r="P85" s="320">
        <v>131</v>
      </c>
      <c r="Q85" s="323"/>
      <c r="R85" s="561" t="e">
        <f>(P85*'Policy assumptions and formulae'!AT24)*VLOOKUP($E$38,'Policy assumptions and formulae'!$A$10:$D$109,4,FALSE)</f>
        <v>#N/A</v>
      </c>
      <c r="S85" s="562"/>
      <c r="T85" s="253"/>
    </row>
    <row r="86" spans="1:21" ht="18.75" customHeight="1" thickBot="1" x14ac:dyDescent="0.25">
      <c r="A86" s="252"/>
      <c r="B86" s="524" t="s">
        <v>107</v>
      </c>
      <c r="C86" s="525"/>
      <c r="D86" s="104">
        <v>91</v>
      </c>
      <c r="E86" s="104">
        <v>92</v>
      </c>
      <c r="F86" s="104">
        <v>93</v>
      </c>
      <c r="G86" s="586"/>
      <c r="H86" s="104">
        <v>115</v>
      </c>
      <c r="I86" s="104">
        <v>116</v>
      </c>
      <c r="J86" s="104">
        <v>117</v>
      </c>
      <c r="K86" s="567"/>
      <c r="L86" s="584" t="e">
        <f>(((H86-D86)*'Policy assumptions and formulae'!AR15)+((I86-E86)*'Policy assumptions and formulae'!AS15)+((J86-F86)*'Policy assumptions and formulae'!AT15))*VLOOKUP($E$38,'Policy assumptions and formulae'!$A$10:$D$109,4,FALSE)</f>
        <v>#N/A</v>
      </c>
      <c r="M86" s="585"/>
      <c r="N86" s="587" t="s">
        <v>352</v>
      </c>
      <c r="O86" s="588"/>
      <c r="P86" s="319">
        <v>132</v>
      </c>
      <c r="Q86" s="323"/>
      <c r="R86" s="561" t="e">
        <f>(P86*'Policy assumptions and formulae'!AT25)*VLOOKUP($E$38,'Policy assumptions and formulae'!$A$10:$D$109,4,FALSE)</f>
        <v>#N/A</v>
      </c>
      <c r="S86" s="562"/>
      <c r="T86" s="253"/>
    </row>
    <row r="87" spans="1:21" ht="18.75" customHeight="1" thickBot="1" x14ac:dyDescent="0.25">
      <c r="A87" s="252"/>
      <c r="B87" s="524" t="s">
        <v>108</v>
      </c>
      <c r="C87" s="525"/>
      <c r="D87" s="104">
        <v>94</v>
      </c>
      <c r="E87" s="104">
        <v>95</v>
      </c>
      <c r="F87" s="104">
        <v>96</v>
      </c>
      <c r="G87" s="586"/>
      <c r="H87" s="104">
        <v>118</v>
      </c>
      <c r="I87" s="104">
        <v>119</v>
      </c>
      <c r="J87" s="104">
        <v>120</v>
      </c>
      <c r="K87" s="567"/>
      <c r="L87" s="584" t="e">
        <f>(((H87-D87)*'Policy assumptions and formulae'!AR16)+((I87-E87)*'Policy assumptions and formulae'!AS16)+((J87-F87)*'Policy assumptions and formulae'!AT16))*VLOOKUP($E$38,'Policy assumptions and formulae'!$A$10:$D$109,4,FALSE)</f>
        <v>#N/A</v>
      </c>
      <c r="M87" s="585"/>
      <c r="N87" s="587"/>
      <c r="O87" s="588"/>
      <c r="P87" s="324"/>
      <c r="Q87" s="323"/>
      <c r="R87" s="325"/>
      <c r="S87" s="325"/>
      <c r="T87" s="253"/>
    </row>
    <row r="88" spans="1:21" ht="18.75" customHeight="1" thickBot="1" x14ac:dyDescent="0.25">
      <c r="A88" s="252"/>
      <c r="B88" s="524" t="s">
        <v>329</v>
      </c>
      <c r="C88" s="525"/>
      <c r="D88" s="104">
        <v>97</v>
      </c>
      <c r="E88" s="104">
        <v>98</v>
      </c>
      <c r="F88" s="104">
        <v>99</v>
      </c>
      <c r="G88" s="586"/>
      <c r="H88" s="104">
        <v>121</v>
      </c>
      <c r="I88" s="104">
        <v>122</v>
      </c>
      <c r="J88" s="104">
        <v>123</v>
      </c>
      <c r="K88" s="567"/>
      <c r="L88" s="584" t="e">
        <f>(((H88-D88)*'Policy assumptions and formulae'!AR17)+((I88-E88)*'Policy assumptions and formulae'!AS17)+((J88-F88)*'Policy assumptions and formulae'!AT17))*VLOOKUP($E$38,'Policy assumptions and formulae'!$A$10:$D$109,4,FALSE)</f>
        <v>#N/A</v>
      </c>
      <c r="M88" s="585"/>
      <c r="N88" s="140"/>
      <c r="O88" s="140"/>
      <c r="P88" s="140"/>
      <c r="Q88" s="140"/>
      <c r="R88" s="140"/>
      <c r="S88" s="140"/>
      <c r="T88" s="253"/>
    </row>
    <row r="89" spans="1:21" ht="18.75" customHeight="1" thickBot="1" x14ac:dyDescent="0.25">
      <c r="A89" s="252"/>
      <c r="B89" s="524" t="s">
        <v>109</v>
      </c>
      <c r="C89" s="525"/>
      <c r="D89" s="104">
        <v>100</v>
      </c>
      <c r="E89" s="104">
        <v>101</v>
      </c>
      <c r="F89" s="104">
        <v>102</v>
      </c>
      <c r="G89" s="586"/>
      <c r="H89" s="104">
        <v>124</v>
      </c>
      <c r="I89" s="104">
        <v>125</v>
      </c>
      <c r="J89" s="104">
        <v>126</v>
      </c>
      <c r="K89" s="567"/>
      <c r="L89" s="584" t="e">
        <f>(((H89-D89)*'Policy assumptions and formulae'!AR18)+((I89-E89)*'Policy assumptions and formulae'!AS18)+((J89-F89)*'Policy assumptions and formulae'!AT18))*VLOOKUP($E$38,'Policy assumptions and formulae'!$A$10:$D$109,4,FALSE)</f>
        <v>#N/A</v>
      </c>
      <c r="M89" s="585"/>
      <c r="N89" s="326"/>
      <c r="O89" s="326"/>
      <c r="P89" s="321"/>
      <c r="Q89" s="323"/>
      <c r="R89" s="327"/>
      <c r="S89" s="327"/>
      <c r="T89" s="253"/>
    </row>
    <row r="90" spans="1:21" ht="18.75" customHeight="1" thickBot="1" x14ac:dyDescent="0.25">
      <c r="A90" s="252"/>
      <c r="B90" s="524" t="s">
        <v>110</v>
      </c>
      <c r="C90" s="525"/>
      <c r="D90" s="104">
        <v>103</v>
      </c>
      <c r="E90" s="104">
        <v>104</v>
      </c>
      <c r="F90" s="104">
        <v>105</v>
      </c>
      <c r="G90" s="586"/>
      <c r="H90" s="104">
        <v>127</v>
      </c>
      <c r="I90" s="104">
        <v>128</v>
      </c>
      <c r="J90" s="104">
        <v>129</v>
      </c>
      <c r="K90" s="567"/>
      <c r="L90" s="584" t="e">
        <f>(((H90-D90)*'Policy assumptions and formulae'!AR19)+((I90-E90)*'Policy assumptions and formulae'!AS19)+((J90-F90)*'Policy assumptions and formulae'!AT19))*VLOOKUP($E$38,'Policy assumptions and formulae'!$A$10:$D$109,4,FALSE)</f>
        <v>#N/A</v>
      </c>
      <c r="M90" s="585"/>
      <c r="N90" s="140"/>
      <c r="O90" s="140"/>
      <c r="P90" s="140"/>
      <c r="Q90" s="140"/>
      <c r="R90" s="140"/>
      <c r="S90" s="140"/>
      <c r="T90" s="253"/>
    </row>
    <row r="91" spans="1:21" ht="9.75" customHeight="1" thickBot="1" x14ac:dyDescent="0.25">
      <c r="A91" s="252"/>
      <c r="B91" s="246"/>
      <c r="C91" s="246"/>
      <c r="D91" s="246"/>
      <c r="E91" s="246"/>
      <c r="F91" s="246"/>
      <c r="G91" s="246"/>
      <c r="H91" s="246"/>
      <c r="I91" s="246"/>
      <c r="J91" s="246"/>
      <c r="K91" s="246"/>
      <c r="L91" s="246"/>
      <c r="M91" s="246"/>
      <c r="N91" s="246"/>
      <c r="O91" s="246"/>
      <c r="P91" s="246"/>
      <c r="Q91" s="246"/>
      <c r="R91" s="246"/>
      <c r="S91" s="246"/>
      <c r="T91" s="253"/>
    </row>
    <row r="92" spans="1:21" ht="18.75" customHeight="1" x14ac:dyDescent="0.2">
      <c r="A92" s="252"/>
      <c r="B92" s="520" t="s">
        <v>322</v>
      </c>
      <c r="C92" s="520"/>
      <c r="D92" s="520"/>
      <c r="E92" s="520"/>
      <c r="F92" s="520"/>
      <c r="G92" s="520"/>
      <c r="H92" s="520"/>
      <c r="I92" s="520"/>
      <c r="J92" s="520"/>
      <c r="K92" s="140"/>
      <c r="L92" s="520" t="s">
        <v>297</v>
      </c>
      <c r="M92" s="520"/>
      <c r="N92" s="520"/>
      <c r="O92" s="520"/>
      <c r="P92" s="520"/>
      <c r="Q92" s="520"/>
      <c r="R92" s="520"/>
      <c r="S92" s="576" t="s">
        <v>152</v>
      </c>
      <c r="T92" s="253"/>
    </row>
    <row r="93" spans="1:21" ht="7.5" customHeight="1" x14ac:dyDescent="0.2">
      <c r="A93" s="252"/>
      <c r="B93" s="140"/>
      <c r="C93" s="140"/>
      <c r="D93" s="140"/>
      <c r="E93" s="140"/>
      <c r="F93" s="576" t="s">
        <v>298</v>
      </c>
      <c r="G93" s="576" t="s">
        <v>84</v>
      </c>
      <c r="H93" s="140"/>
      <c r="I93" s="140"/>
      <c r="J93" s="140"/>
      <c r="K93" s="140"/>
      <c r="L93" s="140"/>
      <c r="M93" s="140"/>
      <c r="N93" s="140"/>
      <c r="O93" s="140"/>
      <c r="P93" s="140"/>
      <c r="Q93" s="140"/>
      <c r="R93" s="140"/>
      <c r="S93" s="576"/>
      <c r="T93" s="253"/>
    </row>
    <row r="94" spans="1:21" s="1" customFormat="1" ht="18.75" customHeight="1" x14ac:dyDescent="0.2">
      <c r="A94" s="254"/>
      <c r="B94" s="168" t="s">
        <v>81</v>
      </c>
      <c r="C94" s="168" t="s">
        <v>82</v>
      </c>
      <c r="D94" s="582" t="s">
        <v>83</v>
      </c>
      <c r="E94" s="582"/>
      <c r="F94" s="577"/>
      <c r="G94" s="577"/>
      <c r="H94" s="582" t="s">
        <v>85</v>
      </c>
      <c r="I94" s="582"/>
      <c r="J94" s="170" t="s">
        <v>296</v>
      </c>
      <c r="K94" s="157"/>
      <c r="L94" s="168" t="s">
        <v>148</v>
      </c>
      <c r="M94" s="157"/>
      <c r="N94" s="157"/>
      <c r="O94" s="140"/>
      <c r="P94" s="168" t="s">
        <v>149</v>
      </c>
      <c r="Q94" s="582" t="s">
        <v>150</v>
      </c>
      <c r="R94" s="582"/>
      <c r="S94" s="577"/>
      <c r="T94" s="255"/>
      <c r="U94" s="39"/>
    </row>
    <row r="95" spans="1:21" s="1" customFormat="1" ht="18.75" customHeight="1" x14ac:dyDescent="0.2">
      <c r="A95" s="254"/>
      <c r="B95" s="171" t="s">
        <v>299</v>
      </c>
      <c r="C95" s="172" t="s">
        <v>103</v>
      </c>
      <c r="D95" s="635" t="e">
        <f>IF(E39=0,0,IF(MAX((E39-SUM(D96:E104)),0)&gt;0,E39-SUM(D96:D104),"Ltd by high OM1b,2,3,4 values"))</f>
        <v>#N/A</v>
      </c>
      <c r="E95" s="636"/>
      <c r="F95" s="131" t="e">
        <f>IF(D95="Ltd by high OM1b,2,3,4 values",0,D95/$D$105)</f>
        <v>#N/A</v>
      </c>
      <c r="G95" s="132">
        <f>'Policy assumptions and formulae'!Q10</f>
        <v>6</v>
      </c>
      <c r="H95" s="583" t="e">
        <f>IF(D95="Ltd by high OM1b,2,3,4 values",0,D95*(G95/100))</f>
        <v>#N/A</v>
      </c>
      <c r="I95" s="574"/>
      <c r="J95" s="131" t="e">
        <f>H95/$H$105</f>
        <v>#N/A</v>
      </c>
      <c r="K95" s="157"/>
      <c r="L95" s="537" t="s">
        <v>151</v>
      </c>
      <c r="M95" s="537"/>
      <c r="N95" s="537"/>
      <c r="O95" s="573"/>
      <c r="P95" s="135" t="str">
        <f>E19</f>
        <v>n/a</v>
      </c>
      <c r="Q95" s="574" t="str">
        <f>E21</f>
        <v>n/a</v>
      </c>
      <c r="R95" s="575"/>
      <c r="S95" s="136" t="str">
        <f>IF(Q95="n/a","n/a",IF(D11="Environment Agency",Q95/$E$33,Q95/$E$31))</f>
        <v>n/a</v>
      </c>
      <c r="T95" s="255"/>
      <c r="U95" s="39"/>
    </row>
    <row r="96" spans="1:21" s="1" customFormat="1" ht="18.75" customHeight="1" x14ac:dyDescent="0.2">
      <c r="A96" s="254"/>
      <c r="B96" s="176" t="s">
        <v>300</v>
      </c>
      <c r="C96" s="173" t="s">
        <v>156</v>
      </c>
      <c r="D96" s="653">
        <f>E41</f>
        <v>13</v>
      </c>
      <c r="E96" s="654"/>
      <c r="F96" s="131" t="e">
        <f t="shared" ref="F96:F104" si="0">D96/$D$105</f>
        <v>#N/A</v>
      </c>
      <c r="G96" s="133">
        <f>'Policy assumptions and formulae'!Q7*'Policy assumptions and formulae'!X20</f>
        <v>20</v>
      </c>
      <c r="H96" s="583">
        <f>D96*(G96/100)</f>
        <v>2.6</v>
      </c>
      <c r="I96" s="574"/>
      <c r="J96" s="131" t="e">
        <f t="shared" ref="J96:J104" si="1">H96/$H$105</f>
        <v>#N/A</v>
      </c>
      <c r="K96" s="157"/>
      <c r="L96" s="571" t="s">
        <v>252</v>
      </c>
      <c r="M96" s="571"/>
      <c r="N96" s="571"/>
      <c r="O96" s="572"/>
      <c r="P96" s="135" t="str">
        <f>'SA1'!$E$19</f>
        <v>n/a</v>
      </c>
      <c r="Q96" s="569" t="str">
        <f>'SA1'!$E$21</f>
        <v>n/a</v>
      </c>
      <c r="R96" s="570"/>
      <c r="S96" s="136" t="str">
        <f>IF(Q96="n/a","n/a",$Q$96/'SA1'!$E$33)</f>
        <v>n/a</v>
      </c>
      <c r="T96" s="255"/>
      <c r="U96" s="39"/>
    </row>
    <row r="97" spans="1:21" s="1" customFormat="1" ht="18.75" customHeight="1" x14ac:dyDescent="0.2">
      <c r="A97" s="254"/>
      <c r="B97" s="655" t="s">
        <v>87</v>
      </c>
      <c r="C97" s="174" t="s">
        <v>88</v>
      </c>
      <c r="D97" s="635" t="e">
        <f>IF(R61="Ltd by DoB",R46,R46+R61)</f>
        <v>#N/A</v>
      </c>
      <c r="E97" s="636"/>
      <c r="F97" s="131" t="e">
        <f t="shared" si="0"/>
        <v>#N/A</v>
      </c>
      <c r="G97" s="132">
        <f>'Policy assumptions and formulae'!X$10*'Policy assumptions and formulae'!X$16</f>
        <v>45</v>
      </c>
      <c r="H97" s="583" t="e">
        <f t="shared" ref="H97:H104" si="2">D97*(G97/100)</f>
        <v>#N/A</v>
      </c>
      <c r="I97" s="574"/>
      <c r="J97" s="131" t="e">
        <f t="shared" si="1"/>
        <v>#N/A</v>
      </c>
      <c r="K97" s="157"/>
      <c r="L97" s="571" t="s">
        <v>253</v>
      </c>
      <c r="M97" s="571"/>
      <c r="N97" s="571"/>
      <c r="O97" s="572"/>
      <c r="P97" s="135" t="e">
        <f>IF(SUM(H97:I99)&gt;0,'SA2'!$E$19,"N/A")</f>
        <v>#N/A</v>
      </c>
      <c r="Q97" s="569" t="e">
        <f>IF(SUM(H97:I99)&gt;0,'SA2'!$E$21,"No OM2 contribution")</f>
        <v>#N/A</v>
      </c>
      <c r="R97" s="570"/>
      <c r="S97" s="136" t="e">
        <f>IF(Q97="No OM2 contribution","n/a",$Q$97/'SA2'!$E$33)</f>
        <v>#N/A</v>
      </c>
      <c r="T97" s="255"/>
      <c r="U97" s="39"/>
    </row>
    <row r="98" spans="1:21" s="1" customFormat="1" ht="18.75" customHeight="1" x14ac:dyDescent="0.2">
      <c r="A98" s="254"/>
      <c r="B98" s="655"/>
      <c r="C98" s="174" t="s">
        <v>89</v>
      </c>
      <c r="D98" s="635" t="e">
        <f>IF(R62="Ltd by DoB",R47,R47+R62)</f>
        <v>#N/A</v>
      </c>
      <c r="E98" s="636"/>
      <c r="F98" s="131" t="e">
        <f t="shared" si="0"/>
        <v>#N/A</v>
      </c>
      <c r="G98" s="132">
        <f>'Policy assumptions and formulae'!X$10*'Policy assumptions and formulae'!X$18</f>
        <v>30</v>
      </c>
      <c r="H98" s="583" t="e">
        <f t="shared" si="2"/>
        <v>#N/A</v>
      </c>
      <c r="I98" s="574"/>
      <c r="J98" s="131" t="e">
        <f t="shared" si="1"/>
        <v>#N/A</v>
      </c>
      <c r="K98" s="157"/>
      <c r="L98" s="571" t="s">
        <v>254</v>
      </c>
      <c r="M98" s="571"/>
      <c r="N98" s="571"/>
      <c r="O98" s="572"/>
      <c r="P98" s="135" t="e">
        <f>IF(SUM(H100:I102)&gt;0,'SA3'!$E$19,"N/A")</f>
        <v>#N/A</v>
      </c>
      <c r="Q98" s="569" t="e">
        <f>IF(SUM(H100:I102)&gt;0,'SA3'!$E$21,"No OM3 contribution")</f>
        <v>#N/A</v>
      </c>
      <c r="R98" s="570"/>
      <c r="S98" s="136" t="e">
        <f>IF(Q98="No OM3 contribution","n/a",$Q$98/'SA3'!$E$33)</f>
        <v>#N/A</v>
      </c>
      <c r="T98" s="255"/>
      <c r="U98" s="39"/>
    </row>
    <row r="99" spans="1:21" s="1" customFormat="1" ht="18.75" customHeight="1" x14ac:dyDescent="0.2">
      <c r="A99" s="254"/>
      <c r="B99" s="655"/>
      <c r="C99" s="174" t="s">
        <v>90</v>
      </c>
      <c r="D99" s="635" t="e">
        <f>IF(R63="Ltd by DoB",R48,R48+R63)</f>
        <v>#N/A</v>
      </c>
      <c r="E99" s="636"/>
      <c r="F99" s="131" t="e">
        <f t="shared" si="0"/>
        <v>#N/A</v>
      </c>
      <c r="G99" s="132">
        <f>'Policy assumptions and formulae'!X$10*'Policy assumptions and formulae'!X$20</f>
        <v>20</v>
      </c>
      <c r="H99" s="583" t="e">
        <f t="shared" si="2"/>
        <v>#N/A</v>
      </c>
      <c r="I99" s="574"/>
      <c r="J99" s="131" t="e">
        <f t="shared" si="1"/>
        <v>#N/A</v>
      </c>
      <c r="K99" s="157"/>
      <c r="L99" s="571" t="s">
        <v>255</v>
      </c>
      <c r="M99" s="571"/>
      <c r="N99" s="571"/>
      <c r="O99" s="572"/>
      <c r="P99" s="135" t="str">
        <f>'SA4'!$E$19</f>
        <v>n/a</v>
      </c>
      <c r="Q99" s="569" t="str">
        <f>'SA4'!$E$21</f>
        <v>n/a</v>
      </c>
      <c r="R99" s="570"/>
      <c r="S99" s="136" t="str">
        <f>IF(Q99="n/a","n/a",$Q$99/'SA4'!$E$33)</f>
        <v>n/a</v>
      </c>
      <c r="T99" s="255"/>
      <c r="U99" s="39"/>
    </row>
    <row r="100" spans="1:21" s="1" customFormat="1" ht="18.75" customHeight="1" x14ac:dyDescent="0.2">
      <c r="A100" s="254"/>
      <c r="B100" s="655" t="s">
        <v>91</v>
      </c>
      <c r="C100" s="174" t="s">
        <v>88</v>
      </c>
      <c r="D100" s="635" t="e">
        <f>R74</f>
        <v>#N/A</v>
      </c>
      <c r="E100" s="636"/>
      <c r="F100" s="131" t="e">
        <f t="shared" si="0"/>
        <v>#N/A</v>
      </c>
      <c r="G100" s="132">
        <f>'Policy assumptions and formulae'!X$10*'Policy assumptions and formulae'!X$16</f>
        <v>45</v>
      </c>
      <c r="H100" s="583" t="e">
        <f t="shared" si="2"/>
        <v>#N/A</v>
      </c>
      <c r="I100" s="574"/>
      <c r="J100" s="131" t="e">
        <f t="shared" si="1"/>
        <v>#N/A</v>
      </c>
      <c r="K100" s="157"/>
      <c r="L100" s="571" t="s">
        <v>256</v>
      </c>
      <c r="M100" s="571"/>
      <c r="N100" s="571"/>
      <c r="O100" s="572"/>
      <c r="P100" s="135" t="str">
        <f>'SA5'!$E$19</f>
        <v>n/a</v>
      </c>
      <c r="Q100" s="569" t="str">
        <f>'SA5'!$E$21</f>
        <v>n/a</v>
      </c>
      <c r="R100" s="570"/>
      <c r="S100" s="136" t="str">
        <f>IF(Q100="n/a","n/a",$Q$100/'SA5'!$E$33)</f>
        <v>n/a</v>
      </c>
      <c r="T100" s="255"/>
      <c r="U100" s="39"/>
    </row>
    <row r="101" spans="1:21" s="1" customFormat="1" ht="18.75" customHeight="1" x14ac:dyDescent="0.2">
      <c r="A101" s="254"/>
      <c r="B101" s="655"/>
      <c r="C101" s="174" t="s">
        <v>89</v>
      </c>
      <c r="D101" s="635" t="e">
        <f>R75</f>
        <v>#N/A</v>
      </c>
      <c r="E101" s="636"/>
      <c r="F101" s="131" t="e">
        <f t="shared" si="0"/>
        <v>#N/A</v>
      </c>
      <c r="G101" s="132">
        <f>'Policy assumptions and formulae'!X$10*'Policy assumptions and formulae'!X$18</f>
        <v>30</v>
      </c>
      <c r="H101" s="583" t="e">
        <f t="shared" si="2"/>
        <v>#N/A</v>
      </c>
      <c r="I101" s="574"/>
      <c r="J101" s="131" t="e">
        <f t="shared" si="1"/>
        <v>#N/A</v>
      </c>
      <c r="K101" s="157"/>
      <c r="L101" s="571" t="s">
        <v>257</v>
      </c>
      <c r="M101" s="571"/>
      <c r="N101" s="571"/>
      <c r="O101" s="572"/>
      <c r="P101" s="135" t="str">
        <f>'SA6'!$E$19</f>
        <v>n/a</v>
      </c>
      <c r="Q101" s="569" t="str">
        <f>'SA6'!$E$21</f>
        <v>n/a</v>
      </c>
      <c r="R101" s="570"/>
      <c r="S101" s="136" t="str">
        <f>IF(Q101="n/a","n/a",$Q$101/'SA6'!$E$33)</f>
        <v>n/a</v>
      </c>
      <c r="T101" s="255"/>
      <c r="U101" s="39"/>
    </row>
    <row r="102" spans="1:21" s="1" customFormat="1" ht="18.75" customHeight="1" x14ac:dyDescent="0.2">
      <c r="A102" s="254"/>
      <c r="B102" s="655"/>
      <c r="C102" s="174" t="s">
        <v>90</v>
      </c>
      <c r="D102" s="635" t="e">
        <f>R76</f>
        <v>#N/A</v>
      </c>
      <c r="E102" s="636"/>
      <c r="F102" s="131" t="e">
        <f t="shared" si="0"/>
        <v>#N/A</v>
      </c>
      <c r="G102" s="132">
        <f>'Policy assumptions and formulae'!X$10*'Policy assumptions and formulae'!X$20</f>
        <v>20</v>
      </c>
      <c r="H102" s="583" t="e">
        <f t="shared" si="2"/>
        <v>#N/A</v>
      </c>
      <c r="I102" s="574"/>
      <c r="J102" s="131" t="e">
        <f t="shared" si="1"/>
        <v>#N/A</v>
      </c>
      <c r="K102" s="157"/>
      <c r="L102" s="571" t="s">
        <v>258</v>
      </c>
      <c r="M102" s="571"/>
      <c r="N102" s="571"/>
      <c r="O102" s="572"/>
      <c r="P102" s="135" t="e">
        <f>IF(SUM(H103:I104)&gt;0,'SA7'!E19,"N/A")</f>
        <v>#N/A</v>
      </c>
      <c r="Q102" s="569" t="e">
        <f>IF(SUM(H103:I104)&gt;0,'SA7'!$E$21,"No OM4 contribution")</f>
        <v>#N/A</v>
      </c>
      <c r="R102" s="570"/>
      <c r="S102" s="136" t="e">
        <f>IF(Q102="No OM4 contribution","n/a",$Q$102/'SA7'!$E$33)</f>
        <v>#N/A</v>
      </c>
      <c r="T102" s="255"/>
      <c r="U102" s="39"/>
    </row>
    <row r="103" spans="1:21" s="1" customFormat="1" ht="18.75" customHeight="1" x14ac:dyDescent="0.2">
      <c r="A103" s="254"/>
      <c r="B103" s="649" t="s">
        <v>92</v>
      </c>
      <c r="C103" s="175" t="s">
        <v>118</v>
      </c>
      <c r="D103" s="657" t="e">
        <f>IF(SUM(L83:M90)&lt;0,"Ltd by negative OM4 values",SUM(L83:M90))</f>
        <v>#N/A</v>
      </c>
      <c r="E103" s="657"/>
      <c r="F103" s="131" t="e">
        <f>IF(D103="Ltd by negative OM4 values",0,D103/$D$105)</f>
        <v>#N/A</v>
      </c>
      <c r="G103" s="132">
        <f>'Policy assumptions and formulae'!AT7</f>
        <v>20</v>
      </c>
      <c r="H103" s="583" t="e">
        <f>IF(D103="Ltd by negative OM4 values",0,D103*(G103/100))</f>
        <v>#N/A</v>
      </c>
      <c r="I103" s="574"/>
      <c r="J103" s="131" t="e">
        <f t="shared" si="1"/>
        <v>#N/A</v>
      </c>
      <c r="K103" s="157"/>
      <c r="L103" s="157"/>
      <c r="M103" s="157"/>
      <c r="N103" s="157"/>
      <c r="O103" s="157"/>
      <c r="P103" s="157"/>
      <c r="Q103" s="157"/>
      <c r="R103" s="157"/>
      <c r="S103" s="157"/>
      <c r="T103" s="255"/>
      <c r="U103" s="39"/>
    </row>
    <row r="104" spans="1:21" s="1" customFormat="1" ht="18.75" customHeight="1" thickBot="1" x14ac:dyDescent="0.25">
      <c r="A104" s="254"/>
      <c r="B104" s="650"/>
      <c r="C104" s="177" t="s">
        <v>119</v>
      </c>
      <c r="D104" s="633" t="e">
        <f>SUM(R84:S86)</f>
        <v>#N/A</v>
      </c>
      <c r="E104" s="634"/>
      <c r="F104" s="131" t="e">
        <f t="shared" si="0"/>
        <v>#N/A</v>
      </c>
      <c r="G104" s="134">
        <f>'Policy assumptions and formulae'!AT7</f>
        <v>20</v>
      </c>
      <c r="H104" s="583" t="e">
        <f t="shared" si="2"/>
        <v>#N/A</v>
      </c>
      <c r="I104" s="574"/>
      <c r="J104" s="131" t="e">
        <f t="shared" si="1"/>
        <v>#N/A</v>
      </c>
      <c r="K104" s="157"/>
      <c r="L104" s="157"/>
      <c r="M104" s="157"/>
      <c r="N104" s="157"/>
      <c r="O104" s="157"/>
      <c r="P104" s="157"/>
      <c r="Q104" s="157"/>
      <c r="R104" s="157"/>
      <c r="S104" s="157"/>
      <c r="T104" s="255"/>
      <c r="U104" s="39"/>
    </row>
    <row r="105" spans="1:21" s="1" customFormat="1" ht="18.75" customHeight="1" thickBot="1" x14ac:dyDescent="0.25">
      <c r="A105" s="254"/>
      <c r="B105" s="642" t="s">
        <v>93</v>
      </c>
      <c r="C105" s="643"/>
      <c r="D105" s="644" t="e">
        <f>SUM(D95:E104)</f>
        <v>#N/A</v>
      </c>
      <c r="E105" s="644"/>
      <c r="F105" s="645" t="s">
        <v>321</v>
      </c>
      <c r="G105" s="646"/>
      <c r="H105" s="647" t="e">
        <f>SUM(H95:I104)</f>
        <v>#N/A</v>
      </c>
      <c r="I105" s="648"/>
      <c r="J105" s="178"/>
      <c r="K105" s="157"/>
      <c r="L105" s="157"/>
      <c r="M105" s="157"/>
      <c r="N105" s="157"/>
      <c r="O105" s="157"/>
      <c r="P105" s="157"/>
      <c r="Q105" s="157"/>
      <c r="R105" s="157"/>
      <c r="S105" s="157"/>
      <c r="T105" s="255"/>
      <c r="U105" s="39"/>
    </row>
    <row r="106" spans="1:21" ht="7.5" customHeight="1" x14ac:dyDescent="0.2">
      <c r="A106" s="257"/>
      <c r="B106" s="149"/>
      <c r="C106" s="149"/>
      <c r="D106" s="149"/>
      <c r="E106" s="149"/>
      <c r="F106" s="149"/>
      <c r="G106" s="149"/>
      <c r="H106" s="149"/>
      <c r="I106" s="149"/>
      <c r="J106" s="149"/>
      <c r="K106" s="149"/>
      <c r="L106" s="149"/>
      <c r="M106" s="149"/>
      <c r="N106" s="149"/>
      <c r="O106" s="149"/>
      <c r="P106" s="149"/>
      <c r="Q106" s="149"/>
      <c r="R106" s="149"/>
      <c r="S106" s="149"/>
      <c r="T106" s="258"/>
    </row>
    <row r="107" spans="1:21" x14ac:dyDescent="0.2">
      <c r="A107" s="259"/>
      <c r="B107" s="637" t="s">
        <v>131</v>
      </c>
      <c r="C107" s="637"/>
      <c r="D107" s="637"/>
      <c r="E107" s="637"/>
      <c r="F107" s="637"/>
      <c r="G107" s="637"/>
      <c r="H107" s="637"/>
      <c r="I107" s="637"/>
      <c r="J107" s="637"/>
      <c r="K107" s="637"/>
      <c r="L107" s="637"/>
      <c r="M107" s="637"/>
      <c r="N107" s="637"/>
      <c r="O107" s="637"/>
      <c r="P107" s="637"/>
      <c r="Q107" s="637"/>
      <c r="R107" s="637"/>
      <c r="S107" s="637"/>
      <c r="T107" s="259"/>
    </row>
  </sheetData>
  <sheetProtection password="B0C5" sheet="1" objects="1" scenarios="1"/>
  <mergeCells count="240">
    <mergeCell ref="B105:C105"/>
    <mergeCell ref="D105:E105"/>
    <mergeCell ref="F105:G105"/>
    <mergeCell ref="H105:I105"/>
    <mergeCell ref="H101:I101"/>
    <mergeCell ref="B103:B104"/>
    <mergeCell ref="H104:I104"/>
    <mergeCell ref="B53:E53"/>
    <mergeCell ref="E58:F58"/>
    <mergeCell ref="D95:E95"/>
    <mergeCell ref="D96:E96"/>
    <mergeCell ref="D101:E101"/>
    <mergeCell ref="B92:J92"/>
    <mergeCell ref="B100:B102"/>
    <mergeCell ref="D100:E100"/>
    <mergeCell ref="H100:I100"/>
    <mergeCell ref="B97:B99"/>
    <mergeCell ref="D97:E97"/>
    <mergeCell ref="H96:I96"/>
    <mergeCell ref="H98:I98"/>
    <mergeCell ref="D99:E99"/>
    <mergeCell ref="B90:C90"/>
    <mergeCell ref="B82:C82"/>
    <mergeCell ref="D103:E103"/>
    <mergeCell ref="H103:I103"/>
    <mergeCell ref="H95:I95"/>
    <mergeCell ref="D94:E94"/>
    <mergeCell ref="H94:I94"/>
    <mergeCell ref="H102:I102"/>
    <mergeCell ref="G93:G94"/>
    <mergeCell ref="F93:F94"/>
    <mergeCell ref="L88:M88"/>
    <mergeCell ref="H97:I97"/>
    <mergeCell ref="L90:M90"/>
    <mergeCell ref="L102:O102"/>
    <mergeCell ref="D98:E98"/>
    <mergeCell ref="D104:E104"/>
    <mergeCell ref="D102:E102"/>
    <mergeCell ref="B107:S107"/>
    <mergeCell ref="B41:D42"/>
    <mergeCell ref="B68:E68"/>
    <mergeCell ref="B71:S71"/>
    <mergeCell ref="B73:E73"/>
    <mergeCell ref="B74:E74"/>
    <mergeCell ref="B75:E75"/>
    <mergeCell ref="B76:E76"/>
    <mergeCell ref="J73:M73"/>
    <mergeCell ref="B79:S79"/>
    <mergeCell ref="B43:S43"/>
    <mergeCell ref="B45:E45"/>
    <mergeCell ref="B46:E46"/>
    <mergeCell ref="B47:E47"/>
    <mergeCell ref="B48:E48"/>
    <mergeCell ref="B50:E50"/>
    <mergeCell ref="B51:E51"/>
    <mergeCell ref="R83:S83"/>
    <mergeCell ref="L96:O96"/>
    <mergeCell ref="L50:P51"/>
    <mergeCell ref="L99:O99"/>
    <mergeCell ref="L100:O100"/>
    <mergeCell ref="D8:F8"/>
    <mergeCell ref="M8:N8"/>
    <mergeCell ref="B9:C9"/>
    <mergeCell ref="D11:F11"/>
    <mergeCell ref="B12:G12"/>
    <mergeCell ref="D9:F9"/>
    <mergeCell ref="D10:I10"/>
    <mergeCell ref="M18:R20"/>
    <mergeCell ref="R6:S7"/>
    <mergeCell ref="E19:F19"/>
    <mergeCell ref="K19:L19"/>
    <mergeCell ref="E17:F17"/>
    <mergeCell ref="B7:C7"/>
    <mergeCell ref="B15:S15"/>
    <mergeCell ref="D7:I7"/>
    <mergeCell ref="M7:N7"/>
    <mergeCell ref="P12:S13"/>
    <mergeCell ref="B13:I13"/>
    <mergeCell ref="B1:S1"/>
    <mergeCell ref="B39:D39"/>
    <mergeCell ref="B35:S35"/>
    <mergeCell ref="B33:D33"/>
    <mergeCell ref="H28:J28"/>
    <mergeCell ref="H29:J29"/>
    <mergeCell ref="B2:S2"/>
    <mergeCell ref="B3:S3"/>
    <mergeCell ref="B4:P4"/>
    <mergeCell ref="B10:C10"/>
    <mergeCell ref="B11:C11"/>
    <mergeCell ref="O10:Q10"/>
    <mergeCell ref="O9:Q9"/>
    <mergeCell ref="O8:Q8"/>
    <mergeCell ref="H19:J19"/>
    <mergeCell ref="B17:D17"/>
    <mergeCell ref="B19:D19"/>
    <mergeCell ref="R5:S5"/>
    <mergeCell ref="B27:D27"/>
    <mergeCell ref="G17:J18"/>
    <mergeCell ref="K8:L8"/>
    <mergeCell ref="K7:L7"/>
    <mergeCell ref="B8:C8"/>
    <mergeCell ref="E27:F27"/>
    <mergeCell ref="S92:S94"/>
    <mergeCell ref="J75:M75"/>
    <mergeCell ref="L65:P66"/>
    <mergeCell ref="F60:J60"/>
    <mergeCell ref="R86:S86"/>
    <mergeCell ref="O30:P30"/>
    <mergeCell ref="Q102:R102"/>
    <mergeCell ref="Q94:R94"/>
    <mergeCell ref="L97:O97"/>
    <mergeCell ref="L98:O98"/>
    <mergeCell ref="H99:I99"/>
    <mergeCell ref="L89:M89"/>
    <mergeCell ref="G83:G90"/>
    <mergeCell ref="L83:M83"/>
    <mergeCell ref="L85:M85"/>
    <mergeCell ref="L84:M84"/>
    <mergeCell ref="L87:M87"/>
    <mergeCell ref="L86:M86"/>
    <mergeCell ref="N85:O85"/>
    <mergeCell ref="N86:O87"/>
    <mergeCell ref="R73:S73"/>
    <mergeCell ref="R74:S74"/>
    <mergeCell ref="R75:S75"/>
    <mergeCell ref="F73:G73"/>
    <mergeCell ref="Q101:R101"/>
    <mergeCell ref="Q100:R100"/>
    <mergeCell ref="Q99:R99"/>
    <mergeCell ref="Q98:R98"/>
    <mergeCell ref="L101:O101"/>
    <mergeCell ref="L92:R92"/>
    <mergeCell ref="L95:O95"/>
    <mergeCell ref="Q95:R95"/>
    <mergeCell ref="Q97:R97"/>
    <mergeCell ref="Q96:R96"/>
    <mergeCell ref="H21:J21"/>
    <mergeCell ref="R84:S84"/>
    <mergeCell ref="N84:O84"/>
    <mergeCell ref="G81:K81"/>
    <mergeCell ref="K83:K90"/>
    <mergeCell ref="N82:R82"/>
    <mergeCell ref="B58:D59"/>
    <mergeCell ref="K32:L32"/>
    <mergeCell ref="D81:F81"/>
    <mergeCell ref="B62:E62"/>
    <mergeCell ref="B63:E63"/>
    <mergeCell ref="B65:E65"/>
    <mergeCell ref="B66:E66"/>
    <mergeCell ref="B61:E61"/>
    <mergeCell ref="R85:S85"/>
    <mergeCell ref="L69:R69"/>
    <mergeCell ref="B89:C89"/>
    <mergeCell ref="B88:C88"/>
    <mergeCell ref="R60:S60"/>
    <mergeCell ref="R76:S76"/>
    <mergeCell ref="B87:C87"/>
    <mergeCell ref="B86:C86"/>
    <mergeCell ref="B85:C85"/>
    <mergeCell ref="B84:C84"/>
    <mergeCell ref="M23:Q23"/>
    <mergeCell ref="B32:D32"/>
    <mergeCell ref="K21:L21"/>
    <mergeCell ref="M33:S34"/>
    <mergeCell ref="M28:N28"/>
    <mergeCell ref="R45:S45"/>
    <mergeCell ref="R46:S46"/>
    <mergeCell ref="J76:M77"/>
    <mergeCell ref="Q29:S29"/>
    <mergeCell ref="Q30:S30"/>
    <mergeCell ref="Q31:S31"/>
    <mergeCell ref="Q28:S28"/>
    <mergeCell ref="R47:S47"/>
    <mergeCell ref="L45:P45"/>
    <mergeCell ref="R48:S48"/>
    <mergeCell ref="F65:J65"/>
    <mergeCell ref="R61:S61"/>
    <mergeCell ref="R62:S62"/>
    <mergeCell ref="R63:S63"/>
    <mergeCell ref="E39:F39"/>
    <mergeCell ref="E41:F41"/>
    <mergeCell ref="B60:E60"/>
    <mergeCell ref="L54:R54"/>
    <mergeCell ref="F45:J45"/>
    <mergeCell ref="L37:R37"/>
    <mergeCell ref="L60:P60"/>
    <mergeCell ref="B21:D21"/>
    <mergeCell ref="E29:F29"/>
    <mergeCell ref="E30:F30"/>
    <mergeCell ref="K23:L23"/>
    <mergeCell ref="H23:J23"/>
    <mergeCell ref="B37:D37"/>
    <mergeCell ref="B23:D23"/>
    <mergeCell ref="E33:F33"/>
    <mergeCell ref="E23:F23"/>
    <mergeCell ref="B29:D29"/>
    <mergeCell ref="B30:D30"/>
    <mergeCell ref="H33:J33"/>
    <mergeCell ref="E37:F37"/>
    <mergeCell ref="H37:J37"/>
    <mergeCell ref="K31:L31"/>
    <mergeCell ref="K26:L27"/>
    <mergeCell ref="E21:F21"/>
    <mergeCell ref="B25:S25"/>
    <mergeCell ref="M26:N27"/>
    <mergeCell ref="O26:P27"/>
    <mergeCell ref="H27:J27"/>
    <mergeCell ref="M21:Q21"/>
    <mergeCell ref="L38:R39"/>
    <mergeCell ref="B56:S56"/>
    <mergeCell ref="F50:J50"/>
    <mergeCell ref="G39:J39"/>
    <mergeCell ref="B83:C83"/>
    <mergeCell ref="L82:M82"/>
    <mergeCell ref="B67:E67"/>
    <mergeCell ref="H38:J38"/>
    <mergeCell ref="B52:E52"/>
    <mergeCell ref="B38:D38"/>
    <mergeCell ref="J74:M74"/>
    <mergeCell ref="E38:F38"/>
    <mergeCell ref="B28:D28"/>
    <mergeCell ref="B31:D31"/>
    <mergeCell ref="O28:P28"/>
    <mergeCell ref="O31:P31"/>
    <mergeCell ref="K33:L33"/>
    <mergeCell ref="O32:P32"/>
    <mergeCell ref="E31:F31"/>
    <mergeCell ref="M32:N32"/>
    <mergeCell ref="M31:N31"/>
    <mergeCell ref="E32:F32"/>
    <mergeCell ref="E28:F28"/>
    <mergeCell ref="H30:J30"/>
    <mergeCell ref="H31:J31"/>
    <mergeCell ref="H32:J32"/>
    <mergeCell ref="K30:L30"/>
    <mergeCell ref="O29:P29"/>
    <mergeCell ref="K28:L28"/>
    <mergeCell ref="M30:N30"/>
    <mergeCell ref="K29:L29"/>
    <mergeCell ref="M29:N29"/>
  </mergeCells>
  <conditionalFormatting sqref="O28:P32">
    <cfRule type="expression" dxfId="56" priority="17">
      <formula>$D$11="Water Company"</formula>
    </cfRule>
    <cfRule type="expression" dxfId="55" priority="18">
      <formula>$D$11="Highways Authority"</formula>
    </cfRule>
    <cfRule type="expression" dxfId="54" priority="19">
      <formula>$D$11="Internal Drainage Board"</formula>
    </cfRule>
    <cfRule type="expression" dxfId="53" priority="20">
      <formula>$D$11="Local Authority"</formula>
    </cfRule>
  </conditionalFormatting>
  <conditionalFormatting sqref="G17">
    <cfRule type="expression" dxfId="52" priority="14">
      <formula>G17="GiA reduced to 45% of maximum to avoid risk of double counting benefits"</formula>
    </cfRule>
  </conditionalFormatting>
  <conditionalFormatting sqref="M21:Q21">
    <cfRule type="expression" dxfId="51" priority="12">
      <formula>$M$21="No FCERM GiA required"</formula>
    </cfRule>
  </conditionalFormatting>
  <conditionalFormatting sqref="M23:Q23">
    <cfRule type="expression" dxfId="50" priority="10">
      <formula>$M$23="Insufficient eligible FCERM GiA towards future costs"</formula>
    </cfRule>
  </conditionalFormatting>
  <conditionalFormatting sqref="K37:K38">
    <cfRule type="expression" dxfId="49" priority="3">
      <formula>$M$7="Change (before OBC)"</formula>
    </cfRule>
    <cfRule type="expression" dxfId="48" priority="8">
      <formula>$M$7="SOC"</formula>
    </cfRule>
    <cfRule type="expression" dxfId="47" priority="9">
      <formula>$M$7="Pre-SOC"</formula>
    </cfRule>
  </conditionalFormatting>
  <conditionalFormatting sqref="M18">
    <cfRule type="expression" dxfId="46" priority="4">
      <formula>$M$18="Review maturity of the risk contingency and any contributions to minimise the risk of exceeding FCERM GiA limits"</formula>
    </cfRule>
    <cfRule type="expression" dxfId="45" priority="5">
      <formula>$M$18="Insufficient contributions to secure FCERM GiA"</formula>
    </cfRule>
  </conditionalFormatting>
  <conditionalFormatting sqref="G61:J63">
    <cfRule type="expression" dxfId="44" priority="2">
      <formula>$G$58="OM2 (2040) FCERM GiA eligibility is not applicable"</formula>
    </cfRule>
  </conditionalFormatting>
  <conditionalFormatting sqref="F66:J68">
    <cfRule type="expression" dxfId="43" priority="1">
      <formula>$G$58="OM2 (2040) FCERM GiA eligibility is not applicable"</formula>
    </cfRule>
  </conditionalFormatting>
  <dataValidations xWindow="437" yWindow="397" count="31">
    <dataValidation type="list" allowBlank="1" showInputMessage="1" showErrorMessage="1" prompt="Select the relevant funding source" sqref="Q31:S31" xr:uid="{00000000-0002-0000-0100-000000000000}">
      <formula1>"Direct Government funding,Asset Replacement Fund,Local precept,Charge funding, Environmental funding,Other"</formula1>
    </dataValidation>
    <dataValidation type="list" allowBlank="1" showInputMessage="1" showErrorMessage="1" prompt="Select the type of RMA making the grant application" sqref="D11:F11" xr:uid="{00000000-0002-0000-0100-000001000000}">
      <formula1>"Environment Agency,Local Authority,Internal Drainage Board,Highways Authority,Water Company"</formula1>
    </dataValidation>
    <dataValidation type="list" allowBlank="1" showInputMessage="1" showErrorMessage="1" prompt="Select the year when the measures are ready for service (readiness for service, Gateway 4)" sqref="E58:F58" xr:uid="{00000000-0002-0000-0100-000002000000}">
      <formula1>"2020,2021,2022,2023,2024,2025,2026,2027,2028,2029,2030,2031,2032,2033,2034,2035,2036,2037,2038,2039"</formula1>
    </dataValidation>
    <dataValidation allowBlank="1" showInputMessage="1" showErrorMessage="1" prompt="Insert the name of the project as it appears in the FCERM 1(capital programme)" sqref="D7:I7" xr:uid="{00000000-0002-0000-0100-000003000000}"/>
    <dataValidation allowBlank="1" showInputMessage="1" showErrorMessage="1" prompt="Insert the project number as it appears in the FCERM 1 (capital programme)" sqref="D8:F8" xr:uid="{00000000-0002-0000-0100-000004000000}"/>
    <dataValidation allowBlank="1" showInputMessage="1" showErrorMessage="1" prompt="Insert the date this Partnership Funding Calculator was completed (today's date)" sqref="D9:F9" xr:uid="{00000000-0002-0000-0100-000005000000}"/>
    <dataValidation allowBlank="1" showInputMessage="1" showErrorMessage="1" prompt="Insert the name of the RMA leading on the project" sqref="D10:I10" xr:uid="{00000000-0002-0000-0100-000006000000}"/>
    <dataValidation type="list" allowBlank="1" showInputMessage="1" showErrorMessage="1" prompt="Select the project stage for which this Partnership Funding Calculator has been created" sqref="M7:N7" xr:uid="{00000000-0002-0000-0100-000007000000}">
      <formula1>"Pre-SOC,SOC,OBC,FBC,Change (before OBC),Change (after OBC)"</formula1>
    </dataValidation>
    <dataValidation allowBlank="1" showInputMessage="1" showErrorMessage="1" prompt="Insert the reference for the option to which this Partnership Funding Calculator refers" sqref="M8:N8" xr:uid="{00000000-0002-0000-0100-000008000000}"/>
    <dataValidation type="list" allowBlank="1" showInputMessage="1" showErrorMessage="1" prompt="Confirm whether or not a strategic approach has been taken.  See the definition in guidance - includes understanding all eligible risks and assets, avoiding double-counting/cross subsidy and considering climate adaptive approaches" sqref="E17:F17" xr:uid="{00000000-0002-0000-0100-000009000000}">
      <formula1>" No,Yes"</formula1>
    </dataValidation>
    <dataValidation allowBlank="1" showInputMessage="1" showErrorMessage="1" prompt="Insert the present value of the estimated project development costs, including costs apportioned from strategies, studies and advanced costs for early works and/or mitigating environmental damages.  Costs of development are not sunk" sqref="E28:F28" xr:uid="{00000000-0002-0000-0100-00000A000000}"/>
    <dataValidation allowBlank="1" showInputMessage="1" showErrorMessage="1" prompt="Insert the present value of the cost estimate for design and construction, less the associated risk contingencies (Monte Carlo, optimism bias, etc)" sqref="E29:F29" xr:uid="{00000000-0002-0000-0100-00000B000000}"/>
    <dataValidation allowBlank="1" showInputMessage="1" showErrorMessage="1" prompt="Insert the present value of the full risk contingency cost estimate (for example, Monte Carlo 95%ile and optimism bias)" sqref="E30:F30" xr:uid="{00000000-0002-0000-0100-00000C000000}"/>
    <dataValidation allowBlank="1" showInputMessage="1" showErrorMessage="1" prompt="Insert the present value of the estimated costs of maintenance, operation and future capital interventions, including any estimated risk contingencies" sqref="E32:F32" xr:uid="{00000000-0002-0000-0100-00000D000000}"/>
    <dataValidation allowBlank="1" showInputMessage="1" showErrorMessage="1" prompt="Insert the present value of the proposed contribution.  Contributions should be valued at the point of they are due to be spent" sqref="K28:P31" xr:uid="{00000000-0002-0000-0100-00000E000000}"/>
    <dataValidation allowBlank="1" showInputMessage="1" showErrorMessage="1" prompt="Insert the name of the contributor or contributors" sqref="Q29:S30" xr:uid="{00000000-0002-0000-0100-00000F000000}"/>
    <dataValidation allowBlank="1" showInputMessage="1" showErrorMessage="1" prompt="Insert the present value of the benefits for the full appraisal period" sqref="E37:F37" xr:uid="{00000000-0002-0000-0100-000010000000}"/>
    <dataValidation allowBlank="1" showInputMessage="1" showErrorMessage="1" prompt="Insert the duration of benefits period for the option relevant to this Partnership Funding Calculator" sqref="E38:F38" xr:uid="{00000000-0002-0000-0100-000011000000}"/>
    <dataValidation allowBlank="1" showInputMessage="1" showErrorMessage="1" prompt="Insert the present value for people related benefits (including mental health, evacuation and temporary accommodation, etc) due to a change in risk probability over the duration of benefits period only.  This is a subset of the OM1a value." sqref="E41:F41" xr:uid="{00000000-0002-0000-0100-000012000000}"/>
    <dataValidation type="list" allowBlank="1" showInputMessage="1" showErrorMessage="1" prompt="Confirm whether or not the business case includes costs and benefits data for all short-list options from the Outline Business Case onwards" sqref="K38" xr:uid="{00000000-0002-0000-0100-000013000000}">
      <formula1>"Yes,No"</formula1>
    </dataValidation>
    <dataValidation allowBlank="1" showInputMessage="1" showErrorMessage="1" prompt="Include households at risk today" sqref="G46:J48" xr:uid="{00000000-0002-0000-0100-000014000000}"/>
    <dataValidation allowBlank="1" showInputMessage="1" showErrorMessage="1" prompt="Include households at risk today in the risk band they would be in at the end of the duration of benefits period" sqref="F51:J53" xr:uid="{00000000-0002-0000-0100-000015000000}"/>
    <dataValidation allowBlank="1" showInputMessage="1" showErrorMessage="1" prompt="Include additional households at risk in 2040 that are better protected against flooding" sqref="G61:J63" xr:uid="{00000000-0002-0000-0100-000016000000}"/>
    <dataValidation allowBlank="1" showInputMessage="1" showErrorMessage="1" prompt="Include additional households at risk in 2040 in the risk band they would be in at the end of the duration of benefits period" sqref="F66:J68" xr:uid="{00000000-0002-0000-0100-000017000000}"/>
    <dataValidation allowBlank="1" showInputMessage="1" showErrorMessage="1" prompt="Include households that are at risk today from a loss to coastal erosion in the medium term" sqref="G74:G76" xr:uid="{00000000-0002-0000-0100-000018000000}"/>
    <dataValidation allowBlank="1" showInputMessage="1" showErrorMessage="1" prompt="Include households that are at risk today from a loss to coastal erosion in the long-term" sqref="F74:F76" xr:uid="{00000000-0002-0000-0100-000019000000}"/>
    <dataValidation allowBlank="1" showInputMessage="1" showErrorMessage="1" prompt="Include the length in kilometres of benefiting river habitat" sqref="P84:P86" xr:uid="{00000000-0002-0000-0100-00001A000000}"/>
    <dataValidation type="list" allowBlank="1" showInputMessage="1" showErrorMessage="1" prompt="Confirm the economic summary sheet has been completed for this project.  This is a requirement for all projects from the Outline Business Case onwards." sqref="K37" xr:uid="{00000000-0002-0000-0100-00001B000000}">
      <formula1>"Yes,No"</formula1>
    </dataValidation>
    <dataValidation allowBlank="1" showInputMessage="1" showErrorMessage="1" prompt="Insert the present value of benefits for the duration of benefits period" sqref="E39:F39" xr:uid="{00000000-0002-0000-0100-00001C000000}"/>
    <dataValidation allowBlank="1" showInputMessage="1" showErrorMessage="1" prompt="Include the number of hectares and condition of habitat before the proposed environmental improvement" sqref="D83:F90" xr:uid="{00000000-0002-0000-0100-00001D000000}"/>
    <dataValidation allowBlank="1" showInputMessage="1" showErrorMessage="1" prompt="Include the number of hectares and condition of habitat after the proposed environmental improvement is achieved" sqref="H83:J90" xr:uid="{00000000-0002-0000-0100-00001E000000}"/>
  </dataValidations>
  <pageMargins left="0" right="0" top="0" bottom="0" header="0" footer="0"/>
  <pageSetup paperSize="8" scale="61" orientation="portrait" r:id="rId1"/>
  <rowBreaks count="1" manualBreakCount="1">
    <brk id="82" max="30" man="1"/>
  </rowBreaks>
  <colBreaks count="1" manualBreakCount="1">
    <brk id="15" max="10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59999389629810485"/>
  </sheetPr>
  <dimension ref="A1:S66"/>
  <sheetViews>
    <sheetView view="pageBreakPreview" zoomScale="60" zoomScaleNormal="60" workbookViewId="0">
      <selection sqref="A1:I1"/>
    </sheetView>
  </sheetViews>
  <sheetFormatPr baseColWidth="10" defaultColWidth="8.85546875" defaultRowHeight="16" x14ac:dyDescent="0.2"/>
  <cols>
    <col min="1" max="1" width="38" style="84" customWidth="1"/>
    <col min="2" max="2" width="20.85546875" style="84" customWidth="1"/>
    <col min="3" max="3" width="8.42578125" style="84" customWidth="1"/>
    <col min="4" max="4" width="35.140625" style="84" customWidth="1"/>
    <col min="5" max="5" width="1.5703125" style="84" customWidth="1"/>
    <col min="6" max="6" width="51.85546875" style="87" bestFit="1" customWidth="1"/>
    <col min="7" max="7" width="19" style="84" customWidth="1"/>
    <col min="8" max="8" width="35.140625" style="84" customWidth="1"/>
    <col min="9" max="9" width="1.5703125" style="84" customWidth="1"/>
    <col min="10" max="16384" width="8.85546875" style="84"/>
  </cols>
  <sheetData>
    <row r="1" spans="1:19" ht="33" x14ac:dyDescent="0.2">
      <c r="A1" s="678" t="s">
        <v>57</v>
      </c>
      <c r="B1" s="678"/>
      <c r="C1" s="678"/>
      <c r="D1" s="678"/>
      <c r="E1" s="678"/>
      <c r="F1" s="678"/>
      <c r="G1" s="678"/>
      <c r="H1" s="678"/>
      <c r="I1" s="678"/>
      <c r="J1" s="89"/>
      <c r="K1" s="89"/>
      <c r="L1" s="89"/>
      <c r="M1" s="89"/>
      <c r="N1" s="89"/>
      <c r="O1" s="89"/>
      <c r="P1" s="89"/>
      <c r="Q1" s="89"/>
      <c r="R1" s="89"/>
      <c r="S1" s="89"/>
    </row>
    <row r="2" spans="1:19" ht="24" customHeight="1" x14ac:dyDescent="0.2">
      <c r="A2" s="181" t="s">
        <v>181</v>
      </c>
      <c r="B2" s="182"/>
      <c r="C2" s="182"/>
      <c r="D2" s="182"/>
      <c r="E2" s="182"/>
      <c r="F2" s="183"/>
      <c r="G2" s="182"/>
      <c r="H2" s="182"/>
      <c r="I2" s="182"/>
    </row>
    <row r="3" spans="1:19" ht="20.25" customHeight="1" thickBot="1" x14ac:dyDescent="0.25">
      <c r="A3" s="262" t="s">
        <v>374</v>
      </c>
      <c r="B3" s="262"/>
      <c r="C3" s="262"/>
      <c r="D3" s="262"/>
      <c r="E3" s="262"/>
      <c r="F3" s="262"/>
      <c r="G3" s="262"/>
      <c r="H3" s="262"/>
      <c r="I3" s="262"/>
      <c r="J3" s="90"/>
      <c r="K3" s="90"/>
      <c r="L3" s="90"/>
      <c r="M3" s="90"/>
      <c r="N3" s="90"/>
      <c r="O3" s="90"/>
      <c r="P3" s="90"/>
    </row>
    <row r="4" spans="1:19" x14ac:dyDescent="0.2">
      <c r="A4" s="683" t="s">
        <v>247</v>
      </c>
      <c r="B4" s="683"/>
      <c r="C4" s="683"/>
      <c r="D4" s="683"/>
      <c r="E4" s="683"/>
      <c r="F4" s="683"/>
      <c r="G4" s="683"/>
      <c r="H4" s="683"/>
      <c r="I4" s="261"/>
    </row>
    <row r="5" spans="1:19" x14ac:dyDescent="0.2">
      <c r="A5" s="683"/>
      <c r="B5" s="683"/>
      <c r="C5" s="683"/>
      <c r="D5" s="683"/>
      <c r="E5" s="683"/>
      <c r="F5" s="683"/>
      <c r="G5" s="683"/>
      <c r="H5" s="683"/>
      <c r="I5" s="182"/>
    </row>
    <row r="6" spans="1:19" x14ac:dyDescent="0.2">
      <c r="A6" s="683"/>
      <c r="B6" s="683"/>
      <c r="C6" s="683"/>
      <c r="D6" s="683"/>
      <c r="E6" s="683"/>
      <c r="F6" s="683"/>
      <c r="G6" s="683"/>
      <c r="H6" s="683"/>
      <c r="I6" s="182"/>
    </row>
    <row r="7" spans="1:19" ht="15" customHeight="1" x14ac:dyDescent="0.2">
      <c r="A7" s="674" t="s">
        <v>310</v>
      </c>
      <c r="B7" s="674"/>
      <c r="C7" s="674"/>
      <c r="D7" s="674"/>
      <c r="E7" s="674"/>
      <c r="F7" s="674"/>
      <c r="G7" s="674"/>
      <c r="H7" s="674"/>
      <c r="I7" s="182"/>
    </row>
    <row r="8" spans="1:19" ht="15" customHeight="1" x14ac:dyDescent="0.2">
      <c r="A8" s="674"/>
      <c r="B8" s="674"/>
      <c r="C8" s="674"/>
      <c r="D8" s="674"/>
      <c r="E8" s="674"/>
      <c r="F8" s="674"/>
      <c r="G8" s="674"/>
      <c r="H8" s="674"/>
      <c r="I8" s="182"/>
    </row>
    <row r="9" spans="1:19" ht="15.75" customHeight="1" x14ac:dyDescent="0.2">
      <c r="A9" s="674"/>
      <c r="B9" s="674"/>
      <c r="C9" s="674"/>
      <c r="D9" s="674"/>
      <c r="E9" s="674"/>
      <c r="F9" s="674"/>
      <c r="G9" s="674"/>
      <c r="H9" s="674"/>
      <c r="I9" s="182"/>
    </row>
    <row r="10" spans="1:19" ht="17" thickBot="1" x14ac:dyDescent="0.25">
      <c r="A10" s="182"/>
      <c r="B10" s="182"/>
      <c r="C10" s="182"/>
      <c r="D10" s="182"/>
      <c r="E10" s="182"/>
      <c r="F10" s="183"/>
      <c r="G10" s="182"/>
      <c r="H10" s="182"/>
      <c r="I10" s="182"/>
    </row>
    <row r="11" spans="1:19" ht="21" thickBot="1" x14ac:dyDescent="0.25">
      <c r="A11" s="344" t="s">
        <v>309</v>
      </c>
      <c r="B11" s="345" t="s">
        <v>306</v>
      </c>
      <c r="C11" s="346" t="s">
        <v>296</v>
      </c>
      <c r="D11" s="347" t="s">
        <v>239</v>
      </c>
      <c r="E11" s="182"/>
      <c r="F11" s="88" t="s">
        <v>202</v>
      </c>
      <c r="G11" s="363" t="s">
        <v>387</v>
      </c>
      <c r="H11" s="86" t="s">
        <v>239</v>
      </c>
      <c r="I11" s="182"/>
    </row>
    <row r="12" spans="1:19" ht="17" thickBot="1" x14ac:dyDescent="0.25">
      <c r="A12" s="348" t="s">
        <v>200</v>
      </c>
      <c r="B12" s="349">
        <f>SUM(B15:B32)</f>
        <v>0</v>
      </c>
      <c r="C12" s="350" t="e">
        <f>SUM(C15:C32)</f>
        <v>#DIV/0!</v>
      </c>
      <c r="D12" s="351"/>
      <c r="E12" s="182"/>
      <c r="F12" s="675" t="s">
        <v>386</v>
      </c>
      <c r="G12" s="676"/>
      <c r="H12" s="677"/>
      <c r="I12" s="182"/>
    </row>
    <row r="13" spans="1:19" x14ac:dyDescent="0.2">
      <c r="A13" s="352" t="s">
        <v>356</v>
      </c>
      <c r="B13" s="353" t="s">
        <v>154</v>
      </c>
      <c r="C13" s="354"/>
      <c r="D13" s="355"/>
      <c r="E13" s="182"/>
      <c r="F13" s="114" t="s">
        <v>203</v>
      </c>
      <c r="G13" s="120"/>
      <c r="H13" s="115"/>
      <c r="I13" s="182"/>
    </row>
    <row r="14" spans="1:19" ht="17" thickBot="1" x14ac:dyDescent="0.25">
      <c r="A14" s="352" t="s">
        <v>356</v>
      </c>
      <c r="B14" s="353" t="s">
        <v>154</v>
      </c>
      <c r="C14" s="354"/>
      <c r="D14" s="355"/>
      <c r="E14" s="182"/>
      <c r="F14" s="118" t="s">
        <v>204</v>
      </c>
      <c r="G14" s="121"/>
      <c r="H14" s="119"/>
      <c r="I14" s="182"/>
    </row>
    <row r="15" spans="1:19" ht="17" thickBot="1" x14ac:dyDescent="0.25">
      <c r="A15" s="356" t="s">
        <v>185</v>
      </c>
      <c r="B15" s="357">
        <v>0</v>
      </c>
      <c r="C15" s="358" t="e">
        <f>B15/$B$12</f>
        <v>#DIV/0!</v>
      </c>
      <c r="D15" s="359"/>
      <c r="E15" s="182"/>
      <c r="F15" s="658"/>
      <c r="G15" s="658"/>
      <c r="H15" s="658"/>
      <c r="I15" s="182"/>
    </row>
    <row r="16" spans="1:19" ht="17" thickBot="1" x14ac:dyDescent="0.25">
      <c r="A16" s="356" t="s">
        <v>186</v>
      </c>
      <c r="B16" s="357">
        <v>0</v>
      </c>
      <c r="C16" s="358" t="e">
        <f t="shared" ref="C16:C32" si="0">B16/$B$12</f>
        <v>#DIV/0!</v>
      </c>
      <c r="D16" s="359"/>
      <c r="E16" s="182"/>
      <c r="F16" s="679" t="s">
        <v>205</v>
      </c>
      <c r="G16" s="680"/>
      <c r="H16" s="681"/>
      <c r="I16" s="182"/>
    </row>
    <row r="17" spans="1:9" x14ac:dyDescent="0.2">
      <c r="A17" s="356" t="s">
        <v>187</v>
      </c>
      <c r="B17" s="357">
        <v>0</v>
      </c>
      <c r="C17" s="358" t="e">
        <f t="shared" si="0"/>
        <v>#DIV/0!</v>
      </c>
      <c r="D17" s="359"/>
      <c r="E17" s="182"/>
      <c r="F17" s="114" t="s">
        <v>206</v>
      </c>
      <c r="G17" s="120"/>
      <c r="H17" s="115"/>
      <c r="I17" s="182"/>
    </row>
    <row r="18" spans="1:9" ht="17" thickBot="1" x14ac:dyDescent="0.25">
      <c r="A18" s="356" t="s">
        <v>188</v>
      </c>
      <c r="B18" s="357">
        <v>0</v>
      </c>
      <c r="C18" s="358" t="e">
        <f t="shared" si="0"/>
        <v>#DIV/0!</v>
      </c>
      <c r="D18" s="359"/>
      <c r="E18" s="182"/>
      <c r="F18" s="118" t="s">
        <v>207</v>
      </c>
      <c r="G18" s="121"/>
      <c r="H18" s="119"/>
      <c r="I18" s="182"/>
    </row>
    <row r="19" spans="1:9" ht="17" thickBot="1" x14ac:dyDescent="0.25">
      <c r="A19" s="356" t="s">
        <v>189</v>
      </c>
      <c r="B19" s="357">
        <v>0</v>
      </c>
      <c r="C19" s="358" t="e">
        <f t="shared" si="0"/>
        <v>#DIV/0!</v>
      </c>
      <c r="D19" s="359"/>
      <c r="E19" s="182"/>
      <c r="F19" s="658"/>
      <c r="G19" s="658"/>
      <c r="H19" s="658"/>
      <c r="I19" s="182"/>
    </row>
    <row r="20" spans="1:9" ht="17" thickBot="1" x14ac:dyDescent="0.25">
      <c r="A20" s="356" t="s">
        <v>190</v>
      </c>
      <c r="B20" s="357">
        <v>0</v>
      </c>
      <c r="C20" s="358" t="e">
        <f t="shared" si="0"/>
        <v>#DIV/0!</v>
      </c>
      <c r="D20" s="359"/>
      <c r="E20" s="182"/>
      <c r="F20" s="679" t="s">
        <v>208</v>
      </c>
      <c r="G20" s="680"/>
      <c r="H20" s="681"/>
      <c r="I20" s="182"/>
    </row>
    <row r="21" spans="1:9" x14ac:dyDescent="0.2">
      <c r="A21" s="356" t="s">
        <v>191</v>
      </c>
      <c r="B21" s="357">
        <v>0</v>
      </c>
      <c r="C21" s="358" t="e">
        <f t="shared" si="0"/>
        <v>#DIV/0!</v>
      </c>
      <c r="D21" s="359"/>
      <c r="E21" s="182"/>
      <c r="F21" s="114" t="s">
        <v>209</v>
      </c>
      <c r="G21" s="120"/>
      <c r="H21" s="115"/>
      <c r="I21" s="182"/>
    </row>
    <row r="22" spans="1:9" x14ac:dyDescent="0.2">
      <c r="A22" s="356" t="s">
        <v>192</v>
      </c>
      <c r="B22" s="357">
        <v>0</v>
      </c>
      <c r="C22" s="358" t="e">
        <f t="shared" si="0"/>
        <v>#DIV/0!</v>
      </c>
      <c r="D22" s="359"/>
      <c r="E22" s="182"/>
      <c r="F22" s="116" t="s">
        <v>210</v>
      </c>
      <c r="G22" s="122"/>
      <c r="H22" s="117"/>
      <c r="I22" s="182"/>
    </row>
    <row r="23" spans="1:9" x14ac:dyDescent="0.2">
      <c r="A23" s="356" t="s">
        <v>193</v>
      </c>
      <c r="B23" s="357">
        <v>0</v>
      </c>
      <c r="C23" s="358" t="e">
        <f t="shared" si="0"/>
        <v>#DIV/0!</v>
      </c>
      <c r="D23" s="359"/>
      <c r="E23" s="182"/>
      <c r="F23" s="116" t="s">
        <v>211</v>
      </c>
      <c r="G23" s="122"/>
      <c r="H23" s="117"/>
      <c r="I23" s="182"/>
    </row>
    <row r="24" spans="1:9" ht="17" thickBot="1" x14ac:dyDescent="0.25">
      <c r="A24" s="356" t="s">
        <v>194</v>
      </c>
      <c r="B24" s="357">
        <v>0</v>
      </c>
      <c r="C24" s="358" t="e">
        <f t="shared" si="0"/>
        <v>#DIV/0!</v>
      </c>
      <c r="D24" s="359"/>
      <c r="E24" s="182"/>
      <c r="F24" s="118" t="s">
        <v>212</v>
      </c>
      <c r="G24" s="121"/>
      <c r="H24" s="119"/>
      <c r="I24" s="182"/>
    </row>
    <row r="25" spans="1:9" ht="17" thickBot="1" x14ac:dyDescent="0.25">
      <c r="A25" s="356" t="s">
        <v>195</v>
      </c>
      <c r="B25" s="357">
        <v>0</v>
      </c>
      <c r="C25" s="358" t="e">
        <f t="shared" si="0"/>
        <v>#DIV/0!</v>
      </c>
      <c r="D25" s="359"/>
      <c r="E25" s="182"/>
      <c r="F25" s="658"/>
      <c r="G25" s="658"/>
      <c r="H25" s="658"/>
      <c r="I25" s="182"/>
    </row>
    <row r="26" spans="1:9" ht="17" thickBot="1" x14ac:dyDescent="0.25">
      <c r="A26" s="356" t="s">
        <v>196</v>
      </c>
      <c r="B26" s="357">
        <v>0</v>
      </c>
      <c r="C26" s="358" t="e">
        <f t="shared" si="0"/>
        <v>#DIV/0!</v>
      </c>
      <c r="D26" s="359"/>
      <c r="E26" s="182"/>
      <c r="F26" s="679" t="s">
        <v>213</v>
      </c>
      <c r="G26" s="680"/>
      <c r="H26" s="681"/>
      <c r="I26" s="182"/>
    </row>
    <row r="27" spans="1:9" x14ac:dyDescent="0.2">
      <c r="A27" s="356" t="s">
        <v>197</v>
      </c>
      <c r="B27" s="357">
        <v>0</v>
      </c>
      <c r="C27" s="358" t="e">
        <f t="shared" si="0"/>
        <v>#DIV/0!</v>
      </c>
      <c r="D27" s="359"/>
      <c r="E27" s="182"/>
      <c r="F27" s="114" t="s">
        <v>214</v>
      </c>
      <c r="G27" s="120"/>
      <c r="H27" s="115"/>
      <c r="I27" s="182"/>
    </row>
    <row r="28" spans="1:9" x14ac:dyDescent="0.2">
      <c r="A28" s="356" t="s">
        <v>198</v>
      </c>
      <c r="B28" s="357">
        <v>0</v>
      </c>
      <c r="C28" s="358" t="e">
        <f t="shared" si="0"/>
        <v>#DIV/0!</v>
      </c>
      <c r="D28" s="359"/>
      <c r="E28" s="182"/>
      <c r="F28" s="116" t="s">
        <v>215</v>
      </c>
      <c r="G28" s="122"/>
      <c r="H28" s="117"/>
      <c r="I28" s="182"/>
    </row>
    <row r="29" spans="1:9" x14ac:dyDescent="0.2">
      <c r="A29" s="356" t="s">
        <v>312</v>
      </c>
      <c r="B29" s="357">
        <v>0</v>
      </c>
      <c r="C29" s="358" t="e">
        <f t="shared" si="0"/>
        <v>#DIV/0!</v>
      </c>
      <c r="D29" s="359"/>
      <c r="E29" s="182"/>
      <c r="F29" s="116" t="s">
        <v>217</v>
      </c>
      <c r="G29" s="122"/>
      <c r="H29" s="117"/>
      <c r="I29" s="182"/>
    </row>
    <row r="30" spans="1:9" x14ac:dyDescent="0.2">
      <c r="A30" s="380" t="s">
        <v>201</v>
      </c>
      <c r="B30" s="357">
        <v>0</v>
      </c>
      <c r="C30" s="358" t="e">
        <f t="shared" si="0"/>
        <v>#DIV/0!</v>
      </c>
      <c r="D30" s="359"/>
      <c r="E30" s="182"/>
      <c r="F30" s="116" t="s">
        <v>216</v>
      </c>
      <c r="G30" s="122"/>
      <c r="H30" s="117"/>
      <c r="I30" s="182"/>
    </row>
    <row r="31" spans="1:9" ht="17" thickBot="1" x14ac:dyDescent="0.25">
      <c r="A31" s="380" t="s">
        <v>201</v>
      </c>
      <c r="B31" s="357">
        <v>0</v>
      </c>
      <c r="C31" s="358" t="e">
        <f t="shared" si="0"/>
        <v>#DIV/0!</v>
      </c>
      <c r="D31" s="359"/>
      <c r="E31" s="182"/>
      <c r="F31" s="118" t="s">
        <v>218</v>
      </c>
      <c r="G31" s="121"/>
      <c r="H31" s="119"/>
      <c r="I31" s="182"/>
    </row>
    <row r="32" spans="1:9" ht="17" thickBot="1" x14ac:dyDescent="0.25">
      <c r="A32" s="381" t="s">
        <v>201</v>
      </c>
      <c r="B32" s="360">
        <v>0</v>
      </c>
      <c r="C32" s="358" t="e">
        <f t="shared" si="0"/>
        <v>#DIV/0!</v>
      </c>
      <c r="D32" s="361"/>
      <c r="E32" s="182"/>
      <c r="F32" s="658"/>
      <c r="G32" s="658"/>
      <c r="H32" s="658"/>
      <c r="I32" s="182"/>
    </row>
    <row r="33" spans="1:9" ht="17" thickBot="1" x14ac:dyDescent="0.25">
      <c r="A33" s="668" t="s">
        <v>236</v>
      </c>
      <c r="B33" s="668"/>
      <c r="C33" s="668"/>
      <c r="D33" s="668"/>
      <c r="E33" s="182"/>
      <c r="F33" s="679" t="s">
        <v>219</v>
      </c>
      <c r="G33" s="680"/>
      <c r="H33" s="681"/>
      <c r="I33" s="182"/>
    </row>
    <row r="34" spans="1:9" x14ac:dyDescent="0.2">
      <c r="A34" s="668"/>
      <c r="B34" s="668"/>
      <c r="C34" s="668"/>
      <c r="D34" s="668"/>
      <c r="E34" s="182"/>
      <c r="F34" s="114" t="s">
        <v>220</v>
      </c>
      <c r="G34" s="120"/>
      <c r="H34" s="115"/>
      <c r="I34" s="182"/>
    </row>
    <row r="35" spans="1:9" x14ac:dyDescent="0.2">
      <c r="A35" s="669" t="s">
        <v>237</v>
      </c>
      <c r="B35" s="669"/>
      <c r="C35" s="669"/>
      <c r="D35" s="669"/>
      <c r="E35" s="182"/>
      <c r="F35" s="116" t="s">
        <v>221</v>
      </c>
      <c r="G35" s="122"/>
      <c r="H35" s="117"/>
      <c r="I35" s="182"/>
    </row>
    <row r="36" spans="1:9" ht="17" thickBot="1" x14ac:dyDescent="0.25">
      <c r="A36" s="669" t="s">
        <v>238</v>
      </c>
      <c r="B36" s="669"/>
      <c r="C36" s="669"/>
      <c r="D36" s="669"/>
      <c r="E36" s="182"/>
      <c r="F36" s="118" t="s">
        <v>222</v>
      </c>
      <c r="G36" s="121"/>
      <c r="H36" s="119"/>
      <c r="I36" s="182"/>
    </row>
    <row r="37" spans="1:9" ht="21" thickBot="1" x14ac:dyDescent="0.25">
      <c r="A37" s="362" t="s">
        <v>311</v>
      </c>
      <c r="B37" s="363" t="s">
        <v>199</v>
      </c>
      <c r="C37" s="364" t="s">
        <v>296</v>
      </c>
      <c r="D37" s="365" t="s">
        <v>239</v>
      </c>
      <c r="E37" s="182"/>
      <c r="F37" s="658"/>
      <c r="G37" s="658"/>
      <c r="H37" s="658"/>
      <c r="I37" s="182"/>
    </row>
    <row r="38" spans="1:9" ht="17" thickBot="1" x14ac:dyDescent="0.25">
      <c r="A38" s="382"/>
      <c r="B38" s="366">
        <v>0</v>
      </c>
      <c r="C38" s="367" t="e">
        <f>B38/SUM($B$38:$B$48)</f>
        <v>#DIV/0!</v>
      </c>
      <c r="D38" s="368"/>
      <c r="E38" s="182"/>
      <c r="F38" s="679" t="s">
        <v>223</v>
      </c>
      <c r="G38" s="680"/>
      <c r="H38" s="681"/>
      <c r="I38" s="182"/>
    </row>
    <row r="39" spans="1:9" x14ac:dyDescent="0.2">
      <c r="A39" s="380"/>
      <c r="B39" s="369">
        <v>0</v>
      </c>
      <c r="C39" s="370" t="e">
        <f t="shared" ref="C39:C48" si="1">B39/SUM($B$38:$B$48)</f>
        <v>#DIV/0!</v>
      </c>
      <c r="D39" s="371"/>
      <c r="E39" s="182"/>
      <c r="F39" s="114" t="s">
        <v>224</v>
      </c>
      <c r="G39" s="120"/>
      <c r="H39" s="115"/>
      <c r="I39" s="182"/>
    </row>
    <row r="40" spans="1:9" x14ac:dyDescent="0.2">
      <c r="A40" s="380"/>
      <c r="B40" s="369">
        <v>0</v>
      </c>
      <c r="C40" s="370" t="e">
        <f t="shared" si="1"/>
        <v>#DIV/0!</v>
      </c>
      <c r="D40" s="371"/>
      <c r="E40" s="182"/>
      <c r="F40" s="116" t="s">
        <v>225</v>
      </c>
      <c r="G40" s="122"/>
      <c r="H40" s="117"/>
      <c r="I40" s="182"/>
    </row>
    <row r="41" spans="1:9" x14ac:dyDescent="0.2">
      <c r="A41" s="380"/>
      <c r="B41" s="369">
        <v>0</v>
      </c>
      <c r="C41" s="370" t="e">
        <f t="shared" si="1"/>
        <v>#DIV/0!</v>
      </c>
      <c r="D41" s="371"/>
      <c r="E41" s="182"/>
      <c r="F41" s="116" t="s">
        <v>226</v>
      </c>
      <c r="G41" s="122"/>
      <c r="H41" s="117"/>
      <c r="I41" s="182"/>
    </row>
    <row r="42" spans="1:9" x14ac:dyDescent="0.2">
      <c r="A42" s="380"/>
      <c r="B42" s="369">
        <v>0</v>
      </c>
      <c r="C42" s="370" t="e">
        <f t="shared" si="1"/>
        <v>#DIV/0!</v>
      </c>
      <c r="D42" s="371"/>
      <c r="E42" s="182"/>
      <c r="F42" s="116" t="s">
        <v>227</v>
      </c>
      <c r="G42" s="122"/>
      <c r="H42" s="117"/>
      <c r="I42" s="182"/>
    </row>
    <row r="43" spans="1:9" x14ac:dyDescent="0.2">
      <c r="A43" s="380"/>
      <c r="B43" s="369">
        <v>0</v>
      </c>
      <c r="C43" s="370" t="e">
        <f t="shared" si="1"/>
        <v>#DIV/0!</v>
      </c>
      <c r="D43" s="371"/>
      <c r="E43" s="182"/>
      <c r="F43" s="116" t="s">
        <v>228</v>
      </c>
      <c r="G43" s="122"/>
      <c r="H43" s="117"/>
      <c r="I43" s="182"/>
    </row>
    <row r="44" spans="1:9" ht="17" thickBot="1" x14ac:dyDescent="0.25">
      <c r="A44" s="380"/>
      <c r="B44" s="369">
        <v>0</v>
      </c>
      <c r="C44" s="370" t="e">
        <f t="shared" si="1"/>
        <v>#DIV/0!</v>
      </c>
      <c r="D44" s="371"/>
      <c r="E44" s="182"/>
      <c r="F44" s="118" t="s">
        <v>229</v>
      </c>
      <c r="G44" s="121"/>
      <c r="H44" s="119"/>
      <c r="I44" s="182"/>
    </row>
    <row r="45" spans="1:9" ht="17" thickBot="1" x14ac:dyDescent="0.25">
      <c r="A45" s="380"/>
      <c r="B45" s="369">
        <v>0</v>
      </c>
      <c r="C45" s="370" t="e">
        <f t="shared" si="1"/>
        <v>#DIV/0!</v>
      </c>
      <c r="D45" s="371"/>
      <c r="E45" s="182"/>
      <c r="F45" s="658"/>
      <c r="G45" s="658"/>
      <c r="H45" s="658"/>
      <c r="I45" s="182"/>
    </row>
    <row r="46" spans="1:9" ht="17" thickBot="1" x14ac:dyDescent="0.25">
      <c r="A46" s="380"/>
      <c r="B46" s="369">
        <v>0</v>
      </c>
      <c r="C46" s="370" t="e">
        <f t="shared" si="1"/>
        <v>#DIV/0!</v>
      </c>
      <c r="D46" s="371"/>
      <c r="E46" s="182"/>
      <c r="F46" s="679" t="s">
        <v>193</v>
      </c>
      <c r="G46" s="680"/>
      <c r="H46" s="681"/>
      <c r="I46" s="182"/>
    </row>
    <row r="47" spans="1:9" x14ac:dyDescent="0.2">
      <c r="A47" s="383"/>
      <c r="B47" s="372">
        <v>0</v>
      </c>
      <c r="C47" s="370" t="e">
        <f t="shared" si="1"/>
        <v>#DIV/0!</v>
      </c>
      <c r="D47" s="373"/>
      <c r="E47" s="182"/>
      <c r="F47" s="114" t="s">
        <v>230</v>
      </c>
      <c r="G47" s="120"/>
      <c r="H47" s="115"/>
      <c r="I47" s="182"/>
    </row>
    <row r="48" spans="1:9" ht="17" thickBot="1" x14ac:dyDescent="0.25">
      <c r="A48" s="381"/>
      <c r="B48" s="374">
        <v>0</v>
      </c>
      <c r="C48" s="375" t="e">
        <f t="shared" si="1"/>
        <v>#DIV/0!</v>
      </c>
      <c r="D48" s="376"/>
      <c r="E48" s="182"/>
      <c r="F48" s="116" t="s">
        <v>231</v>
      </c>
      <c r="G48" s="122"/>
      <c r="H48" s="117"/>
      <c r="I48" s="182"/>
    </row>
    <row r="49" spans="1:9" ht="17" thickBot="1" x14ac:dyDescent="0.25">
      <c r="A49" s="182"/>
      <c r="B49" s="182"/>
      <c r="C49" s="182"/>
      <c r="D49" s="182"/>
      <c r="E49" s="182"/>
      <c r="F49" s="118" t="s">
        <v>232</v>
      </c>
      <c r="G49" s="121"/>
      <c r="H49" s="119"/>
      <c r="I49" s="182"/>
    </row>
    <row r="50" spans="1:9" ht="17" thickBot="1" x14ac:dyDescent="0.25">
      <c r="A50" s="670" t="s">
        <v>248</v>
      </c>
      <c r="B50" s="671"/>
      <c r="C50" s="672"/>
      <c r="D50" s="673"/>
      <c r="E50" s="182"/>
      <c r="F50" s="658"/>
      <c r="G50" s="658"/>
      <c r="H50" s="658"/>
      <c r="I50" s="182"/>
    </row>
    <row r="51" spans="1:9" ht="17" thickBot="1" x14ac:dyDescent="0.25">
      <c r="A51" s="659"/>
      <c r="B51" s="660"/>
      <c r="C51" s="660"/>
      <c r="D51" s="661"/>
      <c r="E51" s="182"/>
      <c r="F51" s="679" t="s">
        <v>233</v>
      </c>
      <c r="G51" s="680"/>
      <c r="H51" s="681"/>
      <c r="I51" s="182"/>
    </row>
    <row r="52" spans="1:9" x14ac:dyDescent="0.2">
      <c r="A52" s="662"/>
      <c r="B52" s="663"/>
      <c r="C52" s="663"/>
      <c r="D52" s="664"/>
      <c r="E52" s="182"/>
      <c r="F52" s="114" t="s">
        <v>234</v>
      </c>
      <c r="G52" s="120"/>
      <c r="H52" s="115"/>
      <c r="I52" s="182"/>
    </row>
    <row r="53" spans="1:9" ht="17" thickBot="1" x14ac:dyDescent="0.25">
      <c r="A53" s="662"/>
      <c r="B53" s="663"/>
      <c r="C53" s="663"/>
      <c r="D53" s="664"/>
      <c r="E53" s="182"/>
      <c r="F53" s="118" t="s">
        <v>235</v>
      </c>
      <c r="G53" s="121"/>
      <c r="H53" s="119"/>
      <c r="I53" s="182"/>
    </row>
    <row r="54" spans="1:9" ht="17" thickBot="1" x14ac:dyDescent="0.25">
      <c r="A54" s="662"/>
      <c r="B54" s="663"/>
      <c r="C54" s="663"/>
      <c r="D54" s="664"/>
      <c r="E54" s="182"/>
      <c r="F54" s="682"/>
      <c r="G54" s="682"/>
      <c r="H54" s="682"/>
      <c r="I54" s="182"/>
    </row>
    <row r="55" spans="1:9" ht="17" thickBot="1" x14ac:dyDescent="0.25">
      <c r="A55" s="662"/>
      <c r="B55" s="663"/>
      <c r="C55" s="663"/>
      <c r="D55" s="664"/>
      <c r="E55" s="182"/>
      <c r="F55" s="675" t="s">
        <v>388</v>
      </c>
      <c r="G55" s="676"/>
      <c r="H55" s="677"/>
      <c r="I55" s="182"/>
    </row>
    <row r="56" spans="1:9" x14ac:dyDescent="0.2">
      <c r="A56" s="662"/>
      <c r="B56" s="663"/>
      <c r="C56" s="663"/>
      <c r="D56" s="664"/>
      <c r="E56" s="182"/>
      <c r="F56" s="384"/>
      <c r="G56" s="120"/>
      <c r="H56" s="115"/>
      <c r="I56" s="182"/>
    </row>
    <row r="57" spans="1:9" x14ac:dyDescent="0.2">
      <c r="A57" s="662"/>
      <c r="B57" s="663"/>
      <c r="C57" s="663"/>
      <c r="D57" s="664"/>
      <c r="E57" s="182"/>
      <c r="F57" s="384"/>
      <c r="G57" s="120"/>
      <c r="H57" s="115"/>
      <c r="I57" s="182"/>
    </row>
    <row r="58" spans="1:9" x14ac:dyDescent="0.2">
      <c r="A58" s="662"/>
      <c r="B58" s="663"/>
      <c r="C58" s="663"/>
      <c r="D58" s="664"/>
      <c r="E58" s="182"/>
      <c r="F58" s="384"/>
      <c r="G58" s="120"/>
      <c r="H58" s="115"/>
      <c r="I58" s="182"/>
    </row>
    <row r="59" spans="1:9" x14ac:dyDescent="0.2">
      <c r="A59" s="662"/>
      <c r="B59" s="663"/>
      <c r="C59" s="663"/>
      <c r="D59" s="664"/>
      <c r="E59" s="182"/>
      <c r="F59" s="384"/>
      <c r="G59" s="120"/>
      <c r="H59" s="115"/>
      <c r="I59" s="182"/>
    </row>
    <row r="60" spans="1:9" x14ac:dyDescent="0.2">
      <c r="A60" s="662"/>
      <c r="B60" s="663"/>
      <c r="C60" s="663"/>
      <c r="D60" s="664"/>
      <c r="E60" s="182"/>
      <c r="F60" s="384"/>
      <c r="G60" s="120"/>
      <c r="H60" s="115"/>
      <c r="I60" s="182"/>
    </row>
    <row r="61" spans="1:9" x14ac:dyDescent="0.2">
      <c r="A61" s="662"/>
      <c r="B61" s="663"/>
      <c r="C61" s="663"/>
      <c r="D61" s="664"/>
      <c r="E61" s="182"/>
      <c r="F61" s="384"/>
      <c r="G61" s="120"/>
      <c r="H61" s="115"/>
      <c r="I61" s="182"/>
    </row>
    <row r="62" spans="1:9" x14ac:dyDescent="0.2">
      <c r="A62" s="662"/>
      <c r="B62" s="663"/>
      <c r="C62" s="663"/>
      <c r="D62" s="664"/>
      <c r="E62" s="182"/>
      <c r="F62" s="384"/>
      <c r="G62" s="120"/>
      <c r="H62" s="115"/>
      <c r="I62" s="182"/>
    </row>
    <row r="63" spans="1:9" x14ac:dyDescent="0.2">
      <c r="A63" s="662"/>
      <c r="B63" s="663"/>
      <c r="C63" s="663"/>
      <c r="D63" s="664"/>
      <c r="E63" s="182"/>
      <c r="F63" s="385"/>
      <c r="G63" s="122"/>
      <c r="H63" s="117"/>
      <c r="I63" s="182"/>
    </row>
    <row r="64" spans="1:9" x14ac:dyDescent="0.2">
      <c r="A64" s="662"/>
      <c r="B64" s="663"/>
      <c r="C64" s="663"/>
      <c r="D64" s="664"/>
      <c r="E64" s="182"/>
      <c r="F64" s="386"/>
      <c r="G64" s="337"/>
      <c r="H64" s="338"/>
      <c r="I64" s="182"/>
    </row>
    <row r="65" spans="1:9" ht="17" thickBot="1" x14ac:dyDescent="0.25">
      <c r="A65" s="665"/>
      <c r="B65" s="666"/>
      <c r="C65" s="666"/>
      <c r="D65" s="667"/>
      <c r="E65" s="182"/>
      <c r="F65" s="387"/>
      <c r="G65" s="121"/>
      <c r="H65" s="119"/>
      <c r="I65" s="182"/>
    </row>
    <row r="66" spans="1:9" x14ac:dyDescent="0.2">
      <c r="A66" s="182"/>
      <c r="B66" s="182"/>
      <c r="C66" s="182"/>
      <c r="D66" s="182"/>
      <c r="E66" s="182"/>
      <c r="F66" s="183"/>
      <c r="G66" s="182"/>
      <c r="H66" s="182"/>
      <c r="I66" s="182"/>
    </row>
  </sheetData>
  <sheetProtection password="B0C5" sheet="1" objects="1" scenarios="1"/>
  <mergeCells count="25">
    <mergeCell ref="A7:H9"/>
    <mergeCell ref="F55:H55"/>
    <mergeCell ref="A1:I1"/>
    <mergeCell ref="F51:H51"/>
    <mergeCell ref="F54:H54"/>
    <mergeCell ref="A4:H6"/>
    <mergeCell ref="F45:H45"/>
    <mergeCell ref="F50:H50"/>
    <mergeCell ref="F12:H12"/>
    <mergeCell ref="F16:H16"/>
    <mergeCell ref="F20:H20"/>
    <mergeCell ref="F26:H26"/>
    <mergeCell ref="F33:H33"/>
    <mergeCell ref="F38:H38"/>
    <mergeCell ref="F46:H46"/>
    <mergeCell ref="F15:H15"/>
    <mergeCell ref="F19:H19"/>
    <mergeCell ref="F25:H25"/>
    <mergeCell ref="F32:H32"/>
    <mergeCell ref="F37:H37"/>
    <mergeCell ref="A51:D65"/>
    <mergeCell ref="A33:D34"/>
    <mergeCell ref="A35:D35"/>
    <mergeCell ref="A36:D36"/>
    <mergeCell ref="A50:D50"/>
  </mergeCells>
  <pageMargins left="0.7" right="0.7" top="0.75" bottom="0.75" header="0.3" footer="0.3"/>
  <pageSetup paperSize="9" scale="35" orientation="portrait" r:id="rId1"/>
  <colBreaks count="1" manualBreakCount="1">
    <brk id="9"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tint="0.59999389629810485"/>
  </sheetPr>
  <dimension ref="A1:AV343"/>
  <sheetViews>
    <sheetView showGridLines="0" view="pageBreakPreview" zoomScale="60" zoomScaleNormal="60" workbookViewId="0">
      <selection sqref="A1:R1"/>
    </sheetView>
  </sheetViews>
  <sheetFormatPr baseColWidth="10" defaultColWidth="8.85546875" defaultRowHeight="13" x14ac:dyDescent="0.2"/>
  <cols>
    <col min="1" max="1" width="6.42578125" style="2" customWidth="1"/>
    <col min="2" max="2" width="14.5703125" style="2" customWidth="1"/>
    <col min="3" max="3" width="8.140625" style="2" bestFit="1" customWidth="1"/>
    <col min="4" max="4" width="12.5703125" style="2" bestFit="1" customWidth="1"/>
    <col min="5" max="5" width="2.85546875" style="1" customWidth="1"/>
    <col min="6" max="9" width="8.85546875" style="1"/>
    <col min="10" max="10" width="4.140625" style="1" bestFit="1" customWidth="1"/>
    <col min="11" max="11" width="4.42578125" style="1" bestFit="1" customWidth="1"/>
    <col min="12" max="12" width="2.85546875" style="1" customWidth="1"/>
    <col min="13" max="16" width="8.85546875" style="1" customWidth="1"/>
    <col min="17" max="17" width="4.42578125" style="1" customWidth="1"/>
    <col min="18" max="18" width="5.140625" style="1" customWidth="1"/>
    <col min="19" max="19" width="2.85546875" style="1" customWidth="1"/>
    <col min="20" max="25" width="8.85546875" style="1" customWidth="1"/>
    <col min="26" max="30" width="10" style="1" customWidth="1"/>
    <col min="31" max="31" width="2.85546875" style="1" customWidth="1"/>
    <col min="32" max="40" width="8.85546875" style="1" customWidth="1"/>
    <col min="41" max="41" width="2.85546875" style="1" customWidth="1"/>
    <col min="42" max="42" width="8.85546875" style="1" customWidth="1"/>
    <col min="43" max="43" width="15.140625" style="1" customWidth="1"/>
    <col min="44" max="44" width="13" style="1" customWidth="1"/>
    <col min="45" max="45" width="13.5703125" style="1" customWidth="1"/>
    <col min="46" max="46" width="8.85546875" style="1" customWidth="1"/>
    <col min="47" max="47" width="10.42578125" style="1" customWidth="1"/>
    <col min="48" max="48" width="2.85546875" style="1" customWidth="1"/>
    <col min="49" max="16384" width="8.85546875" style="1"/>
  </cols>
  <sheetData>
    <row r="1" spans="1:48" ht="33" x14ac:dyDescent="0.2">
      <c r="A1" s="678" t="s">
        <v>57</v>
      </c>
      <c r="B1" s="678"/>
      <c r="C1" s="678"/>
      <c r="D1" s="678"/>
      <c r="E1" s="678"/>
      <c r="F1" s="678"/>
      <c r="G1" s="678"/>
      <c r="H1" s="678"/>
      <c r="I1" s="678"/>
      <c r="J1" s="678"/>
      <c r="K1" s="678"/>
      <c r="L1" s="678"/>
      <c r="M1" s="678"/>
      <c r="N1" s="678"/>
      <c r="O1" s="678"/>
      <c r="P1" s="678"/>
      <c r="Q1" s="678"/>
      <c r="R1" s="678"/>
      <c r="S1" s="305"/>
      <c r="T1" s="305"/>
      <c r="U1" s="305"/>
      <c r="V1" s="305"/>
      <c r="W1" s="305"/>
      <c r="X1" s="305"/>
      <c r="Y1" s="305"/>
      <c r="Z1" s="305"/>
      <c r="AA1" s="305"/>
      <c r="AB1" s="305"/>
      <c r="AC1" s="305"/>
      <c r="AD1" s="305"/>
      <c r="AE1" s="305"/>
      <c r="AF1" s="305"/>
      <c r="AG1" s="305"/>
      <c r="AH1" s="305"/>
      <c r="AI1" s="305"/>
      <c r="AJ1" s="305"/>
      <c r="AK1" s="305"/>
      <c r="AL1" s="305"/>
      <c r="AM1" s="305"/>
      <c r="AN1" s="305"/>
      <c r="AO1" s="305"/>
      <c r="AP1" s="305"/>
      <c r="AQ1" s="305"/>
      <c r="AR1" s="305"/>
      <c r="AS1" s="305"/>
      <c r="AT1" s="305"/>
      <c r="AU1" s="305"/>
      <c r="AV1" s="305"/>
    </row>
    <row r="2" spans="1:48" ht="23.25" customHeight="1" x14ac:dyDescent="0.2">
      <c r="A2" s="835" t="s">
        <v>14</v>
      </c>
      <c r="B2" s="835"/>
      <c r="C2" s="835"/>
      <c r="D2" s="835"/>
      <c r="E2" s="835"/>
      <c r="F2" s="835"/>
      <c r="G2" s="835"/>
      <c r="H2" s="835"/>
      <c r="I2" s="835"/>
      <c r="J2" s="835"/>
      <c r="K2" s="263"/>
      <c r="L2" s="263"/>
      <c r="M2" s="263"/>
      <c r="N2" s="263"/>
      <c r="O2" s="263"/>
      <c r="P2" s="263"/>
      <c r="Q2" s="263"/>
      <c r="R2" s="263"/>
      <c r="S2" s="305"/>
      <c r="T2" s="305"/>
      <c r="U2" s="305"/>
      <c r="V2" s="305"/>
      <c r="W2" s="305"/>
      <c r="X2" s="305"/>
      <c r="Y2" s="305"/>
      <c r="Z2" s="305"/>
      <c r="AA2" s="305"/>
      <c r="AB2" s="305"/>
      <c r="AC2" s="305"/>
      <c r="AD2" s="305"/>
      <c r="AE2" s="305"/>
      <c r="AF2" s="305"/>
      <c r="AG2" s="305"/>
      <c r="AH2" s="305"/>
      <c r="AI2" s="305"/>
      <c r="AJ2" s="305"/>
      <c r="AK2" s="305"/>
      <c r="AL2" s="305"/>
      <c r="AM2" s="305"/>
      <c r="AN2" s="305"/>
      <c r="AO2" s="305"/>
      <c r="AP2" s="305"/>
      <c r="AQ2" s="305"/>
      <c r="AR2" s="305"/>
      <c r="AS2" s="305"/>
      <c r="AT2" s="305"/>
      <c r="AU2" s="305"/>
      <c r="AV2" s="305"/>
    </row>
    <row r="3" spans="1:48" ht="19.5" customHeight="1" thickBot="1" x14ac:dyDescent="0.25">
      <c r="A3" s="377" t="s">
        <v>374</v>
      </c>
      <c r="B3" s="306"/>
      <c r="C3" s="306"/>
      <c r="D3" s="306"/>
      <c r="E3" s="306"/>
      <c r="F3" s="306"/>
      <c r="G3" s="306"/>
      <c r="H3" s="306"/>
      <c r="I3" s="306"/>
      <c r="J3" s="306"/>
      <c r="K3" s="307"/>
      <c r="L3" s="307"/>
      <c r="M3" s="307"/>
      <c r="N3" s="307"/>
      <c r="O3" s="307"/>
      <c r="P3" s="307"/>
      <c r="Q3" s="307"/>
      <c r="R3" s="307"/>
      <c r="S3" s="308"/>
      <c r="T3" s="308"/>
      <c r="U3" s="308"/>
      <c r="V3" s="308"/>
      <c r="W3" s="308"/>
      <c r="X3" s="308"/>
      <c r="Y3" s="308"/>
      <c r="Z3" s="308"/>
      <c r="AA3" s="308"/>
      <c r="AB3" s="308"/>
      <c r="AC3" s="308"/>
      <c r="AD3" s="308"/>
      <c r="AE3" s="308"/>
      <c r="AF3" s="308"/>
      <c r="AG3" s="308"/>
      <c r="AH3" s="308"/>
      <c r="AI3" s="308"/>
      <c r="AJ3" s="308"/>
      <c r="AK3" s="308"/>
      <c r="AL3" s="308"/>
      <c r="AM3" s="308"/>
      <c r="AN3" s="308"/>
      <c r="AO3" s="308"/>
      <c r="AP3" s="308"/>
      <c r="AQ3" s="308"/>
      <c r="AR3" s="308"/>
      <c r="AS3" s="308"/>
      <c r="AT3" s="308"/>
      <c r="AU3" s="308"/>
      <c r="AV3" s="308"/>
    </row>
    <row r="4" spans="1:48" ht="14" thickBot="1" x14ac:dyDescent="0.25">
      <c r="A4" s="309"/>
      <c r="B4" s="309"/>
      <c r="C4" s="309"/>
      <c r="D4" s="309"/>
      <c r="E4" s="157"/>
      <c r="F4" s="157"/>
      <c r="G4" s="157"/>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row>
    <row r="5" spans="1:48" ht="20.25" customHeight="1" x14ac:dyDescent="0.2">
      <c r="A5" s="836" t="s">
        <v>250</v>
      </c>
      <c r="B5" s="837"/>
      <c r="C5" s="837"/>
      <c r="D5" s="838"/>
      <c r="E5" s="305"/>
      <c r="F5" s="805" t="s">
        <v>158</v>
      </c>
      <c r="G5" s="806"/>
      <c r="H5" s="806"/>
      <c r="I5" s="806"/>
      <c r="J5" s="806"/>
      <c r="K5" s="807"/>
      <c r="L5" s="305"/>
      <c r="M5" s="82" t="s">
        <v>157</v>
      </c>
      <c r="N5" s="67"/>
      <c r="O5" s="67"/>
      <c r="P5" s="67"/>
      <c r="Q5" s="67"/>
      <c r="R5" s="83"/>
      <c r="S5" s="305"/>
      <c r="T5" s="81" t="s">
        <v>159</v>
      </c>
      <c r="U5" s="45"/>
      <c r="V5" s="45"/>
      <c r="W5" s="45"/>
      <c r="X5" s="45"/>
      <c r="Y5" s="45"/>
      <c r="Z5" s="50"/>
      <c r="AA5" s="50"/>
      <c r="AB5" s="50"/>
      <c r="AC5" s="50"/>
      <c r="AD5" s="51"/>
      <c r="AE5" s="305"/>
      <c r="AF5" s="82" t="s">
        <v>160</v>
      </c>
      <c r="AG5" s="67"/>
      <c r="AH5" s="67"/>
      <c r="AI5" s="67"/>
      <c r="AJ5" s="67"/>
      <c r="AK5" s="67"/>
      <c r="AL5" s="68"/>
      <c r="AM5" s="68"/>
      <c r="AN5" s="69"/>
      <c r="AO5" s="305"/>
      <c r="AP5" s="82" t="s">
        <v>161</v>
      </c>
      <c r="AQ5" s="67"/>
      <c r="AR5" s="67"/>
      <c r="AS5" s="67"/>
      <c r="AT5" s="67"/>
      <c r="AU5" s="83"/>
      <c r="AV5" s="305"/>
    </row>
    <row r="6" spans="1:48" ht="26.25" customHeight="1" thickBot="1" x14ac:dyDescent="0.25">
      <c r="A6" s="839"/>
      <c r="B6" s="840"/>
      <c r="C6" s="840"/>
      <c r="D6" s="841"/>
      <c r="E6" s="305"/>
      <c r="F6" s="808"/>
      <c r="G6" s="809"/>
      <c r="H6" s="809"/>
      <c r="I6" s="809"/>
      <c r="J6" s="809"/>
      <c r="K6" s="810"/>
      <c r="L6" s="305"/>
      <c r="M6" s="695" t="s">
        <v>16</v>
      </c>
      <c r="N6" s="696"/>
      <c r="O6" s="696"/>
      <c r="P6" s="696"/>
      <c r="Q6" s="696"/>
      <c r="R6" s="697"/>
      <c r="S6" s="157"/>
      <c r="T6" s="695" t="s">
        <v>16</v>
      </c>
      <c r="U6" s="696"/>
      <c r="V6" s="696"/>
      <c r="W6" s="696"/>
      <c r="X6" s="696"/>
      <c r="Y6" s="696"/>
      <c r="Z6" s="52"/>
      <c r="AA6" s="52"/>
      <c r="AB6" s="52"/>
      <c r="AC6" s="52"/>
      <c r="AD6" s="53"/>
      <c r="AE6" s="157"/>
      <c r="AF6" s="695" t="s">
        <v>16</v>
      </c>
      <c r="AG6" s="696"/>
      <c r="AH6" s="696"/>
      <c r="AI6" s="696"/>
      <c r="AJ6" s="696"/>
      <c r="AK6" s="696"/>
      <c r="AL6" s="61"/>
      <c r="AM6" s="61"/>
      <c r="AN6" s="62"/>
      <c r="AO6" s="157"/>
      <c r="AP6" s="695" t="s">
        <v>16</v>
      </c>
      <c r="AQ6" s="696"/>
      <c r="AR6" s="696"/>
      <c r="AS6" s="696"/>
      <c r="AT6" s="696"/>
      <c r="AU6" s="697"/>
      <c r="AV6" s="157"/>
    </row>
    <row r="7" spans="1:48" ht="12.75" customHeight="1" x14ac:dyDescent="0.2">
      <c r="A7" s="848" t="s">
        <v>249</v>
      </c>
      <c r="B7" s="849"/>
      <c r="C7" s="849"/>
      <c r="D7" s="850"/>
      <c r="E7" s="305"/>
      <c r="F7" s="769" t="s">
        <v>22</v>
      </c>
      <c r="G7" s="770"/>
      <c r="H7" s="770"/>
      <c r="I7" s="770"/>
      <c r="J7" s="636">
        <v>5</v>
      </c>
      <c r="K7" s="774" t="s">
        <v>15</v>
      </c>
      <c r="L7" s="305"/>
      <c r="M7" s="769" t="s">
        <v>400</v>
      </c>
      <c r="N7" s="770"/>
      <c r="O7" s="770"/>
      <c r="P7" s="770"/>
      <c r="Q7" s="636">
        <v>20</v>
      </c>
      <c r="R7" s="715" t="s">
        <v>17</v>
      </c>
      <c r="S7" s="305"/>
      <c r="T7" s="738" t="s">
        <v>42</v>
      </c>
      <c r="U7" s="739"/>
      <c r="V7" s="739"/>
      <c r="W7" s="739"/>
      <c r="X7" s="779">
        <v>35300</v>
      </c>
      <c r="Y7" s="705"/>
      <c r="Z7" s="48"/>
      <c r="AA7" s="48"/>
      <c r="AB7" s="48"/>
      <c r="AC7" s="48"/>
      <c r="AD7" s="49"/>
      <c r="AE7" s="305"/>
      <c r="AF7" s="738" t="s">
        <v>43</v>
      </c>
      <c r="AG7" s="739"/>
      <c r="AH7" s="739"/>
      <c r="AI7" s="739"/>
      <c r="AJ7" s="732">
        <v>6800</v>
      </c>
      <c r="AK7" s="636"/>
      <c r="AL7" s="61"/>
      <c r="AM7" s="61"/>
      <c r="AN7" s="62"/>
      <c r="AO7" s="305"/>
      <c r="AP7" s="712" t="s">
        <v>427</v>
      </c>
      <c r="AQ7" s="713"/>
      <c r="AR7" s="713"/>
      <c r="AS7" s="713"/>
      <c r="AT7" s="693">
        <v>20</v>
      </c>
      <c r="AU7" s="715" t="s">
        <v>17</v>
      </c>
      <c r="AV7" s="305"/>
    </row>
    <row r="8" spans="1:48" ht="26.25" customHeight="1" thickBot="1" x14ac:dyDescent="0.25">
      <c r="A8" s="40" t="s">
        <v>10</v>
      </c>
      <c r="B8" s="41" t="s">
        <v>13</v>
      </c>
      <c r="C8" s="42" t="s">
        <v>12</v>
      </c>
      <c r="D8" s="43" t="s">
        <v>11</v>
      </c>
      <c r="E8" s="305"/>
      <c r="F8" s="771"/>
      <c r="G8" s="772"/>
      <c r="H8" s="772"/>
      <c r="I8" s="772"/>
      <c r="J8" s="773"/>
      <c r="K8" s="775"/>
      <c r="L8" s="305"/>
      <c r="M8" s="769"/>
      <c r="N8" s="770"/>
      <c r="O8" s="770"/>
      <c r="P8" s="770"/>
      <c r="Q8" s="636"/>
      <c r="R8" s="715"/>
      <c r="S8" s="305"/>
      <c r="T8" s="738"/>
      <c r="U8" s="739"/>
      <c r="V8" s="739"/>
      <c r="W8" s="739"/>
      <c r="X8" s="694"/>
      <c r="Y8" s="707"/>
      <c r="Z8" s="48"/>
      <c r="AA8" s="48"/>
      <c r="AB8" s="48"/>
      <c r="AC8" s="48"/>
      <c r="AD8" s="49"/>
      <c r="AE8" s="305"/>
      <c r="AF8" s="738"/>
      <c r="AG8" s="739"/>
      <c r="AH8" s="739"/>
      <c r="AI8" s="739"/>
      <c r="AJ8" s="733"/>
      <c r="AK8" s="636"/>
      <c r="AL8" s="61"/>
      <c r="AM8" s="61"/>
      <c r="AN8" s="62"/>
      <c r="AO8" s="305"/>
      <c r="AP8" s="712"/>
      <c r="AQ8" s="713"/>
      <c r="AR8" s="713"/>
      <c r="AS8" s="713"/>
      <c r="AT8" s="694"/>
      <c r="AU8" s="715"/>
      <c r="AV8" s="305"/>
    </row>
    <row r="9" spans="1:48" ht="14.25" customHeight="1" x14ac:dyDescent="0.2">
      <c r="A9" s="284">
        <v>0</v>
      </c>
      <c r="B9" s="285"/>
      <c r="C9" s="286">
        <v>1</v>
      </c>
      <c r="D9" s="287">
        <v>1</v>
      </c>
      <c r="E9" s="305"/>
      <c r="F9" s="537"/>
      <c r="G9" s="537"/>
      <c r="H9" s="537"/>
      <c r="I9" s="537"/>
      <c r="J9" s="537"/>
      <c r="K9" s="537"/>
      <c r="L9" s="309"/>
      <c r="M9" s="769"/>
      <c r="N9" s="770"/>
      <c r="O9" s="770"/>
      <c r="P9" s="770"/>
      <c r="Q9" s="636"/>
      <c r="R9" s="715"/>
      <c r="S9" s="309"/>
      <c r="T9" s="54"/>
      <c r="U9" s="48"/>
      <c r="V9" s="48"/>
      <c r="W9" s="48"/>
      <c r="X9" s="48"/>
      <c r="Y9" s="48"/>
      <c r="Z9" s="48"/>
      <c r="AA9" s="48"/>
      <c r="AB9" s="48"/>
      <c r="AC9" s="48"/>
      <c r="AD9" s="49"/>
      <c r="AE9" s="309"/>
      <c r="AF9" s="60"/>
      <c r="AG9" s="61"/>
      <c r="AH9" s="61"/>
      <c r="AI9" s="61"/>
      <c r="AJ9" s="61"/>
      <c r="AK9" s="61"/>
      <c r="AL9" s="61"/>
      <c r="AM9" s="61"/>
      <c r="AN9" s="62"/>
      <c r="AO9" s="309"/>
      <c r="AP9" s="813" t="s">
        <v>126</v>
      </c>
      <c r="AQ9" s="814"/>
      <c r="AR9" s="814"/>
      <c r="AS9" s="814"/>
      <c r="AT9" s="814"/>
      <c r="AU9" s="815"/>
      <c r="AV9" s="309"/>
    </row>
    <row r="10" spans="1:48" ht="14.25" customHeight="1" x14ac:dyDescent="0.2">
      <c r="A10" s="284">
        <v>1</v>
      </c>
      <c r="B10" s="285">
        <v>3.5000000000000003E-2</v>
      </c>
      <c r="C10" s="286">
        <v>0.96618357487922713</v>
      </c>
      <c r="D10" s="287">
        <v>1.9661835748792271</v>
      </c>
      <c r="E10" s="305"/>
      <c r="F10" s="305"/>
      <c r="G10" s="305"/>
      <c r="H10" s="305"/>
      <c r="I10" s="305"/>
      <c r="J10" s="305"/>
      <c r="K10" s="305"/>
      <c r="L10" s="309"/>
      <c r="M10" s="712" t="s">
        <v>401</v>
      </c>
      <c r="N10" s="713"/>
      <c r="O10" s="713"/>
      <c r="P10" s="713"/>
      <c r="Q10" s="714">
        <v>6</v>
      </c>
      <c r="R10" s="854" t="s">
        <v>17</v>
      </c>
      <c r="S10" s="309"/>
      <c r="T10" s="712" t="s">
        <v>419</v>
      </c>
      <c r="U10" s="713"/>
      <c r="V10" s="713"/>
      <c r="W10" s="713"/>
      <c r="X10" s="714">
        <v>20</v>
      </c>
      <c r="Y10" s="735" t="s">
        <v>17</v>
      </c>
      <c r="Z10" s="48"/>
      <c r="AA10" s="48"/>
      <c r="AB10" s="48"/>
      <c r="AC10" s="48"/>
      <c r="AD10" s="49"/>
      <c r="AE10" s="309"/>
      <c r="AF10" s="712" t="s">
        <v>419</v>
      </c>
      <c r="AG10" s="713"/>
      <c r="AH10" s="713"/>
      <c r="AI10" s="713"/>
      <c r="AJ10" s="714">
        <v>20</v>
      </c>
      <c r="AK10" s="735" t="s">
        <v>17</v>
      </c>
      <c r="AL10" s="61"/>
      <c r="AM10" s="61"/>
      <c r="AN10" s="62"/>
      <c r="AO10" s="309"/>
      <c r="AP10" s="726"/>
      <c r="AQ10" s="727"/>
      <c r="AR10" s="727"/>
      <c r="AS10" s="727"/>
      <c r="AT10" s="727"/>
      <c r="AU10" s="816"/>
      <c r="AV10" s="305"/>
    </row>
    <row r="11" spans="1:48" ht="14.25" customHeight="1" thickBot="1" x14ac:dyDescent="0.25">
      <c r="A11" s="284">
        <v>2</v>
      </c>
      <c r="B11" s="285">
        <v>3.5000000000000003E-2</v>
      </c>
      <c r="C11" s="286">
        <v>0.93351070036640305</v>
      </c>
      <c r="D11" s="287">
        <v>2.8996942752456301</v>
      </c>
      <c r="E11" s="305"/>
      <c r="F11" s="305"/>
      <c r="G11" s="305"/>
      <c r="H11" s="305"/>
      <c r="I11" s="305"/>
      <c r="J11" s="305"/>
      <c r="K11" s="305"/>
      <c r="L11" s="309"/>
      <c r="M11" s="851"/>
      <c r="N11" s="852"/>
      <c r="O11" s="852"/>
      <c r="P11" s="852"/>
      <c r="Q11" s="853"/>
      <c r="R11" s="855"/>
      <c r="S11" s="309"/>
      <c r="T11" s="712"/>
      <c r="U11" s="713"/>
      <c r="V11" s="713"/>
      <c r="W11" s="713"/>
      <c r="X11" s="714"/>
      <c r="Y11" s="735"/>
      <c r="Z11" s="48"/>
      <c r="AA11" s="48"/>
      <c r="AB11" s="48"/>
      <c r="AC11" s="48"/>
      <c r="AD11" s="49"/>
      <c r="AE11" s="309"/>
      <c r="AF11" s="712"/>
      <c r="AG11" s="713"/>
      <c r="AH11" s="713"/>
      <c r="AI11" s="713"/>
      <c r="AJ11" s="714"/>
      <c r="AK11" s="735"/>
      <c r="AL11" s="61"/>
      <c r="AM11" s="61"/>
      <c r="AN11" s="62"/>
      <c r="AO11" s="309"/>
      <c r="AP11" s="734" t="s">
        <v>104</v>
      </c>
      <c r="AQ11" s="735"/>
      <c r="AR11" s="44" t="s">
        <v>325</v>
      </c>
      <c r="AS11" s="44" t="s">
        <v>326</v>
      </c>
      <c r="AT11" s="756" t="s">
        <v>327</v>
      </c>
      <c r="AU11" s="774"/>
      <c r="AV11" s="305"/>
    </row>
    <row r="12" spans="1:48" ht="14.25" customHeight="1" thickBot="1" x14ac:dyDescent="0.25">
      <c r="A12" s="284">
        <v>3</v>
      </c>
      <c r="B12" s="285">
        <v>3.5000000000000003E-2</v>
      </c>
      <c r="C12" s="286">
        <v>0.90194270566802237</v>
      </c>
      <c r="D12" s="287">
        <v>3.8016369809136523</v>
      </c>
      <c r="E12" s="305"/>
      <c r="F12" s="305"/>
      <c r="G12" s="305"/>
      <c r="H12" s="305"/>
      <c r="I12" s="305"/>
      <c r="J12" s="305"/>
      <c r="K12" s="305"/>
      <c r="L12" s="265"/>
      <c r="M12" s="265"/>
      <c r="N12" s="265"/>
      <c r="O12" s="265"/>
      <c r="P12" s="265"/>
      <c r="Q12" s="265"/>
      <c r="R12" s="265"/>
      <c r="S12" s="265"/>
      <c r="T12" s="55"/>
      <c r="U12" s="56"/>
      <c r="V12" s="56"/>
      <c r="W12" s="56"/>
      <c r="X12" s="56"/>
      <c r="Y12" s="56"/>
      <c r="Z12" s="52"/>
      <c r="AA12" s="52"/>
      <c r="AB12" s="52"/>
      <c r="AC12" s="52"/>
      <c r="AD12" s="53"/>
      <c r="AE12" s="265"/>
      <c r="AF12" s="60"/>
      <c r="AG12" s="61"/>
      <c r="AH12" s="61"/>
      <c r="AI12" s="61"/>
      <c r="AJ12" s="61"/>
      <c r="AK12" s="61"/>
      <c r="AL12" s="61"/>
      <c r="AM12" s="61"/>
      <c r="AN12" s="62"/>
      <c r="AO12" s="265"/>
      <c r="AP12" s="734" t="s">
        <v>105</v>
      </c>
      <c r="AQ12" s="735"/>
      <c r="AR12" s="304">
        <v>1860</v>
      </c>
      <c r="AS12" s="304">
        <v>6410</v>
      </c>
      <c r="AT12" s="800">
        <v>10970</v>
      </c>
      <c r="AU12" s="801"/>
      <c r="AV12" s="305"/>
    </row>
    <row r="13" spans="1:48" ht="14.25" customHeight="1" x14ac:dyDescent="0.2">
      <c r="A13" s="284">
        <v>4</v>
      </c>
      <c r="B13" s="285">
        <v>3.5000000000000003E-2</v>
      </c>
      <c r="C13" s="286">
        <v>0.87144222769857238</v>
      </c>
      <c r="D13" s="287">
        <v>4.6730792086122248</v>
      </c>
      <c r="E13" s="305"/>
      <c r="F13" s="823" t="s">
        <v>162</v>
      </c>
      <c r="G13" s="824"/>
      <c r="H13" s="824"/>
      <c r="I13" s="824"/>
      <c r="J13" s="824"/>
      <c r="K13" s="824"/>
      <c r="L13" s="824"/>
      <c r="M13" s="824"/>
      <c r="N13" s="824"/>
      <c r="O13" s="824"/>
      <c r="P13" s="824"/>
      <c r="Q13" s="824"/>
      <c r="R13" s="825"/>
      <c r="S13" s="265"/>
      <c r="T13" s="724" t="s">
        <v>18</v>
      </c>
      <c r="U13" s="725"/>
      <c r="V13" s="725"/>
      <c r="W13" s="725"/>
      <c r="X13" s="725"/>
      <c r="Y13" s="725"/>
      <c r="Z13" s="57"/>
      <c r="AA13" s="57"/>
      <c r="AB13" s="57"/>
      <c r="AC13" s="57"/>
      <c r="AD13" s="58"/>
      <c r="AE13" s="265"/>
      <c r="AF13" s="724" t="s">
        <v>18</v>
      </c>
      <c r="AG13" s="725"/>
      <c r="AH13" s="725"/>
      <c r="AI13" s="725"/>
      <c r="AJ13" s="725"/>
      <c r="AK13" s="725"/>
      <c r="AL13" s="61"/>
      <c r="AM13" s="61"/>
      <c r="AN13" s="62"/>
      <c r="AO13" s="265"/>
      <c r="AP13" s="734" t="s">
        <v>106</v>
      </c>
      <c r="AQ13" s="735"/>
      <c r="AR13" s="304">
        <v>1100</v>
      </c>
      <c r="AS13" s="304">
        <v>3440</v>
      </c>
      <c r="AT13" s="800">
        <v>6450</v>
      </c>
      <c r="AU13" s="801"/>
      <c r="AV13" s="305"/>
    </row>
    <row r="14" spans="1:48" ht="14.25" customHeight="1" thickBot="1" x14ac:dyDescent="0.25">
      <c r="A14" s="284">
        <v>5</v>
      </c>
      <c r="B14" s="285">
        <v>3.5000000000000003E-2</v>
      </c>
      <c r="C14" s="286">
        <v>0.84197316685852408</v>
      </c>
      <c r="D14" s="287">
        <v>5.5150523754707486</v>
      </c>
      <c r="E14" s="305"/>
      <c r="F14" s="826"/>
      <c r="G14" s="827"/>
      <c r="H14" s="827"/>
      <c r="I14" s="827"/>
      <c r="J14" s="827"/>
      <c r="K14" s="827"/>
      <c r="L14" s="827"/>
      <c r="M14" s="827"/>
      <c r="N14" s="827"/>
      <c r="O14" s="827"/>
      <c r="P14" s="827"/>
      <c r="Q14" s="827"/>
      <c r="R14" s="828"/>
      <c r="S14" s="265"/>
      <c r="T14" s="724"/>
      <c r="U14" s="725"/>
      <c r="V14" s="725"/>
      <c r="W14" s="725"/>
      <c r="X14" s="725"/>
      <c r="Y14" s="725"/>
      <c r="Z14" s="57"/>
      <c r="AA14" s="57"/>
      <c r="AB14" s="57"/>
      <c r="AC14" s="57"/>
      <c r="AD14" s="58"/>
      <c r="AE14" s="265"/>
      <c r="AF14" s="724"/>
      <c r="AG14" s="725"/>
      <c r="AH14" s="725"/>
      <c r="AI14" s="725"/>
      <c r="AJ14" s="725"/>
      <c r="AK14" s="725"/>
      <c r="AL14" s="61"/>
      <c r="AM14" s="61"/>
      <c r="AN14" s="62"/>
      <c r="AO14" s="265"/>
      <c r="AP14" s="734" t="s">
        <v>55</v>
      </c>
      <c r="AQ14" s="735"/>
      <c r="AR14" s="304">
        <v>1100</v>
      </c>
      <c r="AS14" s="304">
        <v>3440</v>
      </c>
      <c r="AT14" s="800">
        <v>6450</v>
      </c>
      <c r="AU14" s="801"/>
      <c r="AV14" s="305"/>
    </row>
    <row r="15" spans="1:48" ht="14.25" customHeight="1" x14ac:dyDescent="0.2">
      <c r="A15" s="284">
        <v>6</v>
      </c>
      <c r="B15" s="285">
        <v>3.5000000000000003E-2</v>
      </c>
      <c r="C15" s="286">
        <v>0.81350064430775282</v>
      </c>
      <c r="D15" s="287">
        <v>6.3285530197785018</v>
      </c>
      <c r="E15" s="305"/>
      <c r="F15" s="842" t="s">
        <v>164</v>
      </c>
      <c r="G15" s="843"/>
      <c r="H15" s="843" t="s">
        <v>163</v>
      </c>
      <c r="I15" s="843"/>
      <c r="J15" s="843"/>
      <c r="K15" s="843"/>
      <c r="L15" s="843"/>
      <c r="M15" s="843"/>
      <c r="N15" s="843"/>
      <c r="O15" s="843"/>
      <c r="P15" s="843"/>
      <c r="Q15" s="843"/>
      <c r="R15" s="844"/>
      <c r="S15" s="265"/>
      <c r="T15" s="726"/>
      <c r="U15" s="727"/>
      <c r="V15" s="727"/>
      <c r="W15" s="727"/>
      <c r="X15" s="727"/>
      <c r="Y15" s="727"/>
      <c r="Z15" s="57"/>
      <c r="AA15" s="57"/>
      <c r="AB15" s="57"/>
      <c r="AC15" s="57"/>
      <c r="AD15" s="58"/>
      <c r="AE15" s="265"/>
      <c r="AF15" s="726"/>
      <c r="AG15" s="727"/>
      <c r="AH15" s="727"/>
      <c r="AI15" s="727"/>
      <c r="AJ15" s="727"/>
      <c r="AK15" s="727"/>
      <c r="AL15" s="61"/>
      <c r="AM15" s="61"/>
      <c r="AN15" s="62"/>
      <c r="AO15" s="265"/>
      <c r="AP15" s="734" t="s">
        <v>107</v>
      </c>
      <c r="AQ15" s="735"/>
      <c r="AR15" s="304">
        <v>670</v>
      </c>
      <c r="AS15" s="304">
        <v>2040</v>
      </c>
      <c r="AT15" s="800">
        <v>3410</v>
      </c>
      <c r="AU15" s="801"/>
      <c r="AV15" s="305"/>
    </row>
    <row r="16" spans="1:48" ht="14.25" customHeight="1" x14ac:dyDescent="0.2">
      <c r="A16" s="284">
        <v>7</v>
      </c>
      <c r="B16" s="285">
        <v>3.5000000000000003E-2</v>
      </c>
      <c r="C16" s="286">
        <v>0.78599096068381924</v>
      </c>
      <c r="D16" s="287">
        <v>7.1145439804623214</v>
      </c>
      <c r="E16" s="305"/>
      <c r="F16" s="845" t="s">
        <v>64</v>
      </c>
      <c r="G16" s="797"/>
      <c r="H16" s="846" t="s">
        <v>165</v>
      </c>
      <c r="I16" s="797"/>
      <c r="J16" s="797"/>
      <c r="K16" s="797"/>
      <c r="L16" s="797"/>
      <c r="M16" s="797"/>
      <c r="N16" s="797"/>
      <c r="O16" s="797"/>
      <c r="P16" s="797"/>
      <c r="Q16" s="797"/>
      <c r="R16" s="847"/>
      <c r="S16" s="265"/>
      <c r="T16" s="698" t="s">
        <v>19</v>
      </c>
      <c r="U16" s="699"/>
      <c r="V16" s="699"/>
      <c r="W16" s="700"/>
      <c r="X16" s="728">
        <v>2.25</v>
      </c>
      <c r="Y16" s="729"/>
      <c r="Z16" s="63"/>
      <c r="AA16" s="63"/>
      <c r="AB16" s="63"/>
      <c r="AC16" s="63"/>
      <c r="AD16" s="64"/>
      <c r="AE16" s="265"/>
      <c r="AF16" s="698" t="s">
        <v>19</v>
      </c>
      <c r="AG16" s="699"/>
      <c r="AH16" s="699"/>
      <c r="AI16" s="700"/>
      <c r="AJ16" s="728">
        <v>2.25</v>
      </c>
      <c r="AK16" s="729"/>
      <c r="AL16" s="61"/>
      <c r="AM16" s="61"/>
      <c r="AN16" s="62"/>
      <c r="AO16" s="265"/>
      <c r="AP16" s="734" t="s">
        <v>108</v>
      </c>
      <c r="AQ16" s="735"/>
      <c r="AR16" s="304">
        <v>60</v>
      </c>
      <c r="AS16" s="304">
        <v>110</v>
      </c>
      <c r="AT16" s="800">
        <v>490</v>
      </c>
      <c r="AU16" s="801"/>
      <c r="AV16" s="305"/>
    </row>
    <row r="17" spans="1:48" ht="14.25" customHeight="1" x14ac:dyDescent="0.2">
      <c r="A17" s="284">
        <v>8</v>
      </c>
      <c r="B17" s="285">
        <v>3.5000000000000003E-2</v>
      </c>
      <c r="C17" s="286">
        <v>0.75941155621625056</v>
      </c>
      <c r="D17" s="287">
        <v>7.8739555366785723</v>
      </c>
      <c r="E17" s="305"/>
      <c r="F17" s="845" t="s">
        <v>65</v>
      </c>
      <c r="G17" s="797"/>
      <c r="H17" s="831" t="s">
        <v>169</v>
      </c>
      <c r="I17" s="831"/>
      <c r="J17" s="831"/>
      <c r="K17" s="831"/>
      <c r="L17" s="831"/>
      <c r="M17" s="831"/>
      <c r="N17" s="831"/>
      <c r="O17" s="831"/>
      <c r="P17" s="831"/>
      <c r="Q17" s="831"/>
      <c r="R17" s="832"/>
      <c r="S17" s="265"/>
      <c r="T17" s="701"/>
      <c r="U17" s="702"/>
      <c r="V17" s="702"/>
      <c r="W17" s="703"/>
      <c r="X17" s="730"/>
      <c r="Y17" s="731"/>
      <c r="Z17" s="63"/>
      <c r="AA17" s="63"/>
      <c r="AB17" s="63"/>
      <c r="AC17" s="63"/>
      <c r="AD17" s="64"/>
      <c r="AE17" s="265"/>
      <c r="AF17" s="701"/>
      <c r="AG17" s="702"/>
      <c r="AH17" s="702"/>
      <c r="AI17" s="703"/>
      <c r="AJ17" s="730"/>
      <c r="AK17" s="731"/>
      <c r="AL17" s="61"/>
      <c r="AM17" s="61"/>
      <c r="AN17" s="62"/>
      <c r="AO17" s="265"/>
      <c r="AP17" s="734" t="s">
        <v>329</v>
      </c>
      <c r="AQ17" s="735"/>
      <c r="AR17" s="304">
        <v>90</v>
      </c>
      <c r="AS17" s="304">
        <v>1400</v>
      </c>
      <c r="AT17" s="800">
        <v>2720</v>
      </c>
      <c r="AU17" s="801"/>
      <c r="AV17" s="305"/>
    </row>
    <row r="18" spans="1:48" ht="14.25" customHeight="1" x14ac:dyDescent="0.2">
      <c r="A18" s="284">
        <v>9</v>
      </c>
      <c r="B18" s="285">
        <v>3.5000000000000003E-2</v>
      </c>
      <c r="C18" s="286">
        <v>0.73373097218961414</v>
      </c>
      <c r="D18" s="287">
        <v>8.607686508868186</v>
      </c>
      <c r="E18" s="305"/>
      <c r="F18" s="845"/>
      <c r="G18" s="797"/>
      <c r="H18" s="831"/>
      <c r="I18" s="831"/>
      <c r="J18" s="831"/>
      <c r="K18" s="831"/>
      <c r="L18" s="831"/>
      <c r="M18" s="831"/>
      <c r="N18" s="831"/>
      <c r="O18" s="831"/>
      <c r="P18" s="831"/>
      <c r="Q18" s="831"/>
      <c r="R18" s="832"/>
      <c r="S18" s="305"/>
      <c r="T18" s="698" t="s">
        <v>20</v>
      </c>
      <c r="U18" s="699"/>
      <c r="V18" s="699"/>
      <c r="W18" s="700"/>
      <c r="X18" s="704">
        <v>1.5</v>
      </c>
      <c r="Y18" s="705"/>
      <c r="Z18" s="63"/>
      <c r="AA18" s="63"/>
      <c r="AB18" s="63"/>
      <c r="AC18" s="63"/>
      <c r="AD18" s="64"/>
      <c r="AE18" s="305"/>
      <c r="AF18" s="698" t="s">
        <v>20</v>
      </c>
      <c r="AG18" s="699"/>
      <c r="AH18" s="699"/>
      <c r="AI18" s="700"/>
      <c r="AJ18" s="704">
        <v>1.5</v>
      </c>
      <c r="AK18" s="705"/>
      <c r="AL18" s="61"/>
      <c r="AM18" s="61"/>
      <c r="AN18" s="62"/>
      <c r="AO18" s="305"/>
      <c r="AP18" s="734" t="s">
        <v>109</v>
      </c>
      <c r="AQ18" s="735"/>
      <c r="AR18" s="304">
        <f>AR15</f>
        <v>670</v>
      </c>
      <c r="AS18" s="304">
        <f>AS15</f>
        <v>2040</v>
      </c>
      <c r="AT18" s="800">
        <f>AT15</f>
        <v>3410</v>
      </c>
      <c r="AU18" s="801"/>
      <c r="AV18" s="305"/>
    </row>
    <row r="19" spans="1:48" ht="14.25" customHeight="1" x14ac:dyDescent="0.2">
      <c r="A19" s="284">
        <v>10</v>
      </c>
      <c r="B19" s="285">
        <v>3.5000000000000003E-2</v>
      </c>
      <c r="C19" s="286">
        <v>0.70891881370977217</v>
      </c>
      <c r="D19" s="287">
        <v>9.3166053225779581</v>
      </c>
      <c r="E19" s="305"/>
      <c r="F19" s="845"/>
      <c r="G19" s="797"/>
      <c r="H19" s="831"/>
      <c r="I19" s="831"/>
      <c r="J19" s="831"/>
      <c r="K19" s="831"/>
      <c r="L19" s="831"/>
      <c r="M19" s="831"/>
      <c r="N19" s="831"/>
      <c r="O19" s="831"/>
      <c r="P19" s="831"/>
      <c r="Q19" s="831"/>
      <c r="R19" s="832"/>
      <c r="S19" s="305"/>
      <c r="T19" s="701"/>
      <c r="U19" s="702"/>
      <c r="V19" s="702"/>
      <c r="W19" s="703"/>
      <c r="X19" s="706"/>
      <c r="Y19" s="707"/>
      <c r="Z19" s="63"/>
      <c r="AA19" s="63"/>
      <c r="AB19" s="63"/>
      <c r="AC19" s="63"/>
      <c r="AD19" s="64"/>
      <c r="AE19" s="305"/>
      <c r="AF19" s="701"/>
      <c r="AG19" s="702"/>
      <c r="AH19" s="702"/>
      <c r="AI19" s="703"/>
      <c r="AJ19" s="706"/>
      <c r="AK19" s="707"/>
      <c r="AL19" s="61"/>
      <c r="AM19" s="61"/>
      <c r="AN19" s="62"/>
      <c r="AO19" s="305"/>
      <c r="AP19" s="734" t="s">
        <v>110</v>
      </c>
      <c r="AQ19" s="735"/>
      <c r="AR19" s="304">
        <v>30</v>
      </c>
      <c r="AS19" s="304">
        <v>50</v>
      </c>
      <c r="AT19" s="800">
        <v>60</v>
      </c>
      <c r="AU19" s="801"/>
      <c r="AV19" s="305"/>
    </row>
    <row r="20" spans="1:48" ht="14.25" customHeight="1" x14ac:dyDescent="0.2">
      <c r="A20" s="284">
        <v>11</v>
      </c>
      <c r="B20" s="285">
        <v>3.5000000000000003E-2</v>
      </c>
      <c r="C20" s="286">
        <v>0.68494571372924851</v>
      </c>
      <c r="D20" s="287">
        <v>10.001551036307207</v>
      </c>
      <c r="E20" s="305"/>
      <c r="F20" s="764" t="s">
        <v>67</v>
      </c>
      <c r="G20" s="765"/>
      <c r="H20" s="833" t="s">
        <v>314</v>
      </c>
      <c r="I20" s="833"/>
      <c r="J20" s="833"/>
      <c r="K20" s="833"/>
      <c r="L20" s="833"/>
      <c r="M20" s="833"/>
      <c r="N20" s="833"/>
      <c r="O20" s="833"/>
      <c r="P20" s="833"/>
      <c r="Q20" s="833"/>
      <c r="R20" s="834"/>
      <c r="S20" s="305"/>
      <c r="T20" s="698" t="s">
        <v>21</v>
      </c>
      <c r="U20" s="699"/>
      <c r="V20" s="699"/>
      <c r="W20" s="700"/>
      <c r="X20" s="704">
        <v>1</v>
      </c>
      <c r="Y20" s="705"/>
      <c r="Z20" s="63"/>
      <c r="AA20" s="63"/>
      <c r="AB20" s="63"/>
      <c r="AC20" s="63"/>
      <c r="AD20" s="64"/>
      <c r="AE20" s="305"/>
      <c r="AF20" s="698" t="s">
        <v>21</v>
      </c>
      <c r="AG20" s="699"/>
      <c r="AH20" s="699"/>
      <c r="AI20" s="700"/>
      <c r="AJ20" s="704">
        <v>1</v>
      </c>
      <c r="AK20" s="705"/>
      <c r="AL20" s="61"/>
      <c r="AM20" s="61"/>
      <c r="AN20" s="62"/>
      <c r="AO20" s="305"/>
      <c r="AP20" s="817" t="s">
        <v>127</v>
      </c>
      <c r="AQ20" s="818"/>
      <c r="AR20" s="818"/>
      <c r="AS20" s="818"/>
      <c r="AT20" s="818"/>
      <c r="AU20" s="819"/>
      <c r="AV20" s="305"/>
    </row>
    <row r="21" spans="1:48" ht="14.25" customHeight="1" x14ac:dyDescent="0.2">
      <c r="A21" s="284">
        <v>12</v>
      </c>
      <c r="B21" s="285">
        <v>3.5000000000000003E-2</v>
      </c>
      <c r="C21" s="286">
        <v>0.66178329828912907</v>
      </c>
      <c r="D21" s="287">
        <v>10.663334334596335</v>
      </c>
      <c r="E21" s="305"/>
      <c r="F21" s="764"/>
      <c r="G21" s="765"/>
      <c r="H21" s="833"/>
      <c r="I21" s="833"/>
      <c r="J21" s="833"/>
      <c r="K21" s="833"/>
      <c r="L21" s="833"/>
      <c r="M21" s="833"/>
      <c r="N21" s="833"/>
      <c r="O21" s="833"/>
      <c r="P21" s="833"/>
      <c r="Q21" s="833"/>
      <c r="R21" s="834"/>
      <c r="S21" s="305"/>
      <c r="T21" s="701"/>
      <c r="U21" s="702"/>
      <c r="V21" s="702"/>
      <c r="W21" s="703"/>
      <c r="X21" s="706"/>
      <c r="Y21" s="707"/>
      <c r="Z21" s="63"/>
      <c r="AA21" s="63"/>
      <c r="AB21" s="63"/>
      <c r="AC21" s="63"/>
      <c r="AD21" s="64"/>
      <c r="AE21" s="305"/>
      <c r="AF21" s="701"/>
      <c r="AG21" s="702"/>
      <c r="AH21" s="702"/>
      <c r="AI21" s="703"/>
      <c r="AJ21" s="706"/>
      <c r="AK21" s="707"/>
      <c r="AL21" s="61"/>
      <c r="AM21" s="61"/>
      <c r="AN21" s="62"/>
      <c r="AO21" s="305"/>
      <c r="AP21" s="820"/>
      <c r="AQ21" s="821"/>
      <c r="AR21" s="821"/>
      <c r="AS21" s="821"/>
      <c r="AT21" s="821"/>
      <c r="AU21" s="822"/>
      <c r="AV21" s="168"/>
    </row>
    <row r="22" spans="1:48" ht="14.25" customHeight="1" x14ac:dyDescent="0.2">
      <c r="A22" s="284">
        <v>13</v>
      </c>
      <c r="B22" s="285">
        <v>3.5000000000000003E-2</v>
      </c>
      <c r="C22" s="286">
        <v>0.63940415293635666</v>
      </c>
      <c r="D22" s="287">
        <v>11.302738487532691</v>
      </c>
      <c r="E22" s="305"/>
      <c r="F22" s="829" t="s">
        <v>166</v>
      </c>
      <c r="G22" s="830"/>
      <c r="H22" s="831" t="s">
        <v>170</v>
      </c>
      <c r="I22" s="831"/>
      <c r="J22" s="831"/>
      <c r="K22" s="831"/>
      <c r="L22" s="831"/>
      <c r="M22" s="831"/>
      <c r="N22" s="831"/>
      <c r="O22" s="831"/>
      <c r="P22" s="831"/>
      <c r="Q22" s="831"/>
      <c r="R22" s="832"/>
      <c r="S22" s="305"/>
      <c r="T22" s="811" t="s">
        <v>44</v>
      </c>
      <c r="U22" s="812"/>
      <c r="V22" s="812"/>
      <c r="W22" s="812"/>
      <c r="X22" s="812"/>
      <c r="Y22" s="812"/>
      <c r="Z22" s="812"/>
      <c r="AA22" s="61"/>
      <c r="AB22" s="61"/>
      <c r="AC22" s="61"/>
      <c r="AD22" s="62"/>
      <c r="AE22" s="305"/>
      <c r="AF22" s="724" t="s">
        <v>45</v>
      </c>
      <c r="AG22" s="725"/>
      <c r="AH22" s="725"/>
      <c r="AI22" s="725"/>
      <c r="AJ22" s="725"/>
      <c r="AK22" s="725"/>
      <c r="AL22" s="725"/>
      <c r="AM22" s="725"/>
      <c r="AN22" s="780"/>
      <c r="AO22" s="305"/>
      <c r="AP22" s="862" t="s">
        <v>115</v>
      </c>
      <c r="AQ22" s="863"/>
      <c r="AR22" s="863"/>
      <c r="AS22" s="864"/>
      <c r="AT22" s="860" t="s">
        <v>116</v>
      </c>
      <c r="AU22" s="861"/>
      <c r="AV22" s="168"/>
    </row>
    <row r="23" spans="1:48" ht="14.25" customHeight="1" x14ac:dyDescent="0.2">
      <c r="A23" s="284">
        <v>14</v>
      </c>
      <c r="B23" s="285">
        <v>3.5000000000000003E-2</v>
      </c>
      <c r="C23" s="286">
        <v>0.61778179027667313</v>
      </c>
      <c r="D23" s="287">
        <v>11.920520277809365</v>
      </c>
      <c r="E23" s="305"/>
      <c r="F23" s="829"/>
      <c r="G23" s="830"/>
      <c r="H23" s="831"/>
      <c r="I23" s="831"/>
      <c r="J23" s="831"/>
      <c r="K23" s="831"/>
      <c r="L23" s="831"/>
      <c r="M23" s="831"/>
      <c r="N23" s="831"/>
      <c r="O23" s="831"/>
      <c r="P23" s="831"/>
      <c r="Q23" s="831"/>
      <c r="R23" s="832"/>
      <c r="S23" s="305"/>
      <c r="T23" s="811"/>
      <c r="U23" s="812"/>
      <c r="V23" s="812"/>
      <c r="W23" s="812"/>
      <c r="X23" s="812"/>
      <c r="Y23" s="812"/>
      <c r="Z23" s="812"/>
      <c r="AA23" s="61"/>
      <c r="AB23" s="61"/>
      <c r="AC23" s="61"/>
      <c r="AD23" s="62"/>
      <c r="AE23" s="305"/>
      <c r="AF23" s="724"/>
      <c r="AG23" s="725"/>
      <c r="AH23" s="725"/>
      <c r="AI23" s="725"/>
      <c r="AJ23" s="725"/>
      <c r="AK23" s="725"/>
      <c r="AL23" s="725"/>
      <c r="AM23" s="725"/>
      <c r="AN23" s="780"/>
      <c r="AO23" s="305"/>
      <c r="AP23" s="865" t="s">
        <v>112</v>
      </c>
      <c r="AQ23" s="866"/>
      <c r="AR23" s="866"/>
      <c r="AS23" s="867"/>
      <c r="AT23" s="858">
        <v>13200</v>
      </c>
      <c r="AU23" s="859"/>
      <c r="AV23" s="168"/>
    </row>
    <row r="24" spans="1:48" ht="14.25" customHeight="1" x14ac:dyDescent="0.2">
      <c r="A24" s="284">
        <v>15</v>
      </c>
      <c r="B24" s="285">
        <v>3.5000000000000003E-2</v>
      </c>
      <c r="C24" s="286">
        <v>0.59689061862480497</v>
      </c>
      <c r="D24" s="287">
        <v>12.517410896434169</v>
      </c>
      <c r="E24" s="305"/>
      <c r="F24" s="829" t="s">
        <v>167</v>
      </c>
      <c r="G24" s="830"/>
      <c r="H24" s="831" t="s">
        <v>171</v>
      </c>
      <c r="I24" s="831"/>
      <c r="J24" s="831"/>
      <c r="K24" s="831"/>
      <c r="L24" s="831"/>
      <c r="M24" s="831"/>
      <c r="N24" s="831"/>
      <c r="O24" s="831"/>
      <c r="P24" s="831"/>
      <c r="Q24" s="831"/>
      <c r="R24" s="832"/>
      <c r="S24" s="305"/>
      <c r="T24" s="54"/>
      <c r="U24" s="48"/>
      <c r="V24" s="784" t="s">
        <v>23</v>
      </c>
      <c r="W24" s="741"/>
      <c r="X24" s="786" t="s">
        <v>418</v>
      </c>
      <c r="Y24" s="787"/>
      <c r="Z24" s="787"/>
      <c r="AA24" s="787"/>
      <c r="AB24" s="788"/>
      <c r="AC24" s="48"/>
      <c r="AD24" s="49"/>
      <c r="AE24" s="305"/>
      <c r="AF24" s="868" t="s">
        <v>46</v>
      </c>
      <c r="AG24" s="869"/>
      <c r="AH24" s="756" t="s">
        <v>48</v>
      </c>
      <c r="AI24" s="756"/>
      <c r="AJ24" s="753" t="s">
        <v>417</v>
      </c>
      <c r="AK24" s="753"/>
      <c r="AL24" s="753"/>
      <c r="AM24" s="753" t="s">
        <v>416</v>
      </c>
      <c r="AN24" s="781"/>
      <c r="AO24" s="305"/>
      <c r="AP24" s="865" t="s">
        <v>113</v>
      </c>
      <c r="AQ24" s="866"/>
      <c r="AR24" s="866"/>
      <c r="AS24" s="867"/>
      <c r="AT24" s="858">
        <v>6600</v>
      </c>
      <c r="AU24" s="859"/>
      <c r="AV24" s="168"/>
    </row>
    <row r="25" spans="1:48" ht="14.25" customHeight="1" thickBot="1" x14ac:dyDescent="0.25">
      <c r="A25" s="284">
        <v>16</v>
      </c>
      <c r="B25" s="285">
        <v>3.5000000000000003E-2</v>
      </c>
      <c r="C25" s="286">
        <v>0.57670591171478747</v>
      </c>
      <c r="D25" s="287">
        <v>13.094116808148957</v>
      </c>
      <c r="E25" s="305"/>
      <c r="F25" s="829"/>
      <c r="G25" s="830"/>
      <c r="H25" s="831"/>
      <c r="I25" s="831"/>
      <c r="J25" s="831"/>
      <c r="K25" s="831"/>
      <c r="L25" s="831"/>
      <c r="M25" s="831"/>
      <c r="N25" s="831"/>
      <c r="O25" s="831"/>
      <c r="P25" s="831"/>
      <c r="Q25" s="831"/>
      <c r="R25" s="832"/>
      <c r="S25" s="305"/>
      <c r="T25" s="54"/>
      <c r="U25" s="48"/>
      <c r="V25" s="785"/>
      <c r="W25" s="745"/>
      <c r="X25" s="782"/>
      <c r="Y25" s="789"/>
      <c r="Z25" s="789"/>
      <c r="AA25" s="789"/>
      <c r="AB25" s="790"/>
      <c r="AC25" s="48"/>
      <c r="AD25" s="49"/>
      <c r="AE25" s="305"/>
      <c r="AF25" s="870"/>
      <c r="AG25" s="871"/>
      <c r="AH25" s="756"/>
      <c r="AI25" s="756"/>
      <c r="AJ25" s="753"/>
      <c r="AK25" s="753"/>
      <c r="AL25" s="753"/>
      <c r="AM25" s="782"/>
      <c r="AN25" s="783"/>
      <c r="AO25" s="305"/>
      <c r="AP25" s="802" t="s">
        <v>114</v>
      </c>
      <c r="AQ25" s="803"/>
      <c r="AR25" s="803"/>
      <c r="AS25" s="804"/>
      <c r="AT25" s="856">
        <v>3300</v>
      </c>
      <c r="AU25" s="857"/>
      <c r="AV25" s="168"/>
    </row>
    <row r="26" spans="1:48" ht="14.25" customHeight="1" x14ac:dyDescent="0.2">
      <c r="A26" s="284">
        <v>17</v>
      </c>
      <c r="B26" s="285">
        <v>3.5000000000000003E-2</v>
      </c>
      <c r="C26" s="286">
        <v>0.55720377943457733</v>
      </c>
      <c r="D26" s="287">
        <v>13.651320587583534</v>
      </c>
      <c r="E26" s="305"/>
      <c r="F26" s="829" t="s">
        <v>168</v>
      </c>
      <c r="G26" s="830"/>
      <c r="H26" s="831" t="s">
        <v>172</v>
      </c>
      <c r="I26" s="831"/>
      <c r="J26" s="831"/>
      <c r="K26" s="831"/>
      <c r="L26" s="831"/>
      <c r="M26" s="831"/>
      <c r="N26" s="831"/>
      <c r="O26" s="831"/>
      <c r="P26" s="831"/>
      <c r="Q26" s="831"/>
      <c r="R26" s="832"/>
      <c r="S26" s="305"/>
      <c r="T26" s="698" t="s">
        <v>24</v>
      </c>
      <c r="U26" s="700"/>
      <c r="V26" s="704" t="s">
        <v>28</v>
      </c>
      <c r="W26" s="705"/>
      <c r="X26" s="716" t="s">
        <v>33</v>
      </c>
      <c r="Y26" s="716">
        <v>20</v>
      </c>
      <c r="Z26" s="718" t="s">
        <v>34</v>
      </c>
      <c r="AA26" s="719"/>
      <c r="AB26" s="720"/>
      <c r="AC26" s="48"/>
      <c r="AD26" s="49"/>
      <c r="AE26" s="305"/>
      <c r="AF26" s="734" t="s">
        <v>47</v>
      </c>
      <c r="AG26" s="735"/>
      <c r="AH26" s="636" t="s">
        <v>50</v>
      </c>
      <c r="AI26" s="636"/>
      <c r="AJ26" s="717">
        <v>20</v>
      </c>
      <c r="AK26" s="717"/>
      <c r="AL26" s="799" t="s">
        <v>52</v>
      </c>
      <c r="AM26" s="708">
        <f>$AJ$7*VLOOKUP($AJ26,$A$9:$D$109,3,FALSE)</f>
        <v>3417.4480141353602</v>
      </c>
      <c r="AN26" s="709"/>
      <c r="AO26" s="305"/>
      <c r="AP26" s="305"/>
      <c r="AQ26" s="305"/>
      <c r="AR26" s="305"/>
      <c r="AS26" s="305"/>
      <c r="AT26" s="305"/>
      <c r="AU26" s="305"/>
      <c r="AV26" s="305"/>
    </row>
    <row r="27" spans="1:48" ht="14.25" customHeight="1" x14ac:dyDescent="0.2">
      <c r="A27" s="284">
        <v>18</v>
      </c>
      <c r="B27" s="285">
        <v>3.5000000000000003E-2</v>
      </c>
      <c r="C27" s="286">
        <v>0.53836113955031628</v>
      </c>
      <c r="D27" s="287">
        <v>14.18968172713385</v>
      </c>
      <c r="E27" s="305"/>
      <c r="F27" s="829"/>
      <c r="G27" s="830"/>
      <c r="H27" s="831"/>
      <c r="I27" s="831"/>
      <c r="J27" s="831"/>
      <c r="K27" s="831"/>
      <c r="L27" s="831"/>
      <c r="M27" s="831"/>
      <c r="N27" s="831"/>
      <c r="O27" s="831"/>
      <c r="P27" s="831"/>
      <c r="Q27" s="831"/>
      <c r="R27" s="832"/>
      <c r="S27" s="305"/>
      <c r="T27" s="701"/>
      <c r="U27" s="703"/>
      <c r="V27" s="706"/>
      <c r="W27" s="707"/>
      <c r="X27" s="717"/>
      <c r="Y27" s="717"/>
      <c r="Z27" s="721"/>
      <c r="AA27" s="722"/>
      <c r="AB27" s="723"/>
      <c r="AC27" s="48"/>
      <c r="AD27" s="49"/>
      <c r="AE27" s="305"/>
      <c r="AF27" s="734"/>
      <c r="AG27" s="735"/>
      <c r="AH27" s="636"/>
      <c r="AI27" s="636"/>
      <c r="AJ27" s="636"/>
      <c r="AK27" s="636"/>
      <c r="AL27" s="797"/>
      <c r="AM27" s="708"/>
      <c r="AN27" s="709"/>
      <c r="AO27" s="305"/>
      <c r="AP27" s="305"/>
      <c r="AQ27" s="305"/>
      <c r="AR27" s="305"/>
      <c r="AS27" s="305"/>
      <c r="AT27" s="305"/>
      <c r="AU27" s="305"/>
      <c r="AV27" s="305"/>
    </row>
    <row r="28" spans="1:48" ht="14.25" customHeight="1" x14ac:dyDescent="0.2">
      <c r="A28" s="284">
        <v>19</v>
      </c>
      <c r="B28" s="285">
        <v>3.5000000000000003E-2</v>
      </c>
      <c r="C28" s="286">
        <v>0.520155690386779</v>
      </c>
      <c r="D28" s="287">
        <v>14.70983741752063</v>
      </c>
      <c r="E28" s="305"/>
      <c r="F28" s="684" t="s">
        <v>399</v>
      </c>
      <c r="G28" s="685"/>
      <c r="H28" s="690" t="s">
        <v>404</v>
      </c>
      <c r="I28" s="690"/>
      <c r="J28" s="690"/>
      <c r="K28" s="690"/>
      <c r="L28" s="690"/>
      <c r="M28" s="690"/>
      <c r="N28" s="690"/>
      <c r="O28" s="690"/>
      <c r="P28" s="690"/>
      <c r="Q28" s="690"/>
      <c r="R28" s="692"/>
      <c r="S28" s="305"/>
      <c r="T28" s="698" t="s">
        <v>25</v>
      </c>
      <c r="U28" s="700"/>
      <c r="V28" s="704" t="s">
        <v>29</v>
      </c>
      <c r="W28" s="705"/>
      <c r="X28" s="716" t="s">
        <v>33</v>
      </c>
      <c r="Y28" s="716">
        <v>30</v>
      </c>
      <c r="Z28" s="718" t="s">
        <v>35</v>
      </c>
      <c r="AA28" s="719"/>
      <c r="AB28" s="720"/>
      <c r="AC28" s="48"/>
      <c r="AD28" s="49"/>
      <c r="AE28" s="305"/>
      <c r="AF28" s="734" t="s">
        <v>49</v>
      </c>
      <c r="AG28" s="735"/>
      <c r="AH28" s="636" t="s">
        <v>51</v>
      </c>
      <c r="AI28" s="636"/>
      <c r="AJ28" s="636">
        <v>50</v>
      </c>
      <c r="AK28" s="636"/>
      <c r="AL28" s="797" t="s">
        <v>52</v>
      </c>
      <c r="AM28" s="708">
        <f>$AJ$7*VLOOKUP($AJ28,$A$9:$D$109,3,FALSE)</f>
        <v>1341.3864802956614</v>
      </c>
      <c r="AN28" s="709"/>
      <c r="AO28" s="305"/>
      <c r="AP28" s="305"/>
      <c r="AQ28" s="305"/>
      <c r="AR28" s="305"/>
      <c r="AS28" s="305"/>
      <c r="AT28" s="305"/>
      <c r="AU28" s="305"/>
      <c r="AV28" s="305"/>
    </row>
    <row r="29" spans="1:48" ht="14.25" customHeight="1" thickBot="1" x14ac:dyDescent="0.25">
      <c r="A29" s="284">
        <v>20</v>
      </c>
      <c r="B29" s="285">
        <v>3.5000000000000003E-2</v>
      </c>
      <c r="C29" s="286">
        <v>0.50256588443167061</v>
      </c>
      <c r="D29" s="287">
        <v>15.2124033019523</v>
      </c>
      <c r="E29" s="305"/>
      <c r="F29" s="684"/>
      <c r="G29" s="685"/>
      <c r="H29" s="690"/>
      <c r="I29" s="690"/>
      <c r="J29" s="690"/>
      <c r="K29" s="690"/>
      <c r="L29" s="690"/>
      <c r="M29" s="690"/>
      <c r="N29" s="690"/>
      <c r="O29" s="690"/>
      <c r="P29" s="690"/>
      <c r="Q29" s="690"/>
      <c r="R29" s="692"/>
      <c r="S29" s="305"/>
      <c r="T29" s="701"/>
      <c r="U29" s="703"/>
      <c r="V29" s="706"/>
      <c r="W29" s="707"/>
      <c r="X29" s="717"/>
      <c r="Y29" s="717"/>
      <c r="Z29" s="721"/>
      <c r="AA29" s="722"/>
      <c r="AB29" s="723"/>
      <c r="AC29" s="48"/>
      <c r="AD29" s="49"/>
      <c r="AE29" s="305"/>
      <c r="AF29" s="795"/>
      <c r="AG29" s="796"/>
      <c r="AH29" s="773"/>
      <c r="AI29" s="773"/>
      <c r="AJ29" s="773"/>
      <c r="AK29" s="773"/>
      <c r="AL29" s="798"/>
      <c r="AM29" s="710"/>
      <c r="AN29" s="711"/>
      <c r="AO29" s="305"/>
      <c r="AP29" s="305"/>
      <c r="AQ29" s="305"/>
      <c r="AR29" s="305"/>
      <c r="AS29" s="305"/>
      <c r="AT29" s="305"/>
      <c r="AU29" s="305"/>
      <c r="AV29" s="305"/>
    </row>
    <row r="30" spans="1:48" ht="14.25" customHeight="1" x14ac:dyDescent="0.2">
      <c r="A30" s="284">
        <v>21</v>
      </c>
      <c r="B30" s="285">
        <v>3.5000000000000003E-2</v>
      </c>
      <c r="C30" s="286">
        <v>0.48557090283253201</v>
      </c>
      <c r="D30" s="287">
        <v>15.697974204784831</v>
      </c>
      <c r="E30" s="305"/>
      <c r="F30" s="684" t="s">
        <v>402</v>
      </c>
      <c r="G30" s="685"/>
      <c r="H30" s="690" t="s">
        <v>403</v>
      </c>
      <c r="I30" s="690"/>
      <c r="J30" s="690"/>
      <c r="K30" s="690"/>
      <c r="L30" s="690"/>
      <c r="M30" s="690"/>
      <c r="N30" s="690"/>
      <c r="O30" s="690"/>
      <c r="P30" s="690"/>
      <c r="Q30" s="690"/>
      <c r="R30" s="692"/>
      <c r="S30" s="309"/>
      <c r="T30" s="791" t="s">
        <v>184</v>
      </c>
      <c r="U30" s="792"/>
      <c r="V30" s="704" t="s">
        <v>30</v>
      </c>
      <c r="W30" s="705"/>
      <c r="X30" s="716" t="s">
        <v>33</v>
      </c>
      <c r="Y30" s="716">
        <v>75</v>
      </c>
      <c r="Z30" s="718" t="s">
        <v>36</v>
      </c>
      <c r="AA30" s="719"/>
      <c r="AB30" s="720"/>
      <c r="AC30" s="48"/>
      <c r="AD30" s="49"/>
      <c r="AE30" s="305"/>
      <c r="AF30" s="305"/>
      <c r="AG30" s="305"/>
      <c r="AH30" s="305"/>
      <c r="AI30" s="305"/>
      <c r="AJ30" s="305"/>
      <c r="AK30" s="305"/>
      <c r="AL30" s="305"/>
      <c r="AM30" s="305"/>
      <c r="AN30" s="305"/>
      <c r="AO30" s="309"/>
      <c r="AP30" s="309"/>
      <c r="AQ30" s="309"/>
      <c r="AR30" s="309"/>
      <c r="AS30" s="309"/>
      <c r="AT30" s="309"/>
      <c r="AU30" s="309"/>
      <c r="AV30" s="309"/>
    </row>
    <row r="31" spans="1:48" ht="14.25" customHeight="1" x14ac:dyDescent="0.2">
      <c r="A31" s="284">
        <v>22</v>
      </c>
      <c r="B31" s="285">
        <v>3.5000000000000003E-2</v>
      </c>
      <c r="C31" s="286">
        <v>0.46915063075606961</v>
      </c>
      <c r="D31" s="287">
        <v>16.1671248355409</v>
      </c>
      <c r="E31" s="305"/>
      <c r="F31" s="684"/>
      <c r="G31" s="685"/>
      <c r="H31" s="690"/>
      <c r="I31" s="690"/>
      <c r="J31" s="690"/>
      <c r="K31" s="690"/>
      <c r="L31" s="690"/>
      <c r="M31" s="690"/>
      <c r="N31" s="690"/>
      <c r="O31" s="690"/>
      <c r="P31" s="690"/>
      <c r="Q31" s="690"/>
      <c r="R31" s="692"/>
      <c r="S31" s="309"/>
      <c r="T31" s="793"/>
      <c r="U31" s="794"/>
      <c r="V31" s="706"/>
      <c r="W31" s="707"/>
      <c r="X31" s="717"/>
      <c r="Y31" s="717"/>
      <c r="Z31" s="721"/>
      <c r="AA31" s="722"/>
      <c r="AB31" s="723"/>
      <c r="AC31" s="48"/>
      <c r="AD31" s="49"/>
      <c r="AE31" s="305"/>
      <c r="AF31" s="305"/>
      <c r="AG31" s="305"/>
      <c r="AH31" s="305"/>
      <c r="AI31" s="305"/>
      <c r="AJ31" s="305"/>
      <c r="AK31" s="305"/>
      <c r="AL31" s="305"/>
      <c r="AM31" s="305"/>
      <c r="AN31" s="305"/>
      <c r="AO31" s="309"/>
      <c r="AP31" s="309"/>
      <c r="AQ31" s="309"/>
      <c r="AR31" s="309"/>
      <c r="AS31" s="309"/>
      <c r="AT31" s="309"/>
      <c r="AU31" s="309"/>
      <c r="AV31" s="309"/>
    </row>
    <row r="32" spans="1:48" ht="14.25" customHeight="1" x14ac:dyDescent="0.2">
      <c r="A32" s="284">
        <v>23</v>
      </c>
      <c r="B32" s="285">
        <v>3.5000000000000003E-2</v>
      </c>
      <c r="C32" s="286">
        <v>0.45328563358074364</v>
      </c>
      <c r="D32" s="287">
        <v>16.620410469121644</v>
      </c>
      <c r="E32" s="305"/>
      <c r="F32" s="684" t="s">
        <v>410</v>
      </c>
      <c r="G32" s="685"/>
      <c r="H32" s="690" t="s">
        <v>411</v>
      </c>
      <c r="I32" s="690"/>
      <c r="J32" s="690"/>
      <c r="K32" s="690"/>
      <c r="L32" s="690"/>
      <c r="M32" s="690"/>
      <c r="N32" s="690"/>
      <c r="O32" s="690"/>
      <c r="P32" s="690"/>
      <c r="Q32" s="690"/>
      <c r="R32" s="692"/>
      <c r="S32" s="309"/>
      <c r="T32" s="698" t="s">
        <v>26</v>
      </c>
      <c r="U32" s="700"/>
      <c r="V32" s="704" t="s">
        <v>31</v>
      </c>
      <c r="W32" s="705"/>
      <c r="X32" s="716" t="s">
        <v>33</v>
      </c>
      <c r="Y32" s="716">
        <v>150</v>
      </c>
      <c r="Z32" s="718" t="s">
        <v>37</v>
      </c>
      <c r="AA32" s="719"/>
      <c r="AB32" s="720"/>
      <c r="AC32" s="48"/>
      <c r="AD32" s="49"/>
      <c r="AE32" s="305"/>
      <c r="AF32" s="305"/>
      <c r="AG32" s="305"/>
      <c r="AH32" s="305"/>
      <c r="AI32" s="305"/>
      <c r="AJ32" s="305"/>
      <c r="AK32" s="309"/>
      <c r="AL32" s="309"/>
      <c r="AM32" s="309"/>
      <c r="AN32" s="309"/>
      <c r="AO32" s="309"/>
      <c r="AP32" s="309"/>
      <c r="AQ32" s="309"/>
      <c r="AR32" s="309"/>
      <c r="AS32" s="309"/>
      <c r="AT32" s="309"/>
      <c r="AU32" s="309"/>
      <c r="AV32" s="309"/>
    </row>
    <row r="33" spans="1:48" ht="14.25" customHeight="1" x14ac:dyDescent="0.2">
      <c r="A33" s="284">
        <v>24</v>
      </c>
      <c r="B33" s="285">
        <v>3.5000000000000003E-2</v>
      </c>
      <c r="C33" s="286">
        <v>0.43795713389443836</v>
      </c>
      <c r="D33" s="287">
        <v>17.058367603016084</v>
      </c>
      <c r="E33" s="305"/>
      <c r="F33" s="684"/>
      <c r="G33" s="685"/>
      <c r="H33" s="690"/>
      <c r="I33" s="690"/>
      <c r="J33" s="690"/>
      <c r="K33" s="690"/>
      <c r="L33" s="690"/>
      <c r="M33" s="690"/>
      <c r="N33" s="690"/>
      <c r="O33" s="690"/>
      <c r="P33" s="690"/>
      <c r="Q33" s="690"/>
      <c r="R33" s="692"/>
      <c r="S33" s="309"/>
      <c r="T33" s="701"/>
      <c r="U33" s="703"/>
      <c r="V33" s="706"/>
      <c r="W33" s="707"/>
      <c r="X33" s="717"/>
      <c r="Y33" s="717"/>
      <c r="Z33" s="721"/>
      <c r="AA33" s="722"/>
      <c r="AB33" s="723"/>
      <c r="AC33" s="48"/>
      <c r="AD33" s="49"/>
      <c r="AE33" s="305"/>
      <c r="AF33" s="305"/>
      <c r="AG33" s="305"/>
      <c r="AH33" s="305"/>
      <c r="AI33" s="305"/>
      <c r="AJ33" s="305"/>
      <c r="AK33" s="309"/>
      <c r="AL33" s="309"/>
      <c r="AM33" s="309"/>
      <c r="AN33" s="309"/>
      <c r="AO33" s="309"/>
      <c r="AP33" s="309"/>
      <c r="AQ33" s="309"/>
      <c r="AR33" s="309"/>
      <c r="AS33" s="309"/>
      <c r="AT33" s="309"/>
      <c r="AU33" s="309"/>
      <c r="AV33" s="309"/>
    </row>
    <row r="34" spans="1:48" ht="14.25" customHeight="1" x14ac:dyDescent="0.2">
      <c r="A34" s="284">
        <v>25</v>
      </c>
      <c r="B34" s="285">
        <v>3.5000000000000003E-2</v>
      </c>
      <c r="C34" s="286">
        <v>0.42314698926998878</v>
      </c>
      <c r="D34" s="287">
        <v>17.481514592286072</v>
      </c>
      <c r="E34" s="305"/>
      <c r="F34" s="684"/>
      <c r="G34" s="685"/>
      <c r="H34" s="690"/>
      <c r="I34" s="690"/>
      <c r="J34" s="690"/>
      <c r="K34" s="690"/>
      <c r="L34" s="690"/>
      <c r="M34" s="690"/>
      <c r="N34" s="690"/>
      <c r="O34" s="690"/>
      <c r="P34" s="690"/>
      <c r="Q34" s="690"/>
      <c r="R34" s="692"/>
      <c r="S34" s="305"/>
      <c r="T34" s="698" t="s">
        <v>27</v>
      </c>
      <c r="U34" s="700"/>
      <c r="V34" s="704" t="s">
        <v>32</v>
      </c>
      <c r="W34" s="705"/>
      <c r="X34" s="716" t="s">
        <v>33</v>
      </c>
      <c r="Y34" s="716">
        <v>200</v>
      </c>
      <c r="Z34" s="718" t="s">
        <v>38</v>
      </c>
      <c r="AA34" s="719"/>
      <c r="AB34" s="720"/>
      <c r="AC34" s="48"/>
      <c r="AD34" s="49"/>
      <c r="AE34" s="305"/>
      <c r="AF34" s="305"/>
      <c r="AG34" s="305"/>
      <c r="AH34" s="305"/>
      <c r="AI34" s="305"/>
      <c r="AJ34" s="305"/>
      <c r="AK34" s="305"/>
      <c r="AL34" s="305"/>
      <c r="AM34" s="305"/>
      <c r="AN34" s="305"/>
      <c r="AO34" s="305"/>
      <c r="AP34" s="305"/>
      <c r="AQ34" s="305"/>
      <c r="AR34" s="305"/>
      <c r="AS34" s="305"/>
      <c r="AT34" s="305"/>
      <c r="AU34" s="305"/>
      <c r="AV34" s="305"/>
    </row>
    <row r="35" spans="1:48" ht="14.25" customHeight="1" x14ac:dyDescent="0.2">
      <c r="A35" s="284">
        <v>26</v>
      </c>
      <c r="B35" s="285">
        <v>3.5000000000000003E-2</v>
      </c>
      <c r="C35" s="286">
        <v>0.40883767079225974</v>
      </c>
      <c r="D35" s="287">
        <v>17.890352263078331</v>
      </c>
      <c r="E35" s="305"/>
      <c r="F35" s="684"/>
      <c r="G35" s="685"/>
      <c r="H35" s="690"/>
      <c r="I35" s="690"/>
      <c r="J35" s="690"/>
      <c r="K35" s="690"/>
      <c r="L35" s="690"/>
      <c r="M35" s="690"/>
      <c r="N35" s="690"/>
      <c r="O35" s="690"/>
      <c r="P35" s="690"/>
      <c r="Q35" s="690"/>
      <c r="R35" s="692"/>
      <c r="S35" s="305"/>
      <c r="T35" s="701"/>
      <c r="U35" s="703"/>
      <c r="V35" s="706"/>
      <c r="W35" s="707"/>
      <c r="X35" s="717"/>
      <c r="Y35" s="717"/>
      <c r="Z35" s="721"/>
      <c r="AA35" s="722"/>
      <c r="AB35" s="723"/>
      <c r="AC35" s="48"/>
      <c r="AD35" s="49"/>
      <c r="AE35" s="305"/>
      <c r="AF35" s="305"/>
      <c r="AG35" s="305"/>
      <c r="AH35" s="305"/>
      <c r="AI35" s="305"/>
      <c r="AJ35" s="305"/>
      <c r="AK35" s="305"/>
      <c r="AL35" s="305"/>
      <c r="AM35" s="305"/>
      <c r="AN35" s="305"/>
      <c r="AO35" s="305"/>
      <c r="AP35" s="305"/>
      <c r="AQ35" s="305"/>
      <c r="AR35" s="305"/>
      <c r="AS35" s="305"/>
      <c r="AT35" s="305"/>
      <c r="AU35" s="305"/>
      <c r="AV35" s="305"/>
    </row>
    <row r="36" spans="1:48" ht="14.25" customHeight="1" x14ac:dyDescent="0.2">
      <c r="A36" s="284">
        <v>27</v>
      </c>
      <c r="B36" s="285">
        <v>3.5000000000000003E-2</v>
      </c>
      <c r="C36" s="286">
        <v>0.39501224231136212</v>
      </c>
      <c r="D36" s="287">
        <v>18.285364505389694</v>
      </c>
      <c r="E36" s="305"/>
      <c r="F36" s="684"/>
      <c r="G36" s="685"/>
      <c r="H36" s="690"/>
      <c r="I36" s="690"/>
      <c r="J36" s="690"/>
      <c r="K36" s="690"/>
      <c r="L36" s="690"/>
      <c r="M36" s="690"/>
      <c r="N36" s="690"/>
      <c r="O36" s="690"/>
      <c r="P36" s="690"/>
      <c r="Q36" s="690"/>
      <c r="R36" s="692"/>
      <c r="S36" s="305"/>
      <c r="T36" s="54"/>
      <c r="U36" s="48"/>
      <c r="V36" s="48"/>
      <c r="W36" s="48"/>
      <c r="X36" s="48"/>
      <c r="Y36" s="48"/>
      <c r="Z36" s="48"/>
      <c r="AA36" s="48"/>
      <c r="AB36" s="48"/>
      <c r="AC36" s="48"/>
      <c r="AD36" s="49"/>
      <c r="AE36" s="305"/>
      <c r="AF36" s="305"/>
      <c r="AG36" s="305"/>
      <c r="AH36" s="305"/>
      <c r="AI36" s="305"/>
      <c r="AJ36" s="305"/>
      <c r="AK36" s="305"/>
      <c r="AL36" s="305"/>
      <c r="AM36" s="305"/>
      <c r="AN36" s="305"/>
      <c r="AO36" s="305"/>
      <c r="AP36" s="305"/>
      <c r="AQ36" s="305"/>
      <c r="AR36" s="305"/>
      <c r="AS36" s="305"/>
      <c r="AT36" s="305"/>
      <c r="AU36" s="305"/>
      <c r="AV36" s="305"/>
    </row>
    <row r="37" spans="1:48" ht="14.25" customHeight="1" x14ac:dyDescent="0.2">
      <c r="A37" s="284">
        <v>28</v>
      </c>
      <c r="B37" s="285">
        <v>3.5000000000000003E-2</v>
      </c>
      <c r="C37" s="286">
        <v>0.38165434039745133</v>
      </c>
      <c r="D37" s="287">
        <v>18.667018845787144</v>
      </c>
      <c r="E37" s="305"/>
      <c r="F37" s="684" t="s">
        <v>405</v>
      </c>
      <c r="G37" s="685"/>
      <c r="H37" s="690" t="s">
        <v>407</v>
      </c>
      <c r="I37" s="690"/>
      <c r="J37" s="690"/>
      <c r="K37" s="690"/>
      <c r="L37" s="690"/>
      <c r="M37" s="690"/>
      <c r="N37" s="690"/>
      <c r="O37" s="690"/>
      <c r="P37" s="690"/>
      <c r="Q37" s="690"/>
      <c r="R37" s="692"/>
      <c r="S37" s="305"/>
      <c r="T37" s="91" t="s">
        <v>39</v>
      </c>
      <c r="U37" s="66"/>
      <c r="V37" s="66"/>
      <c r="W37" s="66"/>
      <c r="X37" s="66"/>
      <c r="Y37" s="66"/>
      <c r="Z37" s="66"/>
      <c r="AA37" s="63"/>
      <c r="AB37" s="63"/>
      <c r="AC37" s="63"/>
      <c r="AD37" s="64"/>
      <c r="AE37" s="305"/>
      <c r="AF37" s="305"/>
      <c r="AG37" s="305"/>
      <c r="AH37" s="305"/>
      <c r="AI37" s="305"/>
      <c r="AJ37" s="305"/>
      <c r="AK37" s="305"/>
      <c r="AL37" s="305"/>
      <c r="AM37" s="305"/>
      <c r="AN37" s="305"/>
      <c r="AO37" s="305"/>
      <c r="AP37" s="305"/>
      <c r="AQ37" s="305"/>
      <c r="AR37" s="305"/>
      <c r="AS37" s="305"/>
      <c r="AT37" s="305"/>
      <c r="AU37" s="305"/>
      <c r="AV37" s="305"/>
    </row>
    <row r="38" spans="1:48" ht="14.25" customHeight="1" x14ac:dyDescent="0.2">
      <c r="A38" s="284">
        <v>29</v>
      </c>
      <c r="B38" s="285">
        <v>3.5000000000000003E-2</v>
      </c>
      <c r="C38" s="286">
        <v>0.36874815497338298</v>
      </c>
      <c r="D38" s="287">
        <v>19.035767000760526</v>
      </c>
      <c r="E38" s="305"/>
      <c r="F38" s="684"/>
      <c r="G38" s="685"/>
      <c r="H38" s="690"/>
      <c r="I38" s="690"/>
      <c r="J38" s="690"/>
      <c r="K38" s="690"/>
      <c r="L38" s="690"/>
      <c r="M38" s="690"/>
      <c r="N38" s="690"/>
      <c r="O38" s="690"/>
      <c r="P38" s="690"/>
      <c r="Q38" s="690"/>
      <c r="R38" s="692"/>
      <c r="S38" s="305"/>
      <c r="T38" s="65"/>
      <c r="U38" s="66"/>
      <c r="V38" s="66"/>
      <c r="W38" s="66"/>
      <c r="X38" s="66"/>
      <c r="Y38" s="66"/>
      <c r="Z38" s="66"/>
      <c r="AA38" s="63"/>
      <c r="AB38" s="63"/>
      <c r="AC38" s="63"/>
      <c r="AD38" s="64"/>
      <c r="AE38" s="305"/>
      <c r="AF38" s="305"/>
      <c r="AG38" s="305"/>
      <c r="AH38" s="305"/>
      <c r="AI38" s="305"/>
      <c r="AJ38" s="305"/>
      <c r="AK38" s="305"/>
      <c r="AL38" s="305"/>
      <c r="AM38" s="305"/>
      <c r="AN38" s="305"/>
      <c r="AO38" s="305"/>
      <c r="AP38" s="305"/>
      <c r="AQ38" s="305"/>
      <c r="AR38" s="305"/>
      <c r="AS38" s="305"/>
      <c r="AT38" s="305"/>
      <c r="AU38" s="305"/>
      <c r="AV38" s="305"/>
    </row>
    <row r="39" spans="1:48" ht="14.25" customHeight="1" x14ac:dyDescent="0.2">
      <c r="A39" s="284">
        <v>30</v>
      </c>
      <c r="B39" s="285">
        <v>3.5000000000000003E-2</v>
      </c>
      <c r="C39" s="286">
        <v>0.35627841060230242</v>
      </c>
      <c r="D39" s="287">
        <v>19.39204541136283</v>
      </c>
      <c r="E39" s="305"/>
      <c r="F39" s="684" t="s">
        <v>409</v>
      </c>
      <c r="G39" s="685"/>
      <c r="H39" s="690" t="s">
        <v>412</v>
      </c>
      <c r="I39" s="690"/>
      <c r="J39" s="690"/>
      <c r="K39" s="690"/>
      <c r="L39" s="690"/>
      <c r="M39" s="690"/>
      <c r="N39" s="690"/>
      <c r="O39" s="690"/>
      <c r="P39" s="690"/>
      <c r="Q39" s="690"/>
      <c r="R39" s="692"/>
      <c r="S39" s="305"/>
      <c r="T39" s="54"/>
      <c r="U39" s="48"/>
      <c r="V39" s="48"/>
      <c r="W39" s="48"/>
      <c r="X39" s="48"/>
      <c r="Y39" s="48"/>
      <c r="Z39" s="746" t="s">
        <v>53</v>
      </c>
      <c r="AA39" s="747"/>
      <c r="AB39" s="747"/>
      <c r="AC39" s="747"/>
      <c r="AD39" s="748"/>
      <c r="AE39" s="305"/>
      <c r="AF39" s="305"/>
      <c r="AG39" s="305"/>
      <c r="AH39" s="305"/>
      <c r="AI39" s="305"/>
      <c r="AJ39" s="305"/>
      <c r="AK39" s="305"/>
      <c r="AL39" s="305"/>
      <c r="AM39" s="305"/>
      <c r="AN39" s="305"/>
      <c r="AO39" s="305"/>
      <c r="AP39" s="305"/>
      <c r="AQ39" s="305"/>
      <c r="AR39" s="305"/>
      <c r="AS39" s="305"/>
      <c r="AT39" s="305"/>
      <c r="AU39" s="305"/>
      <c r="AV39" s="305"/>
    </row>
    <row r="40" spans="1:48" ht="14.25" customHeight="1" x14ac:dyDescent="0.2">
      <c r="A40" s="284">
        <v>31</v>
      </c>
      <c r="B40" s="285">
        <v>0.03</v>
      </c>
      <c r="C40" s="286">
        <v>0.34590136951679845</v>
      </c>
      <c r="D40" s="287">
        <v>19.737946780879629</v>
      </c>
      <c r="E40" s="305"/>
      <c r="F40" s="684"/>
      <c r="G40" s="685"/>
      <c r="H40" s="690"/>
      <c r="I40" s="690"/>
      <c r="J40" s="690"/>
      <c r="K40" s="690"/>
      <c r="L40" s="690"/>
      <c r="M40" s="690"/>
      <c r="N40" s="690"/>
      <c r="O40" s="690"/>
      <c r="P40" s="690"/>
      <c r="Q40" s="690"/>
      <c r="R40" s="692"/>
      <c r="S40" s="305"/>
      <c r="T40" s="740" t="s">
        <v>40</v>
      </c>
      <c r="U40" s="741"/>
      <c r="V40" s="759" t="s">
        <v>24</v>
      </c>
      <c r="W40" s="760"/>
      <c r="X40" s="760"/>
      <c r="Y40" s="761"/>
      <c r="Z40" s="296">
        <f>(1/VLOOKUP($V40,$T$26:$Y$34,6,FALSE)-1/VLOOKUP(Z$45,$T$26:$Y$34,6,FALSE))*$Y$34</f>
        <v>0</v>
      </c>
      <c r="AA40" s="297">
        <f>(1/VLOOKUP($V40,$T$26:$Y$34,6,FALSE)-1/VLOOKUP(AA$45,$T$26:$Y$34,6,FALSE))*$Y$34</f>
        <v>3.3333333333333339</v>
      </c>
      <c r="AB40" s="297">
        <f>(1/VLOOKUP($V40,$T$26:$Y$34,6,FALSE)-1/VLOOKUP(AB$45,$T$26:$Y$34,6,FALSE))*$Y$34</f>
        <v>7.333333333333333</v>
      </c>
      <c r="AC40" s="297">
        <f>(1/VLOOKUP($V40,$T$26:$Y$34,6,FALSE)-1/VLOOKUP(AC$45,$T$26:$Y$34,6,FALSE))*$Y$34</f>
        <v>8.6666666666666679</v>
      </c>
      <c r="AD40" s="298">
        <f>(1/VLOOKUP($V40,$T$26:$Y$34,6,FALSE)-1/VLOOKUP(AD$45,$T$26:$Y$34,6,FALSE))*$Y$34</f>
        <v>9.0000000000000018</v>
      </c>
      <c r="AE40" s="305"/>
      <c r="AF40" s="305"/>
      <c r="AG40" s="305"/>
      <c r="AH40" s="305"/>
      <c r="AI40" s="305"/>
      <c r="AJ40" s="305"/>
      <c r="AK40" s="305"/>
      <c r="AL40" s="305"/>
      <c r="AM40" s="305"/>
      <c r="AN40" s="305"/>
      <c r="AO40" s="305"/>
      <c r="AP40" s="305"/>
      <c r="AQ40" s="305"/>
      <c r="AR40" s="305"/>
      <c r="AS40" s="305"/>
      <c r="AT40" s="305"/>
      <c r="AU40" s="305"/>
      <c r="AV40" s="305"/>
    </row>
    <row r="41" spans="1:48" ht="14.25" customHeight="1" x14ac:dyDescent="0.2">
      <c r="A41" s="284">
        <v>32</v>
      </c>
      <c r="B41" s="285">
        <v>0.03</v>
      </c>
      <c r="C41" s="286">
        <v>0.33582657234640628</v>
      </c>
      <c r="D41" s="287">
        <v>20.073773353226034</v>
      </c>
      <c r="E41" s="305"/>
      <c r="F41" s="684"/>
      <c r="G41" s="685"/>
      <c r="H41" s="690"/>
      <c r="I41" s="690"/>
      <c r="J41" s="690"/>
      <c r="K41" s="690"/>
      <c r="L41" s="690"/>
      <c r="M41" s="690"/>
      <c r="N41" s="690"/>
      <c r="O41" s="690"/>
      <c r="P41" s="690"/>
      <c r="Q41" s="690"/>
      <c r="R41" s="692"/>
      <c r="S41" s="305"/>
      <c r="T41" s="742"/>
      <c r="U41" s="743"/>
      <c r="V41" s="759" t="s">
        <v>25</v>
      </c>
      <c r="W41" s="760"/>
      <c r="X41" s="760"/>
      <c r="Y41" s="761"/>
      <c r="Z41" s="46"/>
      <c r="AA41" s="297">
        <f>(1/VLOOKUP($V41,$T$26:$Y$34,6,FALSE)-1/VLOOKUP(AA$45,$T$26:$Y$34,6,FALSE))*$Y$34</f>
        <v>0</v>
      </c>
      <c r="AB41" s="297">
        <f>(1/VLOOKUP($V41,$T$26:$Y$34,6,FALSE)-1/VLOOKUP(AB$45,$T$26:$Y$34,6,FALSE))*$Y$34</f>
        <v>3.9999999999999996</v>
      </c>
      <c r="AC41" s="297">
        <f>(1/VLOOKUP($V41,$T$26:$Y$34,6,FALSE)-1/VLOOKUP(AC$45,$T$26:$Y$34,6,FALSE))*$Y$34</f>
        <v>5.333333333333333</v>
      </c>
      <c r="AD41" s="298">
        <f>(1/VLOOKUP($V41,$T$26:$Y$34,6,FALSE)-1/VLOOKUP(AD$45,$T$26:$Y$34,6,FALSE))*$Y$34</f>
        <v>5.6666666666666661</v>
      </c>
      <c r="AE41" s="305"/>
      <c r="AF41" s="305"/>
      <c r="AG41" s="305"/>
      <c r="AH41" s="305"/>
      <c r="AI41" s="305"/>
      <c r="AJ41" s="305"/>
      <c r="AK41" s="305"/>
      <c r="AL41" s="305"/>
      <c r="AM41" s="305"/>
      <c r="AN41" s="305"/>
      <c r="AO41" s="305"/>
      <c r="AP41" s="305"/>
      <c r="AQ41" s="305"/>
      <c r="AR41" s="305"/>
      <c r="AS41" s="305"/>
      <c r="AT41" s="305"/>
      <c r="AU41" s="305"/>
      <c r="AV41" s="305"/>
    </row>
    <row r="42" spans="1:48" ht="14.25" customHeight="1" x14ac:dyDescent="0.2">
      <c r="A42" s="284">
        <v>33</v>
      </c>
      <c r="B42" s="285">
        <v>0.03</v>
      </c>
      <c r="C42" s="286">
        <v>0.32604521587029733</v>
      </c>
      <c r="D42" s="287">
        <v>20.399818569096333</v>
      </c>
      <c r="E42" s="305"/>
      <c r="F42" s="684"/>
      <c r="G42" s="685"/>
      <c r="H42" s="690"/>
      <c r="I42" s="690"/>
      <c r="J42" s="690"/>
      <c r="K42" s="690"/>
      <c r="L42" s="690"/>
      <c r="M42" s="690"/>
      <c r="N42" s="690"/>
      <c r="O42" s="690"/>
      <c r="P42" s="690"/>
      <c r="Q42" s="690"/>
      <c r="R42" s="692"/>
      <c r="S42" s="305"/>
      <c r="T42" s="742"/>
      <c r="U42" s="743"/>
      <c r="V42" s="766" t="s">
        <v>184</v>
      </c>
      <c r="W42" s="767"/>
      <c r="X42" s="767"/>
      <c r="Y42" s="768"/>
      <c r="Z42" s="46"/>
      <c r="AA42" s="46"/>
      <c r="AB42" s="297">
        <f>(1/VLOOKUP($V42,$T$26:$Y$34,6,FALSE)-1/VLOOKUP(AB$45,$T$26:$Y$34,6,FALSE))*$Y$34</f>
        <v>0</v>
      </c>
      <c r="AC42" s="297">
        <f>(1/VLOOKUP($V42,$T$26:$Y$34,6,FALSE)-1/VLOOKUP(AC$45,$T$26:$Y$34,6,FALSE))*$Y$34</f>
        <v>1.3333333333333335</v>
      </c>
      <c r="AD42" s="298">
        <f>(1/VLOOKUP($V42,$T$26:$Y$34,6,FALSE)-1/VLOOKUP(AD$45,$T$26:$Y$34,6,FALSE))*$Y$34</f>
        <v>1.666666666666667</v>
      </c>
      <c r="AE42" s="305"/>
      <c r="AF42" s="305"/>
      <c r="AG42" s="305"/>
      <c r="AH42" s="305"/>
      <c r="AI42" s="305"/>
      <c r="AJ42" s="305"/>
      <c r="AK42" s="305"/>
      <c r="AL42" s="305"/>
      <c r="AM42" s="305"/>
      <c r="AN42" s="305"/>
      <c r="AO42" s="305"/>
      <c r="AP42" s="305"/>
      <c r="AQ42" s="305"/>
      <c r="AR42" s="305"/>
      <c r="AS42" s="305"/>
      <c r="AT42" s="305"/>
      <c r="AU42" s="305"/>
      <c r="AV42" s="305"/>
    </row>
    <row r="43" spans="1:48" ht="14.25" customHeight="1" x14ac:dyDescent="0.2">
      <c r="A43" s="284">
        <v>34</v>
      </c>
      <c r="B43" s="285">
        <v>0.03</v>
      </c>
      <c r="C43" s="286">
        <v>0.31654875327213333</v>
      </c>
      <c r="D43" s="287">
        <v>20.716367322368466</v>
      </c>
      <c r="E43" s="305"/>
      <c r="F43" s="684"/>
      <c r="G43" s="685"/>
      <c r="H43" s="690"/>
      <c r="I43" s="690"/>
      <c r="J43" s="690"/>
      <c r="K43" s="690"/>
      <c r="L43" s="690"/>
      <c r="M43" s="690"/>
      <c r="N43" s="690"/>
      <c r="O43" s="690"/>
      <c r="P43" s="690"/>
      <c r="Q43" s="690"/>
      <c r="R43" s="692"/>
      <c r="S43" s="305"/>
      <c r="T43" s="742"/>
      <c r="U43" s="743"/>
      <c r="V43" s="759" t="s">
        <v>26</v>
      </c>
      <c r="W43" s="760"/>
      <c r="X43" s="760"/>
      <c r="Y43" s="761"/>
      <c r="Z43" s="46"/>
      <c r="AA43" s="46"/>
      <c r="AB43" s="46"/>
      <c r="AC43" s="297">
        <f>(1/VLOOKUP($V43,$T$26:$Y$34,6,FALSE)-1/VLOOKUP(AC$45,$T$26:$Y$34,6,FALSE))*$Y$34</f>
        <v>0</v>
      </c>
      <c r="AD43" s="298">
        <f>(1/VLOOKUP($V43,$T$26:$Y$34,6,FALSE)-1/VLOOKUP(AD$45,$T$26:$Y$34,6,FALSE))*$Y$34</f>
        <v>0.33333333333333337</v>
      </c>
      <c r="AE43" s="305"/>
      <c r="AF43" s="305"/>
      <c r="AG43" s="305"/>
      <c r="AH43" s="305"/>
      <c r="AI43" s="305"/>
      <c r="AJ43" s="305"/>
      <c r="AK43" s="305"/>
      <c r="AL43" s="305"/>
      <c r="AM43" s="305"/>
      <c r="AN43" s="305"/>
      <c r="AO43" s="305"/>
      <c r="AP43" s="305"/>
      <c r="AQ43" s="305"/>
      <c r="AR43" s="305"/>
      <c r="AS43" s="305"/>
      <c r="AT43" s="305"/>
      <c r="AU43" s="305"/>
      <c r="AV43" s="305"/>
    </row>
    <row r="44" spans="1:48" ht="14.25" customHeight="1" x14ac:dyDescent="0.2">
      <c r="A44" s="284">
        <v>35</v>
      </c>
      <c r="B44" s="285">
        <v>0.03</v>
      </c>
      <c r="C44" s="286">
        <v>0.30732888667197411</v>
      </c>
      <c r="D44" s="287">
        <v>21.023696209040441</v>
      </c>
      <c r="E44" s="305"/>
      <c r="F44" s="684" t="s">
        <v>406</v>
      </c>
      <c r="G44" s="685"/>
      <c r="H44" s="690" t="s">
        <v>408</v>
      </c>
      <c r="I44" s="690"/>
      <c r="J44" s="690"/>
      <c r="K44" s="690"/>
      <c r="L44" s="690"/>
      <c r="M44" s="690"/>
      <c r="N44" s="690"/>
      <c r="O44" s="690"/>
      <c r="P44" s="690"/>
      <c r="Q44" s="690"/>
      <c r="R44" s="692"/>
      <c r="S44" s="305"/>
      <c r="T44" s="744"/>
      <c r="U44" s="745"/>
      <c r="V44" s="759" t="s">
        <v>27</v>
      </c>
      <c r="W44" s="760"/>
      <c r="X44" s="760"/>
      <c r="Y44" s="761"/>
      <c r="Z44" s="46"/>
      <c r="AA44" s="46"/>
      <c r="AB44" s="46"/>
      <c r="AC44" s="46"/>
      <c r="AD44" s="299">
        <f>(1/VLOOKUP($V44,$T$26:$Y$34,6,FALSE)-1/VLOOKUP(AD$45,$T$26:$Y$34,6,FALSE))*$Y$34</f>
        <v>0</v>
      </c>
      <c r="AE44" s="305"/>
      <c r="AF44" s="305"/>
      <c r="AG44" s="305"/>
      <c r="AH44" s="305"/>
      <c r="AI44" s="305"/>
      <c r="AJ44" s="305"/>
      <c r="AK44" s="305"/>
      <c r="AL44" s="305"/>
      <c r="AM44" s="305"/>
      <c r="AN44" s="305"/>
      <c r="AO44" s="305"/>
      <c r="AP44" s="305"/>
      <c r="AQ44" s="305"/>
      <c r="AR44" s="305"/>
      <c r="AS44" s="305"/>
      <c r="AT44" s="305"/>
      <c r="AU44" s="305"/>
      <c r="AV44" s="305"/>
    </row>
    <row r="45" spans="1:48" ht="14.25" customHeight="1" x14ac:dyDescent="0.2">
      <c r="A45" s="284">
        <v>36</v>
      </c>
      <c r="B45" s="285">
        <v>0.03</v>
      </c>
      <c r="C45" s="286">
        <v>0.29837755987570302</v>
      </c>
      <c r="D45" s="287">
        <v>21.322073768916145</v>
      </c>
      <c r="E45" s="305"/>
      <c r="F45" s="684"/>
      <c r="G45" s="685"/>
      <c r="H45" s="690"/>
      <c r="I45" s="690"/>
      <c r="J45" s="690"/>
      <c r="K45" s="690"/>
      <c r="L45" s="690"/>
      <c r="M45" s="690"/>
      <c r="N45" s="690"/>
      <c r="O45" s="690"/>
      <c r="P45" s="690"/>
      <c r="Q45" s="690"/>
      <c r="R45" s="692"/>
      <c r="S45" s="305"/>
      <c r="T45" s="755" t="s">
        <v>41</v>
      </c>
      <c r="U45" s="756"/>
      <c r="V45" s="756"/>
      <c r="W45" s="756"/>
      <c r="X45" s="756"/>
      <c r="Y45" s="756"/>
      <c r="Z45" s="751" t="s">
        <v>24</v>
      </c>
      <c r="AA45" s="751" t="s">
        <v>25</v>
      </c>
      <c r="AB45" s="753" t="s">
        <v>184</v>
      </c>
      <c r="AC45" s="751" t="s">
        <v>26</v>
      </c>
      <c r="AD45" s="749" t="s">
        <v>27</v>
      </c>
      <c r="AE45" s="305"/>
      <c r="AF45" s="305"/>
      <c r="AG45" s="305"/>
      <c r="AH45" s="305"/>
      <c r="AI45" s="305"/>
      <c r="AJ45" s="305"/>
      <c r="AK45" s="305"/>
      <c r="AL45" s="305"/>
      <c r="AM45" s="305"/>
      <c r="AN45" s="305"/>
      <c r="AO45" s="305"/>
      <c r="AP45" s="305"/>
      <c r="AQ45" s="305"/>
      <c r="AR45" s="305"/>
      <c r="AS45" s="305"/>
      <c r="AT45" s="305"/>
      <c r="AU45" s="305"/>
      <c r="AV45" s="305"/>
    </row>
    <row r="46" spans="1:48" ht="14.25" customHeight="1" x14ac:dyDescent="0.2">
      <c r="A46" s="284">
        <v>37</v>
      </c>
      <c r="B46" s="285">
        <v>0.03</v>
      </c>
      <c r="C46" s="286">
        <v>0.28968695133563399</v>
      </c>
      <c r="D46" s="287">
        <v>21.61176072025178</v>
      </c>
      <c r="E46" s="305"/>
      <c r="F46" s="684" t="s">
        <v>413</v>
      </c>
      <c r="G46" s="685"/>
      <c r="H46" s="690" t="s">
        <v>414</v>
      </c>
      <c r="I46" s="685"/>
      <c r="J46" s="685"/>
      <c r="K46" s="685"/>
      <c r="L46" s="685"/>
      <c r="M46" s="685"/>
      <c r="N46" s="685"/>
      <c r="O46" s="685"/>
      <c r="P46" s="685"/>
      <c r="Q46" s="685"/>
      <c r="R46" s="691"/>
      <c r="S46" s="305"/>
      <c r="T46" s="755"/>
      <c r="U46" s="756"/>
      <c r="V46" s="756"/>
      <c r="W46" s="756"/>
      <c r="X46" s="756"/>
      <c r="Y46" s="756"/>
      <c r="Z46" s="751"/>
      <c r="AA46" s="751"/>
      <c r="AB46" s="753"/>
      <c r="AC46" s="751"/>
      <c r="AD46" s="749"/>
      <c r="AE46" s="305"/>
      <c r="AF46" s="305"/>
      <c r="AG46" s="305"/>
      <c r="AH46" s="305"/>
      <c r="AI46" s="305"/>
      <c r="AJ46" s="305"/>
      <c r="AK46" s="305"/>
      <c r="AL46" s="305"/>
      <c r="AM46" s="305"/>
      <c r="AN46" s="305"/>
      <c r="AO46" s="305"/>
      <c r="AP46" s="305"/>
      <c r="AQ46" s="305"/>
      <c r="AR46" s="305"/>
      <c r="AS46" s="305"/>
      <c r="AT46" s="305"/>
      <c r="AU46" s="305"/>
      <c r="AV46" s="305"/>
    </row>
    <row r="47" spans="1:48" ht="14.25" customHeight="1" x14ac:dyDescent="0.2">
      <c r="A47" s="284">
        <v>38</v>
      </c>
      <c r="B47" s="285">
        <v>0.03</v>
      </c>
      <c r="C47" s="286">
        <v>0.28124946731614953</v>
      </c>
      <c r="D47" s="287">
        <v>21.893010187567931</v>
      </c>
      <c r="E47" s="305"/>
      <c r="F47" s="684"/>
      <c r="G47" s="685"/>
      <c r="H47" s="685"/>
      <c r="I47" s="685"/>
      <c r="J47" s="685"/>
      <c r="K47" s="685"/>
      <c r="L47" s="685"/>
      <c r="M47" s="685"/>
      <c r="N47" s="685"/>
      <c r="O47" s="685"/>
      <c r="P47" s="685"/>
      <c r="Q47" s="685"/>
      <c r="R47" s="691"/>
      <c r="S47" s="305"/>
      <c r="T47" s="755"/>
      <c r="U47" s="756"/>
      <c r="V47" s="756"/>
      <c r="W47" s="756"/>
      <c r="X47" s="756"/>
      <c r="Y47" s="756"/>
      <c r="Z47" s="751"/>
      <c r="AA47" s="751"/>
      <c r="AB47" s="753"/>
      <c r="AC47" s="751"/>
      <c r="AD47" s="749"/>
      <c r="AE47" s="305"/>
      <c r="AF47" s="305"/>
      <c r="AG47" s="305"/>
      <c r="AH47" s="305"/>
      <c r="AI47" s="305"/>
      <c r="AJ47" s="305"/>
      <c r="AK47" s="305"/>
      <c r="AL47" s="305"/>
      <c r="AM47" s="305"/>
      <c r="AN47" s="305"/>
      <c r="AO47" s="305"/>
      <c r="AP47" s="305"/>
      <c r="AQ47" s="305"/>
      <c r="AR47" s="305"/>
      <c r="AS47" s="305"/>
      <c r="AT47" s="305"/>
      <c r="AU47" s="305"/>
      <c r="AV47" s="305"/>
    </row>
    <row r="48" spans="1:48" ht="14.25" customHeight="1" x14ac:dyDescent="0.2">
      <c r="A48" s="284">
        <v>39</v>
      </c>
      <c r="B48" s="285">
        <v>0.03</v>
      </c>
      <c r="C48" s="286">
        <v>0.2730577352583976</v>
      </c>
      <c r="D48" s="287">
        <v>22.166067922826329</v>
      </c>
      <c r="E48" s="305"/>
      <c r="F48" s="684"/>
      <c r="G48" s="685"/>
      <c r="H48" s="685"/>
      <c r="I48" s="685"/>
      <c r="J48" s="685"/>
      <c r="K48" s="685"/>
      <c r="L48" s="685"/>
      <c r="M48" s="685"/>
      <c r="N48" s="685"/>
      <c r="O48" s="685"/>
      <c r="P48" s="685"/>
      <c r="Q48" s="685"/>
      <c r="R48" s="691"/>
      <c r="S48" s="305"/>
      <c r="T48" s="59"/>
      <c r="U48" s="52"/>
      <c r="V48" s="52"/>
      <c r="W48" s="52"/>
      <c r="X48" s="52"/>
      <c r="Y48" s="52"/>
      <c r="Z48" s="52"/>
      <c r="AA48" s="52"/>
      <c r="AB48" s="52"/>
      <c r="AC48" s="52"/>
      <c r="AD48" s="53"/>
      <c r="AE48" s="305"/>
      <c r="AF48" s="305"/>
      <c r="AG48" s="305"/>
      <c r="AH48" s="305"/>
      <c r="AI48" s="305"/>
      <c r="AJ48" s="305"/>
      <c r="AK48" s="305"/>
      <c r="AL48" s="305"/>
      <c r="AM48" s="305"/>
      <c r="AN48" s="305"/>
      <c r="AO48" s="305"/>
      <c r="AP48" s="305"/>
      <c r="AQ48" s="305"/>
      <c r="AR48" s="305"/>
      <c r="AS48" s="305"/>
      <c r="AT48" s="305"/>
      <c r="AU48" s="305"/>
      <c r="AV48" s="305"/>
    </row>
    <row r="49" spans="1:48" ht="14.25" customHeight="1" x14ac:dyDescent="0.2">
      <c r="A49" s="284">
        <v>40</v>
      </c>
      <c r="B49" s="285">
        <v>0.03</v>
      </c>
      <c r="C49" s="286">
        <v>0.26510459733825009</v>
      </c>
      <c r="D49" s="287">
        <v>22.43117252016458</v>
      </c>
      <c r="E49" s="305"/>
      <c r="F49" s="684"/>
      <c r="G49" s="685"/>
      <c r="H49" s="685"/>
      <c r="I49" s="685"/>
      <c r="J49" s="685"/>
      <c r="K49" s="685"/>
      <c r="L49" s="685"/>
      <c r="M49" s="685"/>
      <c r="N49" s="685"/>
      <c r="O49" s="685"/>
      <c r="P49" s="685"/>
      <c r="Q49" s="685"/>
      <c r="R49" s="691"/>
      <c r="S49" s="305"/>
      <c r="T49" s="776" t="s">
        <v>395</v>
      </c>
      <c r="U49" s="777"/>
      <c r="V49" s="777"/>
      <c r="W49" s="777"/>
      <c r="X49" s="777"/>
      <c r="Y49" s="777"/>
      <c r="Z49" s="777"/>
      <c r="AA49" s="777"/>
      <c r="AB49" s="777"/>
      <c r="AC49" s="777"/>
      <c r="AD49" s="778"/>
      <c r="AE49" s="305" t="s">
        <v>396</v>
      </c>
      <c r="AF49" s="305" t="s">
        <v>376</v>
      </c>
      <c r="AG49" s="305"/>
      <c r="AH49" s="305"/>
      <c r="AI49" s="305"/>
      <c r="AJ49" s="305"/>
      <c r="AK49" s="305"/>
      <c r="AL49" s="305"/>
      <c r="AM49" s="305"/>
      <c r="AN49" s="305"/>
      <c r="AO49" s="305"/>
      <c r="AP49" s="305"/>
      <c r="AQ49" s="305"/>
      <c r="AR49" s="305"/>
      <c r="AS49" s="305"/>
      <c r="AT49" s="305"/>
      <c r="AU49" s="305"/>
      <c r="AV49" s="305"/>
    </row>
    <row r="50" spans="1:48" ht="14.25" customHeight="1" x14ac:dyDescent="0.2">
      <c r="A50" s="284">
        <v>41</v>
      </c>
      <c r="B50" s="285">
        <v>0.03</v>
      </c>
      <c r="C50" s="286">
        <v>0.25738310421189331</v>
      </c>
      <c r="D50" s="287">
        <v>22.688555624376473</v>
      </c>
      <c r="E50" s="305"/>
      <c r="F50" s="684" t="s">
        <v>420</v>
      </c>
      <c r="G50" s="685"/>
      <c r="H50" s="690" t="s">
        <v>421</v>
      </c>
      <c r="I50" s="690"/>
      <c r="J50" s="690"/>
      <c r="K50" s="690"/>
      <c r="L50" s="690"/>
      <c r="M50" s="690"/>
      <c r="N50" s="690"/>
      <c r="O50" s="690"/>
      <c r="P50" s="690"/>
      <c r="Q50" s="690"/>
      <c r="R50" s="692"/>
      <c r="S50" s="305"/>
      <c r="T50" s="776"/>
      <c r="U50" s="777"/>
      <c r="V50" s="777"/>
      <c r="W50" s="777"/>
      <c r="X50" s="777"/>
      <c r="Y50" s="777"/>
      <c r="Z50" s="777"/>
      <c r="AA50" s="777"/>
      <c r="AB50" s="777"/>
      <c r="AC50" s="777"/>
      <c r="AD50" s="778"/>
      <c r="AE50" s="305"/>
      <c r="AF50" s="305"/>
      <c r="AG50" s="305"/>
      <c r="AH50" s="305"/>
      <c r="AI50" s="305"/>
      <c r="AJ50" s="305"/>
      <c r="AK50" s="305"/>
      <c r="AL50" s="305"/>
      <c r="AM50" s="305"/>
      <c r="AN50" s="305"/>
      <c r="AO50" s="305"/>
      <c r="AP50" s="305"/>
      <c r="AQ50" s="305"/>
      <c r="AR50" s="305"/>
      <c r="AS50" s="305"/>
      <c r="AT50" s="305"/>
      <c r="AU50" s="305"/>
      <c r="AV50" s="305"/>
    </row>
    <row r="51" spans="1:48" ht="14.25" customHeight="1" x14ac:dyDescent="0.2">
      <c r="A51" s="284">
        <v>42</v>
      </c>
      <c r="B51" s="285">
        <v>0.03</v>
      </c>
      <c r="C51" s="286">
        <v>0.24988650894358574</v>
      </c>
      <c r="D51" s="287">
        <v>22.938442133320059</v>
      </c>
      <c r="E51" s="305"/>
      <c r="F51" s="684"/>
      <c r="G51" s="685"/>
      <c r="H51" s="690"/>
      <c r="I51" s="690"/>
      <c r="J51" s="690"/>
      <c r="K51" s="690"/>
      <c r="L51" s="690"/>
      <c r="M51" s="690"/>
      <c r="N51" s="690"/>
      <c r="O51" s="690"/>
      <c r="P51" s="690"/>
      <c r="Q51" s="690"/>
      <c r="R51" s="692"/>
      <c r="S51" s="305"/>
      <c r="T51" s="59"/>
      <c r="U51" s="52"/>
      <c r="V51" s="52"/>
      <c r="W51" s="52"/>
      <c r="X51" s="52"/>
      <c r="Y51" s="52"/>
      <c r="Z51" s="746" t="s">
        <v>56</v>
      </c>
      <c r="AA51" s="747"/>
      <c r="AB51" s="747"/>
      <c r="AC51" s="747"/>
      <c r="AD51" s="748"/>
      <c r="AE51" s="305"/>
      <c r="AF51" s="305"/>
      <c r="AG51" s="305"/>
      <c r="AH51" s="305"/>
      <c r="AI51" s="305"/>
      <c r="AJ51" s="305"/>
      <c r="AK51" s="305"/>
      <c r="AL51" s="305"/>
      <c r="AM51" s="305"/>
      <c r="AN51" s="305"/>
      <c r="AO51" s="305"/>
      <c r="AP51" s="305"/>
      <c r="AQ51" s="305"/>
      <c r="AR51" s="305"/>
      <c r="AS51" s="305"/>
      <c r="AT51" s="305"/>
      <c r="AU51" s="305"/>
      <c r="AV51" s="305"/>
    </row>
    <row r="52" spans="1:48" ht="14.25" customHeight="1" x14ac:dyDescent="0.2">
      <c r="A52" s="284">
        <v>43</v>
      </c>
      <c r="B52" s="285">
        <v>0.03</v>
      </c>
      <c r="C52" s="286">
        <v>0.24260826111027742</v>
      </c>
      <c r="D52" s="287">
        <v>23.181050394430336</v>
      </c>
      <c r="E52" s="305"/>
      <c r="F52" s="684" t="s">
        <v>422</v>
      </c>
      <c r="G52" s="685"/>
      <c r="H52" s="690" t="s">
        <v>428</v>
      </c>
      <c r="I52" s="690"/>
      <c r="J52" s="690"/>
      <c r="K52" s="690"/>
      <c r="L52" s="690"/>
      <c r="M52" s="690"/>
      <c r="N52" s="690"/>
      <c r="O52" s="690"/>
      <c r="P52" s="690"/>
      <c r="Q52" s="690"/>
      <c r="R52" s="692"/>
      <c r="S52" s="305"/>
      <c r="T52" s="740" t="s">
        <v>40</v>
      </c>
      <c r="U52" s="741"/>
      <c r="V52" s="759" t="s">
        <v>24</v>
      </c>
      <c r="W52" s="760"/>
      <c r="X52" s="760"/>
      <c r="Y52" s="761"/>
      <c r="Z52" s="300">
        <f>($X$7/$Y$34)*((1/VLOOKUP($V52,$T$26:$Y$34,6,FALSE)-1/VLOOKUP(Z$45,$T$26:$Y$34,6,FALSE))*$Y$34)</f>
        <v>0</v>
      </c>
      <c r="AA52" s="301">
        <f>($X$7/$Y$34)*((1/VLOOKUP($V52,$T$26:$Y$34,6,FALSE)-1/VLOOKUP(AA$45,$T$26:$Y$34,6,FALSE))*$Y$34)</f>
        <v>588.33333333333348</v>
      </c>
      <c r="AB52" s="301">
        <f>($X$7/$Y$34)*((1/VLOOKUP($V52,$T$26:$Y$34,6,FALSE)-1/VLOOKUP(AB$45,$T$26:$Y$34,6,FALSE))*$Y$34)</f>
        <v>1294.3333333333333</v>
      </c>
      <c r="AC52" s="301">
        <f>($X$7/$Y$34)*((1/VLOOKUP($V52,$T$26:$Y$34,6,FALSE)-1/VLOOKUP(AC$45,$T$26:$Y$34,6,FALSE))*$Y$34)</f>
        <v>1529.666666666667</v>
      </c>
      <c r="AD52" s="302">
        <f>($X$7/$Y$34)*((1/VLOOKUP($V52,$T$26:$Y$34,6,FALSE)-1/VLOOKUP(AD$45,$T$26:$Y$34,6,FALSE))*$Y$34)</f>
        <v>1588.5000000000002</v>
      </c>
      <c r="AE52" s="305"/>
      <c r="AF52" s="305"/>
      <c r="AG52" s="305"/>
      <c r="AH52" s="305"/>
      <c r="AI52" s="305"/>
      <c r="AJ52" s="305"/>
      <c r="AK52" s="305"/>
      <c r="AL52" s="305"/>
      <c r="AM52" s="305"/>
      <c r="AN52" s="305"/>
      <c r="AO52" s="305"/>
      <c r="AP52" s="305"/>
      <c r="AQ52" s="305"/>
      <c r="AR52" s="305"/>
      <c r="AS52" s="305"/>
      <c r="AT52" s="305"/>
      <c r="AU52" s="305"/>
      <c r="AV52" s="305"/>
    </row>
    <row r="53" spans="1:48" ht="14.25" customHeight="1" x14ac:dyDescent="0.2">
      <c r="A53" s="284">
        <v>44</v>
      </c>
      <c r="B53" s="285">
        <v>0.03</v>
      </c>
      <c r="C53" s="286">
        <v>0.23554200107793924</v>
      </c>
      <c r="D53" s="287">
        <v>23.416592395508275</v>
      </c>
      <c r="E53" s="305"/>
      <c r="F53" s="684"/>
      <c r="G53" s="685"/>
      <c r="H53" s="690"/>
      <c r="I53" s="690"/>
      <c r="J53" s="690"/>
      <c r="K53" s="690"/>
      <c r="L53" s="690"/>
      <c r="M53" s="690"/>
      <c r="N53" s="690"/>
      <c r="O53" s="690"/>
      <c r="P53" s="690"/>
      <c r="Q53" s="690"/>
      <c r="R53" s="692"/>
      <c r="S53" s="305"/>
      <c r="T53" s="742"/>
      <c r="U53" s="743"/>
      <c r="V53" s="759" t="s">
        <v>25</v>
      </c>
      <c r="W53" s="760"/>
      <c r="X53" s="760"/>
      <c r="Y53" s="761"/>
      <c r="Z53" s="47"/>
      <c r="AA53" s="301">
        <f>($X$7/$Y$34)*((1/VLOOKUP($V53,$T$26:$Y$34,6,FALSE)-1/VLOOKUP(AA$45,$T$26:$Y$34,6,FALSE))*$Y$34)</f>
        <v>0</v>
      </c>
      <c r="AB53" s="301">
        <f>($X$7/$Y$34)*((1/VLOOKUP($V53,$T$26:$Y$34,6,FALSE)-1/VLOOKUP(AB$45,$T$26:$Y$34,6,FALSE))*$Y$34)</f>
        <v>705.99999999999989</v>
      </c>
      <c r="AC53" s="301">
        <f>($X$7/$Y$34)*((1/VLOOKUP($V53,$T$26:$Y$34,6,FALSE)-1/VLOOKUP(AC$45,$T$26:$Y$34,6,FALSE))*$Y$34)</f>
        <v>941.33333333333326</v>
      </c>
      <c r="AD53" s="302">
        <f>($X$7/$Y$34)*((1/VLOOKUP($V53,$T$26:$Y$34,6,FALSE)-1/VLOOKUP(AD$45,$T$26:$Y$34,6,FALSE))*$Y$34)</f>
        <v>1000.1666666666665</v>
      </c>
      <c r="AE53" s="305"/>
      <c r="AF53" s="305"/>
      <c r="AG53" s="305"/>
      <c r="AH53" s="305"/>
      <c r="AI53" s="305"/>
      <c r="AJ53" s="305"/>
      <c r="AK53" s="305"/>
      <c r="AL53" s="305"/>
      <c r="AM53" s="305"/>
      <c r="AN53" s="305"/>
      <c r="AO53" s="305"/>
      <c r="AP53" s="305"/>
      <c r="AQ53" s="305"/>
      <c r="AR53" s="305"/>
      <c r="AS53" s="305"/>
      <c r="AT53" s="305"/>
      <c r="AU53" s="305"/>
      <c r="AV53" s="305"/>
    </row>
    <row r="54" spans="1:48" ht="14.25" customHeight="1" x14ac:dyDescent="0.2">
      <c r="A54" s="284">
        <v>45</v>
      </c>
      <c r="B54" s="285">
        <v>0.03</v>
      </c>
      <c r="C54" s="286">
        <v>0.2286815544446012</v>
      </c>
      <c r="D54" s="287">
        <v>23.645273949952877</v>
      </c>
      <c r="E54" s="305"/>
      <c r="F54" s="684" t="s">
        <v>423</v>
      </c>
      <c r="G54" s="685"/>
      <c r="H54" s="690" t="s">
        <v>426</v>
      </c>
      <c r="I54" s="690"/>
      <c r="J54" s="690"/>
      <c r="K54" s="690"/>
      <c r="L54" s="690"/>
      <c r="M54" s="690"/>
      <c r="N54" s="690"/>
      <c r="O54" s="690"/>
      <c r="P54" s="690"/>
      <c r="Q54" s="690"/>
      <c r="R54" s="692"/>
      <c r="S54" s="305"/>
      <c r="T54" s="742"/>
      <c r="U54" s="743"/>
      <c r="V54" s="766" t="s">
        <v>184</v>
      </c>
      <c r="W54" s="767"/>
      <c r="X54" s="767"/>
      <c r="Y54" s="768"/>
      <c r="Z54" s="47"/>
      <c r="AA54" s="47"/>
      <c r="AB54" s="301">
        <f>($X$7/$Y$34)*((1/VLOOKUP($V54,$T$26:$Y$34,6,FALSE)-1/VLOOKUP(AB$45,$T$26:$Y$34,6,FALSE))*$Y$34)</f>
        <v>0</v>
      </c>
      <c r="AC54" s="301">
        <f>($X$7/$Y$34)*((1/VLOOKUP($V54,$T$26:$Y$34,6,FALSE)-1/VLOOKUP(AC$45,$T$26:$Y$34,6,FALSE))*$Y$34)</f>
        <v>235.33333333333337</v>
      </c>
      <c r="AD54" s="302">
        <f>($X$7/$Y$34)*((1/VLOOKUP($V54,$T$26:$Y$34,6,FALSE)-1/VLOOKUP(AD$45,$T$26:$Y$34,6,FALSE))*$Y$34)</f>
        <v>294.16666666666674</v>
      </c>
      <c r="AE54" s="305"/>
      <c r="AF54" s="305"/>
      <c r="AG54" s="305"/>
      <c r="AH54" s="305"/>
      <c r="AI54" s="305"/>
      <c r="AJ54" s="305"/>
      <c r="AK54" s="305"/>
      <c r="AL54" s="305"/>
      <c r="AM54" s="305"/>
      <c r="AN54" s="305"/>
      <c r="AO54" s="305"/>
      <c r="AP54" s="305"/>
      <c r="AQ54" s="305"/>
      <c r="AR54" s="305"/>
      <c r="AS54" s="305"/>
      <c r="AT54" s="305"/>
      <c r="AU54" s="305"/>
      <c r="AV54" s="305"/>
    </row>
    <row r="55" spans="1:48" ht="14.25" customHeight="1" x14ac:dyDescent="0.2">
      <c r="A55" s="284">
        <v>46</v>
      </c>
      <c r="B55" s="285">
        <v>0.03</v>
      </c>
      <c r="C55" s="286">
        <v>0.22202092664524387</v>
      </c>
      <c r="D55" s="287">
        <v>23.86729487659812</v>
      </c>
      <c r="E55" s="305"/>
      <c r="F55" s="684"/>
      <c r="G55" s="685"/>
      <c r="H55" s="690"/>
      <c r="I55" s="690"/>
      <c r="J55" s="690"/>
      <c r="K55" s="690"/>
      <c r="L55" s="690"/>
      <c r="M55" s="690"/>
      <c r="N55" s="690"/>
      <c r="O55" s="690"/>
      <c r="P55" s="690"/>
      <c r="Q55" s="690"/>
      <c r="R55" s="692"/>
      <c r="S55" s="305"/>
      <c r="T55" s="742"/>
      <c r="U55" s="743"/>
      <c r="V55" s="759" t="s">
        <v>26</v>
      </c>
      <c r="W55" s="760"/>
      <c r="X55" s="760"/>
      <c r="Y55" s="761"/>
      <c r="Z55" s="47"/>
      <c r="AA55" s="47"/>
      <c r="AB55" s="47"/>
      <c r="AC55" s="301">
        <f>($X$7/$Y$34)*((1/VLOOKUP($V55,$T$26:$Y$34,6,FALSE)-1/VLOOKUP(AC$45,$T$26:$Y$34,6,FALSE))*$Y$34)</f>
        <v>0</v>
      </c>
      <c r="AD55" s="302">
        <f>($X$7/$Y$34)*((1/VLOOKUP($V55,$T$26:$Y$34,6,FALSE)-1/VLOOKUP(AD$45,$T$26:$Y$34,6,FALSE))*$Y$34)</f>
        <v>58.833333333333343</v>
      </c>
      <c r="AE55" s="305"/>
      <c r="AF55" s="305"/>
      <c r="AG55" s="305"/>
      <c r="AH55" s="305"/>
      <c r="AI55" s="305"/>
      <c r="AJ55" s="305"/>
      <c r="AK55" s="305"/>
      <c r="AL55" s="305"/>
      <c r="AM55" s="305"/>
      <c r="AN55" s="305"/>
      <c r="AO55" s="305"/>
      <c r="AP55" s="305"/>
      <c r="AQ55" s="305"/>
      <c r="AR55" s="305"/>
      <c r="AS55" s="305"/>
      <c r="AT55" s="305"/>
      <c r="AU55" s="305"/>
      <c r="AV55" s="305"/>
    </row>
    <row r="56" spans="1:48" ht="14.25" customHeight="1" x14ac:dyDescent="0.2">
      <c r="A56" s="284">
        <v>47</v>
      </c>
      <c r="B56" s="285">
        <v>0.03</v>
      </c>
      <c r="C56" s="286">
        <v>0.215554297713829</v>
      </c>
      <c r="D56" s="287">
        <v>24.082849174311949</v>
      </c>
      <c r="E56" s="305"/>
      <c r="F56" s="684" t="s">
        <v>424</v>
      </c>
      <c r="G56" s="685"/>
      <c r="H56" s="690" t="s">
        <v>429</v>
      </c>
      <c r="I56" s="690"/>
      <c r="J56" s="690"/>
      <c r="K56" s="690"/>
      <c r="L56" s="690"/>
      <c r="M56" s="690"/>
      <c r="N56" s="690"/>
      <c r="O56" s="690"/>
      <c r="P56" s="690"/>
      <c r="Q56" s="690"/>
      <c r="R56" s="692"/>
      <c r="S56" s="305"/>
      <c r="T56" s="744"/>
      <c r="U56" s="745"/>
      <c r="V56" s="759" t="s">
        <v>27</v>
      </c>
      <c r="W56" s="760"/>
      <c r="X56" s="760"/>
      <c r="Y56" s="761"/>
      <c r="Z56" s="47"/>
      <c r="AA56" s="47"/>
      <c r="AB56" s="47"/>
      <c r="AC56" s="47"/>
      <c r="AD56" s="303">
        <f>($X$7/$Y$34)*((1/VLOOKUP($V56,$T$26:$Y$34,6,FALSE)-1/VLOOKUP(AD$45,$T$26:$Y$34,6,FALSE))*$Y$34)</f>
        <v>0</v>
      </c>
      <c r="AE56" s="305"/>
      <c r="AF56" s="305"/>
      <c r="AG56" s="305"/>
      <c r="AH56" s="305"/>
      <c r="AI56" s="305"/>
      <c r="AJ56" s="305"/>
      <c r="AK56" s="305"/>
      <c r="AL56" s="305"/>
      <c r="AM56" s="305"/>
      <c r="AN56" s="305"/>
      <c r="AO56" s="305"/>
      <c r="AP56" s="305"/>
      <c r="AQ56" s="305"/>
      <c r="AR56" s="305"/>
      <c r="AS56" s="305"/>
      <c r="AT56" s="305"/>
      <c r="AU56" s="305"/>
      <c r="AV56" s="305"/>
    </row>
    <row r="57" spans="1:48" ht="14.25" customHeight="1" x14ac:dyDescent="0.2">
      <c r="A57" s="284">
        <v>48</v>
      </c>
      <c r="B57" s="285">
        <v>0.03</v>
      </c>
      <c r="C57" s="286">
        <v>0.20927601719789224</v>
      </c>
      <c r="D57" s="287">
        <v>24.292125191509843</v>
      </c>
      <c r="E57" s="305"/>
      <c r="F57" s="684"/>
      <c r="G57" s="685"/>
      <c r="H57" s="690"/>
      <c r="I57" s="690"/>
      <c r="J57" s="690"/>
      <c r="K57" s="690"/>
      <c r="L57" s="690"/>
      <c r="M57" s="690"/>
      <c r="N57" s="690"/>
      <c r="O57" s="690"/>
      <c r="P57" s="690"/>
      <c r="Q57" s="690"/>
      <c r="R57" s="692"/>
      <c r="S57" s="305"/>
      <c r="T57" s="755" t="s">
        <v>41</v>
      </c>
      <c r="U57" s="756"/>
      <c r="V57" s="756"/>
      <c r="W57" s="756"/>
      <c r="X57" s="756"/>
      <c r="Y57" s="756"/>
      <c r="Z57" s="751" t="s">
        <v>24</v>
      </c>
      <c r="AA57" s="751" t="s">
        <v>25</v>
      </c>
      <c r="AB57" s="753" t="s">
        <v>184</v>
      </c>
      <c r="AC57" s="751" t="s">
        <v>26</v>
      </c>
      <c r="AD57" s="749" t="s">
        <v>27</v>
      </c>
      <c r="AE57" s="305"/>
      <c r="AF57" s="305"/>
      <c r="AG57" s="305"/>
      <c r="AH57" s="305"/>
      <c r="AI57" s="305"/>
      <c r="AJ57" s="305"/>
      <c r="AK57" s="305"/>
      <c r="AL57" s="305"/>
      <c r="AM57" s="305"/>
      <c r="AN57" s="305"/>
      <c r="AO57" s="305"/>
      <c r="AP57" s="305"/>
      <c r="AQ57" s="305"/>
      <c r="AR57" s="305"/>
      <c r="AS57" s="305"/>
      <c r="AT57" s="305"/>
      <c r="AU57" s="305"/>
      <c r="AV57" s="305"/>
    </row>
    <row r="58" spans="1:48" ht="14.25" customHeight="1" x14ac:dyDescent="0.2">
      <c r="A58" s="284">
        <v>49</v>
      </c>
      <c r="B58" s="285">
        <v>0.03</v>
      </c>
      <c r="C58" s="286">
        <v>0.20318059922125459</v>
      </c>
      <c r="D58" s="287">
        <v>24.495305790731098</v>
      </c>
      <c r="E58" s="305"/>
      <c r="F58" s="686" t="s">
        <v>425</v>
      </c>
      <c r="G58" s="687"/>
      <c r="H58" s="690" t="s">
        <v>430</v>
      </c>
      <c r="I58" s="690"/>
      <c r="J58" s="690"/>
      <c r="K58" s="690"/>
      <c r="L58" s="690"/>
      <c r="M58" s="690"/>
      <c r="N58" s="690"/>
      <c r="O58" s="690"/>
      <c r="P58" s="690"/>
      <c r="Q58" s="690"/>
      <c r="R58" s="692"/>
      <c r="S58" s="305"/>
      <c r="T58" s="755"/>
      <c r="U58" s="756"/>
      <c r="V58" s="756"/>
      <c r="W58" s="756"/>
      <c r="X58" s="756"/>
      <c r="Y58" s="756"/>
      <c r="Z58" s="751"/>
      <c r="AA58" s="751"/>
      <c r="AB58" s="753"/>
      <c r="AC58" s="751"/>
      <c r="AD58" s="749"/>
      <c r="AE58" s="305"/>
      <c r="AF58" s="305"/>
      <c r="AG58" s="305"/>
      <c r="AH58" s="305"/>
      <c r="AI58" s="305"/>
      <c r="AJ58" s="305"/>
      <c r="AK58" s="305"/>
      <c r="AL58" s="305"/>
      <c r="AM58" s="305"/>
      <c r="AN58" s="305"/>
      <c r="AO58" s="305"/>
      <c r="AP58" s="305"/>
      <c r="AQ58" s="305"/>
      <c r="AR58" s="305"/>
      <c r="AS58" s="305"/>
      <c r="AT58" s="305"/>
      <c r="AU58" s="305"/>
      <c r="AV58" s="305"/>
    </row>
    <row r="59" spans="1:48" ht="14.25" customHeight="1" thickBot="1" x14ac:dyDescent="0.25">
      <c r="A59" s="288">
        <v>50</v>
      </c>
      <c r="B59" s="289">
        <v>0.03</v>
      </c>
      <c r="C59" s="290">
        <v>0.19726271769053844</v>
      </c>
      <c r="D59" s="291">
        <v>24.692568508421637</v>
      </c>
      <c r="E59" s="305"/>
      <c r="F59" s="688"/>
      <c r="G59" s="689"/>
      <c r="H59" s="762"/>
      <c r="I59" s="762"/>
      <c r="J59" s="762"/>
      <c r="K59" s="762"/>
      <c r="L59" s="762"/>
      <c r="M59" s="762"/>
      <c r="N59" s="762"/>
      <c r="O59" s="762"/>
      <c r="P59" s="762"/>
      <c r="Q59" s="762"/>
      <c r="R59" s="763"/>
      <c r="S59" s="305"/>
      <c r="T59" s="757"/>
      <c r="U59" s="758"/>
      <c r="V59" s="758"/>
      <c r="W59" s="758"/>
      <c r="X59" s="758"/>
      <c r="Y59" s="758"/>
      <c r="Z59" s="752"/>
      <c r="AA59" s="752"/>
      <c r="AB59" s="754"/>
      <c r="AC59" s="752"/>
      <c r="AD59" s="750"/>
      <c r="AE59" s="305"/>
      <c r="AF59" s="305"/>
      <c r="AG59" s="305"/>
      <c r="AH59" s="305"/>
      <c r="AI59" s="305"/>
      <c r="AJ59" s="305"/>
      <c r="AK59" s="305"/>
      <c r="AL59" s="305"/>
      <c r="AM59" s="305"/>
      <c r="AN59" s="305"/>
      <c r="AO59" s="305"/>
      <c r="AP59" s="305"/>
      <c r="AQ59" s="305"/>
      <c r="AR59" s="305"/>
      <c r="AS59" s="305"/>
      <c r="AT59" s="305"/>
      <c r="AU59" s="305"/>
      <c r="AV59" s="305"/>
    </row>
    <row r="60" spans="1:48" ht="14.25" customHeight="1" x14ac:dyDescent="0.2">
      <c r="A60" s="284">
        <v>51</v>
      </c>
      <c r="B60" s="285">
        <v>0.03</v>
      </c>
      <c r="C60" s="286">
        <v>0.19151720164129946</v>
      </c>
      <c r="D60" s="287">
        <v>24.884085710062937</v>
      </c>
      <c r="E60" s="305"/>
      <c r="F60" s="305"/>
      <c r="G60" s="305"/>
      <c r="H60" s="305"/>
      <c r="I60" s="305"/>
      <c r="J60" s="305"/>
      <c r="K60" s="305"/>
      <c r="L60" s="305"/>
      <c r="M60" s="305"/>
      <c r="N60" s="305"/>
      <c r="O60" s="305"/>
      <c r="P60" s="305"/>
      <c r="Q60" s="305"/>
      <c r="R60" s="305"/>
      <c r="S60" s="305"/>
      <c r="T60" s="157"/>
      <c r="U60" s="157"/>
      <c r="V60" s="157"/>
      <c r="W60" s="157"/>
      <c r="X60" s="157"/>
      <c r="Y60" s="157"/>
      <c r="Z60" s="157"/>
      <c r="AA60" s="157"/>
      <c r="AB60" s="157"/>
      <c r="AC60" s="157"/>
      <c r="AD60" s="157"/>
      <c r="AE60" s="305"/>
      <c r="AF60" s="305"/>
      <c r="AG60" s="305"/>
      <c r="AH60" s="305"/>
      <c r="AI60" s="305"/>
      <c r="AJ60" s="305"/>
      <c r="AK60" s="305"/>
      <c r="AL60" s="305"/>
      <c r="AM60" s="305"/>
      <c r="AN60" s="305"/>
      <c r="AO60" s="305"/>
      <c r="AP60" s="305"/>
      <c r="AQ60" s="305"/>
      <c r="AR60" s="305"/>
      <c r="AS60" s="305"/>
      <c r="AT60" s="305"/>
      <c r="AU60" s="305"/>
      <c r="AV60" s="305"/>
    </row>
    <row r="61" spans="1:48" ht="14.25" customHeight="1" x14ac:dyDescent="0.2">
      <c r="A61" s="284">
        <v>52</v>
      </c>
      <c r="B61" s="285">
        <v>0.03</v>
      </c>
      <c r="C61" s="286">
        <v>0.18593903071970821</v>
      </c>
      <c r="D61" s="287">
        <v>25.070024740782646</v>
      </c>
      <c r="E61" s="305"/>
      <c r="F61" s="305"/>
      <c r="G61" s="305"/>
      <c r="H61" s="305"/>
      <c r="I61" s="305"/>
      <c r="J61" s="305"/>
      <c r="K61" s="305"/>
      <c r="L61" s="305"/>
      <c r="M61" s="305"/>
      <c r="N61" s="305"/>
      <c r="O61" s="305"/>
      <c r="P61" s="305"/>
      <c r="Q61" s="305"/>
      <c r="R61" s="305"/>
      <c r="S61" s="305"/>
      <c r="T61" s="157"/>
      <c r="U61" s="157"/>
      <c r="V61" s="157"/>
      <c r="W61" s="157"/>
      <c r="X61" s="157"/>
      <c r="Y61" s="157"/>
      <c r="Z61" s="310"/>
      <c r="AA61" s="310"/>
      <c r="AB61" s="310"/>
      <c r="AC61" s="310"/>
      <c r="AD61" s="310"/>
      <c r="AE61" s="305"/>
      <c r="AF61" s="305"/>
      <c r="AG61" s="305"/>
      <c r="AH61" s="305"/>
      <c r="AI61" s="305"/>
      <c r="AJ61" s="305"/>
      <c r="AK61" s="305"/>
      <c r="AL61" s="305"/>
      <c r="AM61" s="305"/>
      <c r="AN61" s="305"/>
      <c r="AO61" s="305"/>
      <c r="AP61" s="305"/>
      <c r="AQ61" s="305"/>
      <c r="AR61" s="305"/>
      <c r="AS61" s="305"/>
      <c r="AT61" s="305"/>
      <c r="AU61" s="305"/>
      <c r="AV61" s="305"/>
    </row>
    <row r="62" spans="1:48" ht="14.25" customHeight="1" x14ac:dyDescent="0.2">
      <c r="A62" s="284">
        <v>53</v>
      </c>
      <c r="B62" s="285">
        <v>0.03</v>
      </c>
      <c r="C62" s="286">
        <v>0.18052333079583321</v>
      </c>
      <c r="D62" s="287">
        <v>25.250548071578478</v>
      </c>
      <c r="E62" s="305"/>
      <c r="F62" s="305"/>
      <c r="G62" s="305"/>
      <c r="H62" s="305"/>
      <c r="I62" s="305"/>
      <c r="J62" s="305"/>
      <c r="K62" s="305"/>
      <c r="L62" s="305"/>
      <c r="M62" s="305"/>
      <c r="N62" s="305"/>
      <c r="O62" s="305"/>
      <c r="P62" s="305"/>
      <c r="Q62" s="305"/>
      <c r="R62" s="305"/>
      <c r="S62" s="305"/>
      <c r="T62" s="157"/>
      <c r="U62" s="157"/>
      <c r="V62" s="157"/>
      <c r="W62" s="157"/>
      <c r="X62" s="157"/>
      <c r="Y62" s="157"/>
      <c r="Z62" s="736"/>
      <c r="AA62" s="736"/>
      <c r="AB62" s="737"/>
      <c r="AC62" s="736"/>
      <c r="AD62" s="736"/>
      <c r="AE62" s="305"/>
      <c r="AF62" s="305"/>
      <c r="AG62" s="305"/>
      <c r="AH62" s="305"/>
      <c r="AI62" s="305"/>
      <c r="AJ62" s="305"/>
      <c r="AK62" s="305"/>
      <c r="AL62" s="305"/>
      <c r="AM62" s="305"/>
      <c r="AN62" s="305"/>
      <c r="AO62" s="305"/>
      <c r="AP62" s="305"/>
      <c r="AQ62" s="305"/>
      <c r="AR62" s="305"/>
      <c r="AS62" s="305"/>
      <c r="AT62" s="305"/>
      <c r="AU62" s="305"/>
      <c r="AV62" s="305"/>
    </row>
    <row r="63" spans="1:48" ht="14.25" customHeight="1" x14ac:dyDescent="0.2">
      <c r="A63" s="284">
        <v>54</v>
      </c>
      <c r="B63" s="285">
        <v>0.03</v>
      </c>
      <c r="C63" s="286">
        <v>0.17526536970469245</v>
      </c>
      <c r="D63" s="287">
        <v>25.425813441283172</v>
      </c>
      <c r="E63" s="305"/>
      <c r="F63" s="305"/>
      <c r="G63" s="305"/>
      <c r="H63" s="305"/>
      <c r="I63" s="305"/>
      <c r="J63" s="305"/>
      <c r="K63" s="305"/>
      <c r="L63" s="305"/>
      <c r="M63" s="305"/>
      <c r="N63" s="305"/>
      <c r="O63" s="305"/>
      <c r="P63" s="305"/>
      <c r="Q63" s="305"/>
      <c r="R63" s="305"/>
      <c r="S63" s="305"/>
      <c r="T63" s="157"/>
      <c r="U63" s="157"/>
      <c r="V63" s="157"/>
      <c r="W63" s="157"/>
      <c r="X63" s="157"/>
      <c r="Y63" s="157"/>
      <c r="Z63" s="736"/>
      <c r="AA63" s="736"/>
      <c r="AB63" s="737"/>
      <c r="AC63" s="736"/>
      <c r="AD63" s="736"/>
      <c r="AE63" s="305"/>
      <c r="AF63" s="305"/>
      <c r="AG63" s="305"/>
      <c r="AH63" s="305"/>
      <c r="AI63" s="305"/>
      <c r="AJ63" s="305"/>
      <c r="AK63" s="305"/>
      <c r="AL63" s="305"/>
      <c r="AM63" s="305"/>
      <c r="AN63" s="305"/>
      <c r="AO63" s="305"/>
      <c r="AP63" s="305"/>
      <c r="AQ63" s="305"/>
      <c r="AR63" s="305"/>
      <c r="AS63" s="305"/>
      <c r="AT63" s="305"/>
      <c r="AU63" s="305"/>
      <c r="AV63" s="305"/>
    </row>
    <row r="64" spans="1:48" ht="14.25" customHeight="1" x14ac:dyDescent="0.2">
      <c r="A64" s="284">
        <v>55</v>
      </c>
      <c r="B64" s="285">
        <v>0.03</v>
      </c>
      <c r="C64" s="286">
        <v>0.17016055311135189</v>
      </c>
      <c r="D64" s="287">
        <v>25.595973994394523</v>
      </c>
      <c r="E64" s="305"/>
      <c r="F64" s="305"/>
      <c r="G64" s="305"/>
      <c r="H64" s="305"/>
      <c r="I64" s="305"/>
      <c r="J64" s="305"/>
      <c r="K64" s="305"/>
      <c r="L64" s="305"/>
      <c r="M64" s="305"/>
      <c r="N64" s="305"/>
      <c r="O64" s="305"/>
      <c r="P64" s="305"/>
      <c r="Q64" s="305"/>
      <c r="R64" s="305"/>
      <c r="S64" s="305"/>
      <c r="T64" s="157"/>
      <c r="U64" s="157"/>
      <c r="V64" s="157"/>
      <c r="W64" s="157"/>
      <c r="X64" s="157"/>
      <c r="Y64" s="157"/>
      <c r="Z64" s="736"/>
      <c r="AA64" s="736"/>
      <c r="AB64" s="737"/>
      <c r="AC64" s="736"/>
      <c r="AD64" s="736"/>
      <c r="AE64" s="305"/>
      <c r="AF64" s="305"/>
      <c r="AG64" s="305"/>
      <c r="AH64" s="305"/>
      <c r="AI64" s="305"/>
      <c r="AJ64" s="305"/>
      <c r="AK64" s="305"/>
      <c r="AL64" s="305"/>
      <c r="AM64" s="305"/>
      <c r="AN64" s="305"/>
      <c r="AO64" s="305"/>
      <c r="AP64" s="305"/>
      <c r="AQ64" s="305"/>
      <c r="AR64" s="305"/>
      <c r="AS64" s="305"/>
      <c r="AT64" s="305"/>
      <c r="AU64" s="305"/>
      <c r="AV64" s="305"/>
    </row>
    <row r="65" spans="1:48" ht="14.25" customHeight="1" x14ac:dyDescent="0.2">
      <c r="A65" s="284">
        <v>56</v>
      </c>
      <c r="B65" s="285">
        <v>0.03</v>
      </c>
      <c r="C65" s="286">
        <v>0.16520442049645814</v>
      </c>
      <c r="D65" s="287">
        <v>25.761178414890981</v>
      </c>
      <c r="E65" s="305"/>
      <c r="F65" s="305"/>
      <c r="G65" s="305"/>
      <c r="H65" s="305"/>
      <c r="I65" s="305"/>
      <c r="J65" s="305"/>
      <c r="K65" s="305"/>
      <c r="L65" s="305"/>
      <c r="M65" s="305"/>
      <c r="N65" s="305"/>
      <c r="O65" s="305"/>
      <c r="P65" s="305"/>
      <c r="Q65" s="305"/>
      <c r="R65" s="305"/>
      <c r="S65" s="305"/>
      <c r="T65" s="305"/>
      <c r="U65" s="305"/>
      <c r="V65" s="305"/>
      <c r="W65" s="305"/>
      <c r="X65" s="305"/>
      <c r="Y65" s="305"/>
      <c r="Z65" s="305"/>
      <c r="AA65" s="305"/>
      <c r="AB65" s="305"/>
      <c r="AC65" s="305"/>
      <c r="AD65" s="305"/>
      <c r="AE65" s="305"/>
      <c r="AF65" s="305"/>
      <c r="AG65" s="305"/>
      <c r="AH65" s="305"/>
      <c r="AI65" s="305"/>
      <c r="AJ65" s="305"/>
      <c r="AK65" s="305"/>
      <c r="AL65" s="305"/>
      <c r="AM65" s="305"/>
      <c r="AN65" s="305"/>
      <c r="AO65" s="305"/>
      <c r="AP65" s="305"/>
      <c r="AQ65" s="305"/>
      <c r="AR65" s="305"/>
      <c r="AS65" s="305"/>
      <c r="AT65" s="305"/>
      <c r="AU65" s="305"/>
      <c r="AV65" s="305"/>
    </row>
    <row r="66" spans="1:48" ht="14.25" customHeight="1" x14ac:dyDescent="0.2">
      <c r="A66" s="284">
        <v>57</v>
      </c>
      <c r="B66" s="285">
        <v>0.03</v>
      </c>
      <c r="C66" s="286">
        <v>0.16039264125869723</v>
      </c>
      <c r="D66" s="287">
        <v>25.921571056149677</v>
      </c>
      <c r="E66" s="305"/>
      <c r="F66" s="305"/>
      <c r="G66" s="305"/>
      <c r="H66" s="305"/>
      <c r="I66" s="305"/>
      <c r="J66" s="305"/>
      <c r="K66" s="305"/>
      <c r="L66" s="305"/>
      <c r="M66" s="305"/>
      <c r="N66" s="305"/>
      <c r="O66" s="305"/>
      <c r="P66" s="305"/>
      <c r="Q66" s="305"/>
      <c r="R66" s="305"/>
      <c r="S66" s="305"/>
      <c r="T66" s="305"/>
      <c r="U66" s="305"/>
      <c r="V66" s="305"/>
      <c r="W66" s="305"/>
      <c r="X66" s="305"/>
      <c r="Y66" s="305"/>
      <c r="Z66" s="305"/>
      <c r="AA66" s="305"/>
      <c r="AB66" s="305"/>
      <c r="AC66" s="305"/>
      <c r="AD66" s="305"/>
      <c r="AE66" s="305"/>
      <c r="AF66" s="305"/>
      <c r="AG66" s="305"/>
      <c r="AH66" s="305"/>
      <c r="AI66" s="305"/>
      <c r="AJ66" s="305"/>
      <c r="AK66" s="305"/>
      <c r="AL66" s="305"/>
      <c r="AM66" s="305"/>
      <c r="AN66" s="305"/>
      <c r="AO66" s="305"/>
      <c r="AP66" s="305"/>
      <c r="AQ66" s="305"/>
      <c r="AR66" s="305"/>
      <c r="AS66" s="305"/>
      <c r="AT66" s="305"/>
      <c r="AU66" s="305"/>
      <c r="AV66" s="305"/>
    </row>
    <row r="67" spans="1:48" ht="14.25" customHeight="1" x14ac:dyDescent="0.2">
      <c r="A67" s="284">
        <v>58</v>
      </c>
      <c r="B67" s="285">
        <v>0.03</v>
      </c>
      <c r="C67" s="286">
        <v>0.15572101093077401</v>
      </c>
      <c r="D67" s="287">
        <v>26.07729206708045</v>
      </c>
      <c r="E67" s="305"/>
      <c r="F67" s="305"/>
      <c r="G67" s="305"/>
      <c r="H67" s="305"/>
      <c r="I67" s="305"/>
      <c r="J67" s="305"/>
      <c r="K67" s="305"/>
      <c r="L67" s="305"/>
      <c r="M67" s="305"/>
      <c r="N67" s="305"/>
      <c r="O67" s="305"/>
      <c r="P67" s="305"/>
      <c r="Q67" s="305"/>
      <c r="R67" s="305"/>
      <c r="S67" s="305"/>
      <c r="T67" s="305"/>
      <c r="U67" s="305"/>
      <c r="V67" s="305"/>
      <c r="W67" s="305"/>
      <c r="X67" s="305"/>
      <c r="Y67" s="305"/>
      <c r="Z67" s="305"/>
      <c r="AA67" s="305"/>
      <c r="AB67" s="305"/>
      <c r="AC67" s="305"/>
      <c r="AD67" s="305"/>
      <c r="AE67" s="305"/>
      <c r="AF67" s="305"/>
      <c r="AG67" s="305"/>
      <c r="AH67" s="305"/>
      <c r="AI67" s="305"/>
      <c r="AJ67" s="305"/>
      <c r="AK67" s="305"/>
      <c r="AL67" s="305"/>
      <c r="AM67" s="305"/>
      <c r="AN67" s="305"/>
      <c r="AO67" s="305"/>
      <c r="AP67" s="305"/>
      <c r="AQ67" s="305"/>
      <c r="AR67" s="305"/>
      <c r="AS67" s="305"/>
      <c r="AT67" s="305"/>
      <c r="AU67" s="305"/>
      <c r="AV67" s="305"/>
    </row>
    <row r="68" spans="1:48" ht="14.25" customHeight="1" x14ac:dyDescent="0.2">
      <c r="A68" s="284">
        <v>59</v>
      </c>
      <c r="B68" s="285">
        <v>0.03</v>
      </c>
      <c r="C68" s="286">
        <v>0.15118544750560584</v>
      </c>
      <c r="D68" s="287">
        <v>26.228477514586057</v>
      </c>
      <c r="E68" s="305"/>
      <c r="F68" s="305"/>
      <c r="G68" s="305"/>
      <c r="H68" s="305"/>
      <c r="I68" s="305"/>
      <c r="J68" s="305"/>
      <c r="K68" s="305"/>
      <c r="L68" s="305"/>
      <c r="M68" s="305"/>
      <c r="N68" s="305"/>
      <c r="O68" s="305"/>
      <c r="P68" s="305"/>
      <c r="Q68" s="305"/>
      <c r="R68" s="305"/>
      <c r="S68" s="305"/>
      <c r="T68" s="305"/>
      <c r="U68" s="305"/>
      <c r="V68" s="305"/>
      <c r="W68" s="305"/>
      <c r="X68" s="305"/>
      <c r="Y68" s="305"/>
      <c r="Z68" s="305"/>
      <c r="AA68" s="305"/>
      <c r="AB68" s="305"/>
      <c r="AC68" s="305"/>
      <c r="AD68" s="305"/>
      <c r="AE68" s="305"/>
      <c r="AF68" s="305"/>
      <c r="AG68" s="305"/>
      <c r="AH68" s="305"/>
      <c r="AI68" s="305"/>
      <c r="AJ68" s="305"/>
      <c r="AK68" s="305"/>
      <c r="AL68" s="305"/>
      <c r="AM68" s="305"/>
      <c r="AN68" s="305"/>
      <c r="AO68" s="305"/>
      <c r="AP68" s="305"/>
      <c r="AQ68" s="305"/>
      <c r="AR68" s="305"/>
      <c r="AS68" s="305"/>
      <c r="AT68" s="305"/>
      <c r="AU68" s="305"/>
      <c r="AV68" s="305"/>
    </row>
    <row r="69" spans="1:48" ht="14.25" customHeight="1" x14ac:dyDescent="0.2">
      <c r="A69" s="284">
        <v>60</v>
      </c>
      <c r="B69" s="285">
        <v>0.03</v>
      </c>
      <c r="C69" s="286">
        <v>0.14678198786952024</v>
      </c>
      <c r="D69" s="287">
        <v>26.375259502455577</v>
      </c>
      <c r="E69" s="305"/>
      <c r="F69" s="305"/>
      <c r="G69" s="305"/>
      <c r="H69" s="305"/>
      <c r="I69" s="305"/>
      <c r="J69" s="305"/>
      <c r="K69" s="305"/>
      <c r="L69" s="305"/>
      <c r="M69" s="305"/>
      <c r="N69" s="305"/>
      <c r="O69" s="305"/>
      <c r="P69" s="305"/>
      <c r="Q69" s="305"/>
      <c r="R69" s="305"/>
      <c r="S69" s="305"/>
      <c r="T69" s="305"/>
      <c r="U69" s="305"/>
      <c r="V69" s="305"/>
      <c r="W69" s="305"/>
      <c r="X69" s="305"/>
      <c r="Y69" s="305"/>
      <c r="Z69" s="305"/>
      <c r="AA69" s="305"/>
      <c r="AB69" s="305"/>
      <c r="AC69" s="305"/>
      <c r="AD69" s="305"/>
      <c r="AE69" s="305"/>
      <c r="AF69" s="305"/>
      <c r="AG69" s="305"/>
      <c r="AH69" s="305"/>
      <c r="AI69" s="305"/>
      <c r="AJ69" s="305"/>
      <c r="AK69" s="305"/>
      <c r="AL69" s="305"/>
      <c r="AM69" s="305"/>
      <c r="AN69" s="305"/>
      <c r="AO69" s="305"/>
      <c r="AP69" s="305"/>
      <c r="AQ69" s="305"/>
      <c r="AR69" s="305"/>
      <c r="AS69" s="305"/>
      <c r="AT69" s="305"/>
      <c r="AU69" s="305"/>
      <c r="AV69" s="305"/>
    </row>
    <row r="70" spans="1:48" ht="14.25" customHeight="1" x14ac:dyDescent="0.2">
      <c r="A70" s="284">
        <v>61</v>
      </c>
      <c r="B70" s="285">
        <v>0.03</v>
      </c>
      <c r="C70" s="286">
        <v>0.14250678433934003</v>
      </c>
      <c r="D70" s="287">
        <v>26.517766286794917</v>
      </c>
      <c r="E70" s="305"/>
      <c r="F70" s="305"/>
      <c r="G70" s="305"/>
      <c r="H70" s="305"/>
      <c r="I70" s="305"/>
      <c r="J70" s="305"/>
      <c r="K70" s="305"/>
      <c r="L70" s="305"/>
      <c r="M70" s="305"/>
      <c r="N70" s="305"/>
      <c r="O70" s="305"/>
      <c r="P70" s="305"/>
      <c r="Q70" s="305"/>
      <c r="R70" s="305"/>
      <c r="S70" s="305"/>
      <c r="T70" s="305"/>
      <c r="U70" s="305"/>
      <c r="V70" s="305"/>
      <c r="W70" s="305"/>
      <c r="X70" s="305"/>
      <c r="Y70" s="305"/>
      <c r="Z70" s="305"/>
      <c r="AA70" s="305"/>
      <c r="AB70" s="305"/>
      <c r="AC70" s="305"/>
      <c r="AD70" s="305"/>
      <c r="AE70" s="305"/>
      <c r="AF70" s="305"/>
      <c r="AG70" s="305"/>
      <c r="AH70" s="305"/>
      <c r="AI70" s="305"/>
      <c r="AJ70" s="305"/>
      <c r="AK70" s="305"/>
      <c r="AL70" s="305"/>
      <c r="AM70" s="305"/>
      <c r="AN70" s="305"/>
      <c r="AO70" s="305"/>
      <c r="AP70" s="305"/>
      <c r="AQ70" s="305"/>
      <c r="AR70" s="305"/>
      <c r="AS70" s="305"/>
      <c r="AT70" s="305"/>
      <c r="AU70" s="305"/>
      <c r="AV70" s="305"/>
    </row>
    <row r="71" spans="1:48" ht="14.25" customHeight="1" x14ac:dyDescent="0.2">
      <c r="A71" s="284">
        <v>62</v>
      </c>
      <c r="B71" s="285">
        <v>0.03</v>
      </c>
      <c r="C71" s="286">
        <v>0.13835610130033013</v>
      </c>
      <c r="D71" s="287">
        <v>26.656122388095248</v>
      </c>
      <c r="E71" s="305"/>
      <c r="F71" s="305"/>
      <c r="G71" s="305"/>
      <c r="H71" s="305"/>
      <c r="I71" s="305"/>
      <c r="J71" s="305"/>
      <c r="K71" s="305"/>
      <c r="L71" s="305"/>
      <c r="M71" s="305"/>
      <c r="N71" s="305"/>
      <c r="O71" s="305"/>
      <c r="P71" s="305"/>
      <c r="Q71" s="305"/>
      <c r="R71" s="305"/>
      <c r="S71" s="305"/>
      <c r="T71" s="305"/>
      <c r="U71" s="305"/>
      <c r="V71" s="305"/>
      <c r="W71" s="305"/>
      <c r="X71" s="305"/>
      <c r="Y71" s="305"/>
      <c r="Z71" s="305"/>
      <c r="AA71" s="305"/>
      <c r="AB71" s="305"/>
      <c r="AC71" s="305"/>
      <c r="AD71" s="305"/>
      <c r="AE71" s="305"/>
      <c r="AF71" s="305"/>
      <c r="AG71" s="305"/>
      <c r="AH71" s="305"/>
      <c r="AI71" s="305"/>
      <c r="AJ71" s="305"/>
      <c r="AK71" s="305"/>
      <c r="AL71" s="305"/>
      <c r="AM71" s="305"/>
      <c r="AN71" s="305"/>
      <c r="AO71" s="305"/>
      <c r="AP71" s="305"/>
      <c r="AQ71" s="305"/>
      <c r="AR71" s="305"/>
      <c r="AS71" s="305"/>
      <c r="AT71" s="305"/>
      <c r="AU71" s="305"/>
      <c r="AV71" s="305"/>
    </row>
    <row r="72" spans="1:48" ht="14.25" customHeight="1" x14ac:dyDescent="0.2">
      <c r="A72" s="284">
        <v>63</v>
      </c>
      <c r="B72" s="285">
        <v>0.03</v>
      </c>
      <c r="C72" s="286">
        <v>0.13432631194206809</v>
      </c>
      <c r="D72" s="287">
        <v>26.790448700037317</v>
      </c>
      <c r="E72" s="305"/>
      <c r="F72" s="305"/>
      <c r="G72" s="305"/>
      <c r="H72" s="305"/>
      <c r="I72" s="305"/>
      <c r="J72" s="305"/>
      <c r="K72" s="305"/>
      <c r="L72" s="305"/>
      <c r="M72" s="305"/>
      <c r="N72" s="305"/>
      <c r="O72" s="305"/>
      <c r="P72" s="305"/>
      <c r="Q72" s="305"/>
      <c r="R72" s="305"/>
      <c r="S72" s="305"/>
      <c r="T72" s="305"/>
      <c r="U72" s="305"/>
      <c r="V72" s="305"/>
      <c r="W72" s="305"/>
      <c r="X72" s="305"/>
      <c r="Y72" s="305"/>
      <c r="Z72" s="305"/>
      <c r="AA72" s="305"/>
      <c r="AB72" s="305"/>
      <c r="AC72" s="305"/>
      <c r="AD72" s="305"/>
      <c r="AE72" s="305"/>
      <c r="AF72" s="305"/>
      <c r="AG72" s="305"/>
      <c r="AH72" s="305"/>
      <c r="AI72" s="305"/>
      <c r="AJ72" s="305"/>
      <c r="AK72" s="305"/>
      <c r="AL72" s="305"/>
      <c r="AM72" s="305"/>
      <c r="AN72" s="305"/>
      <c r="AO72" s="305"/>
      <c r="AP72" s="305"/>
      <c r="AQ72" s="305"/>
      <c r="AR72" s="305"/>
      <c r="AS72" s="305"/>
      <c r="AT72" s="305"/>
      <c r="AU72" s="305"/>
      <c r="AV72" s="305"/>
    </row>
    <row r="73" spans="1:48" ht="14.25" customHeight="1" x14ac:dyDescent="0.2">
      <c r="A73" s="284">
        <v>64</v>
      </c>
      <c r="B73" s="285">
        <v>0.03</v>
      </c>
      <c r="C73" s="286">
        <v>0.1304138950893865</v>
      </c>
      <c r="D73" s="287">
        <v>26.920862595126703</v>
      </c>
      <c r="E73" s="305"/>
      <c r="F73" s="305"/>
      <c r="G73" s="305"/>
      <c r="H73" s="305"/>
      <c r="I73" s="305"/>
      <c r="J73" s="305"/>
      <c r="K73" s="305"/>
      <c r="L73" s="305"/>
      <c r="M73" s="305"/>
      <c r="N73" s="305"/>
      <c r="O73" s="305"/>
      <c r="P73" s="305"/>
      <c r="Q73" s="305"/>
      <c r="R73" s="305"/>
      <c r="S73" s="305"/>
      <c r="T73" s="305"/>
      <c r="U73" s="305"/>
      <c r="V73" s="305"/>
      <c r="W73" s="305"/>
      <c r="X73" s="305"/>
      <c r="Y73" s="305"/>
      <c r="Z73" s="305"/>
      <c r="AA73" s="305"/>
      <c r="AB73" s="305"/>
      <c r="AC73" s="305"/>
      <c r="AD73" s="305"/>
      <c r="AE73" s="305"/>
      <c r="AF73" s="305"/>
      <c r="AG73" s="305"/>
      <c r="AH73" s="305"/>
      <c r="AI73" s="305"/>
      <c r="AJ73" s="305"/>
      <c r="AK73" s="305"/>
      <c r="AL73" s="305"/>
      <c r="AM73" s="305"/>
      <c r="AN73" s="305"/>
      <c r="AO73" s="305"/>
      <c r="AP73" s="305"/>
      <c r="AQ73" s="305"/>
      <c r="AR73" s="305"/>
      <c r="AS73" s="305"/>
      <c r="AT73" s="305"/>
      <c r="AU73" s="305"/>
      <c r="AV73" s="305"/>
    </row>
    <row r="74" spans="1:48" ht="14.25" customHeight="1" x14ac:dyDescent="0.2">
      <c r="A74" s="284">
        <v>65</v>
      </c>
      <c r="B74" s="285">
        <v>0.03</v>
      </c>
      <c r="C74" s="286">
        <v>0.12661543212561796</v>
      </c>
      <c r="D74" s="287">
        <v>27.047478027252321</v>
      </c>
      <c r="E74" s="305"/>
      <c r="F74" s="305"/>
      <c r="G74" s="305"/>
      <c r="H74" s="305"/>
      <c r="I74" s="305"/>
      <c r="J74" s="305"/>
      <c r="K74" s="305"/>
      <c r="L74" s="305"/>
      <c r="M74" s="305"/>
      <c r="N74" s="305"/>
      <c r="O74" s="305"/>
      <c r="P74" s="305"/>
      <c r="Q74" s="305"/>
      <c r="R74" s="305"/>
      <c r="S74" s="305"/>
      <c r="T74" s="305"/>
      <c r="U74" s="305"/>
      <c r="V74" s="305"/>
      <c r="W74" s="305"/>
      <c r="X74" s="305"/>
      <c r="Y74" s="305"/>
      <c r="Z74" s="305"/>
      <c r="AA74" s="305"/>
      <c r="AB74" s="305"/>
      <c r="AC74" s="305"/>
      <c r="AD74" s="305"/>
      <c r="AE74" s="305"/>
      <c r="AF74" s="305"/>
      <c r="AG74" s="305"/>
      <c r="AH74" s="305"/>
      <c r="AI74" s="305"/>
      <c r="AJ74" s="305"/>
      <c r="AK74" s="305"/>
      <c r="AL74" s="305"/>
      <c r="AM74" s="305"/>
      <c r="AN74" s="305"/>
      <c r="AO74" s="305"/>
      <c r="AP74" s="305"/>
      <c r="AQ74" s="305"/>
      <c r="AR74" s="305"/>
      <c r="AS74" s="305"/>
      <c r="AT74" s="305"/>
      <c r="AU74" s="305"/>
      <c r="AV74" s="305"/>
    </row>
    <row r="75" spans="1:48" ht="14.25" customHeight="1" x14ac:dyDescent="0.2">
      <c r="A75" s="284">
        <v>66</v>
      </c>
      <c r="B75" s="285">
        <v>0.03</v>
      </c>
      <c r="C75" s="286">
        <v>0.12292760400545433</v>
      </c>
      <c r="D75" s="287">
        <v>27.170405631257776</v>
      </c>
      <c r="E75" s="305"/>
      <c r="F75" s="305"/>
      <c r="G75" s="305"/>
      <c r="H75" s="305"/>
      <c r="I75" s="305"/>
      <c r="J75" s="305"/>
      <c r="K75" s="305"/>
      <c r="L75" s="305"/>
      <c r="M75" s="305"/>
      <c r="N75" s="305"/>
      <c r="O75" s="305"/>
      <c r="P75" s="305"/>
      <c r="Q75" s="305"/>
      <c r="R75" s="305"/>
      <c r="S75" s="305"/>
      <c r="T75" s="305"/>
      <c r="U75" s="305"/>
      <c r="V75" s="305"/>
      <c r="W75" s="305"/>
      <c r="X75" s="305"/>
      <c r="Y75" s="305"/>
      <c r="Z75" s="305"/>
      <c r="AA75" s="305"/>
      <c r="AB75" s="305"/>
      <c r="AC75" s="305"/>
      <c r="AD75" s="305"/>
      <c r="AE75" s="305"/>
      <c r="AF75" s="305"/>
      <c r="AG75" s="305"/>
      <c r="AH75" s="305"/>
      <c r="AI75" s="305"/>
      <c r="AJ75" s="305"/>
      <c r="AK75" s="305"/>
      <c r="AL75" s="305"/>
      <c r="AM75" s="305"/>
      <c r="AN75" s="305"/>
      <c r="AO75" s="305"/>
      <c r="AP75" s="305"/>
      <c r="AQ75" s="305"/>
      <c r="AR75" s="305"/>
      <c r="AS75" s="305"/>
      <c r="AT75" s="305"/>
      <c r="AU75" s="305"/>
      <c r="AV75" s="305"/>
    </row>
    <row r="76" spans="1:48" ht="14.25" customHeight="1" x14ac:dyDescent="0.2">
      <c r="A76" s="284">
        <v>67</v>
      </c>
      <c r="B76" s="285">
        <v>0.03</v>
      </c>
      <c r="C76" s="286">
        <v>0.11934718835481002</v>
      </c>
      <c r="D76" s="287">
        <v>27.289752819612584</v>
      </c>
      <c r="E76" s="305"/>
      <c r="F76" s="305"/>
      <c r="G76" s="305"/>
      <c r="H76" s="305"/>
      <c r="I76" s="305"/>
      <c r="J76" s="305"/>
      <c r="K76" s="305"/>
      <c r="L76" s="305"/>
      <c r="M76" s="305"/>
      <c r="N76" s="305"/>
      <c r="O76" s="305"/>
      <c r="P76" s="305"/>
      <c r="Q76" s="305"/>
      <c r="R76" s="305"/>
      <c r="S76" s="305"/>
      <c r="T76" s="305"/>
      <c r="U76" s="305"/>
      <c r="V76" s="305"/>
      <c r="W76" s="305"/>
      <c r="X76" s="305"/>
      <c r="Y76" s="305"/>
      <c r="Z76" s="305"/>
      <c r="AA76" s="305"/>
      <c r="AB76" s="305"/>
      <c r="AC76" s="305"/>
      <c r="AD76" s="305"/>
      <c r="AE76" s="305"/>
      <c r="AF76" s="305"/>
      <c r="AG76" s="305"/>
      <c r="AH76" s="305"/>
      <c r="AI76" s="305"/>
      <c r="AJ76" s="305"/>
      <c r="AK76" s="305"/>
      <c r="AL76" s="305"/>
      <c r="AM76" s="305"/>
      <c r="AN76" s="305"/>
      <c r="AO76" s="305"/>
      <c r="AP76" s="305"/>
      <c r="AQ76" s="305"/>
      <c r="AR76" s="305"/>
      <c r="AS76" s="305"/>
      <c r="AT76" s="305"/>
      <c r="AU76" s="305"/>
      <c r="AV76" s="305"/>
    </row>
    <row r="77" spans="1:48" ht="14.25" customHeight="1" x14ac:dyDescent="0.2">
      <c r="A77" s="284">
        <v>68</v>
      </c>
      <c r="B77" s="285">
        <v>0.03</v>
      </c>
      <c r="C77" s="286">
        <v>0.11587105665515536</v>
      </c>
      <c r="D77" s="287">
        <v>27.40562387626774</v>
      </c>
      <c r="E77" s="305"/>
      <c r="F77" s="305"/>
      <c r="G77" s="305"/>
      <c r="H77" s="305"/>
      <c r="I77" s="305"/>
      <c r="J77" s="305"/>
      <c r="K77" s="305"/>
      <c r="L77" s="305"/>
      <c r="M77" s="305"/>
      <c r="N77" s="305"/>
      <c r="O77" s="305"/>
      <c r="P77" s="305"/>
      <c r="Q77" s="305"/>
      <c r="R77" s="305"/>
      <c r="S77" s="305"/>
      <c r="T77" s="305"/>
      <c r="U77" s="305"/>
      <c r="V77" s="305"/>
      <c r="W77" s="305"/>
      <c r="X77" s="305"/>
      <c r="Y77" s="305"/>
      <c r="Z77" s="305"/>
      <c r="AA77" s="305"/>
      <c r="AB77" s="305"/>
      <c r="AC77" s="305"/>
      <c r="AD77" s="305"/>
      <c r="AE77" s="305"/>
      <c r="AF77" s="305"/>
      <c r="AG77" s="305"/>
      <c r="AH77" s="305"/>
      <c r="AI77" s="305"/>
      <c r="AJ77" s="305"/>
      <c r="AK77" s="305"/>
      <c r="AL77" s="305"/>
      <c r="AM77" s="305"/>
      <c r="AN77" s="305"/>
      <c r="AO77" s="305"/>
      <c r="AP77" s="305"/>
      <c r="AQ77" s="305"/>
      <c r="AR77" s="305"/>
      <c r="AS77" s="305"/>
      <c r="AT77" s="305"/>
      <c r="AU77" s="305"/>
      <c r="AV77" s="305"/>
    </row>
    <row r="78" spans="1:48" ht="14.25" customHeight="1" x14ac:dyDescent="0.2">
      <c r="A78" s="284">
        <v>69</v>
      </c>
      <c r="B78" s="285">
        <v>0.03</v>
      </c>
      <c r="C78" s="286">
        <v>0.11249617150985958</v>
      </c>
      <c r="D78" s="287">
        <v>27.5181200477776</v>
      </c>
      <c r="E78" s="305"/>
      <c r="F78" s="305"/>
      <c r="G78" s="305"/>
      <c r="H78" s="305"/>
      <c r="I78" s="305"/>
      <c r="J78" s="305"/>
      <c r="K78" s="305"/>
      <c r="L78" s="305"/>
      <c r="M78" s="305"/>
      <c r="N78" s="305"/>
      <c r="O78" s="305"/>
      <c r="P78" s="305"/>
      <c r="Q78" s="305"/>
      <c r="R78" s="305"/>
      <c r="S78" s="305"/>
      <c r="T78" s="305"/>
      <c r="U78" s="305"/>
      <c r="V78" s="305"/>
      <c r="W78" s="305"/>
      <c r="X78" s="305"/>
      <c r="Y78" s="305"/>
      <c r="Z78" s="305"/>
      <c r="AA78" s="305"/>
      <c r="AB78" s="305"/>
      <c r="AC78" s="305"/>
      <c r="AD78" s="305"/>
      <c r="AE78" s="305"/>
      <c r="AF78" s="305"/>
      <c r="AG78" s="305"/>
      <c r="AH78" s="305"/>
      <c r="AI78" s="305"/>
      <c r="AJ78" s="305"/>
      <c r="AK78" s="305"/>
      <c r="AL78" s="305"/>
      <c r="AM78" s="305"/>
      <c r="AN78" s="305"/>
      <c r="AO78" s="305"/>
      <c r="AP78" s="305"/>
      <c r="AQ78" s="305"/>
      <c r="AR78" s="305"/>
      <c r="AS78" s="305"/>
      <c r="AT78" s="305"/>
      <c r="AU78" s="305"/>
      <c r="AV78" s="305"/>
    </row>
    <row r="79" spans="1:48" ht="14.25" customHeight="1" x14ac:dyDescent="0.2">
      <c r="A79" s="284">
        <v>70</v>
      </c>
      <c r="B79" s="285">
        <v>0.03</v>
      </c>
      <c r="C79" s="286">
        <v>0.10921958399015493</v>
      </c>
      <c r="D79" s="287">
        <v>27.627339631767754</v>
      </c>
      <c r="E79" s="305"/>
      <c r="F79" s="305"/>
      <c r="G79" s="305"/>
      <c r="H79" s="305"/>
      <c r="I79" s="305"/>
      <c r="J79" s="305"/>
      <c r="K79" s="305"/>
      <c r="L79" s="305"/>
      <c r="M79" s="305"/>
      <c r="N79" s="305"/>
      <c r="O79" s="305"/>
      <c r="P79" s="305"/>
      <c r="Q79" s="305"/>
      <c r="R79" s="305"/>
      <c r="S79" s="305"/>
      <c r="T79" s="305"/>
      <c r="U79" s="305"/>
      <c r="V79" s="305"/>
      <c r="W79" s="305"/>
      <c r="X79" s="305"/>
      <c r="Y79" s="305"/>
      <c r="Z79" s="305"/>
      <c r="AA79" s="305"/>
      <c r="AB79" s="305"/>
      <c r="AC79" s="305"/>
      <c r="AD79" s="305"/>
      <c r="AE79" s="305"/>
      <c r="AF79" s="305"/>
      <c r="AG79" s="305"/>
      <c r="AH79" s="305"/>
      <c r="AI79" s="305"/>
      <c r="AJ79" s="305"/>
      <c r="AK79" s="305"/>
      <c r="AL79" s="305"/>
      <c r="AM79" s="305"/>
      <c r="AN79" s="305"/>
      <c r="AO79" s="305"/>
      <c r="AP79" s="305"/>
      <c r="AQ79" s="305"/>
      <c r="AR79" s="305"/>
      <c r="AS79" s="305"/>
      <c r="AT79" s="305"/>
      <c r="AU79" s="305"/>
      <c r="AV79" s="305"/>
    </row>
    <row r="80" spans="1:48" ht="14.25" customHeight="1" x14ac:dyDescent="0.2">
      <c r="A80" s="284">
        <v>71</v>
      </c>
      <c r="B80" s="285">
        <v>0.03</v>
      </c>
      <c r="C80" s="286">
        <v>0.10603843105840284</v>
      </c>
      <c r="D80" s="287">
        <v>27.733378062826155</v>
      </c>
      <c r="E80" s="305"/>
      <c r="F80" s="305"/>
      <c r="G80" s="305"/>
      <c r="H80" s="305"/>
      <c r="I80" s="305"/>
      <c r="J80" s="305"/>
      <c r="K80" s="305"/>
      <c r="L80" s="305"/>
      <c r="M80" s="305"/>
      <c r="N80" s="305"/>
      <c r="O80" s="305"/>
      <c r="P80" s="305"/>
      <c r="Q80" s="305"/>
      <c r="R80" s="305"/>
      <c r="S80" s="305"/>
      <c r="T80" s="305"/>
      <c r="U80" s="305"/>
      <c r="V80" s="305"/>
      <c r="W80" s="305"/>
      <c r="X80" s="305"/>
      <c r="Y80" s="305"/>
      <c r="Z80" s="305"/>
      <c r="AA80" s="305"/>
      <c r="AB80" s="305"/>
      <c r="AC80" s="305"/>
      <c r="AD80" s="305"/>
      <c r="AE80" s="305"/>
      <c r="AF80" s="305"/>
      <c r="AG80" s="305"/>
      <c r="AH80" s="305"/>
      <c r="AI80" s="305"/>
      <c r="AJ80" s="305"/>
      <c r="AK80" s="305"/>
      <c r="AL80" s="305"/>
      <c r="AM80" s="305"/>
      <c r="AN80" s="305"/>
      <c r="AO80" s="305"/>
      <c r="AP80" s="305"/>
      <c r="AQ80" s="305"/>
      <c r="AR80" s="305"/>
      <c r="AS80" s="305"/>
      <c r="AT80" s="305"/>
      <c r="AU80" s="305"/>
      <c r="AV80" s="305"/>
    </row>
    <row r="81" spans="1:48" ht="14.25" customHeight="1" x14ac:dyDescent="0.2">
      <c r="A81" s="284">
        <v>72</v>
      </c>
      <c r="B81" s="285">
        <v>0.03</v>
      </c>
      <c r="C81" s="286">
        <v>0.10294993306641052</v>
      </c>
      <c r="D81" s="287">
        <v>27.836327995892564</v>
      </c>
      <c r="E81" s="305"/>
      <c r="F81" s="305"/>
      <c r="G81" s="305"/>
      <c r="H81" s="305"/>
      <c r="I81" s="305"/>
      <c r="J81" s="305"/>
      <c r="K81" s="305"/>
      <c r="L81" s="305"/>
      <c r="M81" s="305"/>
      <c r="N81" s="305"/>
      <c r="O81" s="305"/>
      <c r="P81" s="305"/>
      <c r="Q81" s="305"/>
      <c r="R81" s="305"/>
      <c r="S81" s="305"/>
      <c r="T81" s="305"/>
      <c r="U81" s="305"/>
      <c r="V81" s="305"/>
      <c r="W81" s="305"/>
      <c r="X81" s="305"/>
      <c r="Y81" s="305"/>
      <c r="Z81" s="305"/>
      <c r="AA81" s="305"/>
      <c r="AB81" s="305"/>
      <c r="AC81" s="305"/>
      <c r="AD81" s="305"/>
      <c r="AE81" s="305"/>
      <c r="AF81" s="305"/>
      <c r="AG81" s="305"/>
      <c r="AH81" s="305"/>
      <c r="AI81" s="305"/>
      <c r="AJ81" s="305"/>
      <c r="AK81" s="305"/>
      <c r="AL81" s="305"/>
      <c r="AM81" s="305"/>
      <c r="AN81" s="305"/>
      <c r="AO81" s="305"/>
      <c r="AP81" s="305"/>
      <c r="AQ81" s="305"/>
      <c r="AR81" s="305"/>
      <c r="AS81" s="305"/>
      <c r="AT81" s="305"/>
      <c r="AU81" s="305"/>
      <c r="AV81" s="305"/>
    </row>
    <row r="82" spans="1:48" ht="14.25" customHeight="1" x14ac:dyDescent="0.2">
      <c r="A82" s="284">
        <v>73</v>
      </c>
      <c r="B82" s="285">
        <v>0.03</v>
      </c>
      <c r="C82" s="286">
        <v>9.9951391326612155E-2</v>
      </c>
      <c r="D82" s="287">
        <v>27.936279387219177</v>
      </c>
      <c r="E82" s="305"/>
      <c r="F82" s="305"/>
      <c r="G82" s="305"/>
      <c r="H82" s="305"/>
      <c r="I82" s="305"/>
      <c r="J82" s="305"/>
      <c r="K82" s="305"/>
      <c r="L82" s="305"/>
      <c r="M82" s="305"/>
      <c r="N82" s="305"/>
      <c r="O82" s="305"/>
      <c r="P82" s="305"/>
      <c r="Q82" s="305"/>
      <c r="R82" s="305"/>
      <c r="S82" s="305"/>
      <c r="T82" s="305"/>
      <c r="U82" s="305"/>
      <c r="V82" s="305"/>
      <c r="W82" s="305"/>
      <c r="X82" s="305"/>
      <c r="Y82" s="305"/>
      <c r="Z82" s="305"/>
      <c r="AA82" s="305"/>
      <c r="AB82" s="305"/>
      <c r="AC82" s="305"/>
      <c r="AD82" s="305"/>
      <c r="AE82" s="305"/>
      <c r="AF82" s="305"/>
      <c r="AG82" s="305"/>
      <c r="AH82" s="305"/>
      <c r="AI82" s="305"/>
      <c r="AJ82" s="305"/>
      <c r="AK82" s="305"/>
      <c r="AL82" s="305"/>
      <c r="AM82" s="305"/>
      <c r="AN82" s="305"/>
      <c r="AO82" s="305"/>
      <c r="AP82" s="305"/>
      <c r="AQ82" s="305"/>
      <c r="AR82" s="305"/>
      <c r="AS82" s="305"/>
      <c r="AT82" s="305"/>
      <c r="AU82" s="305"/>
      <c r="AV82" s="305"/>
    </row>
    <row r="83" spans="1:48" ht="14.25" customHeight="1" x14ac:dyDescent="0.2">
      <c r="A83" s="284">
        <v>74</v>
      </c>
      <c r="B83" s="285">
        <v>0.03</v>
      </c>
      <c r="C83" s="286">
        <v>9.7040185753992383E-2</v>
      </c>
      <c r="D83" s="287">
        <v>28.03331957297317</v>
      </c>
      <c r="E83" s="305"/>
      <c r="F83" s="305"/>
      <c r="G83" s="305"/>
      <c r="H83" s="305"/>
      <c r="I83" s="305"/>
      <c r="J83" s="305"/>
      <c r="K83" s="305"/>
      <c r="L83" s="305"/>
      <c r="M83" s="305"/>
      <c r="N83" s="305"/>
      <c r="O83" s="305"/>
      <c r="P83" s="305"/>
      <c r="Q83" s="305"/>
      <c r="R83" s="305"/>
      <c r="S83" s="305"/>
      <c r="T83" s="305"/>
      <c r="U83" s="305"/>
      <c r="V83" s="305"/>
      <c r="W83" s="305"/>
      <c r="X83" s="305"/>
      <c r="Y83" s="305"/>
      <c r="Z83" s="305"/>
      <c r="AA83" s="305"/>
      <c r="AB83" s="305"/>
      <c r="AC83" s="305"/>
      <c r="AD83" s="305"/>
      <c r="AE83" s="305"/>
      <c r="AF83" s="305"/>
      <c r="AG83" s="305"/>
      <c r="AH83" s="305"/>
      <c r="AI83" s="305"/>
      <c r="AJ83" s="305"/>
      <c r="AK83" s="305"/>
      <c r="AL83" s="305"/>
      <c r="AM83" s="305"/>
      <c r="AN83" s="305"/>
      <c r="AO83" s="305"/>
      <c r="AP83" s="305"/>
      <c r="AQ83" s="305"/>
      <c r="AR83" s="305"/>
      <c r="AS83" s="305"/>
      <c r="AT83" s="305"/>
      <c r="AU83" s="305"/>
      <c r="AV83" s="305"/>
    </row>
    <row r="84" spans="1:48" ht="14.25" customHeight="1" x14ac:dyDescent="0.2">
      <c r="A84" s="284">
        <v>75</v>
      </c>
      <c r="B84" s="285">
        <v>0.03</v>
      </c>
      <c r="C84" s="286">
        <v>9.4213772576691626E-2</v>
      </c>
      <c r="D84" s="287">
        <v>28.12753334554986</v>
      </c>
      <c r="E84" s="305"/>
      <c r="F84" s="305"/>
      <c r="G84" s="305"/>
      <c r="H84" s="305"/>
      <c r="I84" s="305"/>
      <c r="J84" s="305"/>
      <c r="K84" s="305"/>
      <c r="L84" s="305"/>
      <c r="M84" s="305"/>
      <c r="N84" s="305"/>
      <c r="O84" s="305"/>
      <c r="P84" s="305"/>
      <c r="Q84" s="305"/>
      <c r="R84" s="305"/>
      <c r="S84" s="305"/>
      <c r="T84" s="305"/>
      <c r="U84" s="305"/>
      <c r="V84" s="305"/>
      <c r="W84" s="305"/>
      <c r="X84" s="305"/>
      <c r="Y84" s="305"/>
      <c r="Z84" s="305"/>
      <c r="AA84" s="305"/>
      <c r="AB84" s="305"/>
      <c r="AC84" s="305"/>
      <c r="AD84" s="305"/>
      <c r="AE84" s="305"/>
      <c r="AF84" s="305"/>
      <c r="AG84" s="305"/>
      <c r="AH84" s="305"/>
      <c r="AI84" s="305"/>
      <c r="AJ84" s="305"/>
      <c r="AK84" s="305"/>
      <c r="AL84" s="305"/>
      <c r="AM84" s="305"/>
      <c r="AN84" s="305"/>
      <c r="AO84" s="305"/>
      <c r="AP84" s="305"/>
      <c r="AQ84" s="305"/>
      <c r="AR84" s="305"/>
      <c r="AS84" s="305"/>
      <c r="AT84" s="305"/>
      <c r="AU84" s="305"/>
      <c r="AV84" s="305"/>
    </row>
    <row r="85" spans="1:48" ht="14.25" customHeight="1" x14ac:dyDescent="0.2">
      <c r="A85" s="284">
        <v>76</v>
      </c>
      <c r="B85" s="285">
        <v>2.5000000000000001E-2</v>
      </c>
      <c r="C85" s="286">
        <v>9.1915875684577208E-2</v>
      </c>
      <c r="D85" s="287">
        <v>28.219449221234438</v>
      </c>
      <c r="E85" s="305"/>
      <c r="F85" s="305"/>
      <c r="G85" s="305"/>
      <c r="H85" s="305"/>
      <c r="I85" s="305"/>
      <c r="J85" s="305"/>
      <c r="K85" s="305"/>
      <c r="L85" s="305"/>
      <c r="M85" s="305"/>
      <c r="N85" s="305"/>
      <c r="O85" s="305"/>
      <c r="P85" s="305"/>
      <c r="Q85" s="305"/>
      <c r="R85" s="305"/>
      <c r="S85" s="305"/>
      <c r="T85" s="305"/>
      <c r="U85" s="305"/>
      <c r="V85" s="305"/>
      <c r="W85" s="305"/>
      <c r="X85" s="305"/>
      <c r="Y85" s="305"/>
      <c r="Z85" s="305"/>
      <c r="AA85" s="305"/>
      <c r="AB85" s="305"/>
      <c r="AC85" s="305"/>
      <c r="AD85" s="305"/>
      <c r="AE85" s="305"/>
      <c r="AF85" s="305"/>
      <c r="AG85" s="305"/>
      <c r="AH85" s="305"/>
      <c r="AI85" s="305"/>
      <c r="AJ85" s="305"/>
      <c r="AK85" s="305"/>
      <c r="AL85" s="305"/>
      <c r="AM85" s="305"/>
      <c r="AN85" s="305"/>
      <c r="AO85" s="305"/>
      <c r="AP85" s="305"/>
      <c r="AQ85" s="305"/>
      <c r="AR85" s="305"/>
      <c r="AS85" s="305"/>
      <c r="AT85" s="305"/>
      <c r="AU85" s="305"/>
      <c r="AV85" s="305"/>
    </row>
    <row r="86" spans="1:48" ht="14.25" customHeight="1" x14ac:dyDescent="0.2">
      <c r="A86" s="284">
        <v>77</v>
      </c>
      <c r="B86" s="285">
        <v>2.5000000000000001E-2</v>
      </c>
      <c r="C86" s="286">
        <v>8.9674025058124107E-2</v>
      </c>
      <c r="D86" s="287">
        <v>28.309123246292561</v>
      </c>
      <c r="E86" s="305"/>
      <c r="F86" s="305"/>
      <c r="G86" s="305"/>
      <c r="H86" s="305"/>
      <c r="I86" s="305"/>
      <c r="J86" s="305"/>
      <c r="K86" s="305"/>
      <c r="L86" s="305"/>
      <c r="M86" s="305"/>
      <c r="N86" s="305"/>
      <c r="O86" s="305"/>
      <c r="P86" s="305"/>
      <c r="Q86" s="305"/>
      <c r="R86" s="305"/>
      <c r="S86" s="305"/>
      <c r="T86" s="305"/>
      <c r="U86" s="305"/>
      <c r="V86" s="305"/>
      <c r="W86" s="305"/>
      <c r="X86" s="305"/>
      <c r="Y86" s="305"/>
      <c r="Z86" s="305"/>
      <c r="AA86" s="305"/>
      <c r="AB86" s="305"/>
      <c r="AC86" s="305"/>
      <c r="AD86" s="305"/>
      <c r="AE86" s="305"/>
      <c r="AF86" s="305"/>
      <c r="AG86" s="305"/>
      <c r="AH86" s="305"/>
      <c r="AI86" s="305"/>
      <c r="AJ86" s="305"/>
      <c r="AK86" s="305"/>
      <c r="AL86" s="305"/>
      <c r="AM86" s="305"/>
      <c r="AN86" s="305"/>
      <c r="AO86" s="305"/>
      <c r="AP86" s="305"/>
      <c r="AQ86" s="305"/>
      <c r="AR86" s="305"/>
      <c r="AS86" s="305"/>
      <c r="AT86" s="305"/>
      <c r="AU86" s="305"/>
      <c r="AV86" s="305"/>
    </row>
    <row r="87" spans="1:48" ht="14.25" customHeight="1" x14ac:dyDescent="0.2">
      <c r="A87" s="284">
        <v>78</v>
      </c>
      <c r="B87" s="285">
        <v>2.5000000000000001E-2</v>
      </c>
      <c r="C87" s="286">
        <v>8.7486853715243035E-2</v>
      </c>
      <c r="D87" s="287">
        <v>28.396610100007805</v>
      </c>
      <c r="E87" s="305"/>
      <c r="F87" s="305"/>
      <c r="G87" s="305"/>
      <c r="H87" s="305"/>
      <c r="I87" s="305"/>
      <c r="J87" s="305"/>
      <c r="K87" s="305"/>
      <c r="L87" s="305"/>
      <c r="M87" s="305"/>
      <c r="N87" s="305"/>
      <c r="O87" s="305"/>
      <c r="P87" s="305"/>
      <c r="Q87" s="305"/>
      <c r="R87" s="305"/>
      <c r="S87" s="305"/>
      <c r="T87" s="305"/>
      <c r="U87" s="305"/>
      <c r="V87" s="305"/>
      <c r="W87" s="305"/>
      <c r="X87" s="305"/>
      <c r="Y87" s="305"/>
      <c r="Z87" s="305"/>
      <c r="AA87" s="305"/>
      <c r="AB87" s="305"/>
      <c r="AC87" s="305"/>
      <c r="AD87" s="305"/>
      <c r="AE87" s="305"/>
      <c r="AF87" s="305"/>
      <c r="AG87" s="305"/>
      <c r="AH87" s="305"/>
      <c r="AI87" s="305"/>
      <c r="AJ87" s="305"/>
      <c r="AK87" s="305"/>
      <c r="AL87" s="305"/>
      <c r="AM87" s="305"/>
      <c r="AN87" s="305"/>
      <c r="AO87" s="305"/>
      <c r="AP87" s="305"/>
      <c r="AQ87" s="305"/>
      <c r="AR87" s="305"/>
      <c r="AS87" s="305"/>
      <c r="AT87" s="305"/>
      <c r="AU87" s="305"/>
      <c r="AV87" s="305"/>
    </row>
    <row r="88" spans="1:48" ht="14.25" customHeight="1" x14ac:dyDescent="0.2">
      <c r="A88" s="284">
        <v>79</v>
      </c>
      <c r="B88" s="285">
        <v>2.5000000000000001E-2</v>
      </c>
      <c r="C88" s="286">
        <v>8.5353028014871254E-2</v>
      </c>
      <c r="D88" s="287">
        <v>28.481963128022677</v>
      </c>
      <c r="E88" s="305"/>
      <c r="F88" s="305"/>
      <c r="G88" s="305"/>
      <c r="H88" s="305"/>
      <c r="I88" s="305"/>
      <c r="J88" s="305"/>
      <c r="K88" s="305"/>
      <c r="L88" s="305"/>
      <c r="M88" s="305"/>
      <c r="N88" s="305"/>
      <c r="O88" s="305"/>
      <c r="P88" s="305"/>
      <c r="Q88" s="305"/>
      <c r="R88" s="305"/>
      <c r="S88" s="305"/>
      <c r="T88" s="305"/>
      <c r="U88" s="305"/>
      <c r="V88" s="305"/>
      <c r="W88" s="305"/>
      <c r="X88" s="305"/>
      <c r="Y88" s="305"/>
      <c r="Z88" s="305"/>
      <c r="AA88" s="305"/>
      <c r="AB88" s="305"/>
      <c r="AC88" s="305"/>
      <c r="AD88" s="305"/>
      <c r="AE88" s="305"/>
      <c r="AF88" s="305"/>
      <c r="AG88" s="305"/>
      <c r="AH88" s="305"/>
      <c r="AI88" s="305"/>
      <c r="AJ88" s="305"/>
      <c r="AK88" s="305"/>
      <c r="AL88" s="305"/>
      <c r="AM88" s="305"/>
      <c r="AN88" s="305"/>
      <c r="AO88" s="305"/>
      <c r="AP88" s="305"/>
      <c r="AQ88" s="305"/>
      <c r="AR88" s="305"/>
      <c r="AS88" s="305"/>
      <c r="AT88" s="305"/>
      <c r="AU88" s="305"/>
      <c r="AV88" s="305"/>
    </row>
    <row r="89" spans="1:48" ht="14.25" customHeight="1" x14ac:dyDescent="0.2">
      <c r="A89" s="284">
        <v>80</v>
      </c>
      <c r="B89" s="285">
        <v>2.5000000000000001E-2</v>
      </c>
      <c r="C89" s="286">
        <v>8.3271246843776847E-2</v>
      </c>
      <c r="D89" s="287">
        <v>28.565234374866453</v>
      </c>
      <c r="E89" s="305"/>
      <c r="F89" s="305"/>
      <c r="G89" s="305"/>
      <c r="H89" s="305"/>
      <c r="I89" s="305"/>
      <c r="J89" s="305"/>
      <c r="K89" s="305"/>
      <c r="L89" s="305"/>
      <c r="M89" s="305"/>
      <c r="N89" s="305"/>
      <c r="O89" s="305"/>
      <c r="P89" s="305"/>
      <c r="Q89" s="305"/>
      <c r="R89" s="305"/>
      <c r="S89" s="305"/>
      <c r="T89" s="305"/>
      <c r="U89" s="305"/>
      <c r="V89" s="305"/>
      <c r="W89" s="305"/>
      <c r="X89" s="305"/>
      <c r="Y89" s="305"/>
      <c r="Z89" s="305"/>
      <c r="AA89" s="305"/>
      <c r="AB89" s="305"/>
      <c r="AC89" s="305"/>
      <c r="AD89" s="305"/>
      <c r="AE89" s="305"/>
      <c r="AF89" s="305"/>
      <c r="AG89" s="305"/>
      <c r="AH89" s="305"/>
      <c r="AI89" s="305"/>
      <c r="AJ89" s="305"/>
      <c r="AK89" s="305"/>
      <c r="AL89" s="305"/>
      <c r="AM89" s="305"/>
      <c r="AN89" s="305"/>
      <c r="AO89" s="305"/>
      <c r="AP89" s="305"/>
      <c r="AQ89" s="305"/>
      <c r="AR89" s="305"/>
      <c r="AS89" s="305"/>
      <c r="AT89" s="305"/>
      <c r="AU89" s="305"/>
      <c r="AV89" s="305"/>
    </row>
    <row r="90" spans="1:48" ht="14.25" customHeight="1" x14ac:dyDescent="0.2">
      <c r="A90" s="284">
        <v>81</v>
      </c>
      <c r="B90" s="285">
        <v>2.5000000000000001E-2</v>
      </c>
      <c r="C90" s="286">
        <v>8.1240240823196933E-2</v>
      </c>
      <c r="D90" s="287">
        <v>28.646474615689648</v>
      </c>
      <c r="E90" s="305"/>
      <c r="F90" s="305"/>
      <c r="G90" s="305"/>
      <c r="H90" s="305"/>
      <c r="I90" s="305"/>
      <c r="J90" s="305"/>
      <c r="K90" s="305"/>
      <c r="L90" s="305"/>
      <c r="M90" s="305"/>
      <c r="N90" s="305"/>
      <c r="O90" s="305"/>
      <c r="P90" s="305"/>
      <c r="Q90" s="305"/>
      <c r="R90" s="305"/>
      <c r="S90" s="305"/>
      <c r="T90" s="305"/>
      <c r="U90" s="305"/>
      <c r="V90" s="305"/>
      <c r="W90" s="305"/>
      <c r="X90" s="305"/>
      <c r="Y90" s="305"/>
      <c r="Z90" s="305"/>
      <c r="AA90" s="305"/>
      <c r="AB90" s="305"/>
      <c r="AC90" s="305"/>
      <c r="AD90" s="305"/>
      <c r="AE90" s="305"/>
      <c r="AF90" s="305"/>
      <c r="AG90" s="305"/>
      <c r="AH90" s="305"/>
      <c r="AI90" s="305"/>
      <c r="AJ90" s="305"/>
      <c r="AK90" s="305"/>
      <c r="AL90" s="305"/>
      <c r="AM90" s="305"/>
      <c r="AN90" s="305"/>
      <c r="AO90" s="305"/>
      <c r="AP90" s="305"/>
      <c r="AQ90" s="305"/>
      <c r="AR90" s="305"/>
      <c r="AS90" s="305"/>
      <c r="AT90" s="305"/>
      <c r="AU90" s="305"/>
      <c r="AV90" s="305"/>
    </row>
    <row r="91" spans="1:48" ht="14.25" customHeight="1" x14ac:dyDescent="0.2">
      <c r="A91" s="284">
        <v>82</v>
      </c>
      <c r="B91" s="285">
        <v>2.5000000000000001E-2</v>
      </c>
      <c r="C91" s="286">
        <v>7.9258771534826286E-2</v>
      </c>
      <c r="D91" s="287">
        <v>28.725733387224473</v>
      </c>
      <c r="E91" s="305"/>
      <c r="F91" s="305"/>
      <c r="G91" s="305"/>
      <c r="H91" s="305"/>
      <c r="I91" s="305"/>
      <c r="J91" s="305"/>
      <c r="K91" s="305"/>
      <c r="L91" s="305"/>
      <c r="M91" s="305"/>
      <c r="N91" s="305"/>
      <c r="O91" s="305"/>
      <c r="P91" s="305"/>
      <c r="Q91" s="305"/>
      <c r="R91" s="305"/>
      <c r="S91" s="305"/>
      <c r="T91" s="305"/>
      <c r="U91" s="305"/>
      <c r="V91" s="305"/>
      <c r="W91" s="305"/>
      <c r="X91" s="305"/>
      <c r="Y91" s="305"/>
      <c r="Z91" s="305"/>
      <c r="AA91" s="305"/>
      <c r="AB91" s="305"/>
      <c r="AC91" s="305"/>
      <c r="AD91" s="305"/>
      <c r="AE91" s="305"/>
      <c r="AF91" s="305"/>
      <c r="AG91" s="305"/>
      <c r="AH91" s="305"/>
      <c r="AI91" s="305"/>
      <c r="AJ91" s="305"/>
      <c r="AK91" s="305"/>
      <c r="AL91" s="305"/>
      <c r="AM91" s="305"/>
      <c r="AN91" s="305"/>
      <c r="AO91" s="305"/>
      <c r="AP91" s="305"/>
      <c r="AQ91" s="305"/>
      <c r="AR91" s="305"/>
      <c r="AS91" s="305"/>
      <c r="AT91" s="305"/>
      <c r="AU91" s="305"/>
      <c r="AV91" s="305"/>
    </row>
    <row r="92" spans="1:48" ht="14.25" customHeight="1" x14ac:dyDescent="0.2">
      <c r="A92" s="284">
        <v>83</v>
      </c>
      <c r="B92" s="285">
        <v>2.5000000000000001E-2</v>
      </c>
      <c r="C92" s="286">
        <v>7.7325630765684189E-2</v>
      </c>
      <c r="D92" s="287">
        <v>28.803059017990158</v>
      </c>
      <c r="E92" s="305"/>
      <c r="F92" s="305"/>
      <c r="G92" s="305"/>
      <c r="H92" s="305"/>
      <c r="I92" s="305"/>
      <c r="J92" s="305"/>
      <c r="K92" s="305"/>
      <c r="L92" s="305"/>
      <c r="M92" s="305"/>
      <c r="N92" s="305"/>
      <c r="O92" s="305"/>
      <c r="P92" s="305"/>
      <c r="Q92" s="305"/>
      <c r="R92" s="305"/>
      <c r="S92" s="305"/>
      <c r="T92" s="305"/>
      <c r="U92" s="305"/>
      <c r="V92" s="305"/>
      <c r="W92" s="305"/>
      <c r="X92" s="305"/>
      <c r="Y92" s="305"/>
      <c r="Z92" s="305"/>
      <c r="AA92" s="305"/>
      <c r="AB92" s="305"/>
      <c r="AC92" s="305"/>
      <c r="AD92" s="305"/>
      <c r="AE92" s="305"/>
      <c r="AF92" s="305"/>
      <c r="AG92" s="305"/>
      <c r="AH92" s="305"/>
      <c r="AI92" s="305"/>
      <c r="AJ92" s="305"/>
      <c r="AK92" s="305"/>
      <c r="AL92" s="305"/>
      <c r="AM92" s="305"/>
      <c r="AN92" s="305"/>
      <c r="AO92" s="305"/>
      <c r="AP92" s="305"/>
      <c r="AQ92" s="305"/>
      <c r="AR92" s="305"/>
      <c r="AS92" s="305"/>
      <c r="AT92" s="305"/>
      <c r="AU92" s="305"/>
      <c r="AV92" s="305"/>
    </row>
    <row r="93" spans="1:48" ht="14.25" customHeight="1" x14ac:dyDescent="0.2">
      <c r="A93" s="284">
        <v>84</v>
      </c>
      <c r="B93" s="285">
        <v>2.5000000000000001E-2</v>
      </c>
      <c r="C93" s="286">
        <v>7.5439639771399211E-2</v>
      </c>
      <c r="D93" s="287">
        <v>28.878498657761558</v>
      </c>
      <c r="E93" s="305"/>
      <c r="F93" s="305"/>
      <c r="G93" s="305"/>
      <c r="H93" s="305"/>
      <c r="I93" s="305"/>
      <c r="J93" s="305"/>
      <c r="K93" s="305"/>
      <c r="L93" s="305"/>
      <c r="M93" s="305"/>
      <c r="N93" s="305"/>
      <c r="O93" s="305"/>
      <c r="P93" s="305"/>
      <c r="Q93" s="305"/>
      <c r="R93" s="305"/>
      <c r="S93" s="305"/>
      <c r="T93" s="305"/>
      <c r="U93" s="305"/>
      <c r="V93" s="305"/>
      <c r="W93" s="305"/>
      <c r="X93" s="305"/>
      <c r="Y93" s="305"/>
      <c r="Z93" s="305"/>
      <c r="AA93" s="305"/>
      <c r="AB93" s="305"/>
      <c r="AC93" s="305"/>
      <c r="AD93" s="305"/>
      <c r="AE93" s="305"/>
      <c r="AF93" s="305"/>
      <c r="AG93" s="305"/>
      <c r="AH93" s="305"/>
      <c r="AI93" s="305"/>
      <c r="AJ93" s="305"/>
      <c r="AK93" s="305"/>
      <c r="AL93" s="305"/>
      <c r="AM93" s="305"/>
      <c r="AN93" s="305"/>
      <c r="AO93" s="305"/>
      <c r="AP93" s="305"/>
      <c r="AQ93" s="305"/>
      <c r="AR93" s="305"/>
      <c r="AS93" s="305"/>
      <c r="AT93" s="305"/>
      <c r="AU93" s="305"/>
      <c r="AV93" s="305"/>
    </row>
    <row r="94" spans="1:48" ht="14.25" customHeight="1" x14ac:dyDescent="0.2">
      <c r="A94" s="284">
        <v>85</v>
      </c>
      <c r="B94" s="285">
        <v>2.5000000000000001E-2</v>
      </c>
      <c r="C94" s="286">
        <v>7.3599648557462649E-2</v>
      </c>
      <c r="D94" s="287">
        <v>28.952098306319019</v>
      </c>
      <c r="E94" s="305"/>
      <c r="F94" s="305"/>
      <c r="G94" s="305"/>
      <c r="H94" s="305"/>
      <c r="I94" s="305"/>
      <c r="J94" s="305"/>
      <c r="K94" s="305"/>
      <c r="L94" s="305"/>
      <c r="M94" s="305"/>
      <c r="N94" s="305"/>
      <c r="O94" s="305"/>
      <c r="P94" s="305"/>
      <c r="Q94" s="305"/>
      <c r="R94" s="305"/>
      <c r="S94" s="305"/>
      <c r="T94" s="305"/>
      <c r="U94" s="305"/>
      <c r="V94" s="305"/>
      <c r="W94" s="305"/>
      <c r="X94" s="305"/>
      <c r="Y94" s="305"/>
      <c r="Z94" s="305"/>
      <c r="AA94" s="305"/>
      <c r="AB94" s="305"/>
      <c r="AC94" s="305"/>
      <c r="AD94" s="305"/>
      <c r="AE94" s="305"/>
      <c r="AF94" s="305"/>
      <c r="AG94" s="305"/>
      <c r="AH94" s="305"/>
      <c r="AI94" s="305"/>
      <c r="AJ94" s="305"/>
      <c r="AK94" s="305"/>
      <c r="AL94" s="305"/>
      <c r="AM94" s="305"/>
      <c r="AN94" s="305"/>
      <c r="AO94" s="305"/>
      <c r="AP94" s="305"/>
      <c r="AQ94" s="305"/>
      <c r="AR94" s="305"/>
      <c r="AS94" s="305"/>
      <c r="AT94" s="305"/>
      <c r="AU94" s="305"/>
      <c r="AV94" s="305"/>
    </row>
    <row r="95" spans="1:48" ht="14.25" customHeight="1" x14ac:dyDescent="0.2">
      <c r="A95" s="284">
        <v>86</v>
      </c>
      <c r="B95" s="285">
        <v>2.5000000000000001E-2</v>
      </c>
      <c r="C95" s="286">
        <v>7.1804535178012344E-2</v>
      </c>
      <c r="D95" s="287">
        <v>29.023902841497033</v>
      </c>
      <c r="E95" s="305"/>
      <c r="F95" s="305"/>
      <c r="G95" s="305"/>
      <c r="H95" s="305"/>
      <c r="I95" s="305"/>
      <c r="J95" s="305"/>
      <c r="K95" s="305"/>
      <c r="L95" s="305"/>
      <c r="M95" s="305"/>
      <c r="N95" s="305"/>
      <c r="O95" s="305"/>
      <c r="P95" s="305"/>
      <c r="Q95" s="305"/>
      <c r="R95" s="305"/>
      <c r="S95" s="305"/>
      <c r="T95" s="305"/>
      <c r="U95" s="305"/>
      <c r="V95" s="305"/>
      <c r="W95" s="305"/>
      <c r="X95" s="305"/>
      <c r="Y95" s="305"/>
      <c r="Z95" s="305"/>
      <c r="AA95" s="305"/>
      <c r="AB95" s="305"/>
      <c r="AC95" s="305"/>
      <c r="AD95" s="305"/>
      <c r="AE95" s="305"/>
      <c r="AF95" s="305"/>
      <c r="AG95" s="305"/>
      <c r="AH95" s="305"/>
      <c r="AI95" s="305"/>
      <c r="AJ95" s="305"/>
      <c r="AK95" s="305"/>
      <c r="AL95" s="305"/>
      <c r="AM95" s="305"/>
      <c r="AN95" s="305"/>
      <c r="AO95" s="305"/>
      <c r="AP95" s="305"/>
      <c r="AQ95" s="305"/>
      <c r="AR95" s="305"/>
      <c r="AS95" s="305"/>
      <c r="AT95" s="305"/>
      <c r="AU95" s="305"/>
      <c r="AV95" s="305"/>
    </row>
    <row r="96" spans="1:48" ht="14.25" customHeight="1" x14ac:dyDescent="0.2">
      <c r="A96" s="284">
        <v>87</v>
      </c>
      <c r="B96" s="285">
        <v>2.5000000000000001E-2</v>
      </c>
      <c r="C96" s="286">
        <v>7.0053205051719372E-2</v>
      </c>
      <c r="D96" s="287">
        <v>29.093956046548755</v>
      </c>
      <c r="E96" s="305"/>
      <c r="F96" s="305"/>
      <c r="G96" s="305"/>
      <c r="H96" s="305"/>
      <c r="I96" s="305"/>
      <c r="J96" s="305"/>
      <c r="K96" s="305"/>
      <c r="L96" s="305"/>
      <c r="M96" s="305"/>
      <c r="N96" s="305"/>
      <c r="O96" s="305"/>
      <c r="P96" s="305"/>
      <c r="Q96" s="305"/>
      <c r="R96" s="305"/>
      <c r="S96" s="305"/>
      <c r="T96" s="305"/>
      <c r="U96" s="305"/>
      <c r="V96" s="305"/>
      <c r="W96" s="305"/>
      <c r="X96" s="305"/>
      <c r="Y96" s="305"/>
      <c r="Z96" s="305"/>
      <c r="AA96" s="305"/>
      <c r="AB96" s="305"/>
      <c r="AC96" s="305"/>
      <c r="AD96" s="305"/>
      <c r="AE96" s="305"/>
      <c r="AF96" s="305"/>
      <c r="AG96" s="305"/>
      <c r="AH96" s="305"/>
      <c r="AI96" s="305"/>
      <c r="AJ96" s="305"/>
      <c r="AK96" s="305"/>
      <c r="AL96" s="305"/>
      <c r="AM96" s="305"/>
      <c r="AN96" s="305"/>
      <c r="AO96" s="305"/>
      <c r="AP96" s="305"/>
      <c r="AQ96" s="305"/>
      <c r="AR96" s="305"/>
      <c r="AS96" s="305"/>
      <c r="AT96" s="305"/>
      <c r="AU96" s="305"/>
      <c r="AV96" s="305"/>
    </row>
    <row r="97" spans="1:48" ht="14.25" customHeight="1" x14ac:dyDescent="0.2">
      <c r="A97" s="284">
        <v>88</v>
      </c>
      <c r="B97" s="285">
        <v>2.5000000000000001E-2</v>
      </c>
      <c r="C97" s="286">
        <v>6.8344590294360366E-2</v>
      </c>
      <c r="D97" s="287">
        <v>29.162300636843113</v>
      </c>
      <c r="E97" s="305"/>
      <c r="F97" s="305"/>
      <c r="G97" s="305"/>
      <c r="H97" s="305"/>
      <c r="I97" s="305"/>
      <c r="J97" s="305"/>
      <c r="K97" s="305"/>
      <c r="L97" s="305"/>
      <c r="M97" s="305"/>
      <c r="N97" s="305"/>
      <c r="O97" s="305"/>
      <c r="P97" s="305"/>
      <c r="Q97" s="305"/>
      <c r="R97" s="305"/>
      <c r="S97" s="305"/>
      <c r="T97" s="305"/>
      <c r="U97" s="305"/>
      <c r="V97" s="305"/>
      <c r="W97" s="305"/>
      <c r="X97" s="305"/>
      <c r="Y97" s="305"/>
      <c r="Z97" s="305"/>
      <c r="AA97" s="305"/>
      <c r="AB97" s="305"/>
      <c r="AC97" s="305"/>
      <c r="AD97" s="305"/>
      <c r="AE97" s="305"/>
      <c r="AF97" s="305"/>
      <c r="AG97" s="305"/>
      <c r="AH97" s="305"/>
      <c r="AI97" s="305"/>
      <c r="AJ97" s="305"/>
      <c r="AK97" s="305"/>
      <c r="AL97" s="305"/>
      <c r="AM97" s="305"/>
      <c r="AN97" s="305"/>
      <c r="AO97" s="305"/>
      <c r="AP97" s="305"/>
      <c r="AQ97" s="305"/>
      <c r="AR97" s="305"/>
      <c r="AS97" s="305"/>
      <c r="AT97" s="305"/>
      <c r="AU97" s="305"/>
      <c r="AV97" s="305"/>
    </row>
    <row r="98" spans="1:48" ht="14.25" customHeight="1" x14ac:dyDescent="0.2">
      <c r="A98" s="284">
        <v>89</v>
      </c>
      <c r="B98" s="285">
        <v>2.5000000000000001E-2</v>
      </c>
      <c r="C98" s="286">
        <v>6.6677649067668654E-2</v>
      </c>
      <c r="D98" s="287">
        <v>29.228978285910781</v>
      </c>
      <c r="E98" s="305"/>
      <c r="F98" s="305"/>
      <c r="G98" s="305"/>
      <c r="H98" s="305"/>
      <c r="I98" s="305"/>
      <c r="J98" s="305"/>
      <c r="K98" s="305"/>
      <c r="L98" s="305"/>
      <c r="M98" s="305"/>
      <c r="N98" s="305"/>
      <c r="O98" s="305"/>
      <c r="P98" s="305"/>
      <c r="Q98" s="305"/>
      <c r="R98" s="305"/>
      <c r="S98" s="305"/>
      <c r="T98" s="305"/>
      <c r="U98" s="305"/>
      <c r="V98" s="305"/>
      <c r="W98" s="305"/>
      <c r="X98" s="305"/>
      <c r="Y98" s="305"/>
      <c r="Z98" s="305"/>
      <c r="AA98" s="305"/>
      <c r="AB98" s="305"/>
      <c r="AC98" s="305"/>
      <c r="AD98" s="305"/>
      <c r="AE98" s="305"/>
      <c r="AF98" s="305"/>
      <c r="AG98" s="305"/>
      <c r="AH98" s="305"/>
      <c r="AI98" s="305"/>
      <c r="AJ98" s="305"/>
      <c r="AK98" s="305"/>
      <c r="AL98" s="305"/>
      <c r="AM98" s="305"/>
      <c r="AN98" s="305"/>
      <c r="AO98" s="305"/>
      <c r="AP98" s="305"/>
      <c r="AQ98" s="305"/>
      <c r="AR98" s="305"/>
      <c r="AS98" s="305"/>
      <c r="AT98" s="305"/>
      <c r="AU98" s="305"/>
      <c r="AV98" s="305"/>
    </row>
    <row r="99" spans="1:48" ht="14.25" customHeight="1" x14ac:dyDescent="0.2">
      <c r="A99" s="284">
        <v>90</v>
      </c>
      <c r="B99" s="285">
        <v>2.5000000000000001E-2</v>
      </c>
      <c r="C99" s="286">
        <v>6.5051364944066992E-2</v>
      </c>
      <c r="D99" s="287">
        <v>29.294029650854849</v>
      </c>
      <c r="E99" s="305"/>
      <c r="F99" s="305"/>
      <c r="G99" s="305"/>
      <c r="H99" s="305"/>
      <c r="I99" s="305"/>
      <c r="J99" s="305"/>
      <c r="K99" s="305"/>
      <c r="L99" s="305"/>
      <c r="M99" s="305"/>
      <c r="N99" s="305"/>
      <c r="O99" s="305"/>
      <c r="P99" s="305"/>
      <c r="Q99" s="305"/>
      <c r="R99" s="305"/>
      <c r="S99" s="305"/>
      <c r="T99" s="305"/>
      <c r="U99" s="305"/>
      <c r="V99" s="305"/>
      <c r="W99" s="305"/>
      <c r="X99" s="305"/>
      <c r="Y99" s="305"/>
      <c r="Z99" s="305"/>
      <c r="AA99" s="305"/>
      <c r="AB99" s="305"/>
      <c r="AC99" s="305"/>
      <c r="AD99" s="305"/>
      <c r="AE99" s="305"/>
      <c r="AF99" s="305"/>
      <c r="AG99" s="305"/>
      <c r="AH99" s="305"/>
      <c r="AI99" s="305"/>
      <c r="AJ99" s="305"/>
      <c r="AK99" s="305"/>
      <c r="AL99" s="305"/>
      <c r="AM99" s="305"/>
      <c r="AN99" s="305"/>
      <c r="AO99" s="305"/>
      <c r="AP99" s="305"/>
      <c r="AQ99" s="305"/>
      <c r="AR99" s="305"/>
      <c r="AS99" s="305"/>
      <c r="AT99" s="305"/>
      <c r="AU99" s="305"/>
      <c r="AV99" s="305"/>
    </row>
    <row r="100" spans="1:48" ht="14.25" customHeight="1" x14ac:dyDescent="0.2">
      <c r="A100" s="284">
        <v>91</v>
      </c>
      <c r="B100" s="285">
        <v>2.5000000000000001E-2</v>
      </c>
      <c r="C100" s="286">
        <v>6.3464746286894635E-2</v>
      </c>
      <c r="D100" s="287">
        <v>29.357494397141743</v>
      </c>
      <c r="E100" s="305"/>
      <c r="F100" s="305"/>
      <c r="G100" s="305"/>
      <c r="H100" s="305"/>
      <c r="I100" s="305"/>
      <c r="J100" s="305"/>
      <c r="K100" s="305"/>
      <c r="L100" s="305"/>
      <c r="M100" s="305"/>
      <c r="N100" s="305"/>
      <c r="O100" s="305"/>
      <c r="P100" s="305"/>
      <c r="Q100" s="305"/>
      <c r="R100" s="305"/>
      <c r="S100" s="305"/>
      <c r="T100" s="305"/>
      <c r="U100" s="305"/>
      <c r="V100" s="305"/>
      <c r="W100" s="305"/>
      <c r="X100" s="305"/>
      <c r="Y100" s="305"/>
      <c r="Z100" s="305"/>
      <c r="AA100" s="305"/>
      <c r="AB100" s="305"/>
      <c r="AC100" s="305"/>
      <c r="AD100" s="305"/>
      <c r="AE100" s="305"/>
      <c r="AF100" s="305"/>
      <c r="AG100" s="305"/>
      <c r="AH100" s="305"/>
      <c r="AI100" s="305"/>
      <c r="AJ100" s="305"/>
      <c r="AK100" s="305"/>
      <c r="AL100" s="305"/>
      <c r="AM100" s="305"/>
      <c r="AN100" s="305"/>
      <c r="AO100" s="305"/>
      <c r="AP100" s="305"/>
      <c r="AQ100" s="305"/>
      <c r="AR100" s="305"/>
      <c r="AS100" s="305"/>
      <c r="AT100" s="305"/>
      <c r="AU100" s="305"/>
      <c r="AV100" s="305"/>
    </row>
    <row r="101" spans="1:48" ht="14.25" customHeight="1" x14ac:dyDescent="0.2">
      <c r="A101" s="284">
        <v>92</v>
      </c>
      <c r="B101" s="285">
        <v>2.5000000000000001E-2</v>
      </c>
      <c r="C101" s="286">
        <v>6.1916825645750871E-2</v>
      </c>
      <c r="D101" s="287">
        <v>29.419411222787492</v>
      </c>
      <c r="E101" s="305"/>
      <c r="F101" s="305"/>
      <c r="G101" s="305"/>
      <c r="H101" s="305"/>
      <c r="I101" s="305"/>
      <c r="J101" s="305"/>
      <c r="K101" s="305"/>
      <c r="L101" s="305"/>
      <c r="M101" s="305"/>
      <c r="N101" s="305"/>
      <c r="O101" s="305"/>
      <c r="P101" s="305"/>
      <c r="Q101" s="305"/>
      <c r="R101" s="305"/>
      <c r="S101" s="305"/>
      <c r="T101" s="305"/>
      <c r="U101" s="305"/>
      <c r="V101" s="305"/>
      <c r="W101" s="305"/>
      <c r="X101" s="305"/>
      <c r="Y101" s="305"/>
      <c r="Z101" s="305"/>
      <c r="AA101" s="305"/>
      <c r="AB101" s="305"/>
      <c r="AC101" s="305"/>
      <c r="AD101" s="305"/>
      <c r="AE101" s="305"/>
      <c r="AF101" s="305"/>
      <c r="AG101" s="305"/>
      <c r="AH101" s="305"/>
      <c r="AI101" s="305"/>
      <c r="AJ101" s="305"/>
      <c r="AK101" s="305"/>
      <c r="AL101" s="305"/>
      <c r="AM101" s="305"/>
      <c r="AN101" s="305"/>
      <c r="AO101" s="305"/>
      <c r="AP101" s="305"/>
      <c r="AQ101" s="305"/>
      <c r="AR101" s="305"/>
      <c r="AS101" s="305"/>
      <c r="AT101" s="305"/>
      <c r="AU101" s="305"/>
      <c r="AV101" s="305"/>
    </row>
    <row r="102" spans="1:48" ht="14.25" customHeight="1" x14ac:dyDescent="0.2">
      <c r="A102" s="284">
        <v>93</v>
      </c>
      <c r="B102" s="285">
        <v>2.5000000000000001E-2</v>
      </c>
      <c r="C102" s="286">
        <v>6.0406659166586218E-2</v>
      </c>
      <c r="D102" s="287">
        <v>29.479817881954077</v>
      </c>
      <c r="E102" s="305"/>
      <c r="F102" s="305"/>
      <c r="G102" s="305"/>
      <c r="H102" s="305"/>
      <c r="I102" s="305"/>
      <c r="J102" s="305"/>
      <c r="K102" s="305"/>
      <c r="L102" s="305"/>
      <c r="M102" s="305"/>
      <c r="N102" s="305"/>
      <c r="O102" s="305"/>
      <c r="P102" s="305"/>
      <c r="Q102" s="305"/>
      <c r="R102" s="305"/>
      <c r="S102" s="305"/>
      <c r="T102" s="305"/>
      <c r="U102" s="305"/>
      <c r="V102" s="305"/>
      <c r="W102" s="305"/>
      <c r="X102" s="305"/>
      <c r="Y102" s="305"/>
      <c r="Z102" s="305"/>
      <c r="AA102" s="305"/>
      <c r="AB102" s="305"/>
      <c r="AC102" s="305"/>
      <c r="AD102" s="305"/>
      <c r="AE102" s="305"/>
      <c r="AF102" s="305"/>
      <c r="AG102" s="305"/>
      <c r="AH102" s="305"/>
      <c r="AI102" s="305"/>
      <c r="AJ102" s="305"/>
      <c r="AK102" s="305"/>
      <c r="AL102" s="305"/>
      <c r="AM102" s="305"/>
      <c r="AN102" s="305"/>
      <c r="AO102" s="305"/>
      <c r="AP102" s="305"/>
      <c r="AQ102" s="305"/>
      <c r="AR102" s="305"/>
      <c r="AS102" s="305"/>
      <c r="AT102" s="305"/>
      <c r="AU102" s="305"/>
      <c r="AV102" s="305"/>
    </row>
    <row r="103" spans="1:48" ht="14.25" customHeight="1" x14ac:dyDescent="0.2">
      <c r="A103" s="284">
        <v>94</v>
      </c>
      <c r="B103" s="285">
        <v>2.5000000000000001E-2</v>
      </c>
      <c r="C103" s="286">
        <v>5.8933326016181682E-2</v>
      </c>
      <c r="D103" s="287">
        <v>29.538751207970257</v>
      </c>
      <c r="E103" s="305"/>
      <c r="F103" s="305"/>
      <c r="G103" s="305"/>
      <c r="H103" s="305"/>
      <c r="I103" s="305"/>
      <c r="J103" s="305"/>
      <c r="K103" s="305"/>
      <c r="L103" s="305"/>
      <c r="M103" s="305"/>
      <c r="N103" s="305"/>
      <c r="O103" s="305"/>
      <c r="P103" s="305"/>
      <c r="Q103" s="305"/>
      <c r="R103" s="305"/>
      <c r="S103" s="305"/>
      <c r="T103" s="305"/>
      <c r="U103" s="305"/>
      <c r="V103" s="305"/>
      <c r="W103" s="305"/>
      <c r="X103" s="305"/>
      <c r="Y103" s="305"/>
      <c r="Z103" s="305"/>
      <c r="AA103" s="305"/>
      <c r="AB103" s="305"/>
      <c r="AC103" s="305"/>
      <c r="AD103" s="305"/>
      <c r="AE103" s="305"/>
      <c r="AF103" s="305"/>
      <c r="AG103" s="305"/>
      <c r="AH103" s="305"/>
      <c r="AI103" s="305"/>
      <c r="AJ103" s="305"/>
      <c r="AK103" s="305"/>
      <c r="AL103" s="305"/>
      <c r="AM103" s="305"/>
      <c r="AN103" s="305"/>
      <c r="AO103" s="305"/>
      <c r="AP103" s="305"/>
      <c r="AQ103" s="305"/>
      <c r="AR103" s="305"/>
      <c r="AS103" s="305"/>
      <c r="AT103" s="305"/>
      <c r="AU103" s="305"/>
      <c r="AV103" s="305"/>
    </row>
    <row r="104" spans="1:48" ht="14.25" customHeight="1" x14ac:dyDescent="0.2">
      <c r="A104" s="284">
        <v>95</v>
      </c>
      <c r="B104" s="285">
        <v>2.5000000000000001E-2</v>
      </c>
      <c r="C104" s="286">
        <v>5.7495927820665059E-2</v>
      </c>
      <c r="D104" s="287">
        <v>29.596247135790922</v>
      </c>
      <c r="E104" s="305"/>
      <c r="F104" s="305"/>
      <c r="G104" s="305"/>
      <c r="H104" s="305"/>
      <c r="I104" s="305"/>
      <c r="J104" s="305"/>
      <c r="K104" s="305"/>
      <c r="L104" s="305"/>
      <c r="M104" s="305"/>
      <c r="N104" s="305"/>
      <c r="O104" s="305"/>
      <c r="P104" s="305"/>
      <c r="Q104" s="305"/>
      <c r="R104" s="305"/>
      <c r="S104" s="305"/>
      <c r="T104" s="305"/>
      <c r="U104" s="305"/>
      <c r="V104" s="305"/>
      <c r="W104" s="305"/>
      <c r="X104" s="305"/>
      <c r="Y104" s="305"/>
      <c r="Z104" s="305"/>
      <c r="AA104" s="305"/>
      <c r="AB104" s="305"/>
      <c r="AC104" s="305"/>
      <c r="AD104" s="305"/>
      <c r="AE104" s="305"/>
      <c r="AF104" s="305"/>
      <c r="AG104" s="305"/>
      <c r="AH104" s="305"/>
      <c r="AI104" s="305"/>
      <c r="AJ104" s="305"/>
      <c r="AK104" s="305"/>
      <c r="AL104" s="305"/>
      <c r="AM104" s="305"/>
      <c r="AN104" s="305"/>
      <c r="AO104" s="305"/>
      <c r="AP104" s="305"/>
      <c r="AQ104" s="305"/>
      <c r="AR104" s="305"/>
      <c r="AS104" s="305"/>
      <c r="AT104" s="305"/>
      <c r="AU104" s="305"/>
      <c r="AV104" s="305"/>
    </row>
    <row r="105" spans="1:48" ht="14.25" customHeight="1" x14ac:dyDescent="0.2">
      <c r="A105" s="284">
        <v>96</v>
      </c>
      <c r="B105" s="285">
        <v>2.5000000000000001E-2</v>
      </c>
      <c r="C105" s="286">
        <v>5.6093588117722012E-2</v>
      </c>
      <c r="D105" s="287">
        <v>29.652340723908644</v>
      </c>
      <c r="E105" s="305"/>
      <c r="F105" s="305"/>
      <c r="G105" s="305"/>
      <c r="H105" s="305"/>
      <c r="I105" s="305"/>
      <c r="J105" s="305"/>
      <c r="K105" s="305"/>
      <c r="L105" s="305"/>
      <c r="M105" s="305"/>
      <c r="N105" s="305"/>
      <c r="O105" s="305"/>
      <c r="P105" s="305"/>
      <c r="Q105" s="305"/>
      <c r="R105" s="305"/>
      <c r="S105" s="305"/>
      <c r="T105" s="305"/>
      <c r="U105" s="305"/>
      <c r="V105" s="305"/>
      <c r="W105" s="305"/>
      <c r="X105" s="305"/>
      <c r="Y105" s="305"/>
      <c r="Z105" s="305"/>
      <c r="AA105" s="305"/>
      <c r="AB105" s="305"/>
      <c r="AC105" s="305"/>
      <c r="AD105" s="305"/>
      <c r="AE105" s="305"/>
      <c r="AF105" s="305"/>
      <c r="AG105" s="305"/>
      <c r="AH105" s="305"/>
      <c r="AI105" s="305"/>
      <c r="AJ105" s="305"/>
      <c r="AK105" s="305"/>
      <c r="AL105" s="305"/>
      <c r="AM105" s="305"/>
      <c r="AN105" s="305"/>
      <c r="AO105" s="305"/>
      <c r="AP105" s="305"/>
      <c r="AQ105" s="305"/>
      <c r="AR105" s="305"/>
      <c r="AS105" s="305"/>
      <c r="AT105" s="305"/>
      <c r="AU105" s="305"/>
      <c r="AV105" s="305"/>
    </row>
    <row r="106" spans="1:48" ht="14.25" customHeight="1" x14ac:dyDescent="0.2">
      <c r="A106" s="284">
        <v>97</v>
      </c>
      <c r="B106" s="285">
        <v>2.5000000000000001E-2</v>
      </c>
      <c r="C106" s="286">
        <v>5.4725451822167821E-2</v>
      </c>
      <c r="D106" s="287">
        <v>29.707066175730812</v>
      </c>
      <c r="E106" s="305"/>
      <c r="F106" s="305"/>
      <c r="G106" s="305"/>
      <c r="H106" s="305"/>
      <c r="I106" s="305"/>
      <c r="J106" s="305"/>
      <c r="K106" s="305"/>
      <c r="L106" s="305"/>
      <c r="M106" s="305"/>
      <c r="N106" s="305"/>
      <c r="O106" s="305"/>
      <c r="P106" s="305"/>
      <c r="Q106" s="305"/>
      <c r="R106" s="305"/>
      <c r="S106" s="305"/>
      <c r="T106" s="305"/>
      <c r="U106" s="305"/>
      <c r="V106" s="305"/>
      <c r="W106" s="305"/>
      <c r="X106" s="305"/>
      <c r="Y106" s="305"/>
      <c r="Z106" s="305"/>
      <c r="AA106" s="305"/>
      <c r="AB106" s="305"/>
      <c r="AC106" s="305"/>
      <c r="AD106" s="305"/>
      <c r="AE106" s="305"/>
      <c r="AF106" s="305"/>
      <c r="AG106" s="305"/>
      <c r="AH106" s="305"/>
      <c r="AI106" s="305"/>
      <c r="AJ106" s="305"/>
      <c r="AK106" s="305"/>
      <c r="AL106" s="305"/>
      <c r="AM106" s="305"/>
      <c r="AN106" s="305"/>
      <c r="AO106" s="305"/>
      <c r="AP106" s="305"/>
      <c r="AQ106" s="305"/>
      <c r="AR106" s="305"/>
      <c r="AS106" s="305"/>
      <c r="AT106" s="305"/>
      <c r="AU106" s="305"/>
      <c r="AV106" s="305"/>
    </row>
    <row r="107" spans="1:48" ht="14.25" customHeight="1" x14ac:dyDescent="0.2">
      <c r="A107" s="284">
        <v>98</v>
      </c>
      <c r="B107" s="285">
        <v>2.5000000000000001E-2</v>
      </c>
      <c r="C107" s="286">
        <v>5.3390684704553978E-2</v>
      </c>
      <c r="D107" s="287">
        <v>29.760456860435365</v>
      </c>
      <c r="E107" s="305"/>
      <c r="F107" s="305"/>
      <c r="G107" s="305"/>
      <c r="H107" s="305"/>
      <c r="I107" s="305"/>
      <c r="J107" s="305"/>
      <c r="K107" s="305"/>
      <c r="L107" s="305"/>
      <c r="M107" s="305"/>
      <c r="N107" s="305"/>
      <c r="O107" s="305"/>
      <c r="P107" s="305"/>
      <c r="Q107" s="305"/>
      <c r="R107" s="305"/>
      <c r="S107" s="305"/>
      <c r="T107" s="305"/>
      <c r="U107" s="305"/>
      <c r="V107" s="305"/>
      <c r="W107" s="305"/>
      <c r="X107" s="305"/>
      <c r="Y107" s="305"/>
      <c r="Z107" s="305"/>
      <c r="AA107" s="305"/>
      <c r="AB107" s="305"/>
      <c r="AC107" s="305"/>
      <c r="AD107" s="305"/>
      <c r="AE107" s="305"/>
      <c r="AF107" s="305"/>
      <c r="AG107" s="305"/>
      <c r="AH107" s="305"/>
      <c r="AI107" s="305"/>
      <c r="AJ107" s="305"/>
      <c r="AK107" s="305"/>
      <c r="AL107" s="305"/>
      <c r="AM107" s="305"/>
      <c r="AN107" s="305"/>
      <c r="AO107" s="305"/>
      <c r="AP107" s="305"/>
      <c r="AQ107" s="305"/>
      <c r="AR107" s="305"/>
      <c r="AS107" s="305"/>
      <c r="AT107" s="305"/>
      <c r="AU107" s="305"/>
      <c r="AV107" s="305"/>
    </row>
    <row r="108" spans="1:48" ht="14.25" customHeight="1" x14ac:dyDescent="0.2">
      <c r="A108" s="284">
        <v>99</v>
      </c>
      <c r="B108" s="285">
        <v>2.5000000000000001E-2</v>
      </c>
      <c r="C108" s="286">
        <v>5.2088472882491688E-2</v>
      </c>
      <c r="D108" s="287">
        <v>29.812545333317857</v>
      </c>
      <c r="E108" s="305"/>
      <c r="F108" s="305"/>
      <c r="G108" s="305"/>
      <c r="H108" s="305"/>
      <c r="I108" s="305"/>
      <c r="J108" s="305"/>
      <c r="K108" s="305"/>
      <c r="L108" s="305"/>
      <c r="M108" s="305"/>
      <c r="N108" s="305"/>
      <c r="O108" s="305"/>
      <c r="P108" s="305"/>
      <c r="Q108" s="305"/>
      <c r="R108" s="305"/>
      <c r="S108" s="305"/>
      <c r="T108" s="305"/>
      <c r="U108" s="305"/>
      <c r="V108" s="305"/>
      <c r="W108" s="305"/>
      <c r="X108" s="305"/>
      <c r="Y108" s="305"/>
      <c r="Z108" s="305"/>
      <c r="AA108" s="305"/>
      <c r="AB108" s="305"/>
      <c r="AC108" s="305"/>
      <c r="AD108" s="305"/>
      <c r="AE108" s="305"/>
      <c r="AF108" s="305"/>
      <c r="AG108" s="305"/>
      <c r="AH108" s="305"/>
      <c r="AI108" s="305"/>
      <c r="AJ108" s="305"/>
      <c r="AK108" s="305"/>
      <c r="AL108" s="305"/>
      <c r="AM108" s="305"/>
      <c r="AN108" s="305"/>
      <c r="AO108" s="305"/>
      <c r="AP108" s="305"/>
      <c r="AQ108" s="305"/>
      <c r="AR108" s="305"/>
      <c r="AS108" s="305"/>
      <c r="AT108" s="305"/>
      <c r="AU108" s="305"/>
      <c r="AV108" s="305"/>
    </row>
    <row r="109" spans="1:48" ht="14.25" customHeight="1" thickBot="1" x14ac:dyDescent="0.25">
      <c r="A109" s="292">
        <v>100</v>
      </c>
      <c r="B109" s="293">
        <v>2.5000000000000001E-2</v>
      </c>
      <c r="C109" s="294">
        <v>5.0818022324382137E-2</v>
      </c>
      <c r="D109" s="295">
        <v>29.863363355642239</v>
      </c>
      <c r="E109" s="305"/>
      <c r="F109" s="305"/>
      <c r="G109" s="305"/>
      <c r="H109" s="305"/>
      <c r="I109" s="305"/>
      <c r="J109" s="305"/>
      <c r="K109" s="305"/>
      <c r="L109" s="305"/>
      <c r="M109" s="305"/>
      <c r="N109" s="305"/>
      <c r="O109" s="305"/>
      <c r="P109" s="305"/>
      <c r="Q109" s="305"/>
      <c r="R109" s="305"/>
      <c r="S109" s="305"/>
      <c r="T109" s="305"/>
      <c r="U109" s="305"/>
      <c r="V109" s="305"/>
      <c r="W109" s="305"/>
      <c r="X109" s="305"/>
      <c r="Y109" s="305"/>
      <c r="Z109" s="305"/>
      <c r="AA109" s="305"/>
      <c r="AB109" s="305"/>
      <c r="AC109" s="305"/>
      <c r="AD109" s="305"/>
      <c r="AE109" s="305"/>
      <c r="AF109" s="305"/>
      <c r="AG109" s="305"/>
      <c r="AH109" s="305"/>
      <c r="AI109" s="305"/>
      <c r="AJ109" s="305"/>
      <c r="AK109" s="305"/>
      <c r="AL109" s="305"/>
      <c r="AM109" s="305"/>
      <c r="AN109" s="305"/>
      <c r="AO109" s="305"/>
      <c r="AP109" s="305"/>
      <c r="AQ109" s="305"/>
      <c r="AR109" s="305"/>
      <c r="AS109" s="305"/>
      <c r="AT109" s="305"/>
      <c r="AU109" s="305"/>
      <c r="AV109" s="305"/>
    </row>
    <row r="110" spans="1:48" ht="14.25" customHeight="1" x14ac:dyDescent="0.2"/>
    <row r="111" spans="1:48" ht="14.25" customHeight="1" x14ac:dyDescent="0.2"/>
    <row r="112" spans="1:48"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sheetData>
  <sheetProtection password="B0C5" sheet="1" objects="1" scenarios="1"/>
  <mergeCells count="188">
    <mergeCell ref="F24:G25"/>
    <mergeCell ref="H24:R25"/>
    <mergeCell ref="F26:G27"/>
    <mergeCell ref="H26:R27"/>
    <mergeCell ref="AT25:AU25"/>
    <mergeCell ref="AT24:AU24"/>
    <mergeCell ref="AT23:AU23"/>
    <mergeCell ref="AT22:AU22"/>
    <mergeCell ref="AP22:AS22"/>
    <mergeCell ref="AP23:AS23"/>
    <mergeCell ref="AP24:AS24"/>
    <mergeCell ref="AM26:AN27"/>
    <mergeCell ref="AF24:AG25"/>
    <mergeCell ref="Y26:Y27"/>
    <mergeCell ref="T26:U27"/>
    <mergeCell ref="A1:R1"/>
    <mergeCell ref="F9:K9"/>
    <mergeCell ref="F5:K6"/>
    <mergeCell ref="T22:Z23"/>
    <mergeCell ref="AP9:AU10"/>
    <mergeCell ref="AP20:AU21"/>
    <mergeCell ref="F13:R14"/>
    <mergeCell ref="F22:G23"/>
    <mergeCell ref="H22:R23"/>
    <mergeCell ref="M7:P9"/>
    <mergeCell ref="H20:R21"/>
    <mergeCell ref="A2:J2"/>
    <mergeCell ref="A5:D6"/>
    <mergeCell ref="F15:G15"/>
    <mergeCell ref="H15:R15"/>
    <mergeCell ref="F16:G16"/>
    <mergeCell ref="H16:R16"/>
    <mergeCell ref="H17:R19"/>
    <mergeCell ref="F17:G19"/>
    <mergeCell ref="M6:R6"/>
    <mergeCell ref="A7:D7"/>
    <mergeCell ref="M10:P11"/>
    <mergeCell ref="Q10:Q11"/>
    <mergeCell ref="R10:R11"/>
    <mergeCell ref="V55:Y55"/>
    <mergeCell ref="AL28:AL29"/>
    <mergeCell ref="AL26:AL27"/>
    <mergeCell ref="AJ28:AK29"/>
    <mergeCell ref="AT11:AU11"/>
    <mergeCell ref="AT19:AU19"/>
    <mergeCell ref="AT18:AU18"/>
    <mergeCell ref="AT17:AU17"/>
    <mergeCell ref="AT16:AU16"/>
    <mergeCell ref="AT15:AU15"/>
    <mergeCell ref="AT14:AU14"/>
    <mergeCell ref="AT13:AU13"/>
    <mergeCell ref="AT12:AU12"/>
    <mergeCell ref="AP11:AQ11"/>
    <mergeCell ref="AP19:AQ19"/>
    <mergeCell ref="AP18:AQ18"/>
    <mergeCell ref="AP17:AQ17"/>
    <mergeCell ref="AP16:AQ16"/>
    <mergeCell ref="AP15:AQ15"/>
    <mergeCell ref="AP14:AQ14"/>
    <mergeCell ref="AP12:AQ12"/>
    <mergeCell ref="AP25:AS25"/>
    <mergeCell ref="Z34:AB35"/>
    <mergeCell ref="X34:X35"/>
    <mergeCell ref="T28:U29"/>
    <mergeCell ref="T30:U31"/>
    <mergeCell ref="T32:U33"/>
    <mergeCell ref="T34:U35"/>
    <mergeCell ref="Z39:AD39"/>
    <mergeCell ref="AH24:AI25"/>
    <mergeCell ref="AF26:AG27"/>
    <mergeCell ref="AF28:AG29"/>
    <mergeCell ref="X30:X31"/>
    <mergeCell ref="AH28:AI29"/>
    <mergeCell ref="AH26:AI27"/>
    <mergeCell ref="V40:Y40"/>
    <mergeCell ref="V44:Y44"/>
    <mergeCell ref="V43:Y43"/>
    <mergeCell ref="V42:Y42"/>
    <mergeCell ref="V41:Y41"/>
    <mergeCell ref="AF7:AI8"/>
    <mergeCell ref="Y30:Y31"/>
    <mergeCell ref="X32:X33"/>
    <mergeCell ref="AF22:AN23"/>
    <mergeCell ref="AK10:AK11"/>
    <mergeCell ref="AJ10:AJ11"/>
    <mergeCell ref="AM24:AN25"/>
    <mergeCell ref="V24:W25"/>
    <mergeCell ref="V34:W35"/>
    <mergeCell ref="V32:W33"/>
    <mergeCell ref="V30:W31"/>
    <mergeCell ref="V28:W29"/>
    <mergeCell ref="V26:W27"/>
    <mergeCell ref="Y34:Y35"/>
    <mergeCell ref="AJ26:AK27"/>
    <mergeCell ref="AJ24:AL25"/>
    <mergeCell ref="X24:AB25"/>
    <mergeCell ref="F20:G21"/>
    <mergeCell ref="F28:G29"/>
    <mergeCell ref="V54:Y54"/>
    <mergeCell ref="V53:Y53"/>
    <mergeCell ref="V52:Y52"/>
    <mergeCell ref="F7:I8"/>
    <mergeCell ref="J7:J8"/>
    <mergeCell ref="K7:K8"/>
    <mergeCell ref="Q7:Q9"/>
    <mergeCell ref="R7:R9"/>
    <mergeCell ref="X18:Y19"/>
    <mergeCell ref="X20:Y21"/>
    <mergeCell ref="T16:W17"/>
    <mergeCell ref="T18:W19"/>
    <mergeCell ref="T20:W21"/>
    <mergeCell ref="T13:Y15"/>
    <mergeCell ref="T49:AD50"/>
    <mergeCell ref="X16:Y17"/>
    <mergeCell ref="Y10:Y11"/>
    <mergeCell ref="X7:Y8"/>
    <mergeCell ref="T45:Y47"/>
    <mergeCell ref="Z32:AB33"/>
    <mergeCell ref="Z30:AB31"/>
    <mergeCell ref="Y32:Y33"/>
    <mergeCell ref="H28:R29"/>
    <mergeCell ref="AD62:AD64"/>
    <mergeCell ref="AC62:AC64"/>
    <mergeCell ref="AB62:AB64"/>
    <mergeCell ref="AA62:AA64"/>
    <mergeCell ref="Z62:Z64"/>
    <mergeCell ref="T7:W8"/>
    <mergeCell ref="T40:U44"/>
    <mergeCell ref="Z51:AD51"/>
    <mergeCell ref="AD57:AD59"/>
    <mergeCell ref="AC57:AC59"/>
    <mergeCell ref="AB57:AB59"/>
    <mergeCell ref="AA57:AA59"/>
    <mergeCell ref="Z57:Z59"/>
    <mergeCell ref="T57:Y59"/>
    <mergeCell ref="AD45:AD47"/>
    <mergeCell ref="AC45:AC47"/>
    <mergeCell ref="AB45:AB47"/>
    <mergeCell ref="AA45:AA47"/>
    <mergeCell ref="Z45:Z47"/>
    <mergeCell ref="V56:Y56"/>
    <mergeCell ref="H56:R57"/>
    <mergeCell ref="H58:R59"/>
    <mergeCell ref="T52:U56"/>
    <mergeCell ref="AT7:AT8"/>
    <mergeCell ref="AP6:AU6"/>
    <mergeCell ref="AF20:AI21"/>
    <mergeCell ref="AJ20:AK21"/>
    <mergeCell ref="AM28:AN29"/>
    <mergeCell ref="T10:W11"/>
    <mergeCell ref="X10:X11"/>
    <mergeCell ref="AU7:AU8"/>
    <mergeCell ref="AP7:AS8"/>
    <mergeCell ref="X28:X29"/>
    <mergeCell ref="X26:X27"/>
    <mergeCell ref="Z28:AB29"/>
    <mergeCell ref="Z26:AB27"/>
    <mergeCell ref="Y28:Y29"/>
    <mergeCell ref="AF13:AK15"/>
    <mergeCell ref="AF16:AI17"/>
    <mergeCell ref="AJ16:AK17"/>
    <mergeCell ref="AF18:AI19"/>
    <mergeCell ref="AJ18:AK19"/>
    <mergeCell ref="AF6:AK6"/>
    <mergeCell ref="AF10:AI11"/>
    <mergeCell ref="T6:Y6"/>
    <mergeCell ref="AJ7:AK8"/>
    <mergeCell ref="AP13:AQ13"/>
    <mergeCell ref="F30:G31"/>
    <mergeCell ref="H30:R31"/>
    <mergeCell ref="H37:R38"/>
    <mergeCell ref="F37:G38"/>
    <mergeCell ref="H44:R45"/>
    <mergeCell ref="F44:G45"/>
    <mergeCell ref="F32:G36"/>
    <mergeCell ref="H32:R36"/>
    <mergeCell ref="F39:G43"/>
    <mergeCell ref="H39:R43"/>
    <mergeCell ref="F56:G57"/>
    <mergeCell ref="F58:G59"/>
    <mergeCell ref="F46:G49"/>
    <mergeCell ref="H46:R49"/>
    <mergeCell ref="H50:R51"/>
    <mergeCell ref="F50:G51"/>
    <mergeCell ref="H52:R53"/>
    <mergeCell ref="F52:G53"/>
    <mergeCell ref="F54:G55"/>
    <mergeCell ref="H54:R55"/>
  </mergeCells>
  <hyperlinks>
    <hyperlink ref="A7:D7" r:id="rId1" display="Source:  HMT Green Book" xr:uid="{00000000-0004-0000-0300-000000000000}"/>
  </hyperlinks>
  <pageMargins left="0.7" right="0.7" top="0.75" bottom="0.75" header="0.3" footer="0.3"/>
  <pageSetup paperSize="9" scale="17"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9" tint="0.59999389629810485"/>
  </sheetPr>
  <dimension ref="A1:AF128"/>
  <sheetViews>
    <sheetView showGridLines="0" view="pageBreakPreview" zoomScale="60" zoomScaleNormal="60" workbookViewId="0"/>
  </sheetViews>
  <sheetFormatPr baseColWidth="10" defaultColWidth="8.85546875" defaultRowHeight="13" x14ac:dyDescent="0.2"/>
  <cols>
    <col min="1" max="1" width="13.5703125" style="79" customWidth="1"/>
    <col min="2" max="2" width="20" style="80" customWidth="1"/>
    <col min="3" max="3" width="20" style="18" customWidth="1"/>
    <col min="4" max="4" width="19.85546875" style="77" customWidth="1"/>
    <col min="5" max="5" width="5.42578125" style="77" customWidth="1"/>
    <col min="6" max="7" width="13.5703125" style="77" customWidth="1"/>
    <col min="8" max="9" width="20" style="77" customWidth="1"/>
    <col min="10" max="10" width="19.85546875" style="77" customWidth="1"/>
    <col min="11" max="12" width="5.42578125" style="77" customWidth="1"/>
    <col min="13" max="13" width="13.85546875" style="77" customWidth="1"/>
    <col min="14" max="16" width="19.85546875" style="77" customWidth="1"/>
    <col min="17" max="17" width="5.42578125" style="77" customWidth="1"/>
    <col min="18" max="19" width="13.85546875" style="77" customWidth="1"/>
    <col min="20" max="22" width="19.85546875" style="77" customWidth="1"/>
    <col min="23" max="23" width="4.42578125" style="77" customWidth="1"/>
    <col min="24" max="24" width="13.85546875" style="77" customWidth="1"/>
    <col min="25" max="26" width="17.140625" style="77" customWidth="1"/>
    <col min="27" max="27" width="13.85546875" style="77" customWidth="1"/>
    <col min="28" max="30" width="18.85546875" style="77" customWidth="1"/>
    <col min="31" max="31" width="10.140625" style="77" bestFit="1" customWidth="1"/>
    <col min="32" max="32" width="15.5703125" style="77" bestFit="1" customWidth="1"/>
    <col min="33" max="16384" width="8.85546875" style="77"/>
  </cols>
  <sheetData>
    <row r="1" spans="1:31" ht="33" x14ac:dyDescent="0.2">
      <c r="A1" s="184" t="s">
        <v>57</v>
      </c>
      <c r="B1" s="185"/>
      <c r="C1" s="186"/>
      <c r="D1" s="187"/>
      <c r="E1" s="187"/>
      <c r="F1" s="187"/>
      <c r="G1" s="187"/>
      <c r="H1" s="187"/>
      <c r="I1" s="187"/>
      <c r="J1" s="187"/>
      <c r="K1" s="188"/>
      <c r="L1" s="188"/>
      <c r="M1" s="244" t="s">
        <v>281</v>
      </c>
      <c r="N1" s="188"/>
      <c r="O1" s="188"/>
      <c r="P1" s="188"/>
      <c r="Q1" s="188"/>
      <c r="R1" s="188"/>
      <c r="S1" s="188"/>
      <c r="T1" s="188"/>
      <c r="U1" s="188"/>
      <c r="V1" s="188"/>
      <c r="W1" s="188"/>
      <c r="X1" s="923" t="s">
        <v>434</v>
      </c>
      <c r="Y1" s="923"/>
      <c r="Z1" s="923"/>
      <c r="AA1" s="923"/>
      <c r="AB1" s="923"/>
      <c r="AC1" s="923"/>
      <c r="AD1" s="923"/>
    </row>
    <row r="2" spans="1:31" ht="23.25" customHeight="1" x14ac:dyDescent="0.2">
      <c r="A2" s="189" t="s">
        <v>265</v>
      </c>
      <c r="B2" s="184"/>
      <c r="C2" s="184"/>
      <c r="D2" s="184"/>
      <c r="E2" s="184"/>
      <c r="F2" s="184"/>
      <c r="G2" s="184"/>
      <c r="H2" s="184"/>
      <c r="I2" s="184"/>
      <c r="J2" s="184"/>
      <c r="K2" s="184"/>
      <c r="L2" s="184"/>
      <c r="M2" s="341" t="s">
        <v>431</v>
      </c>
      <c r="N2" s="340" t="s">
        <v>361</v>
      </c>
      <c r="O2" s="184"/>
      <c r="P2" s="184"/>
      <c r="Q2" s="184"/>
      <c r="R2" s="184"/>
      <c r="S2" s="184"/>
      <c r="T2" s="184"/>
      <c r="U2" s="184"/>
      <c r="V2" s="184"/>
      <c r="W2" s="184"/>
      <c r="X2" s="923"/>
      <c r="Y2" s="923"/>
      <c r="Z2" s="923"/>
      <c r="AA2" s="923"/>
      <c r="AB2" s="923"/>
      <c r="AC2" s="923"/>
      <c r="AD2" s="923"/>
    </row>
    <row r="3" spans="1:31" ht="20.25" customHeight="1" x14ac:dyDescent="0.2">
      <c r="A3" s="340" t="s">
        <v>374</v>
      </c>
      <c r="B3" s="189"/>
      <c r="C3" s="189"/>
      <c r="D3" s="189"/>
      <c r="E3" s="189"/>
      <c r="F3" s="189"/>
      <c r="G3" s="189"/>
      <c r="H3" s="189"/>
      <c r="I3" s="191" t="s">
        <v>58</v>
      </c>
      <c r="J3" s="92" t="s">
        <v>59</v>
      </c>
      <c r="K3" s="197"/>
      <c r="L3" s="197"/>
      <c r="M3" s="218" t="s">
        <v>268</v>
      </c>
      <c r="N3" s="190"/>
      <c r="O3" s="190"/>
      <c r="P3" s="190"/>
      <c r="Q3" s="190"/>
      <c r="R3" s="190"/>
      <c r="S3" s="197"/>
      <c r="T3" s="197"/>
      <c r="U3" s="191" t="s">
        <v>58</v>
      </c>
      <c r="V3" s="92" t="s">
        <v>59</v>
      </c>
      <c r="W3" s="225"/>
      <c r="X3" s="314" t="s">
        <v>317</v>
      </c>
      <c r="Y3" s="315"/>
      <c r="Z3" s="315"/>
      <c r="AA3" s="316"/>
      <c r="AB3" s="316"/>
      <c r="AC3" s="316"/>
      <c r="AD3" s="316"/>
    </row>
    <row r="4" spans="1:31" ht="18.75" customHeight="1" x14ac:dyDescent="0.2">
      <c r="A4" s="904" t="s">
        <v>282</v>
      </c>
      <c r="B4" s="904"/>
      <c r="C4" s="904"/>
      <c r="D4" s="904"/>
      <c r="E4" s="904"/>
      <c r="F4" s="904"/>
      <c r="G4" s="904"/>
      <c r="H4" s="904"/>
      <c r="I4" s="905"/>
      <c r="J4" s="94" t="s">
        <v>60</v>
      </c>
      <c r="K4" s="198"/>
      <c r="L4" s="198"/>
      <c r="M4" s="901" t="s">
        <v>269</v>
      </c>
      <c r="N4" s="901"/>
      <c r="O4" s="901"/>
      <c r="P4" s="901"/>
      <c r="Q4" s="901"/>
      <c r="R4" s="901"/>
      <c r="S4" s="190"/>
      <c r="T4" s="190"/>
      <c r="U4" s="221"/>
      <c r="V4" s="228" t="s">
        <v>60</v>
      </c>
      <c r="W4" s="226"/>
      <c r="X4" s="927" t="s">
        <v>304</v>
      </c>
      <c r="Y4" s="927"/>
      <c r="Z4" s="927"/>
      <c r="AA4" s="927"/>
      <c r="AB4" s="927"/>
      <c r="AC4" s="927"/>
      <c r="AD4" s="927"/>
    </row>
    <row r="5" spans="1:31" ht="18.75" customHeight="1" thickBot="1" x14ac:dyDescent="0.25">
      <c r="A5" s="904" t="s">
        <v>283</v>
      </c>
      <c r="B5" s="904"/>
      <c r="C5" s="904"/>
      <c r="D5" s="904"/>
      <c r="E5" s="904"/>
      <c r="F5" s="904"/>
      <c r="G5" s="904"/>
      <c r="H5" s="904"/>
      <c r="I5" s="904"/>
      <c r="J5" s="196"/>
      <c r="K5" s="199"/>
      <c r="L5" s="199"/>
      <c r="M5" s="901"/>
      <c r="N5" s="901"/>
      <c r="O5" s="901"/>
      <c r="P5" s="901"/>
      <c r="Q5" s="901"/>
      <c r="R5" s="901"/>
      <c r="S5" s="222"/>
      <c r="T5" s="217" t="s">
        <v>278</v>
      </c>
      <c r="U5" s="199"/>
      <c r="V5" s="199"/>
      <c r="W5" s="199"/>
      <c r="X5" s="924" t="s">
        <v>289</v>
      </c>
      <c r="Y5" s="878" t="s">
        <v>432</v>
      </c>
      <c r="Z5" s="878" t="s">
        <v>433</v>
      </c>
      <c r="AA5" s="928" t="s">
        <v>320</v>
      </c>
      <c r="AB5" s="925" t="s">
        <v>319</v>
      </c>
      <c r="AC5" s="925"/>
      <c r="AD5" s="925"/>
    </row>
    <row r="6" spans="1:31" ht="18.75" customHeight="1" thickBot="1" x14ac:dyDescent="0.25">
      <c r="A6" s="904" t="s">
        <v>284</v>
      </c>
      <c r="B6" s="904"/>
      <c r="C6" s="904"/>
      <c r="D6" s="904"/>
      <c r="E6" s="904"/>
      <c r="F6" s="904"/>
      <c r="G6" s="904"/>
      <c r="H6" s="904"/>
      <c r="I6" s="904"/>
      <c r="J6" s="196"/>
      <c r="K6" s="199"/>
      <c r="L6" s="199"/>
      <c r="M6" s="901"/>
      <c r="N6" s="901"/>
      <c r="O6" s="901"/>
      <c r="P6" s="901"/>
      <c r="Q6" s="901"/>
      <c r="R6" s="901"/>
      <c r="S6" s="222"/>
      <c r="T6" s="897" t="s">
        <v>275</v>
      </c>
      <c r="U6" s="898"/>
      <c r="V6" s="105"/>
      <c r="W6" s="199"/>
      <c r="X6" s="924"/>
      <c r="Y6" s="879"/>
      <c r="Z6" s="879"/>
      <c r="AA6" s="929"/>
      <c r="AB6" s="925"/>
      <c r="AC6" s="925"/>
      <c r="AD6" s="925"/>
    </row>
    <row r="7" spans="1:31" ht="18.75" customHeight="1" thickBot="1" x14ac:dyDescent="0.25">
      <c r="A7" s="904"/>
      <c r="B7" s="904"/>
      <c r="C7" s="904"/>
      <c r="D7" s="904"/>
      <c r="E7" s="904"/>
      <c r="F7" s="904"/>
      <c r="G7" s="904"/>
      <c r="H7" s="904"/>
      <c r="I7" s="904"/>
      <c r="J7" s="196"/>
      <c r="K7" s="199"/>
      <c r="L7" s="199"/>
      <c r="M7" s="901"/>
      <c r="N7" s="901"/>
      <c r="O7" s="901"/>
      <c r="P7" s="901"/>
      <c r="Q7" s="901"/>
      <c r="R7" s="901"/>
      <c r="S7" s="222"/>
      <c r="T7" s="897" t="s">
        <v>276</v>
      </c>
      <c r="U7" s="898"/>
      <c r="V7" s="106"/>
      <c r="W7" s="199"/>
      <c r="X7" s="924"/>
      <c r="Y7" s="879"/>
      <c r="Z7" s="879"/>
      <c r="AA7" s="929"/>
      <c r="AB7" s="926" t="s">
        <v>290</v>
      </c>
      <c r="AC7" s="926" t="s">
        <v>291</v>
      </c>
      <c r="AD7" s="926" t="s">
        <v>292</v>
      </c>
    </row>
    <row r="8" spans="1:31" ht="18.75" customHeight="1" x14ac:dyDescent="0.2">
      <c r="A8" s="192"/>
      <c r="B8" s="193"/>
      <c r="C8" s="194"/>
      <c r="D8" s="188"/>
      <c r="E8" s="188"/>
      <c r="F8" s="188"/>
      <c r="G8" s="188"/>
      <c r="H8" s="188"/>
      <c r="I8" s="188"/>
      <c r="J8" s="188"/>
      <c r="K8" s="199"/>
      <c r="L8" s="199"/>
      <c r="M8" s="899" t="s">
        <v>270</v>
      </c>
      <c r="N8" s="899"/>
      <c r="O8" s="899"/>
      <c r="P8" s="899"/>
      <c r="Q8" s="899"/>
      <c r="R8" s="899"/>
      <c r="S8" s="222"/>
      <c r="T8" s="188"/>
      <c r="U8" s="188"/>
      <c r="V8" s="188"/>
      <c r="W8" s="227"/>
      <c r="X8" s="924"/>
      <c r="Y8" s="879"/>
      <c r="Z8" s="879"/>
      <c r="AA8" s="929"/>
      <c r="AB8" s="926"/>
      <c r="AC8" s="926"/>
      <c r="AD8" s="926"/>
    </row>
    <row r="9" spans="1:31" ht="18.75" customHeight="1" thickBot="1" x14ac:dyDescent="0.25">
      <c r="A9" s="195" t="s">
        <v>286</v>
      </c>
      <c r="B9" s="193"/>
      <c r="C9" s="194"/>
      <c r="D9" s="188"/>
      <c r="E9" s="188"/>
      <c r="F9" s="188"/>
      <c r="G9" s="188"/>
      <c r="H9" s="188"/>
      <c r="I9" s="188"/>
      <c r="J9" s="196"/>
      <c r="K9" s="199"/>
      <c r="L9" s="199"/>
      <c r="M9" s="899"/>
      <c r="N9" s="899"/>
      <c r="O9" s="899"/>
      <c r="P9" s="899"/>
      <c r="Q9" s="899"/>
      <c r="R9" s="899"/>
      <c r="S9" s="222"/>
      <c r="T9" s="217" t="s">
        <v>279</v>
      </c>
      <c r="U9" s="188"/>
      <c r="V9" s="188"/>
      <c r="W9" s="227"/>
      <c r="X9" s="924"/>
      <c r="Y9" s="879"/>
      <c r="Z9" s="879"/>
      <c r="AA9" s="929"/>
      <c r="AB9" s="926"/>
      <c r="AC9" s="926"/>
      <c r="AD9" s="926"/>
    </row>
    <row r="10" spans="1:31" ht="20.25" customHeight="1" x14ac:dyDescent="0.2">
      <c r="A10" s="906" t="s">
        <v>301</v>
      </c>
      <c r="B10" s="907"/>
      <c r="C10" s="907"/>
      <c r="D10" s="907"/>
      <c r="E10" s="907"/>
      <c r="F10" s="907"/>
      <c r="G10" s="907"/>
      <c r="H10" s="907"/>
      <c r="I10" s="907"/>
      <c r="J10" s="908"/>
      <c r="K10" s="199"/>
      <c r="L10" s="199"/>
      <c r="M10" s="899"/>
      <c r="N10" s="899"/>
      <c r="O10" s="899"/>
      <c r="P10" s="899"/>
      <c r="Q10" s="899"/>
      <c r="R10" s="899"/>
      <c r="S10" s="223"/>
      <c r="T10" s="900" t="s">
        <v>153</v>
      </c>
      <c r="U10" s="900"/>
      <c r="V10" s="900"/>
      <c r="W10" s="199"/>
      <c r="X10" s="924"/>
      <c r="Y10" s="879"/>
      <c r="Z10" s="879"/>
      <c r="AA10" s="929"/>
      <c r="AB10" s="926"/>
      <c r="AC10" s="926"/>
      <c r="AD10" s="926"/>
    </row>
    <row r="11" spans="1:31" ht="20.25" customHeight="1" x14ac:dyDescent="0.2">
      <c r="A11" s="909" t="s">
        <v>302</v>
      </c>
      <c r="B11" s="910"/>
      <c r="C11" s="910"/>
      <c r="D11" s="910"/>
      <c r="E11" s="910"/>
      <c r="F11" s="910"/>
      <c r="G11" s="910"/>
      <c r="H11" s="910"/>
      <c r="I11" s="910"/>
      <c r="J11" s="911"/>
      <c r="K11" s="199"/>
      <c r="L11" s="199"/>
      <c r="M11" s="218" t="s">
        <v>271</v>
      </c>
      <c r="N11" s="218"/>
      <c r="O11" s="218"/>
      <c r="P11" s="218"/>
      <c r="Q11" s="218"/>
      <c r="R11" s="218"/>
      <c r="S11" s="223"/>
      <c r="T11" s="900"/>
      <c r="U11" s="900"/>
      <c r="V11" s="900"/>
      <c r="W11" s="199"/>
      <c r="X11" s="924"/>
      <c r="Y11" s="880"/>
      <c r="Z11" s="880"/>
      <c r="AA11" s="930"/>
      <c r="AB11" s="926"/>
      <c r="AC11" s="926"/>
      <c r="AD11" s="926"/>
      <c r="AE11" s="110"/>
    </row>
    <row r="12" spans="1:31" ht="20.25" customHeight="1" thickBot="1" x14ac:dyDescent="0.25">
      <c r="A12" s="909" t="s">
        <v>315</v>
      </c>
      <c r="B12" s="910"/>
      <c r="C12" s="910"/>
      <c r="D12" s="910"/>
      <c r="E12" s="910"/>
      <c r="F12" s="910"/>
      <c r="G12" s="910"/>
      <c r="H12" s="910"/>
      <c r="I12" s="910"/>
      <c r="J12" s="911"/>
      <c r="K12" s="200"/>
      <c r="L12" s="200"/>
      <c r="M12" s="899" t="s">
        <v>272</v>
      </c>
      <c r="N12" s="899"/>
      <c r="O12" s="899"/>
      <c r="P12" s="899"/>
      <c r="Q12" s="899"/>
      <c r="R12" s="899"/>
      <c r="S12" s="218"/>
      <c r="T12" s="188"/>
      <c r="U12" s="188"/>
      <c r="V12" s="188"/>
      <c r="W12" s="200"/>
      <c r="X12" s="924"/>
      <c r="Y12" s="318">
        <f>SUM(Y13:Y114)</f>
        <v>0</v>
      </c>
      <c r="Z12" s="318">
        <f>SUM(Z13:Z114)</f>
        <v>0</v>
      </c>
      <c r="AA12" s="317">
        <v>3.5000000000000003E-2</v>
      </c>
      <c r="AB12" s="241">
        <f>SUM(AB13:AB114)</f>
        <v>0</v>
      </c>
      <c r="AC12" s="241">
        <f>SUM(AC13:AC114)</f>
        <v>0</v>
      </c>
      <c r="AD12" s="241">
        <f>SUM(AD13:AD114)</f>
        <v>0</v>
      </c>
    </row>
    <row r="13" spans="1:31" ht="20.25" customHeight="1" thickBot="1" x14ac:dyDescent="0.25">
      <c r="A13" s="909" t="s">
        <v>316</v>
      </c>
      <c r="B13" s="910"/>
      <c r="C13" s="910"/>
      <c r="D13" s="910"/>
      <c r="E13" s="910"/>
      <c r="F13" s="910"/>
      <c r="G13" s="910"/>
      <c r="H13" s="910"/>
      <c r="I13" s="910"/>
      <c r="J13" s="911"/>
      <c r="K13" s="200"/>
      <c r="L13" s="200"/>
      <c r="M13" s="899"/>
      <c r="N13" s="899"/>
      <c r="O13" s="899"/>
      <c r="P13" s="899"/>
      <c r="Q13" s="899"/>
      <c r="R13" s="899"/>
      <c r="S13" s="223"/>
      <c r="T13" s="895" t="s">
        <v>145</v>
      </c>
      <c r="U13" s="896"/>
      <c r="V13" s="107"/>
      <c r="W13" s="200"/>
      <c r="X13" s="109" t="s">
        <v>136</v>
      </c>
      <c r="Y13" s="111"/>
      <c r="Z13" s="111"/>
      <c r="AA13" s="313">
        <f>1</f>
        <v>1</v>
      </c>
      <c r="AB13" s="112">
        <f>Y13*AA13</f>
        <v>0</v>
      </c>
      <c r="AC13" s="243"/>
      <c r="AD13" s="242">
        <f>AB13</f>
        <v>0</v>
      </c>
    </row>
    <row r="14" spans="1:31" ht="18.75" customHeight="1" thickBot="1" x14ac:dyDescent="0.25">
      <c r="A14" s="912"/>
      <c r="B14" s="913"/>
      <c r="C14" s="913"/>
      <c r="D14" s="913"/>
      <c r="E14" s="913"/>
      <c r="F14" s="913"/>
      <c r="G14" s="913"/>
      <c r="H14" s="913"/>
      <c r="I14" s="913"/>
      <c r="J14" s="914"/>
      <c r="K14" s="200"/>
      <c r="L14" s="200"/>
      <c r="M14" s="899"/>
      <c r="N14" s="899"/>
      <c r="O14" s="899"/>
      <c r="P14" s="899"/>
      <c r="Q14" s="899"/>
      <c r="R14" s="899"/>
      <c r="S14" s="223"/>
      <c r="T14" s="897" t="s">
        <v>173</v>
      </c>
      <c r="U14" s="898"/>
      <c r="V14" s="108"/>
      <c r="W14" s="200"/>
      <c r="X14" s="109" t="s">
        <v>137</v>
      </c>
      <c r="Y14" s="111"/>
      <c r="Z14" s="111"/>
      <c r="AA14" s="313">
        <f>1</f>
        <v>1</v>
      </c>
      <c r="AB14" s="112">
        <f t="shared" ref="AB14:AB77" si="0">Y14*AA14</f>
        <v>0</v>
      </c>
      <c r="AC14" s="112">
        <f>Z14*AA14</f>
        <v>0</v>
      </c>
      <c r="AD14" s="242">
        <f>AB14+AC14</f>
        <v>0</v>
      </c>
    </row>
    <row r="15" spans="1:31" ht="18.75" customHeight="1" x14ac:dyDescent="0.2">
      <c r="A15" s="206"/>
      <c r="B15" s="206"/>
      <c r="C15" s="206"/>
      <c r="D15" s="206"/>
      <c r="E15" s="206"/>
      <c r="F15" s="206"/>
      <c r="G15" s="206"/>
      <c r="H15" s="206"/>
      <c r="I15" s="206"/>
      <c r="J15" s="206"/>
      <c r="K15" s="200"/>
      <c r="L15" s="200"/>
      <c r="M15" s="219"/>
      <c r="N15" s="219"/>
      <c r="O15" s="219"/>
      <c r="P15" s="219"/>
      <c r="Q15" s="219"/>
      <c r="R15" s="219"/>
      <c r="S15" s="223"/>
      <c r="T15" s="223"/>
      <c r="U15" s="223"/>
      <c r="V15" s="223"/>
      <c r="W15" s="200"/>
      <c r="X15" s="109">
        <v>1</v>
      </c>
      <c r="Y15" s="111"/>
      <c r="Z15" s="111"/>
      <c r="AA15" s="313">
        <f>(1/($AA$12+1))^X15</f>
        <v>0.96618357487922713</v>
      </c>
      <c r="AB15" s="112">
        <f t="shared" si="0"/>
        <v>0</v>
      </c>
      <c r="AC15" s="112">
        <f>(Z15*AA15)</f>
        <v>0</v>
      </c>
      <c r="AD15" s="242">
        <f t="shared" ref="AD15:AD78" si="1">AB15+AC15</f>
        <v>0</v>
      </c>
    </row>
    <row r="16" spans="1:31" ht="18.75" customHeight="1" thickBot="1" x14ac:dyDescent="0.25">
      <c r="A16" s="894" t="s">
        <v>273</v>
      </c>
      <c r="B16" s="894"/>
      <c r="C16" s="894"/>
      <c r="D16" s="211" t="s">
        <v>93</v>
      </c>
      <c r="E16" s="187"/>
      <c r="F16" s="188"/>
      <c r="G16" s="188"/>
      <c r="H16" s="188"/>
      <c r="I16" s="188"/>
      <c r="J16" s="212"/>
      <c r="K16" s="200"/>
      <c r="L16" s="200"/>
      <c r="M16" s="894" t="s">
        <v>274</v>
      </c>
      <c r="N16" s="894"/>
      <c r="O16" s="894"/>
      <c r="P16" s="220" t="s">
        <v>93</v>
      </c>
      <c r="Q16" s="188"/>
      <c r="R16" s="188"/>
      <c r="S16" s="188"/>
      <c r="T16" s="224" t="s">
        <v>288</v>
      </c>
      <c r="U16" s="188"/>
      <c r="V16" s="200"/>
      <c r="W16" s="200"/>
      <c r="X16" s="109">
        <v>2</v>
      </c>
      <c r="Y16" s="111"/>
      <c r="Z16" s="111"/>
      <c r="AA16" s="313">
        <f t="shared" ref="AA16:AA79" si="2">(1/($AA$12+1))^X16</f>
        <v>0.93351070036640305</v>
      </c>
      <c r="AB16" s="112">
        <f t="shared" si="0"/>
        <v>0</v>
      </c>
      <c r="AC16" s="112">
        <f t="shared" ref="AC16:AC79" si="3">(Z16*AA16)</f>
        <v>0</v>
      </c>
      <c r="AD16" s="242">
        <f t="shared" si="1"/>
        <v>0</v>
      </c>
    </row>
    <row r="17" spans="1:32" ht="18.75" customHeight="1" thickBot="1" x14ac:dyDescent="0.25">
      <c r="A17" s="902" t="s">
        <v>146</v>
      </c>
      <c r="B17" s="902"/>
      <c r="C17" s="903"/>
      <c r="D17" s="27">
        <f>D26</f>
        <v>0</v>
      </c>
      <c r="E17" s="188"/>
      <c r="F17" s="188"/>
      <c r="G17" s="188"/>
      <c r="H17" s="188"/>
      <c r="I17" s="188"/>
      <c r="J17" s="200"/>
      <c r="K17" s="200"/>
      <c r="L17" s="200"/>
      <c r="M17" s="891" t="s">
        <v>266</v>
      </c>
      <c r="N17" s="891"/>
      <c r="O17" s="892"/>
      <c r="P17" s="229">
        <f>IF(P26&gt;0,P26,IF(V14&gt;0,V14,IF(AND(V6="Yes",V7="No"),B26*V13,IF(AND(V6="Yes",V7="Yes"),D26*V13,IF(AND(V6="No",V7="No"),0,C26*V13)))))</f>
        <v>0</v>
      </c>
      <c r="Q17" s="200"/>
      <c r="R17" s="188"/>
      <c r="S17" s="188"/>
      <c r="T17" s="893" t="s">
        <v>303</v>
      </c>
      <c r="U17" s="893"/>
      <c r="V17" s="893"/>
      <c r="W17" s="200"/>
      <c r="X17" s="109">
        <v>3</v>
      </c>
      <c r="Y17" s="111"/>
      <c r="Z17" s="111"/>
      <c r="AA17" s="313">
        <f t="shared" si="2"/>
        <v>0.90194270566802237</v>
      </c>
      <c r="AB17" s="112">
        <f t="shared" si="0"/>
        <v>0</v>
      </c>
      <c r="AC17" s="112">
        <f t="shared" si="3"/>
        <v>0</v>
      </c>
      <c r="AD17" s="242">
        <f t="shared" si="1"/>
        <v>0</v>
      </c>
    </row>
    <row r="18" spans="1:32" ht="18.75" customHeight="1" thickBot="1" x14ac:dyDescent="0.25">
      <c r="A18" s="902" t="s">
        <v>138</v>
      </c>
      <c r="B18" s="902"/>
      <c r="C18" s="903"/>
      <c r="D18" s="27">
        <f>J26</f>
        <v>0</v>
      </c>
      <c r="E18" s="188"/>
      <c r="F18" s="188"/>
      <c r="G18" s="188"/>
      <c r="H18" s="188"/>
      <c r="I18" s="188"/>
      <c r="J18" s="200"/>
      <c r="K18" s="200"/>
      <c r="L18" s="200"/>
      <c r="M18" s="891" t="s">
        <v>267</v>
      </c>
      <c r="N18" s="891"/>
      <c r="O18" s="892"/>
      <c r="P18" s="229">
        <f>V26</f>
        <v>0</v>
      </c>
      <c r="Q18" s="200"/>
      <c r="R18" s="188"/>
      <c r="S18" s="188"/>
      <c r="T18" s="893"/>
      <c r="U18" s="893"/>
      <c r="V18" s="893"/>
      <c r="W18" s="200"/>
      <c r="X18" s="109">
        <v>4</v>
      </c>
      <c r="Y18" s="111"/>
      <c r="Z18" s="111"/>
      <c r="AA18" s="313">
        <f t="shared" si="2"/>
        <v>0.87144222769857238</v>
      </c>
      <c r="AB18" s="112">
        <f t="shared" si="0"/>
        <v>0</v>
      </c>
      <c r="AC18" s="112">
        <f t="shared" si="3"/>
        <v>0</v>
      </c>
      <c r="AD18" s="242">
        <f t="shared" si="1"/>
        <v>0</v>
      </c>
      <c r="AF18" s="110"/>
    </row>
    <row r="19" spans="1:32" ht="18.75" customHeight="1" x14ac:dyDescent="0.2">
      <c r="A19" s="188"/>
      <c r="B19" s="188"/>
      <c r="C19" s="188"/>
      <c r="D19" s="188"/>
      <c r="E19" s="188"/>
      <c r="F19" s="213"/>
      <c r="G19" s="207"/>
      <c r="H19" s="214"/>
      <c r="I19" s="192"/>
      <c r="J19" s="200"/>
      <c r="K19" s="200"/>
      <c r="L19" s="200"/>
      <c r="M19" s="188"/>
      <c r="N19" s="188"/>
      <c r="O19" s="188"/>
      <c r="P19" s="188"/>
      <c r="Q19" s="200"/>
      <c r="R19" s="200"/>
      <c r="S19" s="200"/>
      <c r="T19" s="893"/>
      <c r="U19" s="893"/>
      <c r="V19" s="893"/>
      <c r="W19" s="200"/>
      <c r="X19" s="109">
        <v>5</v>
      </c>
      <c r="Y19" s="111"/>
      <c r="Z19" s="111"/>
      <c r="AA19" s="313">
        <f t="shared" si="2"/>
        <v>0.84197316685852408</v>
      </c>
      <c r="AB19" s="112">
        <f t="shared" si="0"/>
        <v>0</v>
      </c>
      <c r="AC19" s="112">
        <f t="shared" si="3"/>
        <v>0</v>
      </c>
      <c r="AD19" s="242">
        <f t="shared" si="1"/>
        <v>0</v>
      </c>
    </row>
    <row r="20" spans="1:32" ht="18.75" customHeight="1" x14ac:dyDescent="0.2">
      <c r="A20" s="217" t="s">
        <v>277</v>
      </c>
      <c r="B20" s="207"/>
      <c r="C20" s="208"/>
      <c r="D20" s="215"/>
      <c r="E20" s="188"/>
      <c r="F20" s="213"/>
      <c r="G20" s="207"/>
      <c r="H20" s="208"/>
      <c r="I20" s="192"/>
      <c r="J20" s="200"/>
      <c r="K20" s="200"/>
      <c r="L20" s="200"/>
      <c r="M20" s="217" t="s">
        <v>280</v>
      </c>
      <c r="N20" s="200"/>
      <c r="O20" s="200"/>
      <c r="P20" s="200"/>
      <c r="Q20" s="200"/>
      <c r="R20" s="200"/>
      <c r="S20" s="200"/>
      <c r="T20" s="200"/>
      <c r="U20" s="200"/>
      <c r="V20" s="200"/>
      <c r="W20" s="200"/>
      <c r="X20" s="109">
        <v>6</v>
      </c>
      <c r="Y20" s="111"/>
      <c r="Z20" s="111"/>
      <c r="AA20" s="313">
        <f t="shared" si="2"/>
        <v>0.81350064430775282</v>
      </c>
      <c r="AB20" s="112">
        <f t="shared" si="0"/>
        <v>0</v>
      </c>
      <c r="AC20" s="112">
        <f t="shared" si="3"/>
        <v>0</v>
      </c>
      <c r="AD20" s="242">
        <f t="shared" si="1"/>
        <v>0</v>
      </c>
      <c r="AE20" s="93"/>
    </row>
    <row r="21" spans="1:32" ht="27.75" customHeight="1" thickBot="1" x14ac:dyDescent="0.25">
      <c r="A21" s="209" t="s">
        <v>180</v>
      </c>
      <c r="B21" s="210"/>
      <c r="C21" s="210"/>
      <c r="D21" s="210"/>
      <c r="E21" s="210"/>
      <c r="F21" s="188"/>
      <c r="G21" s="188"/>
      <c r="H21" s="188"/>
      <c r="I21" s="188"/>
      <c r="J21" s="188"/>
      <c r="K21" s="188"/>
      <c r="L21" s="188"/>
      <c r="M21" s="209" t="s">
        <v>285</v>
      </c>
      <c r="N21" s="188"/>
      <c r="O21" s="188"/>
      <c r="P21" s="188"/>
      <c r="Q21" s="188"/>
      <c r="R21" s="188"/>
      <c r="S21" s="188"/>
      <c r="T21" s="188"/>
      <c r="U21" s="188"/>
      <c r="V21" s="188"/>
      <c r="W21" s="188"/>
      <c r="X21" s="109">
        <v>7</v>
      </c>
      <c r="Y21" s="111"/>
      <c r="Z21" s="111"/>
      <c r="AA21" s="313">
        <f t="shared" si="2"/>
        <v>0.78599096068381924</v>
      </c>
      <c r="AB21" s="112">
        <f t="shared" si="0"/>
        <v>0</v>
      </c>
      <c r="AC21" s="112">
        <f t="shared" si="3"/>
        <v>0</v>
      </c>
      <c r="AD21" s="242">
        <f t="shared" si="1"/>
        <v>0</v>
      </c>
      <c r="AE21" s="93"/>
    </row>
    <row r="22" spans="1:32" ht="18.75" customHeight="1" x14ac:dyDescent="0.2">
      <c r="A22" s="915" t="s">
        <v>305</v>
      </c>
      <c r="B22" s="916"/>
      <c r="C22" s="916"/>
      <c r="D22" s="917"/>
      <c r="E22" s="216"/>
      <c r="F22" s="881" t="s">
        <v>294</v>
      </c>
      <c r="G22" s="882"/>
      <c r="H22" s="882"/>
      <c r="I22" s="882"/>
      <c r="J22" s="883"/>
      <c r="K22" s="201"/>
      <c r="L22" s="201"/>
      <c r="M22" s="915" t="s">
        <v>293</v>
      </c>
      <c r="N22" s="916"/>
      <c r="O22" s="916"/>
      <c r="P22" s="917"/>
      <c r="Q22" s="78"/>
      <c r="R22" s="881" t="s">
        <v>295</v>
      </c>
      <c r="S22" s="882"/>
      <c r="T22" s="882"/>
      <c r="U22" s="882"/>
      <c r="V22" s="883"/>
      <c r="W22" s="201"/>
      <c r="X22" s="109">
        <v>8</v>
      </c>
      <c r="Y22" s="111"/>
      <c r="Z22" s="111"/>
      <c r="AA22" s="313">
        <f t="shared" si="2"/>
        <v>0.75941155621625045</v>
      </c>
      <c r="AB22" s="112">
        <f t="shared" si="0"/>
        <v>0</v>
      </c>
      <c r="AC22" s="112">
        <f t="shared" si="3"/>
        <v>0</v>
      </c>
      <c r="AD22" s="242">
        <f t="shared" si="1"/>
        <v>0</v>
      </c>
      <c r="AE22" s="93"/>
    </row>
    <row r="23" spans="1:32" ht="18.75" customHeight="1" thickBot="1" x14ac:dyDescent="0.25">
      <c r="A23" s="884" t="s">
        <v>134</v>
      </c>
      <c r="B23" s="918" t="s">
        <v>143</v>
      </c>
      <c r="C23" s="919"/>
      <c r="D23" s="920"/>
      <c r="E23" s="216"/>
      <c r="F23" s="921" t="s">
        <v>134</v>
      </c>
      <c r="G23" s="879" t="s">
        <v>251</v>
      </c>
      <c r="H23" s="888" t="s">
        <v>144</v>
      </c>
      <c r="I23" s="889"/>
      <c r="J23" s="890"/>
      <c r="K23" s="202"/>
      <c r="L23" s="202"/>
      <c r="M23" s="884" t="s">
        <v>259</v>
      </c>
      <c r="N23" s="918" t="s">
        <v>260</v>
      </c>
      <c r="O23" s="919"/>
      <c r="P23" s="920"/>
      <c r="Q23" s="78"/>
      <c r="R23" s="884" t="s">
        <v>259</v>
      </c>
      <c r="S23" s="879" t="s">
        <v>251</v>
      </c>
      <c r="T23" s="888" t="s">
        <v>264</v>
      </c>
      <c r="U23" s="889"/>
      <c r="V23" s="890"/>
      <c r="W23" s="202"/>
      <c r="X23" s="109">
        <v>9</v>
      </c>
      <c r="Y23" s="111"/>
      <c r="Z23" s="111"/>
      <c r="AA23" s="313">
        <f t="shared" si="2"/>
        <v>0.73373097218961403</v>
      </c>
      <c r="AB23" s="112">
        <f t="shared" si="0"/>
        <v>0</v>
      </c>
      <c r="AC23" s="112">
        <f t="shared" si="3"/>
        <v>0</v>
      </c>
      <c r="AD23" s="242">
        <f t="shared" si="1"/>
        <v>0</v>
      </c>
      <c r="AE23" s="93"/>
    </row>
    <row r="24" spans="1:32" ht="18.75" customHeight="1" x14ac:dyDescent="0.2">
      <c r="A24" s="885"/>
      <c r="B24" s="872" t="s">
        <v>141</v>
      </c>
      <c r="C24" s="874" t="s">
        <v>140</v>
      </c>
      <c r="D24" s="876" t="s">
        <v>142</v>
      </c>
      <c r="E24" s="216"/>
      <c r="F24" s="921"/>
      <c r="G24" s="879"/>
      <c r="H24" s="872" t="s">
        <v>135</v>
      </c>
      <c r="I24" s="874" t="s">
        <v>140</v>
      </c>
      <c r="J24" s="876" t="s">
        <v>139</v>
      </c>
      <c r="K24" s="203"/>
      <c r="L24" s="203"/>
      <c r="M24" s="885"/>
      <c r="N24" s="872" t="s">
        <v>263</v>
      </c>
      <c r="O24" s="874" t="s">
        <v>262</v>
      </c>
      <c r="P24" s="876" t="s">
        <v>261</v>
      </c>
      <c r="Q24" s="78"/>
      <c r="R24" s="885"/>
      <c r="S24" s="879"/>
      <c r="T24" s="872" t="s">
        <v>263</v>
      </c>
      <c r="U24" s="874" t="s">
        <v>262</v>
      </c>
      <c r="V24" s="876" t="s">
        <v>261</v>
      </c>
      <c r="W24" s="203"/>
      <c r="X24" s="109">
        <v>10</v>
      </c>
      <c r="Y24" s="111"/>
      <c r="Z24" s="111"/>
      <c r="AA24" s="313">
        <f t="shared" si="2"/>
        <v>0.70891881370977206</v>
      </c>
      <c r="AB24" s="112">
        <f t="shared" si="0"/>
        <v>0</v>
      </c>
      <c r="AC24" s="112">
        <f t="shared" si="3"/>
        <v>0</v>
      </c>
      <c r="AD24" s="242">
        <f t="shared" si="1"/>
        <v>0</v>
      </c>
    </row>
    <row r="25" spans="1:32" ht="59.25" customHeight="1" thickBot="1" x14ac:dyDescent="0.25">
      <c r="A25" s="885"/>
      <c r="B25" s="873"/>
      <c r="C25" s="875"/>
      <c r="D25" s="877"/>
      <c r="E25" s="216"/>
      <c r="F25" s="921"/>
      <c r="G25" s="879"/>
      <c r="H25" s="873"/>
      <c r="I25" s="875"/>
      <c r="J25" s="877"/>
      <c r="K25" s="203"/>
      <c r="L25" s="203"/>
      <c r="M25" s="885"/>
      <c r="N25" s="873"/>
      <c r="O25" s="875"/>
      <c r="P25" s="877"/>
      <c r="Q25" s="78"/>
      <c r="R25" s="885"/>
      <c r="S25" s="879"/>
      <c r="T25" s="873"/>
      <c r="U25" s="875"/>
      <c r="V25" s="877"/>
      <c r="W25" s="203"/>
      <c r="X25" s="109">
        <v>11</v>
      </c>
      <c r="Y25" s="111"/>
      <c r="Z25" s="111"/>
      <c r="AA25" s="313">
        <f t="shared" si="2"/>
        <v>0.6849457137292484</v>
      </c>
      <c r="AB25" s="112">
        <f t="shared" si="0"/>
        <v>0</v>
      </c>
      <c r="AC25" s="112">
        <f t="shared" si="3"/>
        <v>0</v>
      </c>
      <c r="AD25" s="242">
        <f t="shared" si="1"/>
        <v>0</v>
      </c>
    </row>
    <row r="26" spans="1:32" ht="18.75" customHeight="1" thickBot="1" x14ac:dyDescent="0.25">
      <c r="A26" s="886"/>
      <c r="B26" s="29">
        <f>SUM(B27:B128)</f>
        <v>0</v>
      </c>
      <c r="C26" s="36">
        <f>SUM(C27:C128)</f>
        <v>0</v>
      </c>
      <c r="D26" s="37">
        <f>SUM(D27:D128)</f>
        <v>0</v>
      </c>
      <c r="E26" s="216"/>
      <c r="F26" s="922"/>
      <c r="G26" s="887"/>
      <c r="H26" s="29">
        <f>SUM(H27:H128)</f>
        <v>0</v>
      </c>
      <c r="I26" s="30">
        <f>SUM(I27:I128)</f>
        <v>0</v>
      </c>
      <c r="J26" s="37">
        <f>SUM(J27:J128)</f>
        <v>0</v>
      </c>
      <c r="K26" s="204"/>
      <c r="L26" s="204"/>
      <c r="M26" s="886"/>
      <c r="N26" s="230">
        <f>SUM(N27:N128)</f>
        <v>0</v>
      </c>
      <c r="O26" s="230">
        <f>SUM(O27:O128)</f>
        <v>0</v>
      </c>
      <c r="P26" s="230">
        <f>SUM(P27:P128)</f>
        <v>0</v>
      </c>
      <c r="Q26" s="78"/>
      <c r="R26" s="886"/>
      <c r="S26" s="887"/>
      <c r="T26" s="231">
        <f>SUM(T27:T128)</f>
        <v>0</v>
      </c>
      <c r="U26" s="233">
        <f>SUM(U27:U128)</f>
        <v>0</v>
      </c>
      <c r="V26" s="234">
        <f>SUM(V27:V128)</f>
        <v>0</v>
      </c>
      <c r="W26" s="204"/>
      <c r="X26" s="109">
        <v>12</v>
      </c>
      <c r="Y26" s="111"/>
      <c r="Z26" s="111"/>
      <c r="AA26" s="313">
        <f t="shared" si="2"/>
        <v>0.66178329828912896</v>
      </c>
      <c r="AB26" s="112">
        <f t="shared" si="0"/>
        <v>0</v>
      </c>
      <c r="AC26" s="112">
        <f t="shared" si="3"/>
        <v>0</v>
      </c>
      <c r="AD26" s="242">
        <f t="shared" si="1"/>
        <v>0</v>
      </c>
    </row>
    <row r="27" spans="1:32" ht="18.75" customHeight="1" x14ac:dyDescent="0.2">
      <c r="A27" s="70" t="s">
        <v>136</v>
      </c>
      <c r="B27" s="21"/>
      <c r="C27" s="73"/>
      <c r="D27" s="24">
        <f>B27</f>
        <v>0</v>
      </c>
      <c r="E27" s="216"/>
      <c r="F27" s="70" t="s">
        <v>136</v>
      </c>
      <c r="G27" s="74">
        <v>1</v>
      </c>
      <c r="H27" s="28">
        <f>B27</f>
        <v>0</v>
      </c>
      <c r="I27" s="31"/>
      <c r="J27" s="24">
        <f>H27</f>
        <v>0</v>
      </c>
      <c r="K27" s="205"/>
      <c r="L27" s="205"/>
      <c r="M27" s="70" t="s">
        <v>136</v>
      </c>
      <c r="N27" s="21"/>
      <c r="O27" s="240"/>
      <c r="P27" s="230">
        <f>N27</f>
        <v>0</v>
      </c>
      <c r="Q27" s="78"/>
      <c r="R27" s="70" t="s">
        <v>136</v>
      </c>
      <c r="S27" s="74">
        <v>1</v>
      </c>
      <c r="T27" s="232">
        <f t="shared" ref="T27:T58" si="4">IFERROR(IF($V$6="No",0,IF(AND($V$13=0,$V$14=0),N27*S27,IF($V$13&gt;0,H27*$V$13,IF($V$14&gt;0,IF(AND($V$6="Yes",$V$7="Yes"),((B27/$D$26)*$V$14)*S27,((B27/$B$26)*$V$14)*S27))))),0)</f>
        <v>0</v>
      </c>
      <c r="U27" s="239"/>
      <c r="V27" s="235">
        <f>T27</f>
        <v>0</v>
      </c>
      <c r="W27" s="205"/>
      <c r="X27" s="109">
        <v>13</v>
      </c>
      <c r="Y27" s="111"/>
      <c r="Z27" s="111"/>
      <c r="AA27" s="313">
        <f t="shared" si="2"/>
        <v>0.63940415293635644</v>
      </c>
      <c r="AB27" s="112">
        <f t="shared" si="0"/>
        <v>0</v>
      </c>
      <c r="AC27" s="112">
        <f t="shared" si="3"/>
        <v>0</v>
      </c>
      <c r="AD27" s="242">
        <f t="shared" si="1"/>
        <v>0</v>
      </c>
    </row>
    <row r="28" spans="1:32" ht="18.75" customHeight="1" x14ac:dyDescent="0.2">
      <c r="A28" s="71" t="s">
        <v>137</v>
      </c>
      <c r="B28" s="19"/>
      <c r="C28" s="22"/>
      <c r="D28" s="25">
        <f t="shared" ref="D28:D91" si="5">B28+C28</f>
        <v>0</v>
      </c>
      <c r="E28" s="216"/>
      <c r="F28" s="71" t="s">
        <v>137</v>
      </c>
      <c r="G28" s="75">
        <v>1</v>
      </c>
      <c r="H28" s="32">
        <f t="shared" ref="H28:H91" si="6">B28*G28</f>
        <v>0</v>
      </c>
      <c r="I28" s="33">
        <f t="shared" ref="I28:I91" si="7">C28*G28</f>
        <v>0</v>
      </c>
      <c r="J28" s="25">
        <f>H28+I28</f>
        <v>0</v>
      </c>
      <c r="K28" s="205"/>
      <c r="L28" s="205"/>
      <c r="M28" s="71" t="s">
        <v>137</v>
      </c>
      <c r="N28" s="19"/>
      <c r="O28" s="22"/>
      <c r="P28" s="230">
        <f t="shared" ref="P28:P91" si="8">N28+O28</f>
        <v>0</v>
      </c>
      <c r="Q28" s="78"/>
      <c r="R28" s="71" t="s">
        <v>137</v>
      </c>
      <c r="S28" s="75">
        <v>1</v>
      </c>
      <c r="T28" s="232">
        <f t="shared" si="4"/>
        <v>0</v>
      </c>
      <c r="U28" s="236">
        <f t="shared" ref="U28:U59" si="9">IFERROR(IF($V$7="No",0,IF(AND($V$13=0,$V$14=0),O27*S27,IF($V$13&gt;0,I27*$V$13,IF($V$14&gt;0,IF(AND($V$6="Yes",$V$7="Yes"),((C27/$D$26)*$V$14)*S27,((C27/$C$26)*$V$14)*S27))))),0)</f>
        <v>0</v>
      </c>
      <c r="V28" s="237">
        <f>T28+U28</f>
        <v>0</v>
      </c>
      <c r="W28" s="205"/>
      <c r="X28" s="109">
        <v>14</v>
      </c>
      <c r="Y28" s="111"/>
      <c r="Z28" s="111"/>
      <c r="AA28" s="313">
        <f t="shared" si="2"/>
        <v>0.61778179027667302</v>
      </c>
      <c r="AB28" s="112">
        <f t="shared" si="0"/>
        <v>0</v>
      </c>
      <c r="AC28" s="112">
        <f t="shared" si="3"/>
        <v>0</v>
      </c>
      <c r="AD28" s="242">
        <f t="shared" si="1"/>
        <v>0</v>
      </c>
    </row>
    <row r="29" spans="1:32" ht="18.75" customHeight="1" x14ac:dyDescent="0.2">
      <c r="A29" s="71">
        <v>1</v>
      </c>
      <c r="B29" s="19"/>
      <c r="C29" s="22"/>
      <c r="D29" s="25">
        <f t="shared" si="5"/>
        <v>0</v>
      </c>
      <c r="E29" s="216"/>
      <c r="F29" s="71">
        <v>1</v>
      </c>
      <c r="G29" s="75">
        <v>0.96618357487922713</v>
      </c>
      <c r="H29" s="32">
        <f t="shared" si="6"/>
        <v>0</v>
      </c>
      <c r="I29" s="33">
        <f t="shared" si="7"/>
        <v>0</v>
      </c>
      <c r="J29" s="25">
        <f t="shared" ref="J29:J92" si="10">H29+I29</f>
        <v>0</v>
      </c>
      <c r="K29" s="205"/>
      <c r="L29" s="205"/>
      <c r="M29" s="71">
        <v>1</v>
      </c>
      <c r="N29" s="19"/>
      <c r="O29" s="22"/>
      <c r="P29" s="230">
        <f t="shared" si="8"/>
        <v>0</v>
      </c>
      <c r="Q29" s="78"/>
      <c r="R29" s="71">
        <v>1</v>
      </c>
      <c r="S29" s="75">
        <v>0.96618357487922713</v>
      </c>
      <c r="T29" s="232">
        <f t="shared" si="4"/>
        <v>0</v>
      </c>
      <c r="U29" s="236">
        <f t="shared" si="9"/>
        <v>0</v>
      </c>
      <c r="V29" s="237">
        <f t="shared" ref="V29:V92" si="11">T29+U29</f>
        <v>0</v>
      </c>
      <c r="W29" s="205"/>
      <c r="X29" s="109">
        <v>15</v>
      </c>
      <c r="Y29" s="111"/>
      <c r="Z29" s="111"/>
      <c r="AA29" s="313">
        <f t="shared" si="2"/>
        <v>0.59689061862480486</v>
      </c>
      <c r="AB29" s="112">
        <f t="shared" si="0"/>
        <v>0</v>
      </c>
      <c r="AC29" s="112">
        <f t="shared" si="3"/>
        <v>0</v>
      </c>
      <c r="AD29" s="242">
        <f t="shared" si="1"/>
        <v>0</v>
      </c>
    </row>
    <row r="30" spans="1:32" ht="18.75" customHeight="1" x14ac:dyDescent="0.2">
      <c r="A30" s="71">
        <v>2</v>
      </c>
      <c r="B30" s="19"/>
      <c r="C30" s="22"/>
      <c r="D30" s="25">
        <f t="shared" si="5"/>
        <v>0</v>
      </c>
      <c r="E30" s="216"/>
      <c r="F30" s="71">
        <v>2</v>
      </c>
      <c r="G30" s="75">
        <v>0.93351070036640305</v>
      </c>
      <c r="H30" s="32">
        <f t="shared" si="6"/>
        <v>0</v>
      </c>
      <c r="I30" s="33">
        <f t="shared" si="7"/>
        <v>0</v>
      </c>
      <c r="J30" s="25">
        <f t="shared" si="10"/>
        <v>0</v>
      </c>
      <c r="K30" s="205"/>
      <c r="L30" s="205"/>
      <c r="M30" s="71">
        <v>2</v>
      </c>
      <c r="N30" s="19"/>
      <c r="O30" s="22"/>
      <c r="P30" s="230">
        <f t="shared" si="8"/>
        <v>0</v>
      </c>
      <c r="Q30" s="78"/>
      <c r="R30" s="71">
        <v>2</v>
      </c>
      <c r="S30" s="75">
        <v>0.93351070036640305</v>
      </c>
      <c r="T30" s="232">
        <f t="shared" si="4"/>
        <v>0</v>
      </c>
      <c r="U30" s="236">
        <f t="shared" si="9"/>
        <v>0</v>
      </c>
      <c r="V30" s="237">
        <f t="shared" si="11"/>
        <v>0</v>
      </c>
      <c r="W30" s="205"/>
      <c r="X30" s="109">
        <v>16</v>
      </c>
      <c r="Y30" s="111"/>
      <c r="Z30" s="111"/>
      <c r="AA30" s="313">
        <f t="shared" si="2"/>
        <v>0.57670591171478736</v>
      </c>
      <c r="AB30" s="112">
        <f t="shared" si="0"/>
        <v>0</v>
      </c>
      <c r="AC30" s="112">
        <f t="shared" si="3"/>
        <v>0</v>
      </c>
      <c r="AD30" s="242">
        <f t="shared" si="1"/>
        <v>0</v>
      </c>
    </row>
    <row r="31" spans="1:32" ht="18.75" customHeight="1" x14ac:dyDescent="0.2">
      <c r="A31" s="71">
        <v>3</v>
      </c>
      <c r="B31" s="19"/>
      <c r="C31" s="22"/>
      <c r="D31" s="25">
        <f t="shared" si="5"/>
        <v>0</v>
      </c>
      <c r="E31" s="216"/>
      <c r="F31" s="71">
        <v>3</v>
      </c>
      <c r="G31" s="75">
        <v>0.90194270566802237</v>
      </c>
      <c r="H31" s="32">
        <f t="shared" si="6"/>
        <v>0</v>
      </c>
      <c r="I31" s="33">
        <f t="shared" si="7"/>
        <v>0</v>
      </c>
      <c r="J31" s="25">
        <f t="shared" si="10"/>
        <v>0</v>
      </c>
      <c r="K31" s="205"/>
      <c r="L31" s="205"/>
      <c r="M31" s="71">
        <v>3</v>
      </c>
      <c r="N31" s="19"/>
      <c r="O31" s="22"/>
      <c r="P31" s="230">
        <f t="shared" si="8"/>
        <v>0</v>
      </c>
      <c r="Q31" s="78"/>
      <c r="R31" s="71">
        <v>3</v>
      </c>
      <c r="S31" s="75">
        <v>0.90194270566802237</v>
      </c>
      <c r="T31" s="232">
        <f t="shared" si="4"/>
        <v>0</v>
      </c>
      <c r="U31" s="236">
        <f t="shared" si="9"/>
        <v>0</v>
      </c>
      <c r="V31" s="237">
        <f t="shared" si="11"/>
        <v>0</v>
      </c>
      <c r="W31" s="205"/>
      <c r="X31" s="109">
        <v>17</v>
      </c>
      <c r="Y31" s="111"/>
      <c r="Z31" s="111"/>
      <c r="AA31" s="313">
        <f t="shared" si="2"/>
        <v>0.55720377943457722</v>
      </c>
      <c r="AB31" s="112">
        <f t="shared" si="0"/>
        <v>0</v>
      </c>
      <c r="AC31" s="112">
        <f t="shared" si="3"/>
        <v>0</v>
      </c>
      <c r="AD31" s="242">
        <f t="shared" si="1"/>
        <v>0</v>
      </c>
    </row>
    <row r="32" spans="1:32" ht="18.75" customHeight="1" x14ac:dyDescent="0.2">
      <c r="A32" s="71">
        <v>4</v>
      </c>
      <c r="B32" s="19"/>
      <c r="C32" s="22"/>
      <c r="D32" s="25">
        <f t="shared" si="5"/>
        <v>0</v>
      </c>
      <c r="E32" s="216"/>
      <c r="F32" s="71">
        <v>4</v>
      </c>
      <c r="G32" s="75">
        <v>0.87144222769857238</v>
      </c>
      <c r="H32" s="32">
        <f t="shared" si="6"/>
        <v>0</v>
      </c>
      <c r="I32" s="33">
        <f t="shared" si="7"/>
        <v>0</v>
      </c>
      <c r="J32" s="25">
        <f t="shared" si="10"/>
        <v>0</v>
      </c>
      <c r="K32" s="205"/>
      <c r="L32" s="205"/>
      <c r="M32" s="71">
        <v>4</v>
      </c>
      <c r="N32" s="19"/>
      <c r="O32" s="22"/>
      <c r="P32" s="230">
        <f t="shared" si="8"/>
        <v>0</v>
      </c>
      <c r="Q32" s="78"/>
      <c r="R32" s="71">
        <v>4</v>
      </c>
      <c r="S32" s="75">
        <v>0.87144222769857238</v>
      </c>
      <c r="T32" s="232">
        <f t="shared" si="4"/>
        <v>0</v>
      </c>
      <c r="U32" s="236">
        <f t="shared" si="9"/>
        <v>0</v>
      </c>
      <c r="V32" s="237">
        <f t="shared" si="11"/>
        <v>0</v>
      </c>
      <c r="W32" s="205"/>
      <c r="X32" s="109">
        <v>18</v>
      </c>
      <c r="Y32" s="111"/>
      <c r="Z32" s="111"/>
      <c r="AA32" s="313">
        <f t="shared" si="2"/>
        <v>0.53836113955031617</v>
      </c>
      <c r="AB32" s="112">
        <f t="shared" si="0"/>
        <v>0</v>
      </c>
      <c r="AC32" s="112">
        <f t="shared" si="3"/>
        <v>0</v>
      </c>
      <c r="AD32" s="242">
        <f t="shared" si="1"/>
        <v>0</v>
      </c>
    </row>
    <row r="33" spans="1:30" ht="18.75" customHeight="1" x14ac:dyDescent="0.2">
      <c r="A33" s="71">
        <v>5</v>
      </c>
      <c r="B33" s="19"/>
      <c r="C33" s="22"/>
      <c r="D33" s="25">
        <f t="shared" si="5"/>
        <v>0</v>
      </c>
      <c r="E33" s="216"/>
      <c r="F33" s="71">
        <v>5</v>
      </c>
      <c r="G33" s="75">
        <v>0.84197316685852408</v>
      </c>
      <c r="H33" s="32">
        <f t="shared" si="6"/>
        <v>0</v>
      </c>
      <c r="I33" s="33">
        <f t="shared" si="7"/>
        <v>0</v>
      </c>
      <c r="J33" s="25">
        <f t="shared" si="10"/>
        <v>0</v>
      </c>
      <c r="K33" s="205"/>
      <c r="L33" s="205"/>
      <c r="M33" s="71">
        <v>5</v>
      </c>
      <c r="N33" s="19"/>
      <c r="O33" s="22"/>
      <c r="P33" s="230">
        <f t="shared" si="8"/>
        <v>0</v>
      </c>
      <c r="Q33" s="78"/>
      <c r="R33" s="71">
        <v>5</v>
      </c>
      <c r="S33" s="75">
        <v>0.84197316685852408</v>
      </c>
      <c r="T33" s="232">
        <f t="shared" si="4"/>
        <v>0</v>
      </c>
      <c r="U33" s="236">
        <f t="shared" si="9"/>
        <v>0</v>
      </c>
      <c r="V33" s="237">
        <f t="shared" si="11"/>
        <v>0</v>
      </c>
      <c r="W33" s="205"/>
      <c r="X33" s="109">
        <v>19</v>
      </c>
      <c r="Y33" s="111"/>
      <c r="Z33" s="111"/>
      <c r="AA33" s="313">
        <f t="shared" si="2"/>
        <v>0.520155690386779</v>
      </c>
      <c r="AB33" s="112">
        <f t="shared" si="0"/>
        <v>0</v>
      </c>
      <c r="AC33" s="112">
        <f t="shared" si="3"/>
        <v>0</v>
      </c>
      <c r="AD33" s="242">
        <f t="shared" si="1"/>
        <v>0</v>
      </c>
    </row>
    <row r="34" spans="1:30" ht="18.75" customHeight="1" x14ac:dyDescent="0.2">
      <c r="A34" s="71">
        <v>6</v>
      </c>
      <c r="B34" s="19"/>
      <c r="C34" s="22"/>
      <c r="D34" s="25">
        <f t="shared" si="5"/>
        <v>0</v>
      </c>
      <c r="E34" s="216"/>
      <c r="F34" s="71">
        <v>6</v>
      </c>
      <c r="G34" s="75">
        <v>0.81350064430775282</v>
      </c>
      <c r="H34" s="32">
        <f t="shared" si="6"/>
        <v>0</v>
      </c>
      <c r="I34" s="33">
        <f t="shared" si="7"/>
        <v>0</v>
      </c>
      <c r="J34" s="25">
        <f t="shared" si="10"/>
        <v>0</v>
      </c>
      <c r="K34" s="205"/>
      <c r="L34" s="205"/>
      <c r="M34" s="71">
        <v>6</v>
      </c>
      <c r="N34" s="19"/>
      <c r="O34" s="22"/>
      <c r="P34" s="230">
        <f t="shared" si="8"/>
        <v>0</v>
      </c>
      <c r="Q34" s="78"/>
      <c r="R34" s="71">
        <v>6</v>
      </c>
      <c r="S34" s="75">
        <v>0.81350064430775282</v>
      </c>
      <c r="T34" s="232">
        <f t="shared" si="4"/>
        <v>0</v>
      </c>
      <c r="U34" s="236">
        <f t="shared" si="9"/>
        <v>0</v>
      </c>
      <c r="V34" s="237">
        <f t="shared" si="11"/>
        <v>0</v>
      </c>
      <c r="W34" s="205"/>
      <c r="X34" s="109">
        <v>20</v>
      </c>
      <c r="Y34" s="111"/>
      <c r="Z34" s="111"/>
      <c r="AA34" s="313">
        <f t="shared" si="2"/>
        <v>0.5025658844316705</v>
      </c>
      <c r="AB34" s="112">
        <f t="shared" si="0"/>
        <v>0</v>
      </c>
      <c r="AC34" s="112">
        <f t="shared" si="3"/>
        <v>0</v>
      </c>
      <c r="AD34" s="242">
        <f t="shared" si="1"/>
        <v>0</v>
      </c>
    </row>
    <row r="35" spans="1:30" ht="18.75" customHeight="1" x14ac:dyDescent="0.2">
      <c r="A35" s="71">
        <v>7</v>
      </c>
      <c r="B35" s="19"/>
      <c r="C35" s="22"/>
      <c r="D35" s="25">
        <f t="shared" si="5"/>
        <v>0</v>
      </c>
      <c r="E35" s="216"/>
      <c r="F35" s="71">
        <v>7</v>
      </c>
      <c r="G35" s="75">
        <v>0.78599096068381924</v>
      </c>
      <c r="H35" s="32">
        <f t="shared" si="6"/>
        <v>0</v>
      </c>
      <c r="I35" s="33">
        <f t="shared" si="7"/>
        <v>0</v>
      </c>
      <c r="J35" s="25">
        <f t="shared" si="10"/>
        <v>0</v>
      </c>
      <c r="K35" s="205"/>
      <c r="L35" s="205"/>
      <c r="M35" s="71">
        <v>7</v>
      </c>
      <c r="N35" s="19"/>
      <c r="O35" s="22"/>
      <c r="P35" s="230">
        <f t="shared" si="8"/>
        <v>0</v>
      </c>
      <c r="Q35" s="78"/>
      <c r="R35" s="71">
        <v>7</v>
      </c>
      <c r="S35" s="75">
        <v>0.78599096068381924</v>
      </c>
      <c r="T35" s="232">
        <f t="shared" si="4"/>
        <v>0</v>
      </c>
      <c r="U35" s="236">
        <f t="shared" si="9"/>
        <v>0</v>
      </c>
      <c r="V35" s="237">
        <f t="shared" si="11"/>
        <v>0</v>
      </c>
      <c r="W35" s="205"/>
      <c r="X35" s="109">
        <v>21</v>
      </c>
      <c r="Y35" s="111"/>
      <c r="Z35" s="111"/>
      <c r="AA35" s="313">
        <f t="shared" si="2"/>
        <v>0.4855709028325319</v>
      </c>
      <c r="AB35" s="112">
        <f t="shared" si="0"/>
        <v>0</v>
      </c>
      <c r="AC35" s="112">
        <f t="shared" si="3"/>
        <v>0</v>
      </c>
      <c r="AD35" s="242">
        <f t="shared" si="1"/>
        <v>0</v>
      </c>
    </row>
    <row r="36" spans="1:30" ht="18.75" customHeight="1" x14ac:dyDescent="0.2">
      <c r="A36" s="71">
        <v>8</v>
      </c>
      <c r="B36" s="19"/>
      <c r="C36" s="22"/>
      <c r="D36" s="25">
        <f t="shared" si="5"/>
        <v>0</v>
      </c>
      <c r="E36" s="216"/>
      <c r="F36" s="71">
        <v>8</v>
      </c>
      <c r="G36" s="75">
        <v>0.75941155621625056</v>
      </c>
      <c r="H36" s="32">
        <f t="shared" si="6"/>
        <v>0</v>
      </c>
      <c r="I36" s="33">
        <f t="shared" si="7"/>
        <v>0</v>
      </c>
      <c r="J36" s="25">
        <f t="shared" si="10"/>
        <v>0</v>
      </c>
      <c r="K36" s="205"/>
      <c r="L36" s="205"/>
      <c r="M36" s="71">
        <v>8</v>
      </c>
      <c r="N36" s="19"/>
      <c r="O36" s="22"/>
      <c r="P36" s="230">
        <f t="shared" si="8"/>
        <v>0</v>
      </c>
      <c r="Q36" s="78"/>
      <c r="R36" s="71">
        <v>8</v>
      </c>
      <c r="S36" s="75">
        <v>0.75941155621625056</v>
      </c>
      <c r="T36" s="232">
        <f t="shared" si="4"/>
        <v>0</v>
      </c>
      <c r="U36" s="236">
        <f t="shared" si="9"/>
        <v>0</v>
      </c>
      <c r="V36" s="237">
        <f t="shared" si="11"/>
        <v>0</v>
      </c>
      <c r="W36" s="205"/>
      <c r="X36" s="109">
        <v>22</v>
      </c>
      <c r="Y36" s="111"/>
      <c r="Z36" s="111"/>
      <c r="AA36" s="313">
        <f t="shared" si="2"/>
        <v>0.46915063075606955</v>
      </c>
      <c r="AB36" s="112">
        <f t="shared" si="0"/>
        <v>0</v>
      </c>
      <c r="AC36" s="112">
        <f t="shared" si="3"/>
        <v>0</v>
      </c>
      <c r="AD36" s="242">
        <f t="shared" si="1"/>
        <v>0</v>
      </c>
    </row>
    <row r="37" spans="1:30" ht="18.75" customHeight="1" x14ac:dyDescent="0.2">
      <c r="A37" s="71">
        <v>9</v>
      </c>
      <c r="B37" s="19"/>
      <c r="C37" s="22"/>
      <c r="D37" s="25">
        <f t="shared" si="5"/>
        <v>0</v>
      </c>
      <c r="E37" s="216"/>
      <c r="F37" s="71">
        <v>9</v>
      </c>
      <c r="G37" s="75">
        <v>0.73373097218961414</v>
      </c>
      <c r="H37" s="32">
        <f t="shared" si="6"/>
        <v>0</v>
      </c>
      <c r="I37" s="33">
        <f t="shared" si="7"/>
        <v>0</v>
      </c>
      <c r="J37" s="25">
        <f t="shared" si="10"/>
        <v>0</v>
      </c>
      <c r="K37" s="205"/>
      <c r="L37" s="205"/>
      <c r="M37" s="71">
        <v>9</v>
      </c>
      <c r="N37" s="19"/>
      <c r="O37" s="22"/>
      <c r="P37" s="230">
        <f t="shared" si="8"/>
        <v>0</v>
      </c>
      <c r="Q37" s="78"/>
      <c r="R37" s="71">
        <v>9</v>
      </c>
      <c r="S37" s="75">
        <v>0.73373097218961414</v>
      </c>
      <c r="T37" s="232">
        <f t="shared" si="4"/>
        <v>0</v>
      </c>
      <c r="U37" s="236">
        <f t="shared" si="9"/>
        <v>0</v>
      </c>
      <c r="V37" s="237">
        <f t="shared" si="11"/>
        <v>0</v>
      </c>
      <c r="W37" s="205"/>
      <c r="X37" s="109">
        <v>23</v>
      </c>
      <c r="Y37" s="111"/>
      <c r="Z37" s="111"/>
      <c r="AA37" s="313">
        <f t="shared" si="2"/>
        <v>0.45328563358074359</v>
      </c>
      <c r="AB37" s="112">
        <f t="shared" si="0"/>
        <v>0</v>
      </c>
      <c r="AC37" s="112">
        <f t="shared" si="3"/>
        <v>0</v>
      </c>
      <c r="AD37" s="242">
        <f t="shared" si="1"/>
        <v>0</v>
      </c>
    </row>
    <row r="38" spans="1:30" ht="18.75" customHeight="1" x14ac:dyDescent="0.2">
      <c r="A38" s="71">
        <v>10</v>
      </c>
      <c r="B38" s="19"/>
      <c r="C38" s="22"/>
      <c r="D38" s="25">
        <f t="shared" si="5"/>
        <v>0</v>
      </c>
      <c r="E38" s="216"/>
      <c r="F38" s="71">
        <v>10</v>
      </c>
      <c r="G38" s="75">
        <v>0.70891881370977217</v>
      </c>
      <c r="H38" s="32">
        <f t="shared" si="6"/>
        <v>0</v>
      </c>
      <c r="I38" s="33">
        <f t="shared" si="7"/>
        <v>0</v>
      </c>
      <c r="J38" s="25">
        <f t="shared" si="10"/>
        <v>0</v>
      </c>
      <c r="K38" s="205"/>
      <c r="L38" s="205"/>
      <c r="M38" s="71">
        <v>10</v>
      </c>
      <c r="N38" s="19"/>
      <c r="O38" s="22"/>
      <c r="P38" s="230">
        <f t="shared" si="8"/>
        <v>0</v>
      </c>
      <c r="Q38" s="78"/>
      <c r="R38" s="71">
        <v>10</v>
      </c>
      <c r="S38" s="75">
        <v>0.70891881370977217</v>
      </c>
      <c r="T38" s="232">
        <f t="shared" si="4"/>
        <v>0</v>
      </c>
      <c r="U38" s="236">
        <f t="shared" si="9"/>
        <v>0</v>
      </c>
      <c r="V38" s="237">
        <f t="shared" si="11"/>
        <v>0</v>
      </c>
      <c r="W38" s="205"/>
      <c r="X38" s="109">
        <v>24</v>
      </c>
      <c r="Y38" s="111"/>
      <c r="Z38" s="111"/>
      <c r="AA38" s="313">
        <f t="shared" si="2"/>
        <v>0.43795713389443819</v>
      </c>
      <c r="AB38" s="112">
        <f t="shared" si="0"/>
        <v>0</v>
      </c>
      <c r="AC38" s="112">
        <f t="shared" si="3"/>
        <v>0</v>
      </c>
      <c r="AD38" s="242">
        <f t="shared" si="1"/>
        <v>0</v>
      </c>
    </row>
    <row r="39" spans="1:30" ht="18.75" customHeight="1" x14ac:dyDescent="0.2">
      <c r="A39" s="71">
        <v>11</v>
      </c>
      <c r="B39" s="19"/>
      <c r="C39" s="22"/>
      <c r="D39" s="25">
        <f t="shared" si="5"/>
        <v>0</v>
      </c>
      <c r="E39" s="216"/>
      <c r="F39" s="71">
        <v>11</v>
      </c>
      <c r="G39" s="75">
        <v>0.68494571372924851</v>
      </c>
      <c r="H39" s="32">
        <f t="shared" si="6"/>
        <v>0</v>
      </c>
      <c r="I39" s="33">
        <f t="shared" si="7"/>
        <v>0</v>
      </c>
      <c r="J39" s="25">
        <f t="shared" si="10"/>
        <v>0</v>
      </c>
      <c r="K39" s="205"/>
      <c r="L39" s="205"/>
      <c r="M39" s="71">
        <v>11</v>
      </c>
      <c r="N39" s="19"/>
      <c r="O39" s="22"/>
      <c r="P39" s="230">
        <f t="shared" si="8"/>
        <v>0</v>
      </c>
      <c r="Q39" s="78"/>
      <c r="R39" s="71">
        <v>11</v>
      </c>
      <c r="S39" s="75">
        <v>0.68494571372924851</v>
      </c>
      <c r="T39" s="232">
        <f t="shared" si="4"/>
        <v>0</v>
      </c>
      <c r="U39" s="236">
        <f t="shared" si="9"/>
        <v>0</v>
      </c>
      <c r="V39" s="237">
        <f t="shared" si="11"/>
        <v>0</v>
      </c>
      <c r="W39" s="205"/>
      <c r="X39" s="109">
        <v>25</v>
      </c>
      <c r="Y39" s="111"/>
      <c r="Z39" s="111"/>
      <c r="AA39" s="313">
        <f t="shared" si="2"/>
        <v>0.42314698926998867</v>
      </c>
      <c r="AB39" s="112">
        <f t="shared" si="0"/>
        <v>0</v>
      </c>
      <c r="AC39" s="112">
        <f t="shared" si="3"/>
        <v>0</v>
      </c>
      <c r="AD39" s="242">
        <f t="shared" si="1"/>
        <v>0</v>
      </c>
    </row>
    <row r="40" spans="1:30" ht="18.75" customHeight="1" x14ac:dyDescent="0.2">
      <c r="A40" s="71">
        <v>12</v>
      </c>
      <c r="B40" s="19"/>
      <c r="C40" s="22"/>
      <c r="D40" s="25">
        <f t="shared" si="5"/>
        <v>0</v>
      </c>
      <c r="E40" s="216"/>
      <c r="F40" s="71">
        <v>12</v>
      </c>
      <c r="G40" s="75">
        <v>0.66178329828912907</v>
      </c>
      <c r="H40" s="32">
        <f t="shared" si="6"/>
        <v>0</v>
      </c>
      <c r="I40" s="33">
        <f t="shared" si="7"/>
        <v>0</v>
      </c>
      <c r="J40" s="25">
        <f t="shared" si="10"/>
        <v>0</v>
      </c>
      <c r="K40" s="205"/>
      <c r="L40" s="205"/>
      <c r="M40" s="71">
        <v>12</v>
      </c>
      <c r="N40" s="19"/>
      <c r="O40" s="22"/>
      <c r="P40" s="230">
        <f t="shared" si="8"/>
        <v>0</v>
      </c>
      <c r="Q40" s="78"/>
      <c r="R40" s="71">
        <v>12</v>
      </c>
      <c r="S40" s="75">
        <v>0.66178329828912907</v>
      </c>
      <c r="T40" s="232">
        <f t="shared" si="4"/>
        <v>0</v>
      </c>
      <c r="U40" s="236">
        <f t="shared" si="9"/>
        <v>0</v>
      </c>
      <c r="V40" s="237">
        <f t="shared" si="11"/>
        <v>0</v>
      </c>
      <c r="W40" s="205"/>
      <c r="X40" s="109">
        <v>26</v>
      </c>
      <c r="Y40" s="111"/>
      <c r="Z40" s="111"/>
      <c r="AA40" s="313">
        <f t="shared" si="2"/>
        <v>0.40883767079225958</v>
      </c>
      <c r="AB40" s="112">
        <f t="shared" si="0"/>
        <v>0</v>
      </c>
      <c r="AC40" s="112">
        <f t="shared" si="3"/>
        <v>0</v>
      </c>
      <c r="AD40" s="242">
        <f t="shared" si="1"/>
        <v>0</v>
      </c>
    </row>
    <row r="41" spans="1:30" ht="18.75" customHeight="1" x14ac:dyDescent="0.2">
      <c r="A41" s="71">
        <v>13</v>
      </c>
      <c r="B41" s="19"/>
      <c r="C41" s="22"/>
      <c r="D41" s="25">
        <f t="shared" si="5"/>
        <v>0</v>
      </c>
      <c r="E41" s="216"/>
      <c r="F41" s="71">
        <v>13</v>
      </c>
      <c r="G41" s="75">
        <v>0.63940415293635666</v>
      </c>
      <c r="H41" s="32">
        <f t="shared" si="6"/>
        <v>0</v>
      </c>
      <c r="I41" s="33">
        <f t="shared" si="7"/>
        <v>0</v>
      </c>
      <c r="J41" s="25">
        <f t="shared" si="10"/>
        <v>0</v>
      </c>
      <c r="K41" s="205"/>
      <c r="L41" s="205"/>
      <c r="M41" s="71">
        <v>13</v>
      </c>
      <c r="N41" s="19"/>
      <c r="O41" s="22"/>
      <c r="P41" s="230">
        <f t="shared" si="8"/>
        <v>0</v>
      </c>
      <c r="Q41" s="78"/>
      <c r="R41" s="71">
        <v>13</v>
      </c>
      <c r="S41" s="75">
        <v>0.63940415293635666</v>
      </c>
      <c r="T41" s="232">
        <f t="shared" si="4"/>
        <v>0</v>
      </c>
      <c r="U41" s="236">
        <f t="shared" si="9"/>
        <v>0</v>
      </c>
      <c r="V41" s="237">
        <f t="shared" si="11"/>
        <v>0</v>
      </c>
      <c r="W41" s="205"/>
      <c r="X41" s="109">
        <v>27</v>
      </c>
      <c r="Y41" s="111"/>
      <c r="Z41" s="111"/>
      <c r="AA41" s="313">
        <f t="shared" si="2"/>
        <v>0.39501224231136195</v>
      </c>
      <c r="AB41" s="112">
        <f t="shared" si="0"/>
        <v>0</v>
      </c>
      <c r="AC41" s="112">
        <f t="shared" si="3"/>
        <v>0</v>
      </c>
      <c r="AD41" s="242">
        <f t="shared" si="1"/>
        <v>0</v>
      </c>
    </row>
    <row r="42" spans="1:30" ht="18.75" customHeight="1" x14ac:dyDescent="0.2">
      <c r="A42" s="71">
        <v>14</v>
      </c>
      <c r="B42" s="19"/>
      <c r="C42" s="22"/>
      <c r="D42" s="25">
        <f t="shared" si="5"/>
        <v>0</v>
      </c>
      <c r="E42" s="216"/>
      <c r="F42" s="71">
        <v>14</v>
      </c>
      <c r="G42" s="75">
        <v>0.61778179027667313</v>
      </c>
      <c r="H42" s="32">
        <f t="shared" si="6"/>
        <v>0</v>
      </c>
      <c r="I42" s="33">
        <f t="shared" si="7"/>
        <v>0</v>
      </c>
      <c r="J42" s="25">
        <f t="shared" si="10"/>
        <v>0</v>
      </c>
      <c r="K42" s="205"/>
      <c r="L42" s="205"/>
      <c r="M42" s="71">
        <v>14</v>
      </c>
      <c r="N42" s="19"/>
      <c r="O42" s="22"/>
      <c r="P42" s="230">
        <f t="shared" si="8"/>
        <v>0</v>
      </c>
      <c r="Q42" s="78"/>
      <c r="R42" s="71">
        <v>14</v>
      </c>
      <c r="S42" s="75">
        <v>0.61778179027667313</v>
      </c>
      <c r="T42" s="232">
        <f t="shared" si="4"/>
        <v>0</v>
      </c>
      <c r="U42" s="236">
        <f t="shared" si="9"/>
        <v>0</v>
      </c>
      <c r="V42" s="237">
        <f t="shared" si="11"/>
        <v>0</v>
      </c>
      <c r="W42" s="205"/>
      <c r="X42" s="109">
        <v>28</v>
      </c>
      <c r="Y42" s="111"/>
      <c r="Z42" s="111"/>
      <c r="AA42" s="313">
        <f t="shared" si="2"/>
        <v>0.38165434039745122</v>
      </c>
      <c r="AB42" s="112">
        <f t="shared" si="0"/>
        <v>0</v>
      </c>
      <c r="AC42" s="112">
        <f t="shared" si="3"/>
        <v>0</v>
      </c>
      <c r="AD42" s="242">
        <f t="shared" si="1"/>
        <v>0</v>
      </c>
    </row>
    <row r="43" spans="1:30" ht="18.75" customHeight="1" x14ac:dyDescent="0.2">
      <c r="A43" s="71">
        <v>15</v>
      </c>
      <c r="B43" s="19"/>
      <c r="C43" s="22"/>
      <c r="D43" s="25">
        <f t="shared" si="5"/>
        <v>0</v>
      </c>
      <c r="E43" s="216"/>
      <c r="F43" s="71">
        <v>15</v>
      </c>
      <c r="G43" s="75">
        <v>0.59689061862480497</v>
      </c>
      <c r="H43" s="32">
        <f t="shared" si="6"/>
        <v>0</v>
      </c>
      <c r="I43" s="33">
        <f t="shared" si="7"/>
        <v>0</v>
      </c>
      <c r="J43" s="25">
        <f t="shared" si="10"/>
        <v>0</v>
      </c>
      <c r="K43" s="205"/>
      <c r="L43" s="205"/>
      <c r="M43" s="71">
        <v>15</v>
      </c>
      <c r="N43" s="19"/>
      <c r="O43" s="22"/>
      <c r="P43" s="230">
        <f t="shared" si="8"/>
        <v>0</v>
      </c>
      <c r="Q43" s="78"/>
      <c r="R43" s="71">
        <v>15</v>
      </c>
      <c r="S43" s="75">
        <v>0.59689061862480497</v>
      </c>
      <c r="T43" s="232">
        <f t="shared" si="4"/>
        <v>0</v>
      </c>
      <c r="U43" s="236">
        <f t="shared" si="9"/>
        <v>0</v>
      </c>
      <c r="V43" s="237">
        <f t="shared" si="11"/>
        <v>0</v>
      </c>
      <c r="W43" s="205"/>
      <c r="X43" s="109">
        <v>29</v>
      </c>
      <c r="Y43" s="111"/>
      <c r="Z43" s="111"/>
      <c r="AA43" s="313">
        <f t="shared" si="2"/>
        <v>0.36874815497338276</v>
      </c>
      <c r="AB43" s="112">
        <f t="shared" si="0"/>
        <v>0</v>
      </c>
      <c r="AC43" s="112">
        <f t="shared" si="3"/>
        <v>0</v>
      </c>
      <c r="AD43" s="242">
        <f t="shared" si="1"/>
        <v>0</v>
      </c>
    </row>
    <row r="44" spans="1:30" ht="18.75" customHeight="1" x14ac:dyDescent="0.2">
      <c r="A44" s="71">
        <v>16</v>
      </c>
      <c r="B44" s="19"/>
      <c r="C44" s="22"/>
      <c r="D44" s="25">
        <f t="shared" si="5"/>
        <v>0</v>
      </c>
      <c r="E44" s="216"/>
      <c r="F44" s="71">
        <v>16</v>
      </c>
      <c r="G44" s="75">
        <v>0.57670591171478747</v>
      </c>
      <c r="H44" s="32">
        <f t="shared" si="6"/>
        <v>0</v>
      </c>
      <c r="I44" s="33">
        <f t="shared" si="7"/>
        <v>0</v>
      </c>
      <c r="J44" s="25">
        <f t="shared" si="10"/>
        <v>0</v>
      </c>
      <c r="K44" s="205"/>
      <c r="L44" s="205"/>
      <c r="M44" s="71">
        <v>16</v>
      </c>
      <c r="N44" s="19"/>
      <c r="O44" s="22"/>
      <c r="P44" s="230">
        <f t="shared" si="8"/>
        <v>0</v>
      </c>
      <c r="Q44" s="78"/>
      <c r="R44" s="71">
        <v>16</v>
      </c>
      <c r="S44" s="75">
        <v>0.57670591171478747</v>
      </c>
      <c r="T44" s="232">
        <f t="shared" si="4"/>
        <v>0</v>
      </c>
      <c r="U44" s="236">
        <f t="shared" si="9"/>
        <v>0</v>
      </c>
      <c r="V44" s="237">
        <f t="shared" si="11"/>
        <v>0</v>
      </c>
      <c r="W44" s="205"/>
      <c r="X44" s="109">
        <v>30</v>
      </c>
      <c r="Y44" s="111"/>
      <c r="Z44" s="111"/>
      <c r="AA44" s="313">
        <f t="shared" si="2"/>
        <v>0.35627841060230225</v>
      </c>
      <c r="AB44" s="112">
        <f t="shared" si="0"/>
        <v>0</v>
      </c>
      <c r="AC44" s="112">
        <f t="shared" si="3"/>
        <v>0</v>
      </c>
      <c r="AD44" s="242">
        <f t="shared" si="1"/>
        <v>0</v>
      </c>
    </row>
    <row r="45" spans="1:30" ht="18.75" customHeight="1" x14ac:dyDescent="0.2">
      <c r="A45" s="71">
        <v>17</v>
      </c>
      <c r="B45" s="19"/>
      <c r="C45" s="22"/>
      <c r="D45" s="25">
        <f t="shared" si="5"/>
        <v>0</v>
      </c>
      <c r="E45" s="216"/>
      <c r="F45" s="71">
        <v>17</v>
      </c>
      <c r="G45" s="75">
        <v>0.55720377943457733</v>
      </c>
      <c r="H45" s="32">
        <f t="shared" si="6"/>
        <v>0</v>
      </c>
      <c r="I45" s="33">
        <f t="shared" si="7"/>
        <v>0</v>
      </c>
      <c r="J45" s="25">
        <f t="shared" si="10"/>
        <v>0</v>
      </c>
      <c r="K45" s="205"/>
      <c r="L45" s="205"/>
      <c r="M45" s="71">
        <v>17</v>
      </c>
      <c r="N45" s="19"/>
      <c r="O45" s="22"/>
      <c r="P45" s="230">
        <f t="shared" si="8"/>
        <v>0</v>
      </c>
      <c r="Q45" s="78"/>
      <c r="R45" s="71">
        <v>17</v>
      </c>
      <c r="S45" s="75">
        <v>0.55720377943457733</v>
      </c>
      <c r="T45" s="232">
        <f t="shared" si="4"/>
        <v>0</v>
      </c>
      <c r="U45" s="236">
        <f t="shared" si="9"/>
        <v>0</v>
      </c>
      <c r="V45" s="237">
        <f t="shared" si="11"/>
        <v>0</v>
      </c>
      <c r="W45" s="205"/>
      <c r="X45" s="109">
        <v>31</v>
      </c>
      <c r="Y45" s="111"/>
      <c r="Z45" s="111"/>
      <c r="AA45" s="313">
        <f t="shared" si="2"/>
        <v>0.34423034840802152</v>
      </c>
      <c r="AB45" s="112">
        <f t="shared" si="0"/>
        <v>0</v>
      </c>
      <c r="AC45" s="112">
        <f t="shared" si="3"/>
        <v>0</v>
      </c>
      <c r="AD45" s="242">
        <f t="shared" si="1"/>
        <v>0</v>
      </c>
    </row>
    <row r="46" spans="1:30" ht="18.75" customHeight="1" x14ac:dyDescent="0.2">
      <c r="A46" s="71">
        <v>18</v>
      </c>
      <c r="B46" s="19"/>
      <c r="C46" s="22"/>
      <c r="D46" s="25">
        <f t="shared" si="5"/>
        <v>0</v>
      </c>
      <c r="E46" s="216"/>
      <c r="F46" s="71">
        <v>18</v>
      </c>
      <c r="G46" s="75">
        <v>0.53836113955031628</v>
      </c>
      <c r="H46" s="32">
        <f t="shared" si="6"/>
        <v>0</v>
      </c>
      <c r="I46" s="33">
        <f t="shared" si="7"/>
        <v>0</v>
      </c>
      <c r="J46" s="25">
        <f t="shared" si="10"/>
        <v>0</v>
      </c>
      <c r="K46" s="205"/>
      <c r="L46" s="205"/>
      <c r="M46" s="71">
        <v>18</v>
      </c>
      <c r="N46" s="19"/>
      <c r="O46" s="22"/>
      <c r="P46" s="230">
        <f t="shared" si="8"/>
        <v>0</v>
      </c>
      <c r="Q46" s="78"/>
      <c r="R46" s="71">
        <v>18</v>
      </c>
      <c r="S46" s="75">
        <v>0.53836113955031628</v>
      </c>
      <c r="T46" s="232">
        <f t="shared" si="4"/>
        <v>0</v>
      </c>
      <c r="U46" s="236">
        <f t="shared" si="9"/>
        <v>0</v>
      </c>
      <c r="V46" s="237">
        <f t="shared" si="11"/>
        <v>0</v>
      </c>
      <c r="W46" s="205"/>
      <c r="X46" s="109">
        <v>32</v>
      </c>
      <c r="Y46" s="111"/>
      <c r="Z46" s="111"/>
      <c r="AA46" s="313">
        <f t="shared" si="2"/>
        <v>0.33258970860678411</v>
      </c>
      <c r="AB46" s="112">
        <f t="shared" si="0"/>
        <v>0</v>
      </c>
      <c r="AC46" s="112">
        <f t="shared" si="3"/>
        <v>0</v>
      </c>
      <c r="AD46" s="242">
        <f t="shared" si="1"/>
        <v>0</v>
      </c>
    </row>
    <row r="47" spans="1:30" ht="18.75" customHeight="1" x14ac:dyDescent="0.2">
      <c r="A47" s="71">
        <v>19</v>
      </c>
      <c r="B47" s="19"/>
      <c r="C47" s="22"/>
      <c r="D47" s="25">
        <f t="shared" si="5"/>
        <v>0</v>
      </c>
      <c r="E47" s="216"/>
      <c r="F47" s="71">
        <v>19</v>
      </c>
      <c r="G47" s="75">
        <v>0.520155690386779</v>
      </c>
      <c r="H47" s="32">
        <f t="shared" si="6"/>
        <v>0</v>
      </c>
      <c r="I47" s="33">
        <f t="shared" si="7"/>
        <v>0</v>
      </c>
      <c r="J47" s="25">
        <f t="shared" si="10"/>
        <v>0</v>
      </c>
      <c r="K47" s="205"/>
      <c r="L47" s="205"/>
      <c r="M47" s="71">
        <v>19</v>
      </c>
      <c r="N47" s="19"/>
      <c r="O47" s="22"/>
      <c r="P47" s="230">
        <f t="shared" si="8"/>
        <v>0</v>
      </c>
      <c r="Q47" s="78"/>
      <c r="R47" s="71">
        <v>19</v>
      </c>
      <c r="S47" s="75">
        <v>0.520155690386779</v>
      </c>
      <c r="T47" s="232">
        <f t="shared" si="4"/>
        <v>0</v>
      </c>
      <c r="U47" s="236">
        <f t="shared" si="9"/>
        <v>0</v>
      </c>
      <c r="V47" s="237">
        <f t="shared" si="11"/>
        <v>0</v>
      </c>
      <c r="W47" s="205"/>
      <c r="X47" s="109">
        <v>33</v>
      </c>
      <c r="Y47" s="111"/>
      <c r="Z47" s="111"/>
      <c r="AA47" s="313">
        <f t="shared" si="2"/>
        <v>0.32134271362974315</v>
      </c>
      <c r="AB47" s="112">
        <f t="shared" si="0"/>
        <v>0</v>
      </c>
      <c r="AC47" s="112">
        <f t="shared" si="3"/>
        <v>0</v>
      </c>
      <c r="AD47" s="242">
        <f t="shared" si="1"/>
        <v>0</v>
      </c>
    </row>
    <row r="48" spans="1:30" ht="18.75" customHeight="1" x14ac:dyDescent="0.2">
      <c r="A48" s="71">
        <v>20</v>
      </c>
      <c r="B48" s="19"/>
      <c r="C48" s="22"/>
      <c r="D48" s="25">
        <f t="shared" si="5"/>
        <v>0</v>
      </c>
      <c r="E48" s="216"/>
      <c r="F48" s="71">
        <v>20</v>
      </c>
      <c r="G48" s="75">
        <v>0.50256588443167061</v>
      </c>
      <c r="H48" s="32">
        <f t="shared" si="6"/>
        <v>0</v>
      </c>
      <c r="I48" s="33">
        <f t="shared" si="7"/>
        <v>0</v>
      </c>
      <c r="J48" s="25">
        <f t="shared" si="10"/>
        <v>0</v>
      </c>
      <c r="K48" s="205"/>
      <c r="L48" s="205"/>
      <c r="M48" s="71">
        <v>20</v>
      </c>
      <c r="N48" s="19"/>
      <c r="O48" s="22"/>
      <c r="P48" s="230">
        <f t="shared" si="8"/>
        <v>0</v>
      </c>
      <c r="Q48" s="78"/>
      <c r="R48" s="71">
        <v>20</v>
      </c>
      <c r="S48" s="75">
        <v>0.50256588443167061</v>
      </c>
      <c r="T48" s="232">
        <f t="shared" si="4"/>
        <v>0</v>
      </c>
      <c r="U48" s="236">
        <f t="shared" si="9"/>
        <v>0</v>
      </c>
      <c r="V48" s="237">
        <f t="shared" si="11"/>
        <v>0</v>
      </c>
      <c r="W48" s="205"/>
      <c r="X48" s="109">
        <v>34</v>
      </c>
      <c r="Y48" s="111"/>
      <c r="Z48" s="111"/>
      <c r="AA48" s="313">
        <f t="shared" si="2"/>
        <v>0.31047605181617693</v>
      </c>
      <c r="AB48" s="112">
        <f t="shared" si="0"/>
        <v>0</v>
      </c>
      <c r="AC48" s="112">
        <f t="shared" si="3"/>
        <v>0</v>
      </c>
      <c r="AD48" s="242">
        <f t="shared" si="1"/>
        <v>0</v>
      </c>
    </row>
    <row r="49" spans="1:30" ht="18.75" customHeight="1" x14ac:dyDescent="0.2">
      <c r="A49" s="71">
        <v>21</v>
      </c>
      <c r="B49" s="19"/>
      <c r="C49" s="22"/>
      <c r="D49" s="25">
        <f t="shared" si="5"/>
        <v>0</v>
      </c>
      <c r="E49" s="216"/>
      <c r="F49" s="71">
        <v>21</v>
      </c>
      <c r="G49" s="75">
        <v>0.48557090283253201</v>
      </c>
      <c r="H49" s="32">
        <f t="shared" si="6"/>
        <v>0</v>
      </c>
      <c r="I49" s="33">
        <f t="shared" si="7"/>
        <v>0</v>
      </c>
      <c r="J49" s="25">
        <f t="shared" si="10"/>
        <v>0</v>
      </c>
      <c r="K49" s="205"/>
      <c r="L49" s="205"/>
      <c r="M49" s="71">
        <v>21</v>
      </c>
      <c r="N49" s="19"/>
      <c r="O49" s="22"/>
      <c r="P49" s="230">
        <f t="shared" si="8"/>
        <v>0</v>
      </c>
      <c r="Q49" s="78"/>
      <c r="R49" s="71">
        <v>21</v>
      </c>
      <c r="S49" s="75">
        <v>0.48557090283253201</v>
      </c>
      <c r="T49" s="232">
        <f t="shared" si="4"/>
        <v>0</v>
      </c>
      <c r="U49" s="236">
        <f t="shared" si="9"/>
        <v>0</v>
      </c>
      <c r="V49" s="237">
        <f t="shared" si="11"/>
        <v>0</v>
      </c>
      <c r="W49" s="205"/>
      <c r="X49" s="109">
        <v>35</v>
      </c>
      <c r="Y49" s="111"/>
      <c r="Z49" s="111"/>
      <c r="AA49" s="313">
        <f t="shared" si="2"/>
        <v>0.29997686165814202</v>
      </c>
      <c r="AB49" s="112">
        <f t="shared" si="0"/>
        <v>0</v>
      </c>
      <c r="AC49" s="112">
        <f t="shared" si="3"/>
        <v>0</v>
      </c>
      <c r="AD49" s="242">
        <f t="shared" si="1"/>
        <v>0</v>
      </c>
    </row>
    <row r="50" spans="1:30" ht="18.75" customHeight="1" x14ac:dyDescent="0.2">
      <c r="A50" s="71">
        <v>22</v>
      </c>
      <c r="B50" s="19"/>
      <c r="C50" s="22"/>
      <c r="D50" s="25">
        <f t="shared" si="5"/>
        <v>0</v>
      </c>
      <c r="E50" s="216"/>
      <c r="F50" s="71">
        <v>22</v>
      </c>
      <c r="G50" s="75">
        <v>0.46915063075606961</v>
      </c>
      <c r="H50" s="32">
        <f t="shared" si="6"/>
        <v>0</v>
      </c>
      <c r="I50" s="33">
        <f t="shared" si="7"/>
        <v>0</v>
      </c>
      <c r="J50" s="25">
        <f t="shared" si="10"/>
        <v>0</v>
      </c>
      <c r="K50" s="205"/>
      <c r="L50" s="205"/>
      <c r="M50" s="71">
        <v>22</v>
      </c>
      <c r="N50" s="19"/>
      <c r="O50" s="22"/>
      <c r="P50" s="230">
        <f t="shared" si="8"/>
        <v>0</v>
      </c>
      <c r="Q50" s="78"/>
      <c r="R50" s="71">
        <v>22</v>
      </c>
      <c r="S50" s="75">
        <v>0.46915063075606961</v>
      </c>
      <c r="T50" s="232">
        <f t="shared" si="4"/>
        <v>0</v>
      </c>
      <c r="U50" s="236">
        <f t="shared" si="9"/>
        <v>0</v>
      </c>
      <c r="V50" s="237">
        <f t="shared" si="11"/>
        <v>0</v>
      </c>
      <c r="W50" s="205"/>
      <c r="X50" s="109">
        <v>36</v>
      </c>
      <c r="Y50" s="111"/>
      <c r="Z50" s="111"/>
      <c r="AA50" s="313">
        <f t="shared" si="2"/>
        <v>0.28983271657791498</v>
      </c>
      <c r="AB50" s="112">
        <f t="shared" si="0"/>
        <v>0</v>
      </c>
      <c r="AC50" s="112">
        <f t="shared" si="3"/>
        <v>0</v>
      </c>
      <c r="AD50" s="242">
        <f t="shared" si="1"/>
        <v>0</v>
      </c>
    </row>
    <row r="51" spans="1:30" ht="18.75" customHeight="1" x14ac:dyDescent="0.2">
      <c r="A51" s="71">
        <v>23</v>
      </c>
      <c r="B51" s="19"/>
      <c r="C51" s="22"/>
      <c r="D51" s="25">
        <f t="shared" si="5"/>
        <v>0</v>
      </c>
      <c r="E51" s="216"/>
      <c r="F51" s="71">
        <v>23</v>
      </c>
      <c r="G51" s="75">
        <v>0.45328563358074364</v>
      </c>
      <c r="H51" s="32">
        <f t="shared" si="6"/>
        <v>0</v>
      </c>
      <c r="I51" s="33">
        <f t="shared" si="7"/>
        <v>0</v>
      </c>
      <c r="J51" s="25">
        <f t="shared" si="10"/>
        <v>0</v>
      </c>
      <c r="K51" s="205"/>
      <c r="L51" s="205"/>
      <c r="M51" s="71">
        <v>23</v>
      </c>
      <c r="N51" s="19"/>
      <c r="O51" s="22"/>
      <c r="P51" s="230">
        <f t="shared" si="8"/>
        <v>0</v>
      </c>
      <c r="Q51" s="78"/>
      <c r="R51" s="71">
        <v>23</v>
      </c>
      <c r="S51" s="75">
        <v>0.45328563358074364</v>
      </c>
      <c r="T51" s="232">
        <f t="shared" si="4"/>
        <v>0</v>
      </c>
      <c r="U51" s="236">
        <f t="shared" si="9"/>
        <v>0</v>
      </c>
      <c r="V51" s="237">
        <f t="shared" si="11"/>
        <v>0</v>
      </c>
      <c r="W51" s="205"/>
      <c r="X51" s="109">
        <v>37</v>
      </c>
      <c r="Y51" s="111"/>
      <c r="Z51" s="111"/>
      <c r="AA51" s="313">
        <f t="shared" si="2"/>
        <v>0.28003161022020773</v>
      </c>
      <c r="AB51" s="112">
        <f t="shared" si="0"/>
        <v>0</v>
      </c>
      <c r="AC51" s="112">
        <f t="shared" si="3"/>
        <v>0</v>
      </c>
      <c r="AD51" s="242">
        <f t="shared" si="1"/>
        <v>0</v>
      </c>
    </row>
    <row r="52" spans="1:30" ht="18.75" customHeight="1" x14ac:dyDescent="0.2">
      <c r="A52" s="71">
        <v>24</v>
      </c>
      <c r="B52" s="19"/>
      <c r="C52" s="22"/>
      <c r="D52" s="25">
        <f t="shared" si="5"/>
        <v>0</v>
      </c>
      <c r="E52" s="216"/>
      <c r="F52" s="71">
        <v>24</v>
      </c>
      <c r="G52" s="75">
        <v>0.43795713389443836</v>
      </c>
      <c r="H52" s="32">
        <f t="shared" si="6"/>
        <v>0</v>
      </c>
      <c r="I52" s="33">
        <f t="shared" si="7"/>
        <v>0</v>
      </c>
      <c r="J52" s="25">
        <f t="shared" si="10"/>
        <v>0</v>
      </c>
      <c r="K52" s="205"/>
      <c r="L52" s="205"/>
      <c r="M52" s="71">
        <v>24</v>
      </c>
      <c r="N52" s="19"/>
      <c r="O52" s="22"/>
      <c r="P52" s="230">
        <f t="shared" si="8"/>
        <v>0</v>
      </c>
      <c r="Q52" s="78"/>
      <c r="R52" s="71">
        <v>24</v>
      </c>
      <c r="S52" s="75">
        <v>0.43795713389443836</v>
      </c>
      <c r="T52" s="232">
        <f t="shared" si="4"/>
        <v>0</v>
      </c>
      <c r="U52" s="236">
        <f t="shared" si="9"/>
        <v>0</v>
      </c>
      <c r="V52" s="237">
        <f t="shared" si="11"/>
        <v>0</v>
      </c>
      <c r="W52" s="205"/>
      <c r="X52" s="109">
        <v>38</v>
      </c>
      <c r="Y52" s="111"/>
      <c r="Z52" s="111"/>
      <c r="AA52" s="313">
        <f t="shared" si="2"/>
        <v>0.27056194224174662</v>
      </c>
      <c r="AB52" s="112">
        <f t="shared" si="0"/>
        <v>0</v>
      </c>
      <c r="AC52" s="112">
        <f t="shared" si="3"/>
        <v>0</v>
      </c>
      <c r="AD52" s="242">
        <f t="shared" si="1"/>
        <v>0</v>
      </c>
    </row>
    <row r="53" spans="1:30" ht="18.75" customHeight="1" x14ac:dyDescent="0.2">
      <c r="A53" s="71">
        <v>25</v>
      </c>
      <c r="B53" s="19"/>
      <c r="C53" s="22"/>
      <c r="D53" s="25">
        <f t="shared" si="5"/>
        <v>0</v>
      </c>
      <c r="E53" s="216"/>
      <c r="F53" s="71">
        <v>25</v>
      </c>
      <c r="G53" s="75">
        <v>0.42314698926998878</v>
      </c>
      <c r="H53" s="32">
        <f t="shared" si="6"/>
        <v>0</v>
      </c>
      <c r="I53" s="33">
        <f t="shared" si="7"/>
        <v>0</v>
      </c>
      <c r="J53" s="25">
        <f t="shared" si="10"/>
        <v>0</v>
      </c>
      <c r="K53" s="205"/>
      <c r="L53" s="205"/>
      <c r="M53" s="71">
        <v>25</v>
      </c>
      <c r="N53" s="19"/>
      <c r="O53" s="22"/>
      <c r="P53" s="230">
        <f t="shared" si="8"/>
        <v>0</v>
      </c>
      <c r="Q53" s="78"/>
      <c r="R53" s="71">
        <v>25</v>
      </c>
      <c r="S53" s="75">
        <v>0.42314698926998878</v>
      </c>
      <c r="T53" s="232">
        <f t="shared" si="4"/>
        <v>0</v>
      </c>
      <c r="U53" s="236">
        <f t="shared" si="9"/>
        <v>0</v>
      </c>
      <c r="V53" s="237">
        <f t="shared" si="11"/>
        <v>0</v>
      </c>
      <c r="W53" s="205"/>
      <c r="X53" s="109">
        <v>39</v>
      </c>
      <c r="Y53" s="111"/>
      <c r="Z53" s="111"/>
      <c r="AA53" s="313">
        <f t="shared" si="2"/>
        <v>0.26141250458139775</v>
      </c>
      <c r="AB53" s="112">
        <f t="shared" si="0"/>
        <v>0</v>
      </c>
      <c r="AC53" s="112">
        <f t="shared" si="3"/>
        <v>0</v>
      </c>
      <c r="AD53" s="242">
        <f t="shared" si="1"/>
        <v>0</v>
      </c>
    </row>
    <row r="54" spans="1:30" ht="18.75" customHeight="1" x14ac:dyDescent="0.2">
      <c r="A54" s="71">
        <v>26</v>
      </c>
      <c r="B54" s="19"/>
      <c r="C54" s="22"/>
      <c r="D54" s="25">
        <f t="shared" si="5"/>
        <v>0</v>
      </c>
      <c r="E54" s="216"/>
      <c r="F54" s="71">
        <v>26</v>
      </c>
      <c r="G54" s="75">
        <v>0.40883767079225974</v>
      </c>
      <c r="H54" s="32">
        <f t="shared" si="6"/>
        <v>0</v>
      </c>
      <c r="I54" s="33">
        <f t="shared" si="7"/>
        <v>0</v>
      </c>
      <c r="J54" s="25">
        <f t="shared" si="10"/>
        <v>0</v>
      </c>
      <c r="K54" s="205"/>
      <c r="L54" s="205"/>
      <c r="M54" s="71">
        <v>26</v>
      </c>
      <c r="N54" s="19"/>
      <c r="O54" s="22"/>
      <c r="P54" s="230">
        <f t="shared" si="8"/>
        <v>0</v>
      </c>
      <c r="Q54" s="78"/>
      <c r="R54" s="71">
        <v>26</v>
      </c>
      <c r="S54" s="75">
        <v>0.40883767079225974</v>
      </c>
      <c r="T54" s="232">
        <f t="shared" si="4"/>
        <v>0</v>
      </c>
      <c r="U54" s="236">
        <f t="shared" si="9"/>
        <v>0</v>
      </c>
      <c r="V54" s="237">
        <f t="shared" si="11"/>
        <v>0</v>
      </c>
      <c r="W54" s="205"/>
      <c r="X54" s="109">
        <v>40</v>
      </c>
      <c r="Y54" s="111"/>
      <c r="Z54" s="111"/>
      <c r="AA54" s="313">
        <f t="shared" si="2"/>
        <v>0.25257246819458717</v>
      </c>
      <c r="AB54" s="112">
        <f t="shared" si="0"/>
        <v>0</v>
      </c>
      <c r="AC54" s="112">
        <f t="shared" si="3"/>
        <v>0</v>
      </c>
      <c r="AD54" s="242">
        <f t="shared" si="1"/>
        <v>0</v>
      </c>
    </row>
    <row r="55" spans="1:30" ht="18.75" customHeight="1" x14ac:dyDescent="0.2">
      <c r="A55" s="71">
        <v>27</v>
      </c>
      <c r="B55" s="19"/>
      <c r="C55" s="22"/>
      <c r="D55" s="25">
        <f t="shared" si="5"/>
        <v>0</v>
      </c>
      <c r="E55" s="216"/>
      <c r="F55" s="71">
        <v>27</v>
      </c>
      <c r="G55" s="75">
        <v>0.39501224231136212</v>
      </c>
      <c r="H55" s="32">
        <f t="shared" si="6"/>
        <v>0</v>
      </c>
      <c r="I55" s="33">
        <f t="shared" si="7"/>
        <v>0</v>
      </c>
      <c r="J55" s="25">
        <f t="shared" si="10"/>
        <v>0</v>
      </c>
      <c r="K55" s="205"/>
      <c r="L55" s="205"/>
      <c r="M55" s="71">
        <v>27</v>
      </c>
      <c r="N55" s="19"/>
      <c r="O55" s="22"/>
      <c r="P55" s="230">
        <f t="shared" si="8"/>
        <v>0</v>
      </c>
      <c r="Q55" s="78"/>
      <c r="R55" s="71">
        <v>27</v>
      </c>
      <c r="S55" s="75">
        <v>0.39501224231136212</v>
      </c>
      <c r="T55" s="232">
        <f t="shared" si="4"/>
        <v>0</v>
      </c>
      <c r="U55" s="236">
        <f t="shared" si="9"/>
        <v>0</v>
      </c>
      <c r="V55" s="237">
        <f t="shared" si="11"/>
        <v>0</v>
      </c>
      <c r="W55" s="205"/>
      <c r="X55" s="109">
        <v>41</v>
      </c>
      <c r="Y55" s="111"/>
      <c r="Z55" s="111"/>
      <c r="AA55" s="313">
        <f t="shared" si="2"/>
        <v>0.24403137023631613</v>
      </c>
      <c r="AB55" s="112">
        <f t="shared" si="0"/>
        <v>0</v>
      </c>
      <c r="AC55" s="112">
        <f t="shared" si="3"/>
        <v>0</v>
      </c>
      <c r="AD55" s="242">
        <f t="shared" si="1"/>
        <v>0</v>
      </c>
    </row>
    <row r="56" spans="1:30" ht="18.75" customHeight="1" x14ac:dyDescent="0.2">
      <c r="A56" s="71">
        <v>28</v>
      </c>
      <c r="B56" s="19"/>
      <c r="C56" s="22"/>
      <c r="D56" s="25">
        <f t="shared" si="5"/>
        <v>0</v>
      </c>
      <c r="E56" s="216"/>
      <c r="F56" s="71">
        <v>28</v>
      </c>
      <c r="G56" s="75">
        <v>0.38165434039745133</v>
      </c>
      <c r="H56" s="32">
        <f t="shared" si="6"/>
        <v>0</v>
      </c>
      <c r="I56" s="33">
        <f t="shared" si="7"/>
        <v>0</v>
      </c>
      <c r="J56" s="25">
        <f t="shared" si="10"/>
        <v>0</v>
      </c>
      <c r="K56" s="205"/>
      <c r="L56" s="205"/>
      <c r="M56" s="71">
        <v>28</v>
      </c>
      <c r="N56" s="19"/>
      <c r="O56" s="22"/>
      <c r="P56" s="230">
        <f t="shared" si="8"/>
        <v>0</v>
      </c>
      <c r="Q56" s="78"/>
      <c r="R56" s="71">
        <v>28</v>
      </c>
      <c r="S56" s="75">
        <v>0.38165434039745133</v>
      </c>
      <c r="T56" s="232">
        <f t="shared" si="4"/>
        <v>0</v>
      </c>
      <c r="U56" s="236">
        <f t="shared" si="9"/>
        <v>0</v>
      </c>
      <c r="V56" s="237">
        <f t="shared" si="11"/>
        <v>0</v>
      </c>
      <c r="W56" s="205"/>
      <c r="X56" s="109">
        <v>42</v>
      </c>
      <c r="Y56" s="111"/>
      <c r="Z56" s="111"/>
      <c r="AA56" s="313">
        <f t="shared" si="2"/>
        <v>0.23577910167760016</v>
      </c>
      <c r="AB56" s="112">
        <f t="shared" si="0"/>
        <v>0</v>
      </c>
      <c r="AC56" s="112">
        <f t="shared" si="3"/>
        <v>0</v>
      </c>
      <c r="AD56" s="242">
        <f t="shared" si="1"/>
        <v>0</v>
      </c>
    </row>
    <row r="57" spans="1:30" ht="18.75" customHeight="1" x14ac:dyDescent="0.2">
      <c r="A57" s="71">
        <v>29</v>
      </c>
      <c r="B57" s="19"/>
      <c r="C57" s="22"/>
      <c r="D57" s="25">
        <f t="shared" si="5"/>
        <v>0</v>
      </c>
      <c r="E57" s="216"/>
      <c r="F57" s="71">
        <v>29</v>
      </c>
      <c r="G57" s="75">
        <v>0.36874815497338298</v>
      </c>
      <c r="H57" s="32">
        <f t="shared" si="6"/>
        <v>0</v>
      </c>
      <c r="I57" s="33">
        <f t="shared" si="7"/>
        <v>0</v>
      </c>
      <c r="J57" s="25">
        <f t="shared" si="10"/>
        <v>0</v>
      </c>
      <c r="K57" s="205"/>
      <c r="L57" s="205"/>
      <c r="M57" s="71">
        <v>29</v>
      </c>
      <c r="N57" s="19"/>
      <c r="O57" s="22"/>
      <c r="P57" s="230">
        <f t="shared" si="8"/>
        <v>0</v>
      </c>
      <c r="Q57" s="78"/>
      <c r="R57" s="71">
        <v>29</v>
      </c>
      <c r="S57" s="75">
        <v>0.36874815497338298</v>
      </c>
      <c r="T57" s="232">
        <f t="shared" si="4"/>
        <v>0</v>
      </c>
      <c r="U57" s="236">
        <f t="shared" si="9"/>
        <v>0</v>
      </c>
      <c r="V57" s="237">
        <f t="shared" si="11"/>
        <v>0</v>
      </c>
      <c r="W57" s="205"/>
      <c r="X57" s="109">
        <v>43</v>
      </c>
      <c r="Y57" s="111"/>
      <c r="Z57" s="111"/>
      <c r="AA57" s="313">
        <f t="shared" si="2"/>
        <v>0.2278058953406765</v>
      </c>
      <c r="AB57" s="112">
        <f t="shared" si="0"/>
        <v>0</v>
      </c>
      <c r="AC57" s="112">
        <f t="shared" si="3"/>
        <v>0</v>
      </c>
      <c r="AD57" s="242">
        <f t="shared" si="1"/>
        <v>0</v>
      </c>
    </row>
    <row r="58" spans="1:30" ht="18.75" customHeight="1" x14ac:dyDescent="0.2">
      <c r="A58" s="71">
        <v>30</v>
      </c>
      <c r="B58" s="19"/>
      <c r="C58" s="22"/>
      <c r="D58" s="25">
        <f t="shared" si="5"/>
        <v>0</v>
      </c>
      <c r="E58" s="216"/>
      <c r="F58" s="71">
        <v>30</v>
      </c>
      <c r="G58" s="75">
        <v>0.35627841060230242</v>
      </c>
      <c r="H58" s="32">
        <f t="shared" si="6"/>
        <v>0</v>
      </c>
      <c r="I58" s="33">
        <f t="shared" si="7"/>
        <v>0</v>
      </c>
      <c r="J58" s="25">
        <f t="shared" si="10"/>
        <v>0</v>
      </c>
      <c r="K58" s="205"/>
      <c r="L58" s="205"/>
      <c r="M58" s="71">
        <v>30</v>
      </c>
      <c r="N58" s="19"/>
      <c r="O58" s="22"/>
      <c r="P58" s="230">
        <f t="shared" si="8"/>
        <v>0</v>
      </c>
      <c r="Q58" s="78"/>
      <c r="R58" s="71">
        <v>30</v>
      </c>
      <c r="S58" s="75">
        <v>0.35627841060230242</v>
      </c>
      <c r="T58" s="232">
        <f t="shared" si="4"/>
        <v>0</v>
      </c>
      <c r="U58" s="236">
        <f t="shared" si="9"/>
        <v>0</v>
      </c>
      <c r="V58" s="237">
        <f t="shared" si="11"/>
        <v>0</v>
      </c>
      <c r="W58" s="205"/>
      <c r="X58" s="109">
        <v>44</v>
      </c>
      <c r="Y58" s="111"/>
      <c r="Z58" s="111"/>
      <c r="AA58" s="313">
        <f t="shared" si="2"/>
        <v>0.22010231433881788</v>
      </c>
      <c r="AB58" s="112">
        <f t="shared" si="0"/>
        <v>0</v>
      </c>
      <c r="AC58" s="112">
        <f t="shared" si="3"/>
        <v>0</v>
      </c>
      <c r="AD58" s="242">
        <f t="shared" si="1"/>
        <v>0</v>
      </c>
    </row>
    <row r="59" spans="1:30" ht="18.75" customHeight="1" x14ac:dyDescent="0.2">
      <c r="A59" s="71">
        <v>31</v>
      </c>
      <c r="B59" s="19"/>
      <c r="C59" s="22"/>
      <c r="D59" s="25">
        <f t="shared" si="5"/>
        <v>0</v>
      </c>
      <c r="E59" s="216"/>
      <c r="F59" s="71">
        <v>31</v>
      </c>
      <c r="G59" s="75">
        <v>0.34590136951679845</v>
      </c>
      <c r="H59" s="32">
        <f t="shared" si="6"/>
        <v>0</v>
      </c>
      <c r="I59" s="33">
        <f t="shared" si="7"/>
        <v>0</v>
      </c>
      <c r="J59" s="25">
        <f t="shared" si="10"/>
        <v>0</v>
      </c>
      <c r="K59" s="205"/>
      <c r="L59" s="205"/>
      <c r="M59" s="71">
        <v>31</v>
      </c>
      <c r="N59" s="19"/>
      <c r="O59" s="22"/>
      <c r="P59" s="230">
        <f t="shared" si="8"/>
        <v>0</v>
      </c>
      <c r="Q59" s="78"/>
      <c r="R59" s="71">
        <v>31</v>
      </c>
      <c r="S59" s="75">
        <v>0.34590136951679845</v>
      </c>
      <c r="T59" s="232">
        <f t="shared" ref="T59:T90" si="12">IFERROR(IF($V$6="No",0,IF(AND($V$13=0,$V$14=0),N59*S59,IF($V$13&gt;0,H59*$V$13,IF($V$14&gt;0,IF(AND($V$6="Yes",$V$7="Yes"),((B59/$D$26)*$V$14)*S59,((B59/$B$26)*$V$14)*S59))))),0)</f>
        <v>0</v>
      </c>
      <c r="U59" s="236">
        <f t="shared" si="9"/>
        <v>0</v>
      </c>
      <c r="V59" s="237">
        <f t="shared" si="11"/>
        <v>0</v>
      </c>
      <c r="W59" s="205"/>
      <c r="X59" s="109">
        <v>45</v>
      </c>
      <c r="Y59" s="111"/>
      <c r="Z59" s="111"/>
      <c r="AA59" s="313">
        <f t="shared" si="2"/>
        <v>0.21265924090707042</v>
      </c>
      <c r="AB59" s="112">
        <f t="shared" si="0"/>
        <v>0</v>
      </c>
      <c r="AC59" s="112">
        <f t="shared" si="3"/>
        <v>0</v>
      </c>
      <c r="AD59" s="242">
        <f t="shared" si="1"/>
        <v>0</v>
      </c>
    </row>
    <row r="60" spans="1:30" ht="18.75" customHeight="1" x14ac:dyDescent="0.2">
      <c r="A60" s="71">
        <v>32</v>
      </c>
      <c r="B60" s="19"/>
      <c r="C60" s="22"/>
      <c r="D60" s="25">
        <f t="shared" si="5"/>
        <v>0</v>
      </c>
      <c r="E60" s="216"/>
      <c r="F60" s="71">
        <v>32</v>
      </c>
      <c r="G60" s="75">
        <v>0.33582657234640628</v>
      </c>
      <c r="H60" s="32">
        <f t="shared" si="6"/>
        <v>0</v>
      </c>
      <c r="I60" s="33">
        <f t="shared" si="7"/>
        <v>0</v>
      </c>
      <c r="J60" s="25">
        <f t="shared" si="10"/>
        <v>0</v>
      </c>
      <c r="K60" s="205"/>
      <c r="L60" s="205"/>
      <c r="M60" s="71">
        <v>32</v>
      </c>
      <c r="N60" s="19"/>
      <c r="O60" s="22"/>
      <c r="P60" s="230">
        <f t="shared" si="8"/>
        <v>0</v>
      </c>
      <c r="Q60" s="78"/>
      <c r="R60" s="71">
        <v>32</v>
      </c>
      <c r="S60" s="75">
        <v>0.33582657234640628</v>
      </c>
      <c r="T60" s="232">
        <f t="shared" si="12"/>
        <v>0</v>
      </c>
      <c r="U60" s="236">
        <f t="shared" ref="U60:U91" si="13">IFERROR(IF($V$7="No",0,IF(AND($V$13=0,$V$14=0),O59*S59,IF($V$13&gt;0,I59*$V$13,IF($V$14&gt;0,IF(AND($V$6="Yes",$V$7="Yes"),((C59/$D$26)*$V$14)*S59,((C59/$C$26)*$V$14)*S59))))),0)</f>
        <v>0</v>
      </c>
      <c r="V60" s="237">
        <f t="shared" si="11"/>
        <v>0</v>
      </c>
      <c r="W60" s="205"/>
      <c r="X60" s="109">
        <v>46</v>
      </c>
      <c r="Y60" s="111"/>
      <c r="Z60" s="111"/>
      <c r="AA60" s="313">
        <f t="shared" si="2"/>
        <v>0.20546786561069608</v>
      </c>
      <c r="AB60" s="112">
        <f t="shared" si="0"/>
        <v>0</v>
      </c>
      <c r="AC60" s="112">
        <f t="shared" si="3"/>
        <v>0</v>
      </c>
      <c r="AD60" s="242">
        <f t="shared" si="1"/>
        <v>0</v>
      </c>
    </row>
    <row r="61" spans="1:30" ht="18.75" customHeight="1" x14ac:dyDescent="0.2">
      <c r="A61" s="71">
        <v>33</v>
      </c>
      <c r="B61" s="19"/>
      <c r="C61" s="22"/>
      <c r="D61" s="25">
        <f t="shared" si="5"/>
        <v>0</v>
      </c>
      <c r="E61" s="216"/>
      <c r="F61" s="71">
        <v>33</v>
      </c>
      <c r="G61" s="75">
        <v>0.32604521587029733</v>
      </c>
      <c r="H61" s="32">
        <f t="shared" si="6"/>
        <v>0</v>
      </c>
      <c r="I61" s="33">
        <f t="shared" si="7"/>
        <v>0</v>
      </c>
      <c r="J61" s="25">
        <f t="shared" si="10"/>
        <v>0</v>
      </c>
      <c r="K61" s="205"/>
      <c r="L61" s="205"/>
      <c r="M61" s="71">
        <v>33</v>
      </c>
      <c r="N61" s="19"/>
      <c r="O61" s="22"/>
      <c r="P61" s="230">
        <f t="shared" si="8"/>
        <v>0</v>
      </c>
      <c r="Q61" s="78"/>
      <c r="R61" s="71">
        <v>33</v>
      </c>
      <c r="S61" s="75">
        <v>0.32604521587029733</v>
      </c>
      <c r="T61" s="232">
        <f t="shared" si="12"/>
        <v>0</v>
      </c>
      <c r="U61" s="236">
        <f t="shared" si="13"/>
        <v>0</v>
      </c>
      <c r="V61" s="237">
        <f t="shared" si="11"/>
        <v>0</v>
      </c>
      <c r="W61" s="205"/>
      <c r="X61" s="109">
        <v>47</v>
      </c>
      <c r="Y61" s="111"/>
      <c r="Z61" s="111"/>
      <c r="AA61" s="313">
        <f t="shared" si="2"/>
        <v>0.19851967691854694</v>
      </c>
      <c r="AB61" s="112">
        <f t="shared" si="0"/>
        <v>0</v>
      </c>
      <c r="AC61" s="112">
        <f t="shared" si="3"/>
        <v>0</v>
      </c>
      <c r="AD61" s="242">
        <f t="shared" si="1"/>
        <v>0</v>
      </c>
    </row>
    <row r="62" spans="1:30" ht="18.75" customHeight="1" x14ac:dyDescent="0.2">
      <c r="A62" s="71">
        <v>34</v>
      </c>
      <c r="B62" s="19"/>
      <c r="C62" s="22"/>
      <c r="D62" s="25">
        <f t="shared" si="5"/>
        <v>0</v>
      </c>
      <c r="E62" s="216"/>
      <c r="F62" s="71">
        <v>34</v>
      </c>
      <c r="G62" s="75">
        <v>0.31654875327213333</v>
      </c>
      <c r="H62" s="32">
        <f t="shared" si="6"/>
        <v>0</v>
      </c>
      <c r="I62" s="33">
        <f t="shared" si="7"/>
        <v>0</v>
      </c>
      <c r="J62" s="25">
        <f t="shared" si="10"/>
        <v>0</v>
      </c>
      <c r="K62" s="205"/>
      <c r="L62" s="205"/>
      <c r="M62" s="71">
        <v>34</v>
      </c>
      <c r="N62" s="19"/>
      <c r="O62" s="22"/>
      <c r="P62" s="230">
        <f t="shared" si="8"/>
        <v>0</v>
      </c>
      <c r="Q62" s="78"/>
      <c r="R62" s="71">
        <v>34</v>
      </c>
      <c r="S62" s="75">
        <v>0.31654875327213333</v>
      </c>
      <c r="T62" s="232">
        <f t="shared" si="12"/>
        <v>0</v>
      </c>
      <c r="U62" s="236">
        <f t="shared" si="13"/>
        <v>0</v>
      </c>
      <c r="V62" s="237">
        <f t="shared" si="11"/>
        <v>0</v>
      </c>
      <c r="W62" s="205"/>
      <c r="X62" s="109">
        <v>48</v>
      </c>
      <c r="Y62" s="111"/>
      <c r="Z62" s="111"/>
      <c r="AA62" s="313">
        <f t="shared" si="2"/>
        <v>0.19180645112903089</v>
      </c>
      <c r="AB62" s="112">
        <f t="shared" si="0"/>
        <v>0</v>
      </c>
      <c r="AC62" s="112">
        <f t="shared" si="3"/>
        <v>0</v>
      </c>
      <c r="AD62" s="242">
        <f t="shared" si="1"/>
        <v>0</v>
      </c>
    </row>
    <row r="63" spans="1:30" ht="18.75" customHeight="1" x14ac:dyDescent="0.2">
      <c r="A63" s="71">
        <v>35</v>
      </c>
      <c r="B63" s="19"/>
      <c r="C63" s="22"/>
      <c r="D63" s="25">
        <f t="shared" si="5"/>
        <v>0</v>
      </c>
      <c r="E63" s="216"/>
      <c r="F63" s="71">
        <v>35</v>
      </c>
      <c r="G63" s="75">
        <v>0.30732888667197411</v>
      </c>
      <c r="H63" s="32">
        <f t="shared" si="6"/>
        <v>0</v>
      </c>
      <c r="I63" s="33">
        <f t="shared" si="7"/>
        <v>0</v>
      </c>
      <c r="J63" s="25">
        <f t="shared" si="10"/>
        <v>0</v>
      </c>
      <c r="K63" s="205"/>
      <c r="L63" s="205"/>
      <c r="M63" s="71">
        <v>35</v>
      </c>
      <c r="N63" s="19"/>
      <c r="O63" s="22"/>
      <c r="P63" s="230">
        <f t="shared" si="8"/>
        <v>0</v>
      </c>
      <c r="Q63" s="78"/>
      <c r="R63" s="71">
        <v>35</v>
      </c>
      <c r="S63" s="75">
        <v>0.30732888667197411</v>
      </c>
      <c r="T63" s="232">
        <f t="shared" si="12"/>
        <v>0</v>
      </c>
      <c r="U63" s="236">
        <f t="shared" si="13"/>
        <v>0</v>
      </c>
      <c r="V63" s="237">
        <f t="shared" si="11"/>
        <v>0</v>
      </c>
      <c r="W63" s="205"/>
      <c r="X63" s="109">
        <v>49</v>
      </c>
      <c r="Y63" s="111"/>
      <c r="Z63" s="111"/>
      <c r="AA63" s="313">
        <f t="shared" si="2"/>
        <v>0.18532024263674485</v>
      </c>
      <c r="AB63" s="112">
        <f t="shared" si="0"/>
        <v>0</v>
      </c>
      <c r="AC63" s="112">
        <f t="shared" si="3"/>
        <v>0</v>
      </c>
      <c r="AD63" s="242">
        <f t="shared" si="1"/>
        <v>0</v>
      </c>
    </row>
    <row r="64" spans="1:30" ht="18.75" customHeight="1" x14ac:dyDescent="0.2">
      <c r="A64" s="71">
        <v>36</v>
      </c>
      <c r="B64" s="19"/>
      <c r="C64" s="22"/>
      <c r="D64" s="25">
        <f t="shared" si="5"/>
        <v>0</v>
      </c>
      <c r="E64" s="216"/>
      <c r="F64" s="71">
        <v>36</v>
      </c>
      <c r="G64" s="75">
        <v>0.29837755987570302</v>
      </c>
      <c r="H64" s="32">
        <f t="shared" si="6"/>
        <v>0</v>
      </c>
      <c r="I64" s="33">
        <f t="shared" si="7"/>
        <v>0</v>
      </c>
      <c r="J64" s="25">
        <f t="shared" si="10"/>
        <v>0</v>
      </c>
      <c r="K64" s="205"/>
      <c r="L64" s="205"/>
      <c r="M64" s="71">
        <v>36</v>
      </c>
      <c r="N64" s="19"/>
      <c r="O64" s="22"/>
      <c r="P64" s="230">
        <f t="shared" si="8"/>
        <v>0</v>
      </c>
      <c r="Q64" s="78"/>
      <c r="R64" s="71">
        <v>36</v>
      </c>
      <c r="S64" s="75">
        <v>0.29837755987570302</v>
      </c>
      <c r="T64" s="232">
        <f t="shared" si="12"/>
        <v>0</v>
      </c>
      <c r="U64" s="236">
        <f t="shared" si="13"/>
        <v>0</v>
      </c>
      <c r="V64" s="237">
        <f t="shared" si="11"/>
        <v>0</v>
      </c>
      <c r="W64" s="205"/>
      <c r="X64" s="109">
        <v>50</v>
      </c>
      <c r="Y64" s="111"/>
      <c r="Z64" s="111"/>
      <c r="AA64" s="313">
        <f t="shared" si="2"/>
        <v>0.1790533745282559</v>
      </c>
      <c r="AB64" s="112">
        <f t="shared" si="0"/>
        <v>0</v>
      </c>
      <c r="AC64" s="112">
        <f t="shared" si="3"/>
        <v>0</v>
      </c>
      <c r="AD64" s="242">
        <f t="shared" si="1"/>
        <v>0</v>
      </c>
    </row>
    <row r="65" spans="1:30" ht="18.75" customHeight="1" x14ac:dyDescent="0.2">
      <c r="A65" s="71">
        <v>37</v>
      </c>
      <c r="B65" s="19"/>
      <c r="C65" s="22"/>
      <c r="D65" s="25">
        <f t="shared" si="5"/>
        <v>0</v>
      </c>
      <c r="E65" s="216"/>
      <c r="F65" s="71">
        <v>37</v>
      </c>
      <c r="G65" s="75">
        <v>0.28968695133563399</v>
      </c>
      <c r="H65" s="32">
        <f t="shared" si="6"/>
        <v>0</v>
      </c>
      <c r="I65" s="33">
        <f t="shared" si="7"/>
        <v>0</v>
      </c>
      <c r="J65" s="25">
        <f t="shared" si="10"/>
        <v>0</v>
      </c>
      <c r="K65" s="205"/>
      <c r="L65" s="205"/>
      <c r="M65" s="71">
        <v>37</v>
      </c>
      <c r="N65" s="19"/>
      <c r="O65" s="22"/>
      <c r="P65" s="230">
        <f t="shared" si="8"/>
        <v>0</v>
      </c>
      <c r="Q65" s="78"/>
      <c r="R65" s="71">
        <v>37</v>
      </c>
      <c r="S65" s="75">
        <v>0.28968695133563399</v>
      </c>
      <c r="T65" s="232">
        <f t="shared" si="12"/>
        <v>0</v>
      </c>
      <c r="U65" s="236">
        <f t="shared" si="13"/>
        <v>0</v>
      </c>
      <c r="V65" s="237">
        <f t="shared" si="11"/>
        <v>0</v>
      </c>
      <c r="W65" s="205"/>
      <c r="X65" s="109">
        <v>51</v>
      </c>
      <c r="Y65" s="111"/>
      <c r="Z65" s="111"/>
      <c r="AA65" s="313">
        <f t="shared" si="2"/>
        <v>0.17299842949589944</v>
      </c>
      <c r="AB65" s="112">
        <f t="shared" si="0"/>
        <v>0</v>
      </c>
      <c r="AC65" s="112">
        <f t="shared" si="3"/>
        <v>0</v>
      </c>
      <c r="AD65" s="242">
        <f t="shared" si="1"/>
        <v>0</v>
      </c>
    </row>
    <row r="66" spans="1:30" ht="18.75" customHeight="1" x14ac:dyDescent="0.2">
      <c r="A66" s="71">
        <v>38</v>
      </c>
      <c r="B66" s="19"/>
      <c r="C66" s="22"/>
      <c r="D66" s="25">
        <f t="shared" si="5"/>
        <v>0</v>
      </c>
      <c r="E66" s="216"/>
      <c r="F66" s="71">
        <v>38</v>
      </c>
      <c r="G66" s="75">
        <v>0.28124946731614953</v>
      </c>
      <c r="H66" s="32">
        <f t="shared" si="6"/>
        <v>0</v>
      </c>
      <c r="I66" s="33">
        <f t="shared" si="7"/>
        <v>0</v>
      </c>
      <c r="J66" s="25">
        <f t="shared" si="10"/>
        <v>0</v>
      </c>
      <c r="K66" s="205"/>
      <c r="L66" s="205"/>
      <c r="M66" s="71">
        <v>38</v>
      </c>
      <c r="N66" s="19"/>
      <c r="O66" s="22"/>
      <c r="P66" s="230">
        <f t="shared" si="8"/>
        <v>0</v>
      </c>
      <c r="Q66" s="78"/>
      <c r="R66" s="71">
        <v>38</v>
      </c>
      <c r="S66" s="75">
        <v>0.28124946731614953</v>
      </c>
      <c r="T66" s="232">
        <f t="shared" si="12"/>
        <v>0</v>
      </c>
      <c r="U66" s="236">
        <f t="shared" si="13"/>
        <v>0</v>
      </c>
      <c r="V66" s="237">
        <f t="shared" si="11"/>
        <v>0</v>
      </c>
      <c r="W66" s="205"/>
      <c r="X66" s="109">
        <v>52</v>
      </c>
      <c r="Y66" s="111"/>
      <c r="Z66" s="111"/>
      <c r="AA66" s="313">
        <f t="shared" si="2"/>
        <v>0.16714824105884002</v>
      </c>
      <c r="AB66" s="112">
        <f t="shared" si="0"/>
        <v>0</v>
      </c>
      <c r="AC66" s="112">
        <f t="shared" si="3"/>
        <v>0</v>
      </c>
      <c r="AD66" s="242">
        <f t="shared" si="1"/>
        <v>0</v>
      </c>
    </row>
    <row r="67" spans="1:30" ht="18.75" customHeight="1" x14ac:dyDescent="0.2">
      <c r="A67" s="71">
        <v>39</v>
      </c>
      <c r="B67" s="19"/>
      <c r="C67" s="22"/>
      <c r="D67" s="25">
        <f t="shared" si="5"/>
        <v>0</v>
      </c>
      <c r="E67" s="216"/>
      <c r="F67" s="71">
        <v>39</v>
      </c>
      <c r="G67" s="75">
        <v>0.2730577352583976</v>
      </c>
      <c r="H67" s="32">
        <f t="shared" si="6"/>
        <v>0</v>
      </c>
      <c r="I67" s="33">
        <f t="shared" si="7"/>
        <v>0</v>
      </c>
      <c r="J67" s="25">
        <f t="shared" si="10"/>
        <v>0</v>
      </c>
      <c r="K67" s="205"/>
      <c r="L67" s="205"/>
      <c r="M67" s="71">
        <v>39</v>
      </c>
      <c r="N67" s="19"/>
      <c r="O67" s="22"/>
      <c r="P67" s="230">
        <f t="shared" si="8"/>
        <v>0</v>
      </c>
      <c r="Q67" s="78"/>
      <c r="R67" s="71">
        <v>39</v>
      </c>
      <c r="S67" s="75">
        <v>0.2730577352583976</v>
      </c>
      <c r="T67" s="232">
        <f t="shared" si="12"/>
        <v>0</v>
      </c>
      <c r="U67" s="236">
        <f t="shared" si="13"/>
        <v>0</v>
      </c>
      <c r="V67" s="237">
        <f t="shared" si="11"/>
        <v>0</v>
      </c>
      <c r="W67" s="205"/>
      <c r="X67" s="109">
        <v>53</v>
      </c>
      <c r="Y67" s="111"/>
      <c r="Z67" s="111"/>
      <c r="AA67" s="313">
        <f t="shared" si="2"/>
        <v>0.16149588508100488</v>
      </c>
      <c r="AB67" s="112">
        <f t="shared" si="0"/>
        <v>0</v>
      </c>
      <c r="AC67" s="112">
        <f t="shared" si="3"/>
        <v>0</v>
      </c>
      <c r="AD67" s="242">
        <f t="shared" si="1"/>
        <v>0</v>
      </c>
    </row>
    <row r="68" spans="1:30" ht="18.75" customHeight="1" x14ac:dyDescent="0.2">
      <c r="A68" s="71">
        <v>40</v>
      </c>
      <c r="B68" s="19"/>
      <c r="C68" s="22"/>
      <c r="D68" s="25">
        <f t="shared" si="5"/>
        <v>0</v>
      </c>
      <c r="E68" s="216"/>
      <c r="F68" s="71">
        <v>40</v>
      </c>
      <c r="G68" s="75">
        <v>0.26510459733825009</v>
      </c>
      <c r="H68" s="32">
        <f t="shared" si="6"/>
        <v>0</v>
      </c>
      <c r="I68" s="33">
        <f t="shared" si="7"/>
        <v>0</v>
      </c>
      <c r="J68" s="25">
        <f t="shared" si="10"/>
        <v>0</v>
      </c>
      <c r="K68" s="205"/>
      <c r="L68" s="205"/>
      <c r="M68" s="71">
        <v>40</v>
      </c>
      <c r="N68" s="19"/>
      <c r="O68" s="22"/>
      <c r="P68" s="230">
        <f t="shared" si="8"/>
        <v>0</v>
      </c>
      <c r="Q68" s="78"/>
      <c r="R68" s="71">
        <v>40</v>
      </c>
      <c r="S68" s="75">
        <v>0.26510459733825009</v>
      </c>
      <c r="T68" s="232">
        <f t="shared" si="12"/>
        <v>0</v>
      </c>
      <c r="U68" s="236">
        <f t="shared" si="13"/>
        <v>0</v>
      </c>
      <c r="V68" s="237">
        <f t="shared" si="11"/>
        <v>0</v>
      </c>
      <c r="W68" s="205"/>
      <c r="X68" s="109">
        <v>54</v>
      </c>
      <c r="Y68" s="111"/>
      <c r="Z68" s="111"/>
      <c r="AA68" s="313">
        <f t="shared" si="2"/>
        <v>0.15603467157585013</v>
      </c>
      <c r="AB68" s="112">
        <f t="shared" si="0"/>
        <v>0</v>
      </c>
      <c r="AC68" s="112">
        <f t="shared" si="3"/>
        <v>0</v>
      </c>
      <c r="AD68" s="242">
        <f t="shared" si="1"/>
        <v>0</v>
      </c>
    </row>
    <row r="69" spans="1:30" ht="18.75" customHeight="1" x14ac:dyDescent="0.2">
      <c r="A69" s="71">
        <v>41</v>
      </c>
      <c r="B69" s="19"/>
      <c r="C69" s="22"/>
      <c r="D69" s="25">
        <f t="shared" si="5"/>
        <v>0</v>
      </c>
      <c r="E69" s="216"/>
      <c r="F69" s="71">
        <v>41</v>
      </c>
      <c r="G69" s="75">
        <v>0.25738310421189331</v>
      </c>
      <c r="H69" s="32">
        <f t="shared" si="6"/>
        <v>0</v>
      </c>
      <c r="I69" s="33">
        <f t="shared" si="7"/>
        <v>0</v>
      </c>
      <c r="J69" s="25">
        <f t="shared" si="10"/>
        <v>0</v>
      </c>
      <c r="K69" s="205"/>
      <c r="L69" s="205"/>
      <c r="M69" s="71">
        <v>41</v>
      </c>
      <c r="N69" s="19"/>
      <c r="O69" s="22"/>
      <c r="P69" s="230">
        <f t="shared" si="8"/>
        <v>0</v>
      </c>
      <c r="Q69" s="78"/>
      <c r="R69" s="71">
        <v>41</v>
      </c>
      <c r="S69" s="75">
        <v>0.25738310421189331</v>
      </c>
      <c r="T69" s="232">
        <f t="shared" si="12"/>
        <v>0</v>
      </c>
      <c r="U69" s="236">
        <f t="shared" si="13"/>
        <v>0</v>
      </c>
      <c r="V69" s="237">
        <f t="shared" si="11"/>
        <v>0</v>
      </c>
      <c r="W69" s="205"/>
      <c r="X69" s="109">
        <v>55</v>
      </c>
      <c r="Y69" s="111"/>
      <c r="Z69" s="111"/>
      <c r="AA69" s="313">
        <f t="shared" si="2"/>
        <v>0.15075813678826103</v>
      </c>
      <c r="AB69" s="112">
        <f t="shared" si="0"/>
        <v>0</v>
      </c>
      <c r="AC69" s="112">
        <f t="shared" si="3"/>
        <v>0</v>
      </c>
      <c r="AD69" s="242">
        <f t="shared" si="1"/>
        <v>0</v>
      </c>
    </row>
    <row r="70" spans="1:30" ht="18.75" customHeight="1" x14ac:dyDescent="0.2">
      <c r="A70" s="71">
        <v>42</v>
      </c>
      <c r="B70" s="19"/>
      <c r="C70" s="22"/>
      <c r="D70" s="25">
        <f t="shared" si="5"/>
        <v>0</v>
      </c>
      <c r="E70" s="216"/>
      <c r="F70" s="71">
        <v>42</v>
      </c>
      <c r="G70" s="75">
        <v>0.24988650894358574</v>
      </c>
      <c r="H70" s="32">
        <f t="shared" si="6"/>
        <v>0</v>
      </c>
      <c r="I70" s="33">
        <f t="shared" si="7"/>
        <v>0</v>
      </c>
      <c r="J70" s="25">
        <f t="shared" si="10"/>
        <v>0</v>
      </c>
      <c r="K70" s="205"/>
      <c r="L70" s="205"/>
      <c r="M70" s="71">
        <v>42</v>
      </c>
      <c r="N70" s="19"/>
      <c r="O70" s="22"/>
      <c r="P70" s="230">
        <f t="shared" si="8"/>
        <v>0</v>
      </c>
      <c r="Q70" s="78"/>
      <c r="R70" s="71">
        <v>42</v>
      </c>
      <c r="S70" s="75">
        <v>0.24988650894358574</v>
      </c>
      <c r="T70" s="232">
        <f t="shared" si="12"/>
        <v>0</v>
      </c>
      <c r="U70" s="236">
        <f t="shared" si="13"/>
        <v>0</v>
      </c>
      <c r="V70" s="237">
        <f t="shared" si="11"/>
        <v>0</v>
      </c>
      <c r="W70" s="205"/>
      <c r="X70" s="109">
        <v>56</v>
      </c>
      <c r="Y70" s="111"/>
      <c r="Z70" s="111"/>
      <c r="AA70" s="313">
        <f t="shared" si="2"/>
        <v>0.14566003554421353</v>
      </c>
      <c r="AB70" s="112">
        <f t="shared" si="0"/>
        <v>0</v>
      </c>
      <c r="AC70" s="112">
        <f t="shared" si="3"/>
        <v>0</v>
      </c>
      <c r="AD70" s="242">
        <f t="shared" si="1"/>
        <v>0</v>
      </c>
    </row>
    <row r="71" spans="1:30" ht="18.75" customHeight="1" x14ac:dyDescent="0.2">
      <c r="A71" s="71">
        <v>43</v>
      </c>
      <c r="B71" s="19"/>
      <c r="C71" s="22"/>
      <c r="D71" s="25">
        <f t="shared" si="5"/>
        <v>0</v>
      </c>
      <c r="E71" s="216"/>
      <c r="F71" s="71">
        <v>43</v>
      </c>
      <c r="G71" s="75">
        <v>0.24260826111027742</v>
      </c>
      <c r="H71" s="32">
        <f t="shared" si="6"/>
        <v>0</v>
      </c>
      <c r="I71" s="33">
        <f t="shared" si="7"/>
        <v>0</v>
      </c>
      <c r="J71" s="25">
        <f t="shared" si="10"/>
        <v>0</v>
      </c>
      <c r="K71" s="205"/>
      <c r="L71" s="205"/>
      <c r="M71" s="71">
        <v>43</v>
      </c>
      <c r="N71" s="19"/>
      <c r="O71" s="22"/>
      <c r="P71" s="230">
        <f t="shared" si="8"/>
        <v>0</v>
      </c>
      <c r="Q71" s="78"/>
      <c r="R71" s="71">
        <v>43</v>
      </c>
      <c r="S71" s="75">
        <v>0.24260826111027742</v>
      </c>
      <c r="T71" s="232">
        <f t="shared" si="12"/>
        <v>0</v>
      </c>
      <c r="U71" s="236">
        <f t="shared" si="13"/>
        <v>0</v>
      </c>
      <c r="V71" s="237">
        <f t="shared" si="11"/>
        <v>0</v>
      </c>
      <c r="W71" s="205"/>
      <c r="X71" s="109">
        <v>57</v>
      </c>
      <c r="Y71" s="111"/>
      <c r="Z71" s="111"/>
      <c r="AA71" s="313">
        <f t="shared" si="2"/>
        <v>0.14073433385914352</v>
      </c>
      <c r="AB71" s="112">
        <f t="shared" si="0"/>
        <v>0</v>
      </c>
      <c r="AC71" s="112">
        <f t="shared" si="3"/>
        <v>0</v>
      </c>
      <c r="AD71" s="242">
        <f t="shared" si="1"/>
        <v>0</v>
      </c>
    </row>
    <row r="72" spans="1:30" ht="18.75" customHeight="1" x14ac:dyDescent="0.2">
      <c r="A72" s="71">
        <v>44</v>
      </c>
      <c r="B72" s="19"/>
      <c r="C72" s="22"/>
      <c r="D72" s="25">
        <f t="shared" si="5"/>
        <v>0</v>
      </c>
      <c r="E72" s="216"/>
      <c r="F72" s="71">
        <v>44</v>
      </c>
      <c r="G72" s="75">
        <v>0.23554200107793924</v>
      </c>
      <c r="H72" s="32">
        <f t="shared" si="6"/>
        <v>0</v>
      </c>
      <c r="I72" s="33">
        <f t="shared" si="7"/>
        <v>0</v>
      </c>
      <c r="J72" s="25">
        <f t="shared" si="10"/>
        <v>0</v>
      </c>
      <c r="K72" s="205"/>
      <c r="L72" s="205"/>
      <c r="M72" s="71">
        <v>44</v>
      </c>
      <c r="N72" s="19"/>
      <c r="O72" s="22"/>
      <c r="P72" s="230">
        <f t="shared" si="8"/>
        <v>0</v>
      </c>
      <c r="Q72" s="78"/>
      <c r="R72" s="71">
        <v>44</v>
      </c>
      <c r="S72" s="75">
        <v>0.23554200107793924</v>
      </c>
      <c r="T72" s="232">
        <f t="shared" si="12"/>
        <v>0</v>
      </c>
      <c r="U72" s="236">
        <f t="shared" si="13"/>
        <v>0</v>
      </c>
      <c r="V72" s="237">
        <f t="shared" si="11"/>
        <v>0</v>
      </c>
      <c r="W72" s="205"/>
      <c r="X72" s="109">
        <v>58</v>
      </c>
      <c r="Y72" s="111"/>
      <c r="Z72" s="111"/>
      <c r="AA72" s="313">
        <f t="shared" si="2"/>
        <v>0.13597520179627395</v>
      </c>
      <c r="AB72" s="112">
        <f t="shared" si="0"/>
        <v>0</v>
      </c>
      <c r="AC72" s="112">
        <f t="shared" si="3"/>
        <v>0</v>
      </c>
      <c r="AD72" s="242">
        <f t="shared" si="1"/>
        <v>0</v>
      </c>
    </row>
    <row r="73" spans="1:30" ht="18.75" customHeight="1" x14ac:dyDescent="0.2">
      <c r="A73" s="71">
        <v>45</v>
      </c>
      <c r="B73" s="19"/>
      <c r="C73" s="22"/>
      <c r="D73" s="25">
        <f t="shared" si="5"/>
        <v>0</v>
      </c>
      <c r="E73" s="216"/>
      <c r="F73" s="71">
        <v>45</v>
      </c>
      <c r="G73" s="75">
        <v>0.2286815544446012</v>
      </c>
      <c r="H73" s="32">
        <f t="shared" si="6"/>
        <v>0</v>
      </c>
      <c r="I73" s="33">
        <f t="shared" si="7"/>
        <v>0</v>
      </c>
      <c r="J73" s="25">
        <f t="shared" si="10"/>
        <v>0</v>
      </c>
      <c r="K73" s="205"/>
      <c r="L73" s="205"/>
      <c r="M73" s="71">
        <v>45</v>
      </c>
      <c r="N73" s="19"/>
      <c r="O73" s="22"/>
      <c r="P73" s="230">
        <f t="shared" si="8"/>
        <v>0</v>
      </c>
      <c r="Q73" s="78"/>
      <c r="R73" s="71">
        <v>45</v>
      </c>
      <c r="S73" s="75">
        <v>0.2286815544446012</v>
      </c>
      <c r="T73" s="232">
        <f t="shared" si="12"/>
        <v>0</v>
      </c>
      <c r="U73" s="236">
        <f t="shared" si="13"/>
        <v>0</v>
      </c>
      <c r="V73" s="237">
        <f t="shared" si="11"/>
        <v>0</v>
      </c>
      <c r="W73" s="205"/>
      <c r="X73" s="109">
        <v>59</v>
      </c>
      <c r="Y73" s="111"/>
      <c r="Z73" s="111"/>
      <c r="AA73" s="313">
        <f t="shared" si="2"/>
        <v>0.13137700656644827</v>
      </c>
      <c r="AB73" s="112">
        <f t="shared" si="0"/>
        <v>0</v>
      </c>
      <c r="AC73" s="112">
        <f t="shared" si="3"/>
        <v>0</v>
      </c>
      <c r="AD73" s="242">
        <f t="shared" si="1"/>
        <v>0</v>
      </c>
    </row>
    <row r="74" spans="1:30" ht="18.75" customHeight="1" x14ac:dyDescent="0.2">
      <c r="A74" s="71">
        <v>46</v>
      </c>
      <c r="B74" s="19"/>
      <c r="C74" s="22"/>
      <c r="D74" s="25">
        <f t="shared" si="5"/>
        <v>0</v>
      </c>
      <c r="E74" s="216"/>
      <c r="F74" s="71">
        <v>46</v>
      </c>
      <c r="G74" s="75">
        <v>0.22202092664524387</v>
      </c>
      <c r="H74" s="32">
        <f t="shared" si="6"/>
        <v>0</v>
      </c>
      <c r="I74" s="33">
        <f t="shared" si="7"/>
        <v>0</v>
      </c>
      <c r="J74" s="25">
        <f t="shared" si="10"/>
        <v>0</v>
      </c>
      <c r="K74" s="205"/>
      <c r="L74" s="205"/>
      <c r="M74" s="71">
        <v>46</v>
      </c>
      <c r="N74" s="19"/>
      <c r="O74" s="22"/>
      <c r="P74" s="230">
        <f t="shared" si="8"/>
        <v>0</v>
      </c>
      <c r="Q74" s="78"/>
      <c r="R74" s="71">
        <v>46</v>
      </c>
      <c r="S74" s="75">
        <v>0.22202092664524387</v>
      </c>
      <c r="T74" s="232">
        <f t="shared" si="12"/>
        <v>0</v>
      </c>
      <c r="U74" s="236">
        <f t="shared" si="13"/>
        <v>0</v>
      </c>
      <c r="V74" s="237">
        <f t="shared" si="11"/>
        <v>0</v>
      </c>
      <c r="W74" s="205"/>
      <c r="X74" s="109">
        <v>60</v>
      </c>
      <c r="Y74" s="111"/>
      <c r="Z74" s="111"/>
      <c r="AA74" s="313">
        <f t="shared" si="2"/>
        <v>0.12693430586130269</v>
      </c>
      <c r="AB74" s="112">
        <f t="shared" si="0"/>
        <v>0</v>
      </c>
      <c r="AC74" s="112">
        <f t="shared" si="3"/>
        <v>0</v>
      </c>
      <c r="AD74" s="242">
        <f t="shared" si="1"/>
        <v>0</v>
      </c>
    </row>
    <row r="75" spans="1:30" ht="18.75" customHeight="1" x14ac:dyDescent="0.2">
      <c r="A75" s="71">
        <v>47</v>
      </c>
      <c r="B75" s="19"/>
      <c r="C75" s="22"/>
      <c r="D75" s="25">
        <f t="shared" si="5"/>
        <v>0</v>
      </c>
      <c r="E75" s="216"/>
      <c r="F75" s="71">
        <v>47</v>
      </c>
      <c r="G75" s="75">
        <v>0.215554297713829</v>
      </c>
      <c r="H75" s="32">
        <f t="shared" si="6"/>
        <v>0</v>
      </c>
      <c r="I75" s="33">
        <f t="shared" si="7"/>
        <v>0</v>
      </c>
      <c r="J75" s="25">
        <f t="shared" si="10"/>
        <v>0</v>
      </c>
      <c r="K75" s="205"/>
      <c r="L75" s="205"/>
      <c r="M75" s="71">
        <v>47</v>
      </c>
      <c r="N75" s="19"/>
      <c r="O75" s="22"/>
      <c r="P75" s="230">
        <f t="shared" si="8"/>
        <v>0</v>
      </c>
      <c r="Q75" s="78"/>
      <c r="R75" s="71">
        <v>47</v>
      </c>
      <c r="S75" s="75">
        <v>0.215554297713829</v>
      </c>
      <c r="T75" s="232">
        <f t="shared" si="12"/>
        <v>0</v>
      </c>
      <c r="U75" s="236">
        <f t="shared" si="13"/>
        <v>0</v>
      </c>
      <c r="V75" s="237">
        <f t="shared" si="11"/>
        <v>0</v>
      </c>
      <c r="W75" s="205"/>
      <c r="X75" s="109">
        <v>61</v>
      </c>
      <c r="Y75" s="111"/>
      <c r="Z75" s="111"/>
      <c r="AA75" s="313">
        <f t="shared" si="2"/>
        <v>0.12264184141188664</v>
      </c>
      <c r="AB75" s="112">
        <f t="shared" si="0"/>
        <v>0</v>
      </c>
      <c r="AC75" s="112">
        <f t="shared" si="3"/>
        <v>0</v>
      </c>
      <c r="AD75" s="242">
        <f t="shared" si="1"/>
        <v>0</v>
      </c>
    </row>
    <row r="76" spans="1:30" ht="18.75" customHeight="1" x14ac:dyDescent="0.2">
      <c r="A76" s="71">
        <v>48</v>
      </c>
      <c r="B76" s="19"/>
      <c r="C76" s="22"/>
      <c r="D76" s="25">
        <f t="shared" si="5"/>
        <v>0</v>
      </c>
      <c r="E76" s="216"/>
      <c r="F76" s="71">
        <v>48</v>
      </c>
      <c r="G76" s="75">
        <v>0.20927601719789224</v>
      </c>
      <c r="H76" s="32">
        <f t="shared" si="6"/>
        <v>0</v>
      </c>
      <c r="I76" s="33">
        <f t="shared" si="7"/>
        <v>0</v>
      </c>
      <c r="J76" s="25">
        <f t="shared" si="10"/>
        <v>0</v>
      </c>
      <c r="K76" s="205"/>
      <c r="L76" s="205"/>
      <c r="M76" s="71">
        <v>48</v>
      </c>
      <c r="N76" s="19"/>
      <c r="O76" s="22"/>
      <c r="P76" s="230">
        <f t="shared" si="8"/>
        <v>0</v>
      </c>
      <c r="Q76" s="78"/>
      <c r="R76" s="71">
        <v>48</v>
      </c>
      <c r="S76" s="75">
        <v>0.20927601719789224</v>
      </c>
      <c r="T76" s="232">
        <f t="shared" si="12"/>
        <v>0</v>
      </c>
      <c r="U76" s="236">
        <f t="shared" si="13"/>
        <v>0</v>
      </c>
      <c r="V76" s="237">
        <f t="shared" si="11"/>
        <v>0</v>
      </c>
      <c r="W76" s="205"/>
      <c r="X76" s="109">
        <v>62</v>
      </c>
      <c r="Y76" s="111"/>
      <c r="Z76" s="111"/>
      <c r="AA76" s="313">
        <f t="shared" si="2"/>
        <v>0.11849453276510789</v>
      </c>
      <c r="AB76" s="112">
        <f t="shared" si="0"/>
        <v>0</v>
      </c>
      <c r="AC76" s="112">
        <f t="shared" si="3"/>
        <v>0</v>
      </c>
      <c r="AD76" s="242">
        <f t="shared" si="1"/>
        <v>0</v>
      </c>
    </row>
    <row r="77" spans="1:30" ht="18.75" customHeight="1" x14ac:dyDescent="0.2">
      <c r="A77" s="71">
        <v>49</v>
      </c>
      <c r="B77" s="19"/>
      <c r="C77" s="22"/>
      <c r="D77" s="25">
        <f t="shared" si="5"/>
        <v>0</v>
      </c>
      <c r="E77" s="216"/>
      <c r="F77" s="71">
        <v>49</v>
      </c>
      <c r="G77" s="75">
        <v>0.20318059922125459</v>
      </c>
      <c r="H77" s="32">
        <f t="shared" si="6"/>
        <v>0</v>
      </c>
      <c r="I77" s="33">
        <f t="shared" si="7"/>
        <v>0</v>
      </c>
      <c r="J77" s="25">
        <f t="shared" si="10"/>
        <v>0</v>
      </c>
      <c r="K77" s="205"/>
      <c r="L77" s="205"/>
      <c r="M77" s="71">
        <v>49</v>
      </c>
      <c r="N77" s="19"/>
      <c r="O77" s="22"/>
      <c r="P77" s="230">
        <f t="shared" si="8"/>
        <v>0</v>
      </c>
      <c r="Q77" s="78"/>
      <c r="R77" s="71">
        <v>49</v>
      </c>
      <c r="S77" s="75">
        <v>0.20318059922125459</v>
      </c>
      <c r="T77" s="232">
        <f t="shared" si="12"/>
        <v>0</v>
      </c>
      <c r="U77" s="236">
        <f t="shared" si="13"/>
        <v>0</v>
      </c>
      <c r="V77" s="237">
        <f t="shared" si="11"/>
        <v>0</v>
      </c>
      <c r="W77" s="205"/>
      <c r="X77" s="109">
        <v>63</v>
      </c>
      <c r="Y77" s="111"/>
      <c r="Z77" s="111"/>
      <c r="AA77" s="313">
        <f t="shared" si="2"/>
        <v>0.11448747127063565</v>
      </c>
      <c r="AB77" s="112">
        <f t="shared" si="0"/>
        <v>0</v>
      </c>
      <c r="AC77" s="112">
        <f t="shared" si="3"/>
        <v>0</v>
      </c>
      <c r="AD77" s="242">
        <f t="shared" si="1"/>
        <v>0</v>
      </c>
    </row>
    <row r="78" spans="1:30" ht="18.75" customHeight="1" x14ac:dyDescent="0.2">
      <c r="A78" s="71">
        <v>50</v>
      </c>
      <c r="B78" s="19"/>
      <c r="C78" s="22"/>
      <c r="D78" s="25">
        <f t="shared" si="5"/>
        <v>0</v>
      </c>
      <c r="E78" s="216"/>
      <c r="F78" s="71">
        <v>50</v>
      </c>
      <c r="G78" s="75">
        <v>0.19726271769053844</v>
      </c>
      <c r="H78" s="32">
        <f t="shared" si="6"/>
        <v>0</v>
      </c>
      <c r="I78" s="33">
        <f t="shared" si="7"/>
        <v>0</v>
      </c>
      <c r="J78" s="25">
        <f t="shared" si="10"/>
        <v>0</v>
      </c>
      <c r="K78" s="205"/>
      <c r="L78" s="205"/>
      <c r="M78" s="71">
        <v>50</v>
      </c>
      <c r="N78" s="19"/>
      <c r="O78" s="22"/>
      <c r="P78" s="230">
        <f t="shared" si="8"/>
        <v>0</v>
      </c>
      <c r="Q78" s="78"/>
      <c r="R78" s="71">
        <v>50</v>
      </c>
      <c r="S78" s="75">
        <v>0.19726271769053844</v>
      </c>
      <c r="T78" s="232">
        <f t="shared" si="12"/>
        <v>0</v>
      </c>
      <c r="U78" s="236">
        <f t="shared" si="13"/>
        <v>0</v>
      </c>
      <c r="V78" s="237">
        <f t="shared" si="11"/>
        <v>0</v>
      </c>
      <c r="W78" s="205"/>
      <c r="X78" s="109">
        <v>64</v>
      </c>
      <c r="Y78" s="111"/>
      <c r="Z78" s="111"/>
      <c r="AA78" s="313">
        <f t="shared" si="2"/>
        <v>0.11061591427114556</v>
      </c>
      <c r="AB78" s="112">
        <f t="shared" ref="AB78:AB114" si="14">Y78*AA78</f>
        <v>0</v>
      </c>
      <c r="AC78" s="112">
        <f t="shared" si="3"/>
        <v>0</v>
      </c>
      <c r="AD78" s="242">
        <f t="shared" si="1"/>
        <v>0</v>
      </c>
    </row>
    <row r="79" spans="1:30" ht="18.75" customHeight="1" x14ac:dyDescent="0.2">
      <c r="A79" s="71">
        <v>51</v>
      </c>
      <c r="B79" s="19"/>
      <c r="C79" s="22"/>
      <c r="D79" s="25">
        <f t="shared" si="5"/>
        <v>0</v>
      </c>
      <c r="E79" s="216"/>
      <c r="F79" s="71">
        <v>51</v>
      </c>
      <c r="G79" s="75">
        <v>0.19151720164129946</v>
      </c>
      <c r="H79" s="32">
        <f t="shared" si="6"/>
        <v>0</v>
      </c>
      <c r="I79" s="33">
        <f t="shared" si="7"/>
        <v>0</v>
      </c>
      <c r="J79" s="25">
        <f t="shared" si="10"/>
        <v>0</v>
      </c>
      <c r="K79" s="205"/>
      <c r="L79" s="205"/>
      <c r="M79" s="71">
        <v>51</v>
      </c>
      <c r="N79" s="19"/>
      <c r="O79" s="22"/>
      <c r="P79" s="230">
        <f t="shared" si="8"/>
        <v>0</v>
      </c>
      <c r="Q79" s="78"/>
      <c r="R79" s="71">
        <v>51</v>
      </c>
      <c r="S79" s="75">
        <v>0.19151720164129946</v>
      </c>
      <c r="T79" s="232">
        <f t="shared" si="12"/>
        <v>0</v>
      </c>
      <c r="U79" s="236">
        <f t="shared" si="13"/>
        <v>0</v>
      </c>
      <c r="V79" s="237">
        <f t="shared" si="11"/>
        <v>0</v>
      </c>
      <c r="W79" s="205"/>
      <c r="X79" s="109">
        <v>65</v>
      </c>
      <c r="Y79" s="111"/>
      <c r="Z79" s="111"/>
      <c r="AA79" s="313">
        <f t="shared" si="2"/>
        <v>0.10687527948902953</v>
      </c>
      <c r="AB79" s="112">
        <f t="shared" si="14"/>
        <v>0</v>
      </c>
      <c r="AC79" s="112">
        <f t="shared" si="3"/>
        <v>0</v>
      </c>
      <c r="AD79" s="242">
        <f t="shared" ref="AD79:AD113" si="15">AB79+AC79</f>
        <v>0</v>
      </c>
    </row>
    <row r="80" spans="1:30" ht="18.75" customHeight="1" x14ac:dyDescent="0.2">
      <c r="A80" s="71">
        <v>52</v>
      </c>
      <c r="B80" s="19"/>
      <c r="C80" s="22"/>
      <c r="D80" s="25">
        <f t="shared" si="5"/>
        <v>0</v>
      </c>
      <c r="E80" s="216"/>
      <c r="F80" s="71">
        <v>52</v>
      </c>
      <c r="G80" s="75">
        <v>0.18593903071970821</v>
      </c>
      <c r="H80" s="32">
        <f t="shared" si="6"/>
        <v>0</v>
      </c>
      <c r="I80" s="33">
        <f t="shared" si="7"/>
        <v>0</v>
      </c>
      <c r="J80" s="25">
        <f t="shared" si="10"/>
        <v>0</v>
      </c>
      <c r="K80" s="205"/>
      <c r="L80" s="205"/>
      <c r="M80" s="71">
        <v>52</v>
      </c>
      <c r="N80" s="19"/>
      <c r="O80" s="22"/>
      <c r="P80" s="230">
        <f t="shared" si="8"/>
        <v>0</v>
      </c>
      <c r="Q80" s="78"/>
      <c r="R80" s="71">
        <v>52</v>
      </c>
      <c r="S80" s="75">
        <v>0.18593903071970821</v>
      </c>
      <c r="T80" s="232">
        <f t="shared" si="12"/>
        <v>0</v>
      </c>
      <c r="U80" s="236">
        <f t="shared" si="13"/>
        <v>0</v>
      </c>
      <c r="V80" s="237">
        <f t="shared" si="11"/>
        <v>0</v>
      </c>
      <c r="W80" s="205"/>
      <c r="X80" s="109">
        <v>66</v>
      </c>
      <c r="Y80" s="111"/>
      <c r="Z80" s="111"/>
      <c r="AA80" s="313">
        <f t="shared" ref="AA80:AA114" si="16">(1/($AA$12+1))^X80</f>
        <v>0.10326113960292709</v>
      </c>
      <c r="AB80" s="112">
        <f t="shared" si="14"/>
        <v>0</v>
      </c>
      <c r="AC80" s="112">
        <f t="shared" ref="AC80:AC114" si="17">(Z80*AA80)</f>
        <v>0</v>
      </c>
      <c r="AD80" s="242">
        <f t="shared" si="15"/>
        <v>0</v>
      </c>
    </row>
    <row r="81" spans="1:30" ht="18.75" customHeight="1" x14ac:dyDescent="0.2">
      <c r="A81" s="71">
        <v>53</v>
      </c>
      <c r="B81" s="19"/>
      <c r="C81" s="22"/>
      <c r="D81" s="25">
        <f t="shared" si="5"/>
        <v>0</v>
      </c>
      <c r="E81" s="216"/>
      <c r="F81" s="71">
        <v>53</v>
      </c>
      <c r="G81" s="75">
        <v>0.18052333079583321</v>
      </c>
      <c r="H81" s="32">
        <f t="shared" si="6"/>
        <v>0</v>
      </c>
      <c r="I81" s="33">
        <f t="shared" si="7"/>
        <v>0</v>
      </c>
      <c r="J81" s="25">
        <f t="shared" si="10"/>
        <v>0</v>
      </c>
      <c r="K81" s="205"/>
      <c r="L81" s="205"/>
      <c r="M81" s="71">
        <v>53</v>
      </c>
      <c r="N81" s="19"/>
      <c r="O81" s="22"/>
      <c r="P81" s="230">
        <f t="shared" si="8"/>
        <v>0</v>
      </c>
      <c r="Q81" s="78"/>
      <c r="R81" s="71">
        <v>53</v>
      </c>
      <c r="S81" s="75">
        <v>0.18052333079583321</v>
      </c>
      <c r="T81" s="232">
        <f t="shared" si="12"/>
        <v>0</v>
      </c>
      <c r="U81" s="236">
        <f t="shared" si="13"/>
        <v>0</v>
      </c>
      <c r="V81" s="237">
        <f t="shared" si="11"/>
        <v>0</v>
      </c>
      <c r="W81" s="205"/>
      <c r="X81" s="109">
        <v>67</v>
      </c>
      <c r="Y81" s="111"/>
      <c r="Z81" s="111"/>
      <c r="AA81" s="313">
        <f t="shared" si="16"/>
        <v>9.9769217007659033E-2</v>
      </c>
      <c r="AB81" s="112">
        <f t="shared" si="14"/>
        <v>0</v>
      </c>
      <c r="AC81" s="112">
        <f t="shared" si="17"/>
        <v>0</v>
      </c>
      <c r="AD81" s="242">
        <f t="shared" si="15"/>
        <v>0</v>
      </c>
    </row>
    <row r="82" spans="1:30" ht="18.75" customHeight="1" x14ac:dyDescent="0.2">
      <c r="A82" s="71">
        <v>54</v>
      </c>
      <c r="B82" s="19"/>
      <c r="C82" s="22"/>
      <c r="D82" s="25">
        <f t="shared" si="5"/>
        <v>0</v>
      </c>
      <c r="E82" s="216"/>
      <c r="F82" s="71">
        <v>54</v>
      </c>
      <c r="G82" s="75">
        <v>0.17526536970469245</v>
      </c>
      <c r="H82" s="32">
        <f t="shared" si="6"/>
        <v>0</v>
      </c>
      <c r="I82" s="33">
        <f t="shared" si="7"/>
        <v>0</v>
      </c>
      <c r="J82" s="25">
        <f t="shared" si="10"/>
        <v>0</v>
      </c>
      <c r="K82" s="205"/>
      <c r="L82" s="205"/>
      <c r="M82" s="71">
        <v>54</v>
      </c>
      <c r="N82" s="19"/>
      <c r="O82" s="22"/>
      <c r="P82" s="230">
        <f t="shared" si="8"/>
        <v>0</v>
      </c>
      <c r="Q82" s="78"/>
      <c r="R82" s="71">
        <v>54</v>
      </c>
      <c r="S82" s="75">
        <v>0.17526536970469245</v>
      </c>
      <c r="T82" s="232">
        <f t="shared" si="12"/>
        <v>0</v>
      </c>
      <c r="U82" s="236">
        <f t="shared" si="13"/>
        <v>0</v>
      </c>
      <c r="V82" s="237">
        <f t="shared" si="11"/>
        <v>0</v>
      </c>
      <c r="W82" s="205"/>
      <c r="X82" s="109">
        <v>68</v>
      </c>
      <c r="Y82" s="111"/>
      <c r="Z82" s="111"/>
      <c r="AA82" s="313">
        <f t="shared" si="16"/>
        <v>9.6395378751361394E-2</v>
      </c>
      <c r="AB82" s="112">
        <f t="shared" si="14"/>
        <v>0</v>
      </c>
      <c r="AC82" s="112">
        <f t="shared" si="17"/>
        <v>0</v>
      </c>
      <c r="AD82" s="242">
        <f t="shared" si="15"/>
        <v>0</v>
      </c>
    </row>
    <row r="83" spans="1:30" ht="18.75" customHeight="1" x14ac:dyDescent="0.2">
      <c r="A83" s="71">
        <v>55</v>
      </c>
      <c r="B83" s="19"/>
      <c r="C83" s="22"/>
      <c r="D83" s="25">
        <f t="shared" si="5"/>
        <v>0</v>
      </c>
      <c r="E83" s="216"/>
      <c r="F83" s="71">
        <v>55</v>
      </c>
      <c r="G83" s="75">
        <v>0.17016055311135189</v>
      </c>
      <c r="H83" s="32">
        <f t="shared" si="6"/>
        <v>0</v>
      </c>
      <c r="I83" s="33">
        <f t="shared" si="7"/>
        <v>0</v>
      </c>
      <c r="J83" s="25">
        <f t="shared" si="10"/>
        <v>0</v>
      </c>
      <c r="K83" s="205"/>
      <c r="L83" s="205"/>
      <c r="M83" s="71">
        <v>55</v>
      </c>
      <c r="N83" s="19"/>
      <c r="O83" s="22"/>
      <c r="P83" s="230">
        <f t="shared" si="8"/>
        <v>0</v>
      </c>
      <c r="Q83" s="78"/>
      <c r="R83" s="71">
        <v>55</v>
      </c>
      <c r="S83" s="75">
        <v>0.17016055311135189</v>
      </c>
      <c r="T83" s="232">
        <f t="shared" si="12"/>
        <v>0</v>
      </c>
      <c r="U83" s="236">
        <f t="shared" si="13"/>
        <v>0</v>
      </c>
      <c r="V83" s="237">
        <f t="shared" si="11"/>
        <v>0</v>
      </c>
      <c r="W83" s="205"/>
      <c r="X83" s="109">
        <v>69</v>
      </c>
      <c r="Y83" s="111"/>
      <c r="Z83" s="111"/>
      <c r="AA83" s="313">
        <f t="shared" si="16"/>
        <v>9.3135631643827432E-2</v>
      </c>
      <c r="AB83" s="112">
        <f t="shared" si="14"/>
        <v>0</v>
      </c>
      <c r="AC83" s="112">
        <f t="shared" si="17"/>
        <v>0</v>
      </c>
      <c r="AD83" s="242">
        <f t="shared" si="15"/>
        <v>0</v>
      </c>
    </row>
    <row r="84" spans="1:30" ht="18.75" customHeight="1" x14ac:dyDescent="0.2">
      <c r="A84" s="71">
        <v>56</v>
      </c>
      <c r="B84" s="19"/>
      <c r="C84" s="22"/>
      <c r="D84" s="25">
        <f t="shared" si="5"/>
        <v>0</v>
      </c>
      <c r="E84" s="216"/>
      <c r="F84" s="71">
        <v>56</v>
      </c>
      <c r="G84" s="75">
        <v>0.16520442049645814</v>
      </c>
      <c r="H84" s="32">
        <f t="shared" si="6"/>
        <v>0</v>
      </c>
      <c r="I84" s="33">
        <f t="shared" si="7"/>
        <v>0</v>
      </c>
      <c r="J84" s="25">
        <f t="shared" si="10"/>
        <v>0</v>
      </c>
      <c r="K84" s="205"/>
      <c r="L84" s="205"/>
      <c r="M84" s="71">
        <v>56</v>
      </c>
      <c r="N84" s="19"/>
      <c r="O84" s="22"/>
      <c r="P84" s="230">
        <f t="shared" si="8"/>
        <v>0</v>
      </c>
      <c r="Q84" s="78"/>
      <c r="R84" s="71">
        <v>56</v>
      </c>
      <c r="S84" s="75">
        <v>0.16520442049645814</v>
      </c>
      <c r="T84" s="232">
        <f t="shared" si="12"/>
        <v>0</v>
      </c>
      <c r="U84" s="236">
        <f t="shared" si="13"/>
        <v>0</v>
      </c>
      <c r="V84" s="237">
        <f t="shared" si="11"/>
        <v>0</v>
      </c>
      <c r="W84" s="205"/>
      <c r="X84" s="109">
        <v>70</v>
      </c>
      <c r="Y84" s="111"/>
      <c r="Z84" s="111"/>
      <c r="AA84" s="313">
        <f t="shared" si="16"/>
        <v>8.998611753026807E-2</v>
      </c>
      <c r="AB84" s="112">
        <f t="shared" si="14"/>
        <v>0</v>
      </c>
      <c r="AC84" s="112">
        <f t="shared" si="17"/>
        <v>0</v>
      </c>
      <c r="AD84" s="242">
        <f t="shared" si="15"/>
        <v>0</v>
      </c>
    </row>
    <row r="85" spans="1:30" ht="18.75" customHeight="1" x14ac:dyDescent="0.2">
      <c r="A85" s="71">
        <v>57</v>
      </c>
      <c r="B85" s="19"/>
      <c r="C85" s="22"/>
      <c r="D85" s="25">
        <f t="shared" si="5"/>
        <v>0</v>
      </c>
      <c r="E85" s="216"/>
      <c r="F85" s="71">
        <v>57</v>
      </c>
      <c r="G85" s="75">
        <v>0.16039264125869723</v>
      </c>
      <c r="H85" s="32">
        <f t="shared" si="6"/>
        <v>0</v>
      </c>
      <c r="I85" s="33">
        <f t="shared" si="7"/>
        <v>0</v>
      </c>
      <c r="J85" s="25">
        <f t="shared" si="10"/>
        <v>0</v>
      </c>
      <c r="K85" s="205"/>
      <c r="L85" s="205"/>
      <c r="M85" s="71">
        <v>57</v>
      </c>
      <c r="N85" s="19"/>
      <c r="O85" s="22"/>
      <c r="P85" s="230">
        <f t="shared" si="8"/>
        <v>0</v>
      </c>
      <c r="Q85" s="78"/>
      <c r="R85" s="71">
        <v>57</v>
      </c>
      <c r="S85" s="75">
        <v>0.16039264125869723</v>
      </c>
      <c r="T85" s="232">
        <f t="shared" si="12"/>
        <v>0</v>
      </c>
      <c r="U85" s="236">
        <f t="shared" si="13"/>
        <v>0</v>
      </c>
      <c r="V85" s="237">
        <f t="shared" si="11"/>
        <v>0</v>
      </c>
      <c r="W85" s="205"/>
      <c r="X85" s="109">
        <v>71</v>
      </c>
      <c r="Y85" s="111"/>
      <c r="Z85" s="111"/>
      <c r="AA85" s="313">
        <f t="shared" si="16"/>
        <v>8.6943108724896689E-2</v>
      </c>
      <c r="AB85" s="112">
        <f t="shared" si="14"/>
        <v>0</v>
      </c>
      <c r="AC85" s="112">
        <f t="shared" si="17"/>
        <v>0</v>
      </c>
      <c r="AD85" s="242">
        <f t="shared" si="15"/>
        <v>0</v>
      </c>
    </row>
    <row r="86" spans="1:30" ht="18.75" customHeight="1" x14ac:dyDescent="0.2">
      <c r="A86" s="71">
        <v>58</v>
      </c>
      <c r="B86" s="19"/>
      <c r="C86" s="22"/>
      <c r="D86" s="25">
        <f t="shared" si="5"/>
        <v>0</v>
      </c>
      <c r="E86" s="216"/>
      <c r="F86" s="71">
        <v>58</v>
      </c>
      <c r="G86" s="75">
        <v>0.15572101093077401</v>
      </c>
      <c r="H86" s="32">
        <f t="shared" si="6"/>
        <v>0</v>
      </c>
      <c r="I86" s="33">
        <f t="shared" si="7"/>
        <v>0</v>
      </c>
      <c r="J86" s="25">
        <f t="shared" si="10"/>
        <v>0</v>
      </c>
      <c r="K86" s="205"/>
      <c r="L86" s="205"/>
      <c r="M86" s="71">
        <v>58</v>
      </c>
      <c r="N86" s="19"/>
      <c r="O86" s="22"/>
      <c r="P86" s="230">
        <f t="shared" si="8"/>
        <v>0</v>
      </c>
      <c r="Q86" s="78"/>
      <c r="R86" s="71">
        <v>58</v>
      </c>
      <c r="S86" s="75">
        <v>0.15572101093077401</v>
      </c>
      <c r="T86" s="232">
        <f t="shared" si="12"/>
        <v>0</v>
      </c>
      <c r="U86" s="236">
        <f t="shared" si="13"/>
        <v>0</v>
      </c>
      <c r="V86" s="237">
        <f t="shared" si="11"/>
        <v>0</v>
      </c>
      <c r="W86" s="205"/>
      <c r="X86" s="109">
        <v>72</v>
      </c>
      <c r="Y86" s="111"/>
      <c r="Z86" s="111"/>
      <c r="AA86" s="313">
        <f t="shared" si="16"/>
        <v>8.4003003598933992E-2</v>
      </c>
      <c r="AB86" s="112">
        <f t="shared" si="14"/>
        <v>0</v>
      </c>
      <c r="AC86" s="112">
        <f t="shared" si="17"/>
        <v>0</v>
      </c>
      <c r="AD86" s="242">
        <f t="shared" si="15"/>
        <v>0</v>
      </c>
    </row>
    <row r="87" spans="1:30" ht="18.75" customHeight="1" x14ac:dyDescent="0.2">
      <c r="A87" s="71">
        <v>59</v>
      </c>
      <c r="B87" s="19"/>
      <c r="C87" s="22"/>
      <c r="D87" s="25">
        <f t="shared" si="5"/>
        <v>0</v>
      </c>
      <c r="E87" s="216"/>
      <c r="F87" s="71">
        <v>59</v>
      </c>
      <c r="G87" s="75">
        <v>0.15118544750560584</v>
      </c>
      <c r="H87" s="32">
        <f t="shared" si="6"/>
        <v>0</v>
      </c>
      <c r="I87" s="33">
        <f t="shared" si="7"/>
        <v>0</v>
      </c>
      <c r="J87" s="25">
        <f t="shared" si="10"/>
        <v>0</v>
      </c>
      <c r="K87" s="205"/>
      <c r="L87" s="205"/>
      <c r="M87" s="71">
        <v>59</v>
      </c>
      <c r="N87" s="19"/>
      <c r="O87" s="22"/>
      <c r="P87" s="230">
        <f t="shared" si="8"/>
        <v>0</v>
      </c>
      <c r="Q87" s="78"/>
      <c r="R87" s="71">
        <v>59</v>
      </c>
      <c r="S87" s="75">
        <v>0.15118544750560584</v>
      </c>
      <c r="T87" s="232">
        <f t="shared" si="12"/>
        <v>0</v>
      </c>
      <c r="U87" s="236">
        <f t="shared" si="13"/>
        <v>0</v>
      </c>
      <c r="V87" s="237">
        <f t="shared" si="11"/>
        <v>0</v>
      </c>
      <c r="W87" s="205"/>
      <c r="X87" s="109">
        <v>73</v>
      </c>
      <c r="Y87" s="111"/>
      <c r="Z87" s="111"/>
      <c r="AA87" s="313">
        <f t="shared" si="16"/>
        <v>8.1162322317810634E-2</v>
      </c>
      <c r="AB87" s="112">
        <f t="shared" si="14"/>
        <v>0</v>
      </c>
      <c r="AC87" s="112">
        <f t="shared" si="17"/>
        <v>0</v>
      </c>
      <c r="AD87" s="242">
        <f t="shared" si="15"/>
        <v>0</v>
      </c>
    </row>
    <row r="88" spans="1:30" ht="18.75" customHeight="1" x14ac:dyDescent="0.2">
      <c r="A88" s="71">
        <v>60</v>
      </c>
      <c r="B88" s="19"/>
      <c r="C88" s="22"/>
      <c r="D88" s="25">
        <f t="shared" si="5"/>
        <v>0</v>
      </c>
      <c r="E88" s="216"/>
      <c r="F88" s="71">
        <v>60</v>
      </c>
      <c r="G88" s="75">
        <v>0.14678198786952024</v>
      </c>
      <c r="H88" s="32">
        <f t="shared" si="6"/>
        <v>0</v>
      </c>
      <c r="I88" s="33">
        <f t="shared" si="7"/>
        <v>0</v>
      </c>
      <c r="J88" s="25">
        <f t="shared" si="10"/>
        <v>0</v>
      </c>
      <c r="K88" s="205"/>
      <c r="L88" s="205"/>
      <c r="M88" s="71">
        <v>60</v>
      </c>
      <c r="N88" s="19"/>
      <c r="O88" s="22"/>
      <c r="P88" s="230">
        <f t="shared" si="8"/>
        <v>0</v>
      </c>
      <c r="Q88" s="78"/>
      <c r="R88" s="71">
        <v>60</v>
      </c>
      <c r="S88" s="75">
        <v>0.14678198786952024</v>
      </c>
      <c r="T88" s="232">
        <f t="shared" si="12"/>
        <v>0</v>
      </c>
      <c r="U88" s="236">
        <f t="shared" si="13"/>
        <v>0</v>
      </c>
      <c r="V88" s="237">
        <f t="shared" si="11"/>
        <v>0</v>
      </c>
      <c r="W88" s="205"/>
      <c r="X88" s="109">
        <v>74</v>
      </c>
      <c r="Y88" s="111"/>
      <c r="Z88" s="111"/>
      <c r="AA88" s="313">
        <f t="shared" si="16"/>
        <v>7.8417702722522353E-2</v>
      </c>
      <c r="AB88" s="112">
        <f t="shared" si="14"/>
        <v>0</v>
      </c>
      <c r="AC88" s="112">
        <f t="shared" si="17"/>
        <v>0</v>
      </c>
      <c r="AD88" s="242">
        <f t="shared" si="15"/>
        <v>0</v>
      </c>
    </row>
    <row r="89" spans="1:30" ht="18.75" customHeight="1" x14ac:dyDescent="0.2">
      <c r="A89" s="71">
        <v>61</v>
      </c>
      <c r="B89" s="19"/>
      <c r="C89" s="22"/>
      <c r="D89" s="25">
        <f t="shared" si="5"/>
        <v>0</v>
      </c>
      <c r="E89" s="216"/>
      <c r="F89" s="71">
        <v>61</v>
      </c>
      <c r="G89" s="75">
        <v>0.14250678433934003</v>
      </c>
      <c r="H89" s="32">
        <f t="shared" si="6"/>
        <v>0</v>
      </c>
      <c r="I89" s="33">
        <f t="shared" si="7"/>
        <v>0</v>
      </c>
      <c r="J89" s="25">
        <f t="shared" si="10"/>
        <v>0</v>
      </c>
      <c r="K89" s="205"/>
      <c r="L89" s="205"/>
      <c r="M89" s="71">
        <v>61</v>
      </c>
      <c r="N89" s="19"/>
      <c r="O89" s="22"/>
      <c r="P89" s="230">
        <f t="shared" si="8"/>
        <v>0</v>
      </c>
      <c r="Q89" s="78"/>
      <c r="R89" s="71">
        <v>61</v>
      </c>
      <c r="S89" s="75">
        <v>0.14250678433934003</v>
      </c>
      <c r="T89" s="232">
        <f t="shared" si="12"/>
        <v>0</v>
      </c>
      <c r="U89" s="236">
        <f t="shared" si="13"/>
        <v>0</v>
      </c>
      <c r="V89" s="237">
        <f t="shared" si="11"/>
        <v>0</v>
      </c>
      <c r="W89" s="205"/>
      <c r="X89" s="109">
        <v>75</v>
      </c>
      <c r="Y89" s="111"/>
      <c r="Z89" s="111"/>
      <c r="AA89" s="313">
        <f t="shared" si="16"/>
        <v>7.5765896350263151E-2</v>
      </c>
      <c r="AB89" s="112">
        <f t="shared" si="14"/>
        <v>0</v>
      </c>
      <c r="AC89" s="112">
        <f t="shared" si="17"/>
        <v>0</v>
      </c>
      <c r="AD89" s="242">
        <f t="shared" si="15"/>
        <v>0</v>
      </c>
    </row>
    <row r="90" spans="1:30" ht="18.75" customHeight="1" x14ac:dyDescent="0.2">
      <c r="A90" s="71">
        <v>62</v>
      </c>
      <c r="B90" s="19"/>
      <c r="C90" s="22"/>
      <c r="D90" s="25">
        <f t="shared" si="5"/>
        <v>0</v>
      </c>
      <c r="E90" s="216"/>
      <c r="F90" s="71">
        <v>62</v>
      </c>
      <c r="G90" s="75">
        <v>0.13835610130033013</v>
      </c>
      <c r="H90" s="32">
        <f t="shared" si="6"/>
        <v>0</v>
      </c>
      <c r="I90" s="33">
        <f t="shared" si="7"/>
        <v>0</v>
      </c>
      <c r="J90" s="25">
        <f t="shared" si="10"/>
        <v>0</v>
      </c>
      <c r="K90" s="205"/>
      <c r="L90" s="205"/>
      <c r="M90" s="71">
        <v>62</v>
      </c>
      <c r="N90" s="19"/>
      <c r="O90" s="22"/>
      <c r="P90" s="230">
        <f t="shared" si="8"/>
        <v>0</v>
      </c>
      <c r="Q90" s="78"/>
      <c r="R90" s="71">
        <v>62</v>
      </c>
      <c r="S90" s="75">
        <v>0.13835610130033013</v>
      </c>
      <c r="T90" s="232">
        <f t="shared" si="12"/>
        <v>0</v>
      </c>
      <c r="U90" s="236">
        <f t="shared" si="13"/>
        <v>0</v>
      </c>
      <c r="V90" s="237">
        <f t="shared" si="11"/>
        <v>0</v>
      </c>
      <c r="W90" s="205"/>
      <c r="X90" s="109">
        <v>76</v>
      </c>
      <c r="Y90" s="111"/>
      <c r="Z90" s="111"/>
      <c r="AA90" s="313">
        <f t="shared" si="16"/>
        <v>7.3203764589626241E-2</v>
      </c>
      <c r="AB90" s="112">
        <f t="shared" si="14"/>
        <v>0</v>
      </c>
      <c r="AC90" s="112">
        <f t="shared" si="17"/>
        <v>0</v>
      </c>
      <c r="AD90" s="242">
        <f t="shared" si="15"/>
        <v>0</v>
      </c>
    </row>
    <row r="91" spans="1:30" ht="18.75" customHeight="1" x14ac:dyDescent="0.2">
      <c r="A91" s="71">
        <v>63</v>
      </c>
      <c r="B91" s="19"/>
      <c r="C91" s="22"/>
      <c r="D91" s="25">
        <f t="shared" si="5"/>
        <v>0</v>
      </c>
      <c r="E91" s="216"/>
      <c r="F91" s="71">
        <v>63</v>
      </c>
      <c r="G91" s="75">
        <v>0.13432631194206809</v>
      </c>
      <c r="H91" s="32">
        <f t="shared" si="6"/>
        <v>0</v>
      </c>
      <c r="I91" s="33">
        <f t="shared" si="7"/>
        <v>0</v>
      </c>
      <c r="J91" s="25">
        <f t="shared" si="10"/>
        <v>0</v>
      </c>
      <c r="K91" s="205"/>
      <c r="L91" s="205"/>
      <c r="M91" s="71">
        <v>63</v>
      </c>
      <c r="N91" s="19"/>
      <c r="O91" s="22"/>
      <c r="P91" s="230">
        <f t="shared" si="8"/>
        <v>0</v>
      </c>
      <c r="Q91" s="78"/>
      <c r="R91" s="71">
        <v>63</v>
      </c>
      <c r="S91" s="75">
        <v>0.13432631194206809</v>
      </c>
      <c r="T91" s="232">
        <f t="shared" ref="T91:T122" si="18">IFERROR(IF($V$6="No",0,IF(AND($V$13=0,$V$14=0),N91*S91,IF($V$13&gt;0,H91*$V$13,IF($V$14&gt;0,IF(AND($V$6="Yes",$V$7="Yes"),((B91/$D$26)*$V$14)*S91,((B91/$B$26)*$V$14)*S91))))),0)</f>
        <v>0</v>
      </c>
      <c r="U91" s="236">
        <f t="shared" si="13"/>
        <v>0</v>
      </c>
      <c r="V91" s="237">
        <f t="shared" si="11"/>
        <v>0</v>
      </c>
      <c r="W91" s="205"/>
      <c r="X91" s="109">
        <v>77</v>
      </c>
      <c r="Y91" s="111"/>
      <c r="Z91" s="111"/>
      <c r="AA91" s="313">
        <f t="shared" si="16"/>
        <v>7.0728274965822444E-2</v>
      </c>
      <c r="AB91" s="112">
        <f t="shared" si="14"/>
        <v>0</v>
      </c>
      <c r="AC91" s="112">
        <f t="shared" si="17"/>
        <v>0</v>
      </c>
      <c r="AD91" s="242">
        <f t="shared" si="15"/>
        <v>0</v>
      </c>
    </row>
    <row r="92" spans="1:30" ht="18.75" customHeight="1" x14ac:dyDescent="0.2">
      <c r="A92" s="71">
        <v>64</v>
      </c>
      <c r="B92" s="19"/>
      <c r="C92" s="22"/>
      <c r="D92" s="25">
        <f t="shared" ref="D92:D128" si="19">B92+C92</f>
        <v>0</v>
      </c>
      <c r="E92" s="216"/>
      <c r="F92" s="71">
        <v>64</v>
      </c>
      <c r="G92" s="75">
        <v>0.1304138950893865</v>
      </c>
      <c r="H92" s="32">
        <f t="shared" ref="H92:H128" si="20">B92*G92</f>
        <v>0</v>
      </c>
      <c r="I92" s="33">
        <f t="shared" ref="I92:I128" si="21">C92*G92</f>
        <v>0</v>
      </c>
      <c r="J92" s="25">
        <f t="shared" si="10"/>
        <v>0</v>
      </c>
      <c r="K92" s="205"/>
      <c r="L92" s="205"/>
      <c r="M92" s="71">
        <v>64</v>
      </c>
      <c r="N92" s="19"/>
      <c r="O92" s="22"/>
      <c r="P92" s="230">
        <f t="shared" ref="P92:P128" si="22">N92+O92</f>
        <v>0</v>
      </c>
      <c r="Q92" s="78"/>
      <c r="R92" s="71">
        <v>64</v>
      </c>
      <c r="S92" s="75">
        <v>0.1304138950893865</v>
      </c>
      <c r="T92" s="232">
        <f t="shared" si="18"/>
        <v>0</v>
      </c>
      <c r="U92" s="236">
        <f t="shared" ref="U92:U128" si="23">IFERROR(IF($V$7="No",0,IF(AND($V$13=0,$V$14=0),O91*S91,IF($V$13&gt;0,I91*$V$13,IF($V$14&gt;0,IF(AND($V$6="Yes",$V$7="Yes"),((C91/$D$26)*$V$14)*S91,((C91/$C$26)*$V$14)*S91))))),0)</f>
        <v>0</v>
      </c>
      <c r="V92" s="237">
        <f t="shared" si="11"/>
        <v>0</v>
      </c>
      <c r="W92" s="205"/>
      <c r="X92" s="109">
        <v>78</v>
      </c>
      <c r="Y92" s="111"/>
      <c r="Z92" s="111"/>
      <c r="AA92" s="313">
        <f t="shared" si="16"/>
        <v>6.8336497551519285E-2</v>
      </c>
      <c r="AB92" s="112">
        <f t="shared" si="14"/>
        <v>0</v>
      </c>
      <c r="AC92" s="112">
        <f t="shared" si="17"/>
        <v>0</v>
      </c>
      <c r="AD92" s="242">
        <f t="shared" si="15"/>
        <v>0</v>
      </c>
    </row>
    <row r="93" spans="1:30" ht="18.75" customHeight="1" x14ac:dyDescent="0.2">
      <c r="A93" s="71">
        <v>65</v>
      </c>
      <c r="B93" s="19"/>
      <c r="C93" s="22"/>
      <c r="D93" s="25">
        <f t="shared" si="19"/>
        <v>0</v>
      </c>
      <c r="E93" s="216"/>
      <c r="F93" s="71">
        <v>65</v>
      </c>
      <c r="G93" s="75">
        <v>0.12661543212561796</v>
      </c>
      <c r="H93" s="32">
        <f t="shared" si="20"/>
        <v>0</v>
      </c>
      <c r="I93" s="33">
        <f t="shared" si="21"/>
        <v>0</v>
      </c>
      <c r="J93" s="25">
        <f t="shared" ref="J93:J127" si="24">H93+I93</f>
        <v>0</v>
      </c>
      <c r="K93" s="205"/>
      <c r="L93" s="205"/>
      <c r="M93" s="71">
        <v>65</v>
      </c>
      <c r="N93" s="19"/>
      <c r="O93" s="22"/>
      <c r="P93" s="230">
        <f t="shared" si="22"/>
        <v>0</v>
      </c>
      <c r="Q93" s="78"/>
      <c r="R93" s="71">
        <v>65</v>
      </c>
      <c r="S93" s="75">
        <v>0.12661543212561796</v>
      </c>
      <c r="T93" s="232">
        <f t="shared" si="18"/>
        <v>0</v>
      </c>
      <c r="U93" s="236">
        <f t="shared" si="23"/>
        <v>0</v>
      </c>
      <c r="V93" s="237">
        <f t="shared" ref="V93:V127" si="25">T93+U93</f>
        <v>0</v>
      </c>
      <c r="W93" s="205"/>
      <c r="X93" s="109">
        <v>79</v>
      </c>
      <c r="Y93" s="111"/>
      <c r="Z93" s="111"/>
      <c r="AA93" s="313">
        <f t="shared" si="16"/>
        <v>6.6025601499052455E-2</v>
      </c>
      <c r="AB93" s="112">
        <f t="shared" si="14"/>
        <v>0</v>
      </c>
      <c r="AC93" s="112">
        <f t="shared" si="17"/>
        <v>0</v>
      </c>
      <c r="AD93" s="242">
        <f t="shared" si="15"/>
        <v>0</v>
      </c>
    </row>
    <row r="94" spans="1:30" ht="18.75" customHeight="1" x14ac:dyDescent="0.2">
      <c r="A94" s="71">
        <v>66</v>
      </c>
      <c r="B94" s="19"/>
      <c r="C94" s="22"/>
      <c r="D94" s="25">
        <f t="shared" si="19"/>
        <v>0</v>
      </c>
      <c r="E94" s="216"/>
      <c r="F94" s="71">
        <v>66</v>
      </c>
      <c r="G94" s="75">
        <v>0.12292760400545433</v>
      </c>
      <c r="H94" s="32">
        <f t="shared" si="20"/>
        <v>0</v>
      </c>
      <c r="I94" s="33">
        <f t="shared" si="21"/>
        <v>0</v>
      </c>
      <c r="J94" s="25">
        <f t="shared" si="24"/>
        <v>0</v>
      </c>
      <c r="K94" s="205"/>
      <c r="L94" s="205"/>
      <c r="M94" s="71">
        <v>66</v>
      </c>
      <c r="N94" s="19"/>
      <c r="O94" s="22"/>
      <c r="P94" s="230">
        <f t="shared" si="22"/>
        <v>0</v>
      </c>
      <c r="Q94" s="78"/>
      <c r="R94" s="71">
        <v>66</v>
      </c>
      <c r="S94" s="75">
        <v>0.12292760400545433</v>
      </c>
      <c r="T94" s="232">
        <f t="shared" si="18"/>
        <v>0</v>
      </c>
      <c r="U94" s="236">
        <f t="shared" si="23"/>
        <v>0</v>
      </c>
      <c r="V94" s="237">
        <f t="shared" si="25"/>
        <v>0</v>
      </c>
      <c r="W94" s="205"/>
      <c r="X94" s="109">
        <v>80</v>
      </c>
      <c r="Y94" s="111"/>
      <c r="Z94" s="111"/>
      <c r="AA94" s="313">
        <f t="shared" si="16"/>
        <v>6.3792851689905755E-2</v>
      </c>
      <c r="AB94" s="112">
        <f t="shared" si="14"/>
        <v>0</v>
      </c>
      <c r="AC94" s="112">
        <f t="shared" si="17"/>
        <v>0</v>
      </c>
      <c r="AD94" s="242">
        <f t="shared" si="15"/>
        <v>0</v>
      </c>
    </row>
    <row r="95" spans="1:30" ht="18.75" customHeight="1" x14ac:dyDescent="0.2">
      <c r="A95" s="71">
        <v>67</v>
      </c>
      <c r="B95" s="19"/>
      <c r="C95" s="22"/>
      <c r="D95" s="25">
        <f t="shared" si="19"/>
        <v>0</v>
      </c>
      <c r="E95" s="216"/>
      <c r="F95" s="71">
        <v>67</v>
      </c>
      <c r="G95" s="75">
        <v>0.11934718835481002</v>
      </c>
      <c r="H95" s="32">
        <f t="shared" si="20"/>
        <v>0</v>
      </c>
      <c r="I95" s="33">
        <f t="shared" si="21"/>
        <v>0</v>
      </c>
      <c r="J95" s="25">
        <f t="shared" si="24"/>
        <v>0</v>
      </c>
      <c r="K95" s="205"/>
      <c r="L95" s="205"/>
      <c r="M95" s="71">
        <v>67</v>
      </c>
      <c r="N95" s="19"/>
      <c r="O95" s="22"/>
      <c r="P95" s="230">
        <f t="shared" si="22"/>
        <v>0</v>
      </c>
      <c r="Q95" s="78"/>
      <c r="R95" s="71">
        <v>67</v>
      </c>
      <c r="S95" s="75">
        <v>0.11934718835481002</v>
      </c>
      <c r="T95" s="232">
        <f t="shared" si="18"/>
        <v>0</v>
      </c>
      <c r="U95" s="236">
        <f t="shared" si="23"/>
        <v>0</v>
      </c>
      <c r="V95" s="237">
        <f t="shared" si="25"/>
        <v>0</v>
      </c>
      <c r="W95" s="205"/>
      <c r="X95" s="109">
        <v>81</v>
      </c>
      <c r="Y95" s="111"/>
      <c r="Z95" s="111"/>
      <c r="AA95" s="313">
        <f t="shared" si="16"/>
        <v>6.1635605497493494E-2</v>
      </c>
      <c r="AB95" s="112">
        <f t="shared" si="14"/>
        <v>0</v>
      </c>
      <c r="AC95" s="112">
        <f t="shared" si="17"/>
        <v>0</v>
      </c>
      <c r="AD95" s="242">
        <f t="shared" si="15"/>
        <v>0</v>
      </c>
    </row>
    <row r="96" spans="1:30" ht="18.75" customHeight="1" x14ac:dyDescent="0.2">
      <c r="A96" s="71">
        <v>68</v>
      </c>
      <c r="B96" s="19"/>
      <c r="C96" s="22"/>
      <c r="D96" s="25">
        <f t="shared" si="19"/>
        <v>0</v>
      </c>
      <c r="E96" s="216"/>
      <c r="F96" s="71">
        <v>68</v>
      </c>
      <c r="G96" s="75">
        <v>0.11587105665515536</v>
      </c>
      <c r="H96" s="32">
        <f t="shared" si="20"/>
        <v>0</v>
      </c>
      <c r="I96" s="33">
        <f t="shared" si="21"/>
        <v>0</v>
      </c>
      <c r="J96" s="25">
        <f t="shared" si="24"/>
        <v>0</v>
      </c>
      <c r="K96" s="205"/>
      <c r="L96" s="205"/>
      <c r="M96" s="71">
        <v>68</v>
      </c>
      <c r="N96" s="19"/>
      <c r="O96" s="22"/>
      <c r="P96" s="230">
        <f t="shared" si="22"/>
        <v>0</v>
      </c>
      <c r="Q96" s="78"/>
      <c r="R96" s="71">
        <v>68</v>
      </c>
      <c r="S96" s="75">
        <v>0.11587105665515536</v>
      </c>
      <c r="T96" s="232">
        <f t="shared" si="18"/>
        <v>0</v>
      </c>
      <c r="U96" s="236">
        <f t="shared" si="23"/>
        <v>0</v>
      </c>
      <c r="V96" s="237">
        <f t="shared" si="25"/>
        <v>0</v>
      </c>
      <c r="W96" s="205"/>
      <c r="X96" s="109">
        <v>82</v>
      </c>
      <c r="Y96" s="111"/>
      <c r="Z96" s="111"/>
      <c r="AA96" s="313">
        <f t="shared" si="16"/>
        <v>5.9551309659414006E-2</v>
      </c>
      <c r="AB96" s="112">
        <f t="shared" si="14"/>
        <v>0</v>
      </c>
      <c r="AC96" s="112">
        <f t="shared" si="17"/>
        <v>0</v>
      </c>
      <c r="AD96" s="242">
        <f t="shared" si="15"/>
        <v>0</v>
      </c>
    </row>
    <row r="97" spans="1:30" ht="18.75" customHeight="1" x14ac:dyDescent="0.2">
      <c r="A97" s="71">
        <v>69</v>
      </c>
      <c r="B97" s="19"/>
      <c r="C97" s="22"/>
      <c r="D97" s="25">
        <f t="shared" si="19"/>
        <v>0</v>
      </c>
      <c r="E97" s="216"/>
      <c r="F97" s="71">
        <v>69</v>
      </c>
      <c r="G97" s="75">
        <v>0.11249617150985958</v>
      </c>
      <c r="H97" s="32">
        <f t="shared" si="20"/>
        <v>0</v>
      </c>
      <c r="I97" s="33">
        <f t="shared" si="21"/>
        <v>0</v>
      </c>
      <c r="J97" s="25">
        <f t="shared" si="24"/>
        <v>0</v>
      </c>
      <c r="K97" s="205"/>
      <c r="L97" s="205"/>
      <c r="M97" s="71">
        <v>69</v>
      </c>
      <c r="N97" s="19"/>
      <c r="O97" s="22"/>
      <c r="P97" s="230">
        <f t="shared" si="22"/>
        <v>0</v>
      </c>
      <c r="Q97" s="78"/>
      <c r="R97" s="71">
        <v>69</v>
      </c>
      <c r="S97" s="75">
        <v>0.11249617150985958</v>
      </c>
      <c r="T97" s="232">
        <f t="shared" si="18"/>
        <v>0</v>
      </c>
      <c r="U97" s="236">
        <f t="shared" si="23"/>
        <v>0</v>
      </c>
      <c r="V97" s="237">
        <f t="shared" si="25"/>
        <v>0</v>
      </c>
      <c r="W97" s="205"/>
      <c r="X97" s="109">
        <v>83</v>
      </c>
      <c r="Y97" s="111"/>
      <c r="Z97" s="111"/>
      <c r="AA97" s="313">
        <f t="shared" si="16"/>
        <v>5.7537497255472476E-2</v>
      </c>
      <c r="AB97" s="112">
        <f t="shared" si="14"/>
        <v>0</v>
      </c>
      <c r="AC97" s="112">
        <f t="shared" si="17"/>
        <v>0</v>
      </c>
      <c r="AD97" s="242">
        <f t="shared" si="15"/>
        <v>0</v>
      </c>
    </row>
    <row r="98" spans="1:30" ht="18.75" customHeight="1" x14ac:dyDescent="0.2">
      <c r="A98" s="71">
        <v>70</v>
      </c>
      <c r="B98" s="19"/>
      <c r="C98" s="22"/>
      <c r="D98" s="25">
        <f t="shared" si="19"/>
        <v>0</v>
      </c>
      <c r="E98" s="216"/>
      <c r="F98" s="71">
        <v>70</v>
      </c>
      <c r="G98" s="75">
        <v>0.10921958399015493</v>
      </c>
      <c r="H98" s="32">
        <f t="shared" si="20"/>
        <v>0</v>
      </c>
      <c r="I98" s="33">
        <f t="shared" si="21"/>
        <v>0</v>
      </c>
      <c r="J98" s="25">
        <f t="shared" si="24"/>
        <v>0</v>
      </c>
      <c r="K98" s="205"/>
      <c r="L98" s="205"/>
      <c r="M98" s="71">
        <v>70</v>
      </c>
      <c r="N98" s="19"/>
      <c r="O98" s="22"/>
      <c r="P98" s="230">
        <f t="shared" si="22"/>
        <v>0</v>
      </c>
      <c r="Q98" s="78"/>
      <c r="R98" s="71">
        <v>70</v>
      </c>
      <c r="S98" s="75">
        <v>0.10921958399015493</v>
      </c>
      <c r="T98" s="232">
        <f t="shared" si="18"/>
        <v>0</v>
      </c>
      <c r="U98" s="236">
        <f t="shared" si="23"/>
        <v>0</v>
      </c>
      <c r="V98" s="237">
        <f t="shared" si="25"/>
        <v>0</v>
      </c>
      <c r="W98" s="205"/>
      <c r="X98" s="109">
        <v>84</v>
      </c>
      <c r="Y98" s="111"/>
      <c r="Z98" s="111"/>
      <c r="AA98" s="313">
        <f t="shared" si="16"/>
        <v>5.5591784787896108E-2</v>
      </c>
      <c r="AB98" s="112">
        <f t="shared" si="14"/>
        <v>0</v>
      </c>
      <c r="AC98" s="112">
        <f t="shared" si="17"/>
        <v>0</v>
      </c>
      <c r="AD98" s="242">
        <f t="shared" si="15"/>
        <v>0</v>
      </c>
    </row>
    <row r="99" spans="1:30" ht="18.75" customHeight="1" x14ac:dyDescent="0.2">
      <c r="A99" s="71">
        <v>71</v>
      </c>
      <c r="B99" s="19"/>
      <c r="C99" s="22"/>
      <c r="D99" s="25">
        <f t="shared" si="19"/>
        <v>0</v>
      </c>
      <c r="E99" s="216"/>
      <c r="F99" s="71">
        <v>71</v>
      </c>
      <c r="G99" s="75">
        <v>0.10603843105840284</v>
      </c>
      <c r="H99" s="32">
        <f t="shared" si="20"/>
        <v>0</v>
      </c>
      <c r="I99" s="33">
        <f t="shared" si="21"/>
        <v>0</v>
      </c>
      <c r="J99" s="25">
        <f t="shared" si="24"/>
        <v>0</v>
      </c>
      <c r="K99" s="205"/>
      <c r="L99" s="205"/>
      <c r="M99" s="71">
        <v>71</v>
      </c>
      <c r="N99" s="19"/>
      <c r="O99" s="22"/>
      <c r="P99" s="230">
        <f t="shared" si="22"/>
        <v>0</v>
      </c>
      <c r="Q99" s="78"/>
      <c r="R99" s="71">
        <v>71</v>
      </c>
      <c r="S99" s="75">
        <v>0.10603843105840284</v>
      </c>
      <c r="T99" s="232">
        <f t="shared" si="18"/>
        <v>0</v>
      </c>
      <c r="U99" s="236">
        <f t="shared" si="23"/>
        <v>0</v>
      </c>
      <c r="V99" s="237">
        <f t="shared" si="25"/>
        <v>0</v>
      </c>
      <c r="W99" s="205"/>
      <c r="X99" s="109">
        <v>85</v>
      </c>
      <c r="Y99" s="111"/>
      <c r="Z99" s="111"/>
      <c r="AA99" s="313">
        <f t="shared" si="16"/>
        <v>5.3711869360286102E-2</v>
      </c>
      <c r="AB99" s="112">
        <f t="shared" si="14"/>
        <v>0</v>
      </c>
      <c r="AC99" s="112">
        <f t="shared" si="17"/>
        <v>0</v>
      </c>
      <c r="AD99" s="242">
        <f t="shared" si="15"/>
        <v>0</v>
      </c>
    </row>
    <row r="100" spans="1:30" ht="18.75" customHeight="1" x14ac:dyDescent="0.2">
      <c r="A100" s="71">
        <v>72</v>
      </c>
      <c r="B100" s="19"/>
      <c r="C100" s="22"/>
      <c r="D100" s="25">
        <f t="shared" si="19"/>
        <v>0</v>
      </c>
      <c r="E100" s="216"/>
      <c r="F100" s="71">
        <v>72</v>
      </c>
      <c r="G100" s="75">
        <v>0.10294993306641052</v>
      </c>
      <c r="H100" s="32">
        <f t="shared" si="20"/>
        <v>0</v>
      </c>
      <c r="I100" s="33">
        <f t="shared" si="21"/>
        <v>0</v>
      </c>
      <c r="J100" s="25">
        <f t="shared" si="24"/>
        <v>0</v>
      </c>
      <c r="K100" s="205"/>
      <c r="L100" s="205"/>
      <c r="M100" s="71">
        <v>72</v>
      </c>
      <c r="N100" s="19"/>
      <c r="O100" s="22"/>
      <c r="P100" s="230">
        <f t="shared" si="22"/>
        <v>0</v>
      </c>
      <c r="Q100" s="78"/>
      <c r="R100" s="71">
        <v>72</v>
      </c>
      <c r="S100" s="75">
        <v>0.10294993306641052</v>
      </c>
      <c r="T100" s="232">
        <f t="shared" si="18"/>
        <v>0</v>
      </c>
      <c r="U100" s="236">
        <f t="shared" si="23"/>
        <v>0</v>
      </c>
      <c r="V100" s="237">
        <f t="shared" si="25"/>
        <v>0</v>
      </c>
      <c r="W100" s="205"/>
      <c r="X100" s="109">
        <v>86</v>
      </c>
      <c r="Y100" s="111"/>
      <c r="Z100" s="111"/>
      <c r="AA100" s="313">
        <f t="shared" si="16"/>
        <v>5.1895525951967253E-2</v>
      </c>
      <c r="AB100" s="112">
        <f t="shared" si="14"/>
        <v>0</v>
      </c>
      <c r="AC100" s="112">
        <f t="shared" si="17"/>
        <v>0</v>
      </c>
      <c r="AD100" s="242">
        <f t="shared" si="15"/>
        <v>0</v>
      </c>
    </row>
    <row r="101" spans="1:30" ht="18.75" customHeight="1" x14ac:dyDescent="0.2">
      <c r="A101" s="71">
        <v>73</v>
      </c>
      <c r="B101" s="19"/>
      <c r="C101" s="22"/>
      <c r="D101" s="25">
        <f t="shared" si="19"/>
        <v>0</v>
      </c>
      <c r="E101" s="216"/>
      <c r="F101" s="71">
        <v>73</v>
      </c>
      <c r="G101" s="75">
        <v>9.9951391326612155E-2</v>
      </c>
      <c r="H101" s="32">
        <f t="shared" si="20"/>
        <v>0</v>
      </c>
      <c r="I101" s="33">
        <f t="shared" si="21"/>
        <v>0</v>
      </c>
      <c r="J101" s="25">
        <f t="shared" si="24"/>
        <v>0</v>
      </c>
      <c r="K101" s="205"/>
      <c r="L101" s="205"/>
      <c r="M101" s="71">
        <v>73</v>
      </c>
      <c r="N101" s="19"/>
      <c r="O101" s="22"/>
      <c r="P101" s="230">
        <f t="shared" si="22"/>
        <v>0</v>
      </c>
      <c r="Q101" s="78"/>
      <c r="R101" s="71">
        <v>73</v>
      </c>
      <c r="S101" s="75">
        <v>9.9951391326612155E-2</v>
      </c>
      <c r="T101" s="232">
        <f t="shared" si="18"/>
        <v>0</v>
      </c>
      <c r="U101" s="236">
        <f t="shared" si="23"/>
        <v>0</v>
      </c>
      <c r="V101" s="237">
        <f t="shared" si="25"/>
        <v>0</v>
      </c>
      <c r="W101" s="205"/>
      <c r="X101" s="109">
        <v>87</v>
      </c>
      <c r="Y101" s="111"/>
      <c r="Z101" s="111"/>
      <c r="AA101" s="313">
        <f t="shared" si="16"/>
        <v>5.0140604784509435E-2</v>
      </c>
      <c r="AB101" s="112">
        <f t="shared" si="14"/>
        <v>0</v>
      </c>
      <c r="AC101" s="112">
        <f t="shared" si="17"/>
        <v>0</v>
      </c>
      <c r="AD101" s="242">
        <f t="shared" si="15"/>
        <v>0</v>
      </c>
    </row>
    <row r="102" spans="1:30" ht="18.75" customHeight="1" x14ac:dyDescent="0.2">
      <c r="A102" s="71">
        <v>74</v>
      </c>
      <c r="B102" s="19"/>
      <c r="C102" s="22"/>
      <c r="D102" s="25">
        <f t="shared" si="19"/>
        <v>0</v>
      </c>
      <c r="E102" s="216"/>
      <c r="F102" s="71">
        <v>74</v>
      </c>
      <c r="G102" s="75">
        <v>9.7040185753992383E-2</v>
      </c>
      <c r="H102" s="32">
        <f t="shared" si="20"/>
        <v>0</v>
      </c>
      <c r="I102" s="33">
        <f t="shared" si="21"/>
        <v>0</v>
      </c>
      <c r="J102" s="25">
        <f t="shared" si="24"/>
        <v>0</v>
      </c>
      <c r="K102" s="205"/>
      <c r="L102" s="205"/>
      <c r="M102" s="71">
        <v>74</v>
      </c>
      <c r="N102" s="19"/>
      <c r="O102" s="22"/>
      <c r="P102" s="230">
        <f t="shared" si="22"/>
        <v>0</v>
      </c>
      <c r="Q102" s="78"/>
      <c r="R102" s="71">
        <v>74</v>
      </c>
      <c r="S102" s="75">
        <v>9.7040185753992383E-2</v>
      </c>
      <c r="T102" s="232">
        <f t="shared" si="18"/>
        <v>0</v>
      </c>
      <c r="U102" s="236">
        <f t="shared" si="23"/>
        <v>0</v>
      </c>
      <c r="V102" s="237">
        <f t="shared" si="25"/>
        <v>0</v>
      </c>
      <c r="W102" s="205"/>
      <c r="X102" s="109">
        <v>88</v>
      </c>
      <c r="Y102" s="111"/>
      <c r="Z102" s="111"/>
      <c r="AA102" s="313">
        <f t="shared" si="16"/>
        <v>4.8445028777303792E-2</v>
      </c>
      <c r="AB102" s="112">
        <f t="shared" si="14"/>
        <v>0</v>
      </c>
      <c r="AC102" s="112">
        <f t="shared" si="17"/>
        <v>0</v>
      </c>
      <c r="AD102" s="242">
        <f t="shared" si="15"/>
        <v>0</v>
      </c>
    </row>
    <row r="103" spans="1:30" ht="18.75" customHeight="1" x14ac:dyDescent="0.2">
      <c r="A103" s="71">
        <v>75</v>
      </c>
      <c r="B103" s="19"/>
      <c r="C103" s="22"/>
      <c r="D103" s="25">
        <f t="shared" si="19"/>
        <v>0</v>
      </c>
      <c r="E103" s="216"/>
      <c r="F103" s="71">
        <v>75</v>
      </c>
      <c r="G103" s="75">
        <v>9.4213772576691626E-2</v>
      </c>
      <c r="H103" s="32">
        <f t="shared" si="20"/>
        <v>0</v>
      </c>
      <c r="I103" s="33">
        <f t="shared" si="21"/>
        <v>0</v>
      </c>
      <c r="J103" s="25">
        <f t="shared" si="24"/>
        <v>0</v>
      </c>
      <c r="K103" s="205"/>
      <c r="L103" s="205"/>
      <c r="M103" s="71">
        <v>75</v>
      </c>
      <c r="N103" s="19"/>
      <c r="O103" s="22"/>
      <c r="P103" s="230">
        <f t="shared" si="22"/>
        <v>0</v>
      </c>
      <c r="Q103" s="78"/>
      <c r="R103" s="71">
        <v>75</v>
      </c>
      <c r="S103" s="75">
        <v>9.4213772576691626E-2</v>
      </c>
      <c r="T103" s="232">
        <f t="shared" si="18"/>
        <v>0</v>
      </c>
      <c r="U103" s="236">
        <f t="shared" si="23"/>
        <v>0</v>
      </c>
      <c r="V103" s="237">
        <f t="shared" si="25"/>
        <v>0</v>
      </c>
      <c r="W103" s="205"/>
      <c r="X103" s="109">
        <v>89</v>
      </c>
      <c r="Y103" s="111"/>
      <c r="Z103" s="111"/>
      <c r="AA103" s="313">
        <f t="shared" si="16"/>
        <v>4.6806791089182419E-2</v>
      </c>
      <c r="AB103" s="112">
        <f t="shared" si="14"/>
        <v>0</v>
      </c>
      <c r="AC103" s="112">
        <f t="shared" si="17"/>
        <v>0</v>
      </c>
      <c r="AD103" s="242">
        <f t="shared" si="15"/>
        <v>0</v>
      </c>
    </row>
    <row r="104" spans="1:30" ht="18.75" customHeight="1" x14ac:dyDescent="0.2">
      <c r="A104" s="71">
        <v>76</v>
      </c>
      <c r="B104" s="19"/>
      <c r="C104" s="22"/>
      <c r="D104" s="25">
        <f t="shared" si="19"/>
        <v>0</v>
      </c>
      <c r="E104" s="216"/>
      <c r="F104" s="71">
        <v>76</v>
      </c>
      <c r="G104" s="75">
        <v>9.1915875684577208E-2</v>
      </c>
      <c r="H104" s="32">
        <f t="shared" si="20"/>
        <v>0</v>
      </c>
      <c r="I104" s="33">
        <f t="shared" si="21"/>
        <v>0</v>
      </c>
      <c r="J104" s="25">
        <f t="shared" si="24"/>
        <v>0</v>
      </c>
      <c r="K104" s="205"/>
      <c r="L104" s="205"/>
      <c r="M104" s="71">
        <v>76</v>
      </c>
      <c r="N104" s="19"/>
      <c r="O104" s="22"/>
      <c r="P104" s="230">
        <f t="shared" si="22"/>
        <v>0</v>
      </c>
      <c r="Q104" s="78"/>
      <c r="R104" s="71">
        <v>76</v>
      </c>
      <c r="S104" s="75">
        <v>9.1915875684577208E-2</v>
      </c>
      <c r="T104" s="232">
        <f t="shared" si="18"/>
        <v>0</v>
      </c>
      <c r="U104" s="236">
        <f t="shared" si="23"/>
        <v>0</v>
      </c>
      <c r="V104" s="237">
        <f t="shared" si="25"/>
        <v>0</v>
      </c>
      <c r="W104" s="205"/>
      <c r="X104" s="109">
        <v>90</v>
      </c>
      <c r="Y104" s="111"/>
      <c r="Z104" s="111"/>
      <c r="AA104" s="313">
        <f t="shared" si="16"/>
        <v>4.5223952743171418E-2</v>
      </c>
      <c r="AB104" s="112">
        <f t="shared" si="14"/>
        <v>0</v>
      </c>
      <c r="AC104" s="112">
        <f t="shared" si="17"/>
        <v>0</v>
      </c>
      <c r="AD104" s="242">
        <f t="shared" si="15"/>
        <v>0</v>
      </c>
    </row>
    <row r="105" spans="1:30" ht="18.75" customHeight="1" x14ac:dyDescent="0.2">
      <c r="A105" s="71">
        <v>77</v>
      </c>
      <c r="B105" s="19"/>
      <c r="C105" s="22"/>
      <c r="D105" s="25">
        <f t="shared" si="19"/>
        <v>0</v>
      </c>
      <c r="E105" s="216"/>
      <c r="F105" s="71">
        <v>77</v>
      </c>
      <c r="G105" s="75">
        <v>8.9674025058124107E-2</v>
      </c>
      <c r="H105" s="32">
        <f t="shared" si="20"/>
        <v>0</v>
      </c>
      <c r="I105" s="33">
        <f t="shared" si="21"/>
        <v>0</v>
      </c>
      <c r="J105" s="25">
        <f t="shared" si="24"/>
        <v>0</v>
      </c>
      <c r="K105" s="205"/>
      <c r="L105" s="205"/>
      <c r="M105" s="71">
        <v>77</v>
      </c>
      <c r="N105" s="19"/>
      <c r="O105" s="22"/>
      <c r="P105" s="230">
        <f t="shared" si="22"/>
        <v>0</v>
      </c>
      <c r="Q105" s="78"/>
      <c r="R105" s="71">
        <v>77</v>
      </c>
      <c r="S105" s="75">
        <v>8.9674025058124107E-2</v>
      </c>
      <c r="T105" s="232">
        <f t="shared" si="18"/>
        <v>0</v>
      </c>
      <c r="U105" s="236">
        <f t="shared" si="23"/>
        <v>0</v>
      </c>
      <c r="V105" s="237">
        <f t="shared" si="25"/>
        <v>0</v>
      </c>
      <c r="W105" s="205"/>
      <c r="X105" s="109">
        <v>91</v>
      </c>
      <c r="Y105" s="111"/>
      <c r="Z105" s="111"/>
      <c r="AA105" s="313">
        <f t="shared" si="16"/>
        <v>4.3694640331566593E-2</v>
      </c>
      <c r="AB105" s="112">
        <f t="shared" si="14"/>
        <v>0</v>
      </c>
      <c r="AC105" s="112">
        <f t="shared" si="17"/>
        <v>0</v>
      </c>
      <c r="AD105" s="242">
        <f t="shared" si="15"/>
        <v>0</v>
      </c>
    </row>
    <row r="106" spans="1:30" ht="18.75" customHeight="1" x14ac:dyDescent="0.2">
      <c r="A106" s="71">
        <v>78</v>
      </c>
      <c r="B106" s="19"/>
      <c r="C106" s="22"/>
      <c r="D106" s="25">
        <f t="shared" si="19"/>
        <v>0</v>
      </c>
      <c r="E106" s="216"/>
      <c r="F106" s="71">
        <v>78</v>
      </c>
      <c r="G106" s="75">
        <v>8.7486853715243035E-2</v>
      </c>
      <c r="H106" s="32">
        <f t="shared" si="20"/>
        <v>0</v>
      </c>
      <c r="I106" s="33">
        <f t="shared" si="21"/>
        <v>0</v>
      </c>
      <c r="J106" s="25">
        <f t="shared" si="24"/>
        <v>0</v>
      </c>
      <c r="K106" s="205"/>
      <c r="L106" s="205"/>
      <c r="M106" s="71">
        <v>78</v>
      </c>
      <c r="N106" s="19"/>
      <c r="O106" s="22"/>
      <c r="P106" s="230">
        <f t="shared" si="22"/>
        <v>0</v>
      </c>
      <c r="Q106" s="78"/>
      <c r="R106" s="71">
        <v>78</v>
      </c>
      <c r="S106" s="75">
        <v>8.7486853715243035E-2</v>
      </c>
      <c r="T106" s="232">
        <f t="shared" si="18"/>
        <v>0</v>
      </c>
      <c r="U106" s="236">
        <f t="shared" si="23"/>
        <v>0</v>
      </c>
      <c r="V106" s="237">
        <f t="shared" si="25"/>
        <v>0</v>
      </c>
      <c r="W106" s="205"/>
      <c r="X106" s="109">
        <v>92</v>
      </c>
      <c r="Y106" s="111"/>
      <c r="Z106" s="111"/>
      <c r="AA106" s="313">
        <f t="shared" si="16"/>
        <v>4.2217043798615073E-2</v>
      </c>
      <c r="AB106" s="112">
        <f t="shared" si="14"/>
        <v>0</v>
      </c>
      <c r="AC106" s="112">
        <f t="shared" si="17"/>
        <v>0</v>
      </c>
      <c r="AD106" s="242">
        <f t="shared" si="15"/>
        <v>0</v>
      </c>
    </row>
    <row r="107" spans="1:30" ht="18.75" customHeight="1" x14ac:dyDescent="0.2">
      <c r="A107" s="71">
        <v>79</v>
      </c>
      <c r="B107" s="19"/>
      <c r="C107" s="22"/>
      <c r="D107" s="25">
        <f t="shared" si="19"/>
        <v>0</v>
      </c>
      <c r="E107" s="216"/>
      <c r="F107" s="71">
        <v>79</v>
      </c>
      <c r="G107" s="75">
        <v>8.5353028014871254E-2</v>
      </c>
      <c r="H107" s="32">
        <f t="shared" si="20"/>
        <v>0</v>
      </c>
      <c r="I107" s="33">
        <f t="shared" si="21"/>
        <v>0</v>
      </c>
      <c r="J107" s="25">
        <f t="shared" si="24"/>
        <v>0</v>
      </c>
      <c r="K107" s="205"/>
      <c r="L107" s="205"/>
      <c r="M107" s="71">
        <v>79</v>
      </c>
      <c r="N107" s="19"/>
      <c r="O107" s="22"/>
      <c r="P107" s="230">
        <f t="shared" si="22"/>
        <v>0</v>
      </c>
      <c r="Q107" s="78"/>
      <c r="R107" s="71">
        <v>79</v>
      </c>
      <c r="S107" s="75">
        <v>8.5353028014871254E-2</v>
      </c>
      <c r="T107" s="232">
        <f t="shared" si="18"/>
        <v>0</v>
      </c>
      <c r="U107" s="236">
        <f t="shared" si="23"/>
        <v>0</v>
      </c>
      <c r="V107" s="237">
        <f t="shared" si="25"/>
        <v>0</v>
      </c>
      <c r="W107" s="205"/>
      <c r="X107" s="109">
        <v>93</v>
      </c>
      <c r="Y107" s="111"/>
      <c r="Z107" s="111"/>
      <c r="AA107" s="313">
        <f t="shared" si="16"/>
        <v>4.0789414298178804E-2</v>
      </c>
      <c r="AB107" s="112">
        <f t="shared" si="14"/>
        <v>0</v>
      </c>
      <c r="AC107" s="112">
        <f t="shared" si="17"/>
        <v>0</v>
      </c>
      <c r="AD107" s="242">
        <f t="shared" si="15"/>
        <v>0</v>
      </c>
    </row>
    <row r="108" spans="1:30" ht="18.75" customHeight="1" x14ac:dyDescent="0.2">
      <c r="A108" s="71">
        <v>80</v>
      </c>
      <c r="B108" s="19"/>
      <c r="C108" s="22"/>
      <c r="D108" s="25">
        <f t="shared" si="19"/>
        <v>0</v>
      </c>
      <c r="E108" s="216"/>
      <c r="F108" s="71">
        <v>80</v>
      </c>
      <c r="G108" s="75">
        <v>8.3271246843776847E-2</v>
      </c>
      <c r="H108" s="32">
        <f t="shared" si="20"/>
        <v>0</v>
      </c>
      <c r="I108" s="33">
        <f t="shared" si="21"/>
        <v>0</v>
      </c>
      <c r="J108" s="25">
        <f t="shared" si="24"/>
        <v>0</v>
      </c>
      <c r="K108" s="205"/>
      <c r="L108" s="205"/>
      <c r="M108" s="71">
        <v>80</v>
      </c>
      <c r="N108" s="19"/>
      <c r="O108" s="22"/>
      <c r="P108" s="230">
        <f t="shared" si="22"/>
        <v>0</v>
      </c>
      <c r="Q108" s="78"/>
      <c r="R108" s="71">
        <v>80</v>
      </c>
      <c r="S108" s="75">
        <v>8.3271246843776847E-2</v>
      </c>
      <c r="T108" s="232">
        <f t="shared" si="18"/>
        <v>0</v>
      </c>
      <c r="U108" s="236">
        <f t="shared" si="23"/>
        <v>0</v>
      </c>
      <c r="V108" s="237">
        <f t="shared" si="25"/>
        <v>0</v>
      </c>
      <c r="W108" s="205"/>
      <c r="X108" s="109">
        <v>94</v>
      </c>
      <c r="Y108" s="111"/>
      <c r="Z108" s="111"/>
      <c r="AA108" s="313">
        <f t="shared" si="16"/>
        <v>3.9410062123844264E-2</v>
      </c>
      <c r="AB108" s="112">
        <f t="shared" si="14"/>
        <v>0</v>
      </c>
      <c r="AC108" s="112">
        <f t="shared" si="17"/>
        <v>0</v>
      </c>
      <c r="AD108" s="242">
        <f t="shared" si="15"/>
        <v>0</v>
      </c>
    </row>
    <row r="109" spans="1:30" ht="18.75" customHeight="1" x14ac:dyDescent="0.2">
      <c r="A109" s="71">
        <v>81</v>
      </c>
      <c r="B109" s="19"/>
      <c r="C109" s="22"/>
      <c r="D109" s="25">
        <f t="shared" si="19"/>
        <v>0</v>
      </c>
      <c r="E109" s="216"/>
      <c r="F109" s="71">
        <v>81</v>
      </c>
      <c r="G109" s="75">
        <v>8.1240240823196933E-2</v>
      </c>
      <c r="H109" s="32">
        <f t="shared" si="20"/>
        <v>0</v>
      </c>
      <c r="I109" s="33">
        <f t="shared" si="21"/>
        <v>0</v>
      </c>
      <c r="J109" s="25">
        <f t="shared" si="24"/>
        <v>0</v>
      </c>
      <c r="K109" s="205"/>
      <c r="L109" s="205"/>
      <c r="M109" s="71">
        <v>81</v>
      </c>
      <c r="N109" s="19"/>
      <c r="O109" s="22"/>
      <c r="P109" s="230">
        <f t="shared" si="22"/>
        <v>0</v>
      </c>
      <c r="Q109" s="78"/>
      <c r="R109" s="71">
        <v>81</v>
      </c>
      <c r="S109" s="75">
        <v>8.1240240823196933E-2</v>
      </c>
      <c r="T109" s="232">
        <f t="shared" si="18"/>
        <v>0</v>
      </c>
      <c r="U109" s="236">
        <f t="shared" si="23"/>
        <v>0</v>
      </c>
      <c r="V109" s="237">
        <f t="shared" si="25"/>
        <v>0</v>
      </c>
      <c r="W109" s="205"/>
      <c r="X109" s="109">
        <v>95</v>
      </c>
      <c r="Y109" s="111"/>
      <c r="Z109" s="111"/>
      <c r="AA109" s="313">
        <f t="shared" si="16"/>
        <v>3.8077354709028274E-2</v>
      </c>
      <c r="AB109" s="112">
        <f t="shared" si="14"/>
        <v>0</v>
      </c>
      <c r="AC109" s="112">
        <f t="shared" si="17"/>
        <v>0</v>
      </c>
      <c r="AD109" s="242">
        <f t="shared" si="15"/>
        <v>0</v>
      </c>
    </row>
    <row r="110" spans="1:30" ht="18.75" customHeight="1" x14ac:dyDescent="0.2">
      <c r="A110" s="71">
        <v>82</v>
      </c>
      <c r="B110" s="19"/>
      <c r="C110" s="22"/>
      <c r="D110" s="25">
        <f t="shared" si="19"/>
        <v>0</v>
      </c>
      <c r="E110" s="216"/>
      <c r="F110" s="71">
        <v>82</v>
      </c>
      <c r="G110" s="75">
        <v>7.9258771534826286E-2</v>
      </c>
      <c r="H110" s="32">
        <f t="shared" si="20"/>
        <v>0</v>
      </c>
      <c r="I110" s="33">
        <f t="shared" si="21"/>
        <v>0</v>
      </c>
      <c r="J110" s="25">
        <f t="shared" si="24"/>
        <v>0</v>
      </c>
      <c r="K110" s="205"/>
      <c r="L110" s="205"/>
      <c r="M110" s="71">
        <v>82</v>
      </c>
      <c r="N110" s="19"/>
      <c r="O110" s="22"/>
      <c r="P110" s="230">
        <f t="shared" si="22"/>
        <v>0</v>
      </c>
      <c r="Q110" s="78"/>
      <c r="R110" s="71">
        <v>82</v>
      </c>
      <c r="S110" s="75">
        <v>7.9258771534826286E-2</v>
      </c>
      <c r="T110" s="232">
        <f t="shared" si="18"/>
        <v>0</v>
      </c>
      <c r="U110" s="236">
        <f t="shared" si="23"/>
        <v>0</v>
      </c>
      <c r="V110" s="237">
        <f t="shared" si="25"/>
        <v>0</v>
      </c>
      <c r="W110" s="205"/>
      <c r="X110" s="109">
        <v>96</v>
      </c>
      <c r="Y110" s="111"/>
      <c r="Z110" s="111"/>
      <c r="AA110" s="313">
        <f t="shared" si="16"/>
        <v>3.6789714694713316E-2</v>
      </c>
      <c r="AB110" s="112">
        <f t="shared" si="14"/>
        <v>0</v>
      </c>
      <c r="AC110" s="112">
        <f t="shared" si="17"/>
        <v>0</v>
      </c>
      <c r="AD110" s="242">
        <f t="shared" si="15"/>
        <v>0</v>
      </c>
    </row>
    <row r="111" spans="1:30" ht="18.75" customHeight="1" x14ac:dyDescent="0.2">
      <c r="A111" s="71">
        <v>83</v>
      </c>
      <c r="B111" s="19"/>
      <c r="C111" s="22"/>
      <c r="D111" s="25">
        <f t="shared" si="19"/>
        <v>0</v>
      </c>
      <c r="E111" s="216"/>
      <c r="F111" s="71">
        <v>83</v>
      </c>
      <c r="G111" s="75">
        <v>7.7325630765684189E-2</v>
      </c>
      <c r="H111" s="32">
        <f t="shared" si="20"/>
        <v>0</v>
      </c>
      <c r="I111" s="33">
        <f t="shared" si="21"/>
        <v>0</v>
      </c>
      <c r="J111" s="25">
        <f t="shared" si="24"/>
        <v>0</v>
      </c>
      <c r="K111" s="205"/>
      <c r="L111" s="205"/>
      <c r="M111" s="71">
        <v>83</v>
      </c>
      <c r="N111" s="19"/>
      <c r="O111" s="22"/>
      <c r="P111" s="230">
        <f t="shared" si="22"/>
        <v>0</v>
      </c>
      <c r="Q111" s="78"/>
      <c r="R111" s="71">
        <v>83</v>
      </c>
      <c r="S111" s="75">
        <v>7.7325630765684189E-2</v>
      </c>
      <c r="T111" s="232">
        <f t="shared" si="18"/>
        <v>0</v>
      </c>
      <c r="U111" s="236">
        <f t="shared" si="23"/>
        <v>0</v>
      </c>
      <c r="V111" s="237">
        <f t="shared" si="25"/>
        <v>0</v>
      </c>
      <c r="W111" s="205"/>
      <c r="X111" s="109">
        <v>97</v>
      </c>
      <c r="Y111" s="111"/>
      <c r="Z111" s="111"/>
      <c r="AA111" s="313">
        <f t="shared" si="16"/>
        <v>3.5545618062524945E-2</v>
      </c>
      <c r="AB111" s="112">
        <f t="shared" si="14"/>
        <v>0</v>
      </c>
      <c r="AC111" s="112">
        <f t="shared" si="17"/>
        <v>0</v>
      </c>
      <c r="AD111" s="242">
        <f t="shared" si="15"/>
        <v>0</v>
      </c>
    </row>
    <row r="112" spans="1:30" ht="18.75" customHeight="1" x14ac:dyDescent="0.2">
      <c r="A112" s="71">
        <v>84</v>
      </c>
      <c r="B112" s="19"/>
      <c r="C112" s="22"/>
      <c r="D112" s="25">
        <f t="shared" si="19"/>
        <v>0</v>
      </c>
      <c r="E112" s="216"/>
      <c r="F112" s="71">
        <v>84</v>
      </c>
      <c r="G112" s="75">
        <v>7.5439639771399211E-2</v>
      </c>
      <c r="H112" s="32">
        <f t="shared" si="20"/>
        <v>0</v>
      </c>
      <c r="I112" s="33">
        <f t="shared" si="21"/>
        <v>0</v>
      </c>
      <c r="J112" s="25">
        <f t="shared" si="24"/>
        <v>0</v>
      </c>
      <c r="K112" s="205"/>
      <c r="L112" s="205"/>
      <c r="M112" s="71">
        <v>84</v>
      </c>
      <c r="N112" s="19"/>
      <c r="O112" s="22"/>
      <c r="P112" s="230">
        <f t="shared" si="22"/>
        <v>0</v>
      </c>
      <c r="Q112" s="78"/>
      <c r="R112" s="71">
        <v>84</v>
      </c>
      <c r="S112" s="75">
        <v>7.5439639771399211E-2</v>
      </c>
      <c r="T112" s="232">
        <f t="shared" si="18"/>
        <v>0</v>
      </c>
      <c r="U112" s="236">
        <f t="shared" si="23"/>
        <v>0</v>
      </c>
      <c r="V112" s="237">
        <f t="shared" si="25"/>
        <v>0</v>
      </c>
      <c r="W112" s="205"/>
      <c r="X112" s="109">
        <v>98</v>
      </c>
      <c r="Y112" s="111"/>
      <c r="Z112" s="111"/>
      <c r="AA112" s="313">
        <f t="shared" si="16"/>
        <v>3.4343592330941974E-2</v>
      </c>
      <c r="AB112" s="112">
        <f t="shared" si="14"/>
        <v>0</v>
      </c>
      <c r="AC112" s="112">
        <f t="shared" si="17"/>
        <v>0</v>
      </c>
      <c r="AD112" s="242">
        <f t="shared" si="15"/>
        <v>0</v>
      </c>
    </row>
    <row r="113" spans="1:30" ht="18.75" customHeight="1" x14ac:dyDescent="0.2">
      <c r="A113" s="71">
        <v>85</v>
      </c>
      <c r="B113" s="19"/>
      <c r="C113" s="22"/>
      <c r="D113" s="25">
        <f t="shared" si="19"/>
        <v>0</v>
      </c>
      <c r="E113" s="216"/>
      <c r="F113" s="71">
        <v>85</v>
      </c>
      <c r="G113" s="75">
        <v>7.3599648557462649E-2</v>
      </c>
      <c r="H113" s="32">
        <f t="shared" si="20"/>
        <v>0</v>
      </c>
      <c r="I113" s="33">
        <f t="shared" si="21"/>
        <v>0</v>
      </c>
      <c r="J113" s="25">
        <f t="shared" si="24"/>
        <v>0</v>
      </c>
      <c r="K113" s="205"/>
      <c r="L113" s="205"/>
      <c r="M113" s="71">
        <v>85</v>
      </c>
      <c r="N113" s="19"/>
      <c r="O113" s="22"/>
      <c r="P113" s="230">
        <f t="shared" si="22"/>
        <v>0</v>
      </c>
      <c r="Q113" s="78"/>
      <c r="R113" s="71">
        <v>85</v>
      </c>
      <c r="S113" s="75">
        <v>7.3599648557462649E-2</v>
      </c>
      <c r="T113" s="232">
        <f t="shared" si="18"/>
        <v>0</v>
      </c>
      <c r="U113" s="236">
        <f t="shared" si="23"/>
        <v>0</v>
      </c>
      <c r="V113" s="237">
        <f t="shared" si="25"/>
        <v>0</v>
      </c>
      <c r="W113" s="205"/>
      <c r="X113" s="109">
        <v>99</v>
      </c>
      <c r="Y113" s="111"/>
      <c r="Z113" s="111"/>
      <c r="AA113" s="313">
        <f t="shared" si="16"/>
        <v>3.3182214812504329E-2</v>
      </c>
      <c r="AB113" s="112">
        <f t="shared" si="14"/>
        <v>0</v>
      </c>
      <c r="AC113" s="112">
        <f t="shared" si="17"/>
        <v>0</v>
      </c>
      <c r="AD113" s="242">
        <f t="shared" si="15"/>
        <v>0</v>
      </c>
    </row>
    <row r="114" spans="1:30" ht="18.75" customHeight="1" x14ac:dyDescent="0.2">
      <c r="A114" s="71">
        <v>86</v>
      </c>
      <c r="B114" s="19"/>
      <c r="C114" s="22"/>
      <c r="D114" s="25">
        <f t="shared" si="19"/>
        <v>0</v>
      </c>
      <c r="E114" s="216"/>
      <c r="F114" s="71">
        <v>86</v>
      </c>
      <c r="G114" s="75">
        <v>7.1804535178012344E-2</v>
      </c>
      <c r="H114" s="32">
        <f t="shared" si="20"/>
        <v>0</v>
      </c>
      <c r="I114" s="33">
        <f t="shared" si="21"/>
        <v>0</v>
      </c>
      <c r="J114" s="25">
        <f t="shared" si="24"/>
        <v>0</v>
      </c>
      <c r="K114" s="205"/>
      <c r="L114" s="205"/>
      <c r="M114" s="71">
        <v>86</v>
      </c>
      <c r="N114" s="19"/>
      <c r="O114" s="22"/>
      <c r="P114" s="230">
        <f t="shared" si="22"/>
        <v>0</v>
      </c>
      <c r="Q114" s="78"/>
      <c r="R114" s="71">
        <v>86</v>
      </c>
      <c r="S114" s="75">
        <v>7.1804535178012344E-2</v>
      </c>
      <c r="T114" s="232">
        <f t="shared" si="18"/>
        <v>0</v>
      </c>
      <c r="U114" s="236">
        <f t="shared" si="23"/>
        <v>0</v>
      </c>
      <c r="V114" s="237">
        <f t="shared" si="25"/>
        <v>0</v>
      </c>
      <c r="W114" s="205"/>
      <c r="X114" s="109">
        <v>100</v>
      </c>
      <c r="Y114" s="111"/>
      <c r="Z114" s="111"/>
      <c r="AA114" s="313">
        <f t="shared" si="16"/>
        <v>3.2060110929955872E-2</v>
      </c>
      <c r="AB114" s="112">
        <f t="shared" si="14"/>
        <v>0</v>
      </c>
      <c r="AC114" s="112">
        <f t="shared" si="17"/>
        <v>0</v>
      </c>
      <c r="AD114" s="242">
        <f>AB114+AC114</f>
        <v>0</v>
      </c>
    </row>
    <row r="115" spans="1:30" ht="18.75" customHeight="1" x14ac:dyDescent="0.2">
      <c r="A115" s="71">
        <v>87</v>
      </c>
      <c r="B115" s="19"/>
      <c r="C115" s="22"/>
      <c r="D115" s="25">
        <f t="shared" si="19"/>
        <v>0</v>
      </c>
      <c r="E115" s="216"/>
      <c r="F115" s="71">
        <v>87</v>
      </c>
      <c r="G115" s="75">
        <v>7.0053205051719372E-2</v>
      </c>
      <c r="H115" s="32">
        <f t="shared" si="20"/>
        <v>0</v>
      </c>
      <c r="I115" s="33">
        <f t="shared" si="21"/>
        <v>0</v>
      </c>
      <c r="J115" s="25">
        <f t="shared" si="24"/>
        <v>0</v>
      </c>
      <c r="K115" s="205"/>
      <c r="L115" s="205"/>
      <c r="M115" s="71">
        <v>87</v>
      </c>
      <c r="N115" s="19"/>
      <c r="O115" s="22"/>
      <c r="P115" s="230">
        <f t="shared" si="22"/>
        <v>0</v>
      </c>
      <c r="Q115" s="78"/>
      <c r="R115" s="71">
        <v>87</v>
      </c>
      <c r="S115" s="75">
        <v>7.0053205051719372E-2</v>
      </c>
      <c r="T115" s="232">
        <f t="shared" si="18"/>
        <v>0</v>
      </c>
      <c r="U115" s="236">
        <f t="shared" si="23"/>
        <v>0</v>
      </c>
      <c r="V115" s="237">
        <f t="shared" si="25"/>
        <v>0</v>
      </c>
      <c r="W115" s="205"/>
      <c r="X115" s="316"/>
      <c r="Y115" s="316"/>
      <c r="Z115" s="316"/>
      <c r="AA115" s="316"/>
      <c r="AB115" s="316"/>
      <c r="AC115" s="316"/>
      <c r="AD115" s="316"/>
    </row>
    <row r="116" spans="1:30" ht="18.75" customHeight="1" x14ac:dyDescent="0.2">
      <c r="A116" s="71">
        <v>88</v>
      </c>
      <c r="B116" s="19"/>
      <c r="C116" s="22"/>
      <c r="D116" s="25">
        <f t="shared" si="19"/>
        <v>0</v>
      </c>
      <c r="E116" s="216"/>
      <c r="F116" s="71">
        <v>88</v>
      </c>
      <c r="G116" s="75">
        <v>6.8344590294360366E-2</v>
      </c>
      <c r="H116" s="32">
        <f t="shared" si="20"/>
        <v>0</v>
      </c>
      <c r="I116" s="33">
        <f t="shared" si="21"/>
        <v>0</v>
      </c>
      <c r="J116" s="25">
        <f t="shared" si="24"/>
        <v>0</v>
      </c>
      <c r="K116" s="205"/>
      <c r="L116" s="205"/>
      <c r="M116" s="71">
        <v>88</v>
      </c>
      <c r="N116" s="19"/>
      <c r="O116" s="22"/>
      <c r="P116" s="230">
        <f t="shared" si="22"/>
        <v>0</v>
      </c>
      <c r="Q116" s="78"/>
      <c r="R116" s="71">
        <v>88</v>
      </c>
      <c r="S116" s="75">
        <v>6.8344590294360366E-2</v>
      </c>
      <c r="T116" s="232">
        <f t="shared" si="18"/>
        <v>0</v>
      </c>
      <c r="U116" s="236">
        <f t="shared" si="23"/>
        <v>0</v>
      </c>
      <c r="V116" s="237">
        <f t="shared" si="25"/>
        <v>0</v>
      </c>
      <c r="W116" s="205"/>
      <c r="X116" s="316"/>
      <c r="Y116" s="316"/>
      <c r="Z116" s="316"/>
      <c r="AA116" s="316"/>
      <c r="AB116" s="316"/>
      <c r="AC116" s="316"/>
      <c r="AD116" s="316"/>
    </row>
    <row r="117" spans="1:30" ht="18.75" customHeight="1" x14ac:dyDescent="0.2">
      <c r="A117" s="71">
        <v>89</v>
      </c>
      <c r="B117" s="19"/>
      <c r="C117" s="22"/>
      <c r="D117" s="25">
        <f t="shared" si="19"/>
        <v>0</v>
      </c>
      <c r="E117" s="216"/>
      <c r="F117" s="71">
        <v>89</v>
      </c>
      <c r="G117" s="75">
        <v>6.6677649067668654E-2</v>
      </c>
      <c r="H117" s="32">
        <f t="shared" si="20"/>
        <v>0</v>
      </c>
      <c r="I117" s="33">
        <f t="shared" si="21"/>
        <v>0</v>
      </c>
      <c r="J117" s="25">
        <f t="shared" si="24"/>
        <v>0</v>
      </c>
      <c r="K117" s="205"/>
      <c r="L117" s="205"/>
      <c r="M117" s="71">
        <v>89</v>
      </c>
      <c r="N117" s="19"/>
      <c r="O117" s="22"/>
      <c r="P117" s="230">
        <f t="shared" si="22"/>
        <v>0</v>
      </c>
      <c r="Q117" s="78"/>
      <c r="R117" s="71">
        <v>89</v>
      </c>
      <c r="S117" s="75">
        <v>6.6677649067668654E-2</v>
      </c>
      <c r="T117" s="232">
        <f t="shared" si="18"/>
        <v>0</v>
      </c>
      <c r="U117" s="236">
        <f t="shared" si="23"/>
        <v>0</v>
      </c>
      <c r="V117" s="237">
        <f t="shared" si="25"/>
        <v>0</v>
      </c>
      <c r="W117" s="205"/>
      <c r="X117" s="316"/>
      <c r="Y117" s="316"/>
      <c r="Z117" s="316"/>
      <c r="AA117" s="316"/>
      <c r="AB117" s="316"/>
      <c r="AC117" s="316"/>
      <c r="AD117" s="316"/>
    </row>
    <row r="118" spans="1:30" ht="18.75" customHeight="1" x14ac:dyDescent="0.2">
      <c r="A118" s="71">
        <v>90</v>
      </c>
      <c r="B118" s="19"/>
      <c r="C118" s="22"/>
      <c r="D118" s="25">
        <f t="shared" si="19"/>
        <v>0</v>
      </c>
      <c r="E118" s="216"/>
      <c r="F118" s="71">
        <v>90</v>
      </c>
      <c r="G118" s="75">
        <v>6.5051364944066992E-2</v>
      </c>
      <c r="H118" s="32">
        <f t="shared" si="20"/>
        <v>0</v>
      </c>
      <c r="I118" s="33">
        <f t="shared" si="21"/>
        <v>0</v>
      </c>
      <c r="J118" s="25">
        <f t="shared" si="24"/>
        <v>0</v>
      </c>
      <c r="K118" s="205"/>
      <c r="L118" s="205"/>
      <c r="M118" s="71">
        <v>90</v>
      </c>
      <c r="N118" s="19"/>
      <c r="O118" s="22"/>
      <c r="P118" s="230">
        <f t="shared" si="22"/>
        <v>0</v>
      </c>
      <c r="Q118" s="78"/>
      <c r="R118" s="71">
        <v>90</v>
      </c>
      <c r="S118" s="75">
        <v>6.5051364944066992E-2</v>
      </c>
      <c r="T118" s="232">
        <f t="shared" si="18"/>
        <v>0</v>
      </c>
      <c r="U118" s="236">
        <f t="shared" si="23"/>
        <v>0</v>
      </c>
      <c r="V118" s="237">
        <f t="shared" si="25"/>
        <v>0</v>
      </c>
      <c r="W118" s="205"/>
      <c r="X118" s="316"/>
      <c r="Y118" s="316"/>
      <c r="Z118" s="316"/>
      <c r="AA118" s="316"/>
      <c r="AB118" s="316"/>
      <c r="AC118" s="316"/>
      <c r="AD118" s="316"/>
    </row>
    <row r="119" spans="1:30" ht="18.75" customHeight="1" x14ac:dyDescent="0.2">
      <c r="A119" s="71">
        <v>91</v>
      </c>
      <c r="B119" s="19"/>
      <c r="C119" s="22"/>
      <c r="D119" s="25">
        <f t="shared" si="19"/>
        <v>0</v>
      </c>
      <c r="E119" s="216"/>
      <c r="F119" s="71">
        <v>91</v>
      </c>
      <c r="G119" s="75">
        <v>6.3464746286894635E-2</v>
      </c>
      <c r="H119" s="32">
        <f t="shared" si="20"/>
        <v>0</v>
      </c>
      <c r="I119" s="33">
        <f t="shared" si="21"/>
        <v>0</v>
      </c>
      <c r="J119" s="25">
        <f t="shared" si="24"/>
        <v>0</v>
      </c>
      <c r="K119" s="205"/>
      <c r="L119" s="205"/>
      <c r="M119" s="71">
        <v>91</v>
      </c>
      <c r="N119" s="19"/>
      <c r="O119" s="22"/>
      <c r="P119" s="230">
        <f t="shared" si="22"/>
        <v>0</v>
      </c>
      <c r="Q119" s="78"/>
      <c r="R119" s="71">
        <v>91</v>
      </c>
      <c r="S119" s="75">
        <v>6.3464746286894635E-2</v>
      </c>
      <c r="T119" s="232">
        <f t="shared" si="18"/>
        <v>0</v>
      </c>
      <c r="U119" s="236">
        <f t="shared" si="23"/>
        <v>0</v>
      </c>
      <c r="V119" s="237">
        <f t="shared" si="25"/>
        <v>0</v>
      </c>
      <c r="W119" s="205"/>
      <c r="X119" s="316"/>
      <c r="Y119" s="316"/>
      <c r="Z119" s="316"/>
      <c r="AA119" s="316"/>
      <c r="AB119" s="316"/>
      <c r="AC119" s="316"/>
      <c r="AD119" s="316"/>
    </row>
    <row r="120" spans="1:30" ht="18.75" customHeight="1" x14ac:dyDescent="0.2">
      <c r="A120" s="71">
        <v>92</v>
      </c>
      <c r="B120" s="19"/>
      <c r="C120" s="22"/>
      <c r="D120" s="25">
        <f t="shared" si="19"/>
        <v>0</v>
      </c>
      <c r="E120" s="216"/>
      <c r="F120" s="71">
        <v>92</v>
      </c>
      <c r="G120" s="75">
        <v>6.1916825645750871E-2</v>
      </c>
      <c r="H120" s="32">
        <f t="shared" si="20"/>
        <v>0</v>
      </c>
      <c r="I120" s="33">
        <f t="shared" si="21"/>
        <v>0</v>
      </c>
      <c r="J120" s="25">
        <f t="shared" si="24"/>
        <v>0</v>
      </c>
      <c r="K120" s="205"/>
      <c r="L120" s="205"/>
      <c r="M120" s="71">
        <v>92</v>
      </c>
      <c r="N120" s="19"/>
      <c r="O120" s="22"/>
      <c r="P120" s="230">
        <f t="shared" si="22"/>
        <v>0</v>
      </c>
      <c r="Q120" s="78"/>
      <c r="R120" s="71">
        <v>92</v>
      </c>
      <c r="S120" s="75">
        <v>6.1916825645750871E-2</v>
      </c>
      <c r="T120" s="232">
        <f t="shared" si="18"/>
        <v>0</v>
      </c>
      <c r="U120" s="236">
        <f t="shared" si="23"/>
        <v>0</v>
      </c>
      <c r="V120" s="237">
        <f t="shared" si="25"/>
        <v>0</v>
      </c>
      <c r="W120" s="205"/>
      <c r="X120" s="316"/>
      <c r="Y120" s="316"/>
      <c r="Z120" s="316"/>
      <c r="AA120" s="316"/>
      <c r="AB120" s="316"/>
      <c r="AC120" s="316"/>
      <c r="AD120" s="316"/>
    </row>
    <row r="121" spans="1:30" ht="18.75" customHeight="1" x14ac:dyDescent="0.2">
      <c r="A121" s="71">
        <v>93</v>
      </c>
      <c r="B121" s="19"/>
      <c r="C121" s="22"/>
      <c r="D121" s="25">
        <f t="shared" si="19"/>
        <v>0</v>
      </c>
      <c r="E121" s="216"/>
      <c r="F121" s="71">
        <v>93</v>
      </c>
      <c r="G121" s="75">
        <v>6.0406659166586218E-2</v>
      </c>
      <c r="H121" s="32">
        <f t="shared" si="20"/>
        <v>0</v>
      </c>
      <c r="I121" s="33">
        <f t="shared" si="21"/>
        <v>0</v>
      </c>
      <c r="J121" s="25">
        <f t="shared" si="24"/>
        <v>0</v>
      </c>
      <c r="K121" s="205"/>
      <c r="L121" s="205"/>
      <c r="M121" s="71">
        <v>93</v>
      </c>
      <c r="N121" s="19"/>
      <c r="O121" s="22"/>
      <c r="P121" s="230">
        <f t="shared" si="22"/>
        <v>0</v>
      </c>
      <c r="Q121" s="78"/>
      <c r="R121" s="71">
        <v>93</v>
      </c>
      <c r="S121" s="75">
        <v>6.0406659166586218E-2</v>
      </c>
      <c r="T121" s="232">
        <f t="shared" si="18"/>
        <v>0</v>
      </c>
      <c r="U121" s="236">
        <f t="shared" si="23"/>
        <v>0</v>
      </c>
      <c r="V121" s="237">
        <f t="shared" si="25"/>
        <v>0</v>
      </c>
      <c r="W121" s="205"/>
      <c r="X121" s="316"/>
      <c r="Y121" s="316"/>
      <c r="Z121" s="316"/>
      <c r="AA121" s="316"/>
      <c r="AB121" s="316"/>
      <c r="AC121" s="316"/>
      <c r="AD121" s="316"/>
    </row>
    <row r="122" spans="1:30" ht="18.75" customHeight="1" x14ac:dyDescent="0.2">
      <c r="A122" s="71">
        <v>94</v>
      </c>
      <c r="B122" s="19"/>
      <c r="C122" s="22"/>
      <c r="D122" s="25">
        <f t="shared" si="19"/>
        <v>0</v>
      </c>
      <c r="E122" s="216"/>
      <c r="F122" s="71">
        <v>94</v>
      </c>
      <c r="G122" s="75">
        <v>5.8933326016181682E-2</v>
      </c>
      <c r="H122" s="32">
        <f t="shared" si="20"/>
        <v>0</v>
      </c>
      <c r="I122" s="33">
        <f t="shared" si="21"/>
        <v>0</v>
      </c>
      <c r="J122" s="25">
        <f t="shared" si="24"/>
        <v>0</v>
      </c>
      <c r="K122" s="205"/>
      <c r="L122" s="205"/>
      <c r="M122" s="71">
        <v>94</v>
      </c>
      <c r="N122" s="19"/>
      <c r="O122" s="22"/>
      <c r="P122" s="230">
        <f t="shared" si="22"/>
        <v>0</v>
      </c>
      <c r="Q122" s="78"/>
      <c r="R122" s="71">
        <v>94</v>
      </c>
      <c r="S122" s="75">
        <v>5.8933326016181682E-2</v>
      </c>
      <c r="T122" s="232">
        <f t="shared" si="18"/>
        <v>0</v>
      </c>
      <c r="U122" s="236">
        <f t="shared" si="23"/>
        <v>0</v>
      </c>
      <c r="V122" s="237">
        <f t="shared" si="25"/>
        <v>0</v>
      </c>
      <c r="W122" s="205"/>
      <c r="X122" s="316"/>
      <c r="Y122" s="316"/>
      <c r="Z122" s="316"/>
      <c r="AA122" s="316"/>
      <c r="AB122" s="316"/>
      <c r="AC122" s="316"/>
      <c r="AD122" s="316"/>
    </row>
    <row r="123" spans="1:30" ht="18.75" customHeight="1" x14ac:dyDescent="0.2">
      <c r="A123" s="71">
        <v>95</v>
      </c>
      <c r="B123" s="19"/>
      <c r="C123" s="22"/>
      <c r="D123" s="25">
        <f t="shared" si="19"/>
        <v>0</v>
      </c>
      <c r="E123" s="216"/>
      <c r="F123" s="71">
        <v>95</v>
      </c>
      <c r="G123" s="75">
        <v>5.7495927820665059E-2</v>
      </c>
      <c r="H123" s="32">
        <f t="shared" si="20"/>
        <v>0</v>
      </c>
      <c r="I123" s="33">
        <f t="shared" si="21"/>
        <v>0</v>
      </c>
      <c r="J123" s="25">
        <f t="shared" si="24"/>
        <v>0</v>
      </c>
      <c r="K123" s="205"/>
      <c r="L123" s="205"/>
      <c r="M123" s="71">
        <v>95</v>
      </c>
      <c r="N123" s="19"/>
      <c r="O123" s="22"/>
      <c r="P123" s="230">
        <f t="shared" si="22"/>
        <v>0</v>
      </c>
      <c r="Q123" s="78"/>
      <c r="R123" s="71">
        <v>95</v>
      </c>
      <c r="S123" s="75">
        <v>5.7495927820665059E-2</v>
      </c>
      <c r="T123" s="232">
        <f t="shared" ref="T123:T128" si="26">IFERROR(IF($V$6="No",0,IF(AND($V$13=0,$V$14=0),N123*S123,IF($V$13&gt;0,H123*$V$13,IF($V$14&gt;0,IF(AND($V$6="Yes",$V$7="Yes"),((B123/$D$26)*$V$14)*S123,((B123/$B$26)*$V$14)*S123))))),0)</f>
        <v>0</v>
      </c>
      <c r="U123" s="236">
        <f t="shared" si="23"/>
        <v>0</v>
      </c>
      <c r="V123" s="237">
        <f t="shared" si="25"/>
        <v>0</v>
      </c>
      <c r="W123" s="205"/>
      <c r="X123" s="316"/>
      <c r="Y123" s="316"/>
      <c r="Z123" s="316"/>
      <c r="AA123" s="316"/>
      <c r="AB123" s="316"/>
      <c r="AC123" s="316"/>
      <c r="AD123" s="316"/>
    </row>
    <row r="124" spans="1:30" ht="18.75" customHeight="1" x14ac:dyDescent="0.2">
      <c r="A124" s="71">
        <v>96</v>
      </c>
      <c r="B124" s="19"/>
      <c r="C124" s="22"/>
      <c r="D124" s="25">
        <f t="shared" si="19"/>
        <v>0</v>
      </c>
      <c r="E124" s="216"/>
      <c r="F124" s="71">
        <v>96</v>
      </c>
      <c r="G124" s="75">
        <v>5.6093588117722012E-2</v>
      </c>
      <c r="H124" s="32">
        <f t="shared" si="20"/>
        <v>0</v>
      </c>
      <c r="I124" s="33">
        <f t="shared" si="21"/>
        <v>0</v>
      </c>
      <c r="J124" s="25">
        <f t="shared" si="24"/>
        <v>0</v>
      </c>
      <c r="K124" s="205"/>
      <c r="L124" s="205"/>
      <c r="M124" s="71">
        <v>96</v>
      </c>
      <c r="N124" s="19"/>
      <c r="O124" s="22"/>
      <c r="P124" s="230">
        <f t="shared" si="22"/>
        <v>0</v>
      </c>
      <c r="Q124" s="78"/>
      <c r="R124" s="71">
        <v>96</v>
      </c>
      <c r="S124" s="75">
        <v>5.6093588117722012E-2</v>
      </c>
      <c r="T124" s="232">
        <f t="shared" si="26"/>
        <v>0</v>
      </c>
      <c r="U124" s="236">
        <f t="shared" si="23"/>
        <v>0</v>
      </c>
      <c r="V124" s="237">
        <f t="shared" si="25"/>
        <v>0</v>
      </c>
      <c r="W124" s="205"/>
      <c r="X124" s="316"/>
      <c r="Y124" s="316"/>
      <c r="Z124" s="316"/>
      <c r="AA124" s="316"/>
      <c r="AB124" s="316"/>
      <c r="AC124" s="316"/>
      <c r="AD124" s="316"/>
    </row>
    <row r="125" spans="1:30" ht="18.75" customHeight="1" x14ac:dyDescent="0.2">
      <c r="A125" s="71">
        <v>97</v>
      </c>
      <c r="B125" s="19"/>
      <c r="C125" s="22"/>
      <c r="D125" s="25">
        <f t="shared" si="19"/>
        <v>0</v>
      </c>
      <c r="E125" s="216"/>
      <c r="F125" s="71">
        <v>97</v>
      </c>
      <c r="G125" s="75">
        <v>5.4725451822167821E-2</v>
      </c>
      <c r="H125" s="32">
        <f t="shared" si="20"/>
        <v>0</v>
      </c>
      <c r="I125" s="33">
        <f t="shared" si="21"/>
        <v>0</v>
      </c>
      <c r="J125" s="25">
        <f t="shared" si="24"/>
        <v>0</v>
      </c>
      <c r="K125" s="205"/>
      <c r="L125" s="205"/>
      <c r="M125" s="71">
        <v>97</v>
      </c>
      <c r="N125" s="19"/>
      <c r="O125" s="22"/>
      <c r="P125" s="230">
        <f t="shared" si="22"/>
        <v>0</v>
      </c>
      <c r="Q125" s="78"/>
      <c r="R125" s="71">
        <v>97</v>
      </c>
      <c r="S125" s="75">
        <v>5.4725451822167821E-2</v>
      </c>
      <c r="T125" s="232">
        <f t="shared" si="26"/>
        <v>0</v>
      </c>
      <c r="U125" s="236">
        <f t="shared" si="23"/>
        <v>0</v>
      </c>
      <c r="V125" s="237">
        <f t="shared" si="25"/>
        <v>0</v>
      </c>
      <c r="W125" s="205"/>
      <c r="X125" s="316"/>
      <c r="Y125" s="316"/>
      <c r="Z125" s="316"/>
      <c r="AA125" s="316"/>
      <c r="AB125" s="316"/>
      <c r="AC125" s="316"/>
      <c r="AD125" s="316"/>
    </row>
    <row r="126" spans="1:30" ht="18.75" customHeight="1" x14ac:dyDescent="0.2">
      <c r="A126" s="71">
        <v>98</v>
      </c>
      <c r="B126" s="19"/>
      <c r="C126" s="22"/>
      <c r="D126" s="25">
        <f t="shared" si="19"/>
        <v>0</v>
      </c>
      <c r="E126" s="216"/>
      <c r="F126" s="71">
        <v>98</v>
      </c>
      <c r="G126" s="75">
        <v>5.3390684704553978E-2</v>
      </c>
      <c r="H126" s="32">
        <f t="shared" si="20"/>
        <v>0</v>
      </c>
      <c r="I126" s="33">
        <f t="shared" si="21"/>
        <v>0</v>
      </c>
      <c r="J126" s="25">
        <f t="shared" si="24"/>
        <v>0</v>
      </c>
      <c r="K126" s="205"/>
      <c r="L126" s="205"/>
      <c r="M126" s="71">
        <v>98</v>
      </c>
      <c r="N126" s="19"/>
      <c r="O126" s="22"/>
      <c r="P126" s="230">
        <f t="shared" si="22"/>
        <v>0</v>
      </c>
      <c r="Q126" s="78"/>
      <c r="R126" s="71">
        <v>98</v>
      </c>
      <c r="S126" s="75">
        <v>5.3390684704553978E-2</v>
      </c>
      <c r="T126" s="232">
        <f t="shared" si="26"/>
        <v>0</v>
      </c>
      <c r="U126" s="236">
        <f t="shared" si="23"/>
        <v>0</v>
      </c>
      <c r="V126" s="237">
        <f t="shared" si="25"/>
        <v>0</v>
      </c>
      <c r="W126" s="205"/>
      <c r="X126" s="316"/>
      <c r="Y126" s="316"/>
      <c r="Z126" s="316"/>
      <c r="AA126" s="316"/>
      <c r="AB126" s="316"/>
      <c r="AC126" s="316"/>
      <c r="AD126" s="316"/>
    </row>
    <row r="127" spans="1:30" ht="18.75" customHeight="1" x14ac:dyDescent="0.2">
      <c r="A127" s="71">
        <v>99</v>
      </c>
      <c r="B127" s="19"/>
      <c r="C127" s="22"/>
      <c r="D127" s="25">
        <f t="shared" si="19"/>
        <v>0</v>
      </c>
      <c r="E127" s="216"/>
      <c r="F127" s="71">
        <v>99</v>
      </c>
      <c r="G127" s="75">
        <v>5.2088472882491688E-2</v>
      </c>
      <c r="H127" s="32">
        <f t="shared" si="20"/>
        <v>0</v>
      </c>
      <c r="I127" s="33">
        <f t="shared" si="21"/>
        <v>0</v>
      </c>
      <c r="J127" s="25">
        <f t="shared" si="24"/>
        <v>0</v>
      </c>
      <c r="K127" s="205"/>
      <c r="L127" s="205"/>
      <c r="M127" s="71">
        <v>99</v>
      </c>
      <c r="N127" s="19"/>
      <c r="O127" s="22"/>
      <c r="P127" s="230">
        <f t="shared" si="22"/>
        <v>0</v>
      </c>
      <c r="Q127" s="78"/>
      <c r="R127" s="71">
        <v>99</v>
      </c>
      <c r="S127" s="75">
        <v>5.2088472882491688E-2</v>
      </c>
      <c r="T127" s="232">
        <f t="shared" si="26"/>
        <v>0</v>
      </c>
      <c r="U127" s="236">
        <f t="shared" si="23"/>
        <v>0</v>
      </c>
      <c r="V127" s="237">
        <f t="shared" si="25"/>
        <v>0</v>
      </c>
      <c r="W127" s="205"/>
      <c r="X127" s="316"/>
      <c r="Y127" s="316"/>
      <c r="Z127" s="316"/>
      <c r="AA127" s="316"/>
      <c r="AB127" s="316"/>
      <c r="AC127" s="316"/>
      <c r="AD127" s="316"/>
    </row>
    <row r="128" spans="1:30" ht="18.75" customHeight="1" thickBot="1" x14ac:dyDescent="0.25">
      <c r="A128" s="72">
        <v>100</v>
      </c>
      <c r="B128" s="20"/>
      <c r="C128" s="23"/>
      <c r="D128" s="26">
        <f t="shared" si="19"/>
        <v>0</v>
      </c>
      <c r="E128" s="216"/>
      <c r="F128" s="72">
        <v>100</v>
      </c>
      <c r="G128" s="76">
        <v>5.0818022324382137E-2</v>
      </c>
      <c r="H128" s="34">
        <f t="shared" si="20"/>
        <v>0</v>
      </c>
      <c r="I128" s="35">
        <f t="shared" si="21"/>
        <v>0</v>
      </c>
      <c r="J128" s="26">
        <f>H128+I128</f>
        <v>0</v>
      </c>
      <c r="K128" s="205"/>
      <c r="L128" s="205"/>
      <c r="M128" s="72">
        <v>100</v>
      </c>
      <c r="N128" s="20"/>
      <c r="O128" s="23"/>
      <c r="P128" s="230">
        <f t="shared" si="22"/>
        <v>0</v>
      </c>
      <c r="Q128" s="78"/>
      <c r="R128" s="72">
        <v>100</v>
      </c>
      <c r="S128" s="76">
        <v>5.0818022324382137E-2</v>
      </c>
      <c r="T128" s="232">
        <f t="shared" si="26"/>
        <v>0</v>
      </c>
      <c r="U128" s="236">
        <f t="shared" si="23"/>
        <v>0</v>
      </c>
      <c r="V128" s="238">
        <f>T128+U128</f>
        <v>0</v>
      </c>
      <c r="W128" s="205"/>
      <c r="X128" s="316"/>
      <c r="Y128" s="316"/>
      <c r="Z128" s="316"/>
      <c r="AA128" s="316"/>
      <c r="AB128" s="316"/>
      <c r="AC128" s="316"/>
      <c r="AD128" s="316"/>
    </row>
  </sheetData>
  <sheetProtection password="B0C5" sheet="1" objects="1" scenarios="1"/>
  <mergeCells count="58">
    <mergeCell ref="X1:AD2"/>
    <mergeCell ref="X5:X12"/>
    <mergeCell ref="AB5:AD6"/>
    <mergeCell ref="AB7:AB11"/>
    <mergeCell ref="AC7:AC11"/>
    <mergeCell ref="AD7:AD11"/>
    <mergeCell ref="X4:AD4"/>
    <mergeCell ref="AA5:AA11"/>
    <mergeCell ref="A22:D22"/>
    <mergeCell ref="F22:J22"/>
    <mergeCell ref="M22:P22"/>
    <mergeCell ref="A23:A26"/>
    <mergeCell ref="B23:D23"/>
    <mergeCell ref="B24:B25"/>
    <mergeCell ref="C24:C25"/>
    <mergeCell ref="D24:D25"/>
    <mergeCell ref="F23:F26"/>
    <mergeCell ref="G23:G26"/>
    <mergeCell ref="H24:H25"/>
    <mergeCell ref="I24:I25"/>
    <mergeCell ref="J24:J25"/>
    <mergeCell ref="M23:M26"/>
    <mergeCell ref="N23:P23"/>
    <mergeCell ref="H23:J23"/>
    <mergeCell ref="A18:C18"/>
    <mergeCell ref="A17:C17"/>
    <mergeCell ref="A4:I4"/>
    <mergeCell ref="A10:J10"/>
    <mergeCell ref="A11:J11"/>
    <mergeCell ref="A6:I7"/>
    <mergeCell ref="A5:I5"/>
    <mergeCell ref="A13:J14"/>
    <mergeCell ref="A12:J12"/>
    <mergeCell ref="A16:C16"/>
    <mergeCell ref="T13:U13"/>
    <mergeCell ref="T14:U14"/>
    <mergeCell ref="M8:R10"/>
    <mergeCell ref="M12:R14"/>
    <mergeCell ref="T6:U6"/>
    <mergeCell ref="T7:U7"/>
    <mergeCell ref="T10:V11"/>
    <mergeCell ref="M4:R7"/>
    <mergeCell ref="N24:N25"/>
    <mergeCell ref="O24:O25"/>
    <mergeCell ref="P24:P25"/>
    <mergeCell ref="Y5:Y11"/>
    <mergeCell ref="Z5:Z11"/>
    <mergeCell ref="T24:T25"/>
    <mergeCell ref="U24:U25"/>
    <mergeCell ref="R22:V22"/>
    <mergeCell ref="R23:R26"/>
    <mergeCell ref="S23:S26"/>
    <mergeCell ref="T23:V23"/>
    <mergeCell ref="V24:V25"/>
    <mergeCell ref="M18:O18"/>
    <mergeCell ref="M17:O17"/>
    <mergeCell ref="T17:V19"/>
    <mergeCell ref="M16:O16"/>
  </mergeCells>
  <conditionalFormatting sqref="T26:T128 AB12:AB114">
    <cfRule type="expression" dxfId="42" priority="4">
      <formula>$V$6="No"</formula>
    </cfRule>
  </conditionalFormatting>
  <conditionalFormatting sqref="U26 U28:U128">
    <cfRule type="expression" dxfId="41" priority="3">
      <formula>$V$7="No"</formula>
    </cfRule>
  </conditionalFormatting>
  <conditionalFormatting sqref="O28:O128 N26:P26 P27:P128 N27:N128">
    <cfRule type="expression" dxfId="40" priority="20">
      <formula>$V$14&gt;0</formula>
    </cfRule>
    <cfRule type="expression" dxfId="39" priority="21">
      <formula>$V$13&gt;0</formula>
    </cfRule>
  </conditionalFormatting>
  <conditionalFormatting sqref="V13">
    <cfRule type="expression" dxfId="38" priority="22">
      <formula>$P$26&gt;0</formula>
    </cfRule>
    <cfRule type="expression" dxfId="37" priority="23">
      <formula>$V$14&gt;0</formula>
    </cfRule>
  </conditionalFormatting>
  <conditionalFormatting sqref="V14">
    <cfRule type="expression" dxfId="36" priority="24">
      <formula>$P$26&gt;0</formula>
    </cfRule>
    <cfRule type="expression" dxfId="35" priority="25">
      <formula>$V$13&gt;0</formula>
    </cfRule>
  </conditionalFormatting>
  <dataValidations count="1">
    <dataValidation type="list" allowBlank="1" showInputMessage="1" showErrorMessage="1" sqref="V6:V7" xr:uid="{00000000-0002-0000-0400-000000000000}">
      <formula1>"Yes,No"</formula1>
    </dataValidation>
  </dataValidations>
  <pageMargins left="0.7" right="0.7" top="0.75" bottom="0.75" header="0.3" footer="0.3"/>
  <pageSetup paperSize="9" scale="20" orientation="portrait" r:id="rId1"/>
  <colBreaks count="1" manualBreakCount="1">
    <brk id="23" max="127"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38"/>
      <c r="C1" s="1038"/>
      <c r="D1" s="1038"/>
      <c r="E1" s="1038"/>
      <c r="F1" s="1038"/>
      <c r="G1" s="1038"/>
      <c r="H1" s="1038"/>
      <c r="I1" s="1038"/>
      <c r="J1" s="1038"/>
      <c r="K1" s="1038"/>
      <c r="L1" s="1038"/>
      <c r="M1" s="1038"/>
      <c r="N1" s="1038"/>
      <c r="O1" s="1038"/>
      <c r="P1" s="1038"/>
      <c r="Q1" s="1038"/>
      <c r="R1" s="1038"/>
      <c r="S1" s="1038"/>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calculator'!L96</f>
        <v>Sensitivity Analysis: SA1: pv WLC - Affordability</v>
      </c>
      <c r="E7" s="1046"/>
      <c r="F7" s="1046"/>
      <c r="G7" s="1046"/>
      <c r="H7" s="1046"/>
      <c r="I7" s="1047"/>
      <c r="J7" s="393"/>
      <c r="K7" s="970" t="s">
        <v>334</v>
      </c>
      <c r="L7" s="988"/>
      <c r="M7" s="1021" t="str">
        <f>'PF calculator'!M7</f>
        <v>OBC</v>
      </c>
      <c r="N7" s="1023"/>
      <c r="O7" s="394"/>
      <c r="P7" s="395"/>
      <c r="Q7" s="395"/>
      <c r="R7" s="1049"/>
      <c r="S7" s="1049"/>
      <c r="T7" s="12"/>
    </row>
    <row r="8" spans="1:20"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2.4213075060532687E-2</v>
      </c>
      <c r="S8" s="398" t="s">
        <v>15</v>
      </c>
      <c r="T8" s="12"/>
    </row>
    <row r="9" spans="1:20"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12"/>
    </row>
    <row r="11" spans="1:20" s="1" customFormat="1" ht="18.75" customHeight="1" thickBot="1" x14ac:dyDescent="0.25">
      <c r="A11" s="4"/>
      <c r="B11" s="970" t="s">
        <v>333</v>
      </c>
      <c r="C11" s="988"/>
      <c r="D11" s="1034" t="str">
        <f>'PF calculator'!D11</f>
        <v>Internal Drainage Board</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1001">
        <f>'PF calculator'!E28*1.25</f>
        <v>125</v>
      </c>
      <c r="F28" s="1002"/>
      <c r="G28" s="395"/>
      <c r="H28" s="970" t="s">
        <v>341</v>
      </c>
      <c r="I28" s="970"/>
      <c r="J28" s="971"/>
      <c r="K28" s="1008">
        <f>'PF calculator'!K28</f>
        <v>14</v>
      </c>
      <c r="L28" s="1009"/>
      <c r="M28" s="1008">
        <f>'PF calculator'!M28</f>
        <v>18</v>
      </c>
      <c r="N28" s="1009"/>
      <c r="O28" s="1008">
        <f>'PF calculator'!O28</f>
        <v>0</v>
      </c>
      <c r="P28" s="1009"/>
      <c r="Q28" s="1010" t="str">
        <f>'PF calculator'!Q28:S28</f>
        <v>Contributor(s) or Fund(s)</v>
      </c>
      <c r="R28" s="1010"/>
      <c r="S28" s="1010"/>
      <c r="T28" s="11"/>
    </row>
    <row r="29" spans="1:20" s="1" customFormat="1" ht="18.75" customHeight="1" thickBot="1" x14ac:dyDescent="0.25">
      <c r="A29" s="4"/>
      <c r="B29" s="970" t="s">
        <v>338</v>
      </c>
      <c r="C29" s="970"/>
      <c r="D29" s="988"/>
      <c r="E29" s="1001">
        <f>'PF calculator'!E29*1.25</f>
        <v>250</v>
      </c>
      <c r="F29" s="1002"/>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11"/>
    </row>
    <row r="30" spans="1:20" s="1" customFormat="1" ht="18.75" customHeight="1" thickBot="1" x14ac:dyDescent="0.25">
      <c r="A30" s="4"/>
      <c r="B30" s="970" t="s">
        <v>339</v>
      </c>
      <c r="C30" s="970"/>
      <c r="D30" s="988"/>
      <c r="E30" s="1001">
        <f>'PF calculator'!E30*1.25</f>
        <v>3750</v>
      </c>
      <c r="F30" s="1002"/>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12"/>
    </row>
    <row r="31" spans="1:20" s="1" customFormat="1" ht="18.75" customHeight="1" thickBot="1" x14ac:dyDescent="0.25">
      <c r="A31" s="4"/>
      <c r="B31" s="970" t="s">
        <v>69</v>
      </c>
      <c r="C31" s="970"/>
      <c r="D31" s="988"/>
      <c r="E31" s="996">
        <f>SUM(E28:E30)</f>
        <v>4125</v>
      </c>
      <c r="F31" s="997"/>
      <c r="G31" s="395"/>
      <c r="H31" s="970" t="s">
        <v>344</v>
      </c>
      <c r="I31" s="970"/>
      <c r="J31" s="971"/>
      <c r="K31" s="1008">
        <f>'PF calculator'!K31</f>
        <v>17</v>
      </c>
      <c r="L31" s="1009"/>
      <c r="M31" s="1008">
        <f>'PF calculator'!M31</f>
        <v>21</v>
      </c>
      <c r="N31" s="1009"/>
      <c r="O31" s="1008">
        <f>'PF calculator'!O31</f>
        <v>0</v>
      </c>
      <c r="P31" s="1009"/>
      <c r="Q31" s="1005">
        <f>'PF calculator'!Q31</f>
        <v>0</v>
      </c>
      <c r="R31" s="1006"/>
      <c r="S31" s="1007"/>
      <c r="T31" s="12"/>
    </row>
    <row r="32" spans="1:20" s="1" customFormat="1" ht="18.75" customHeight="1" thickBot="1" x14ac:dyDescent="0.25">
      <c r="A32" s="4"/>
      <c r="B32" s="970" t="s">
        <v>340</v>
      </c>
      <c r="C32" s="970"/>
      <c r="D32" s="988"/>
      <c r="E32" s="1001">
        <f>'PF calculator'!E32*1.25</f>
        <v>5</v>
      </c>
      <c r="F32" s="1002"/>
      <c r="G32" s="395"/>
      <c r="H32" s="977" t="s">
        <v>70</v>
      </c>
      <c r="I32" s="977"/>
      <c r="J32" s="986"/>
      <c r="K32" s="1003">
        <f>SUM(K28:L31)</f>
        <v>62</v>
      </c>
      <c r="L32" s="1004"/>
      <c r="M32" s="1003">
        <f>SUM(M28:N31)</f>
        <v>78</v>
      </c>
      <c r="N32" s="1004"/>
      <c r="O32" s="1003">
        <f>SUM(O28:P31)</f>
        <v>0</v>
      </c>
      <c r="P32" s="1004"/>
      <c r="Q32" s="395"/>
      <c r="R32" s="395"/>
      <c r="S32" s="395"/>
      <c r="T32" s="12"/>
    </row>
    <row r="33" spans="1:20" s="1" customFormat="1" ht="18.75" customHeight="1" thickBot="1" x14ac:dyDescent="0.25">
      <c r="A33" s="4"/>
      <c r="B33" s="970" t="s">
        <v>147</v>
      </c>
      <c r="C33" s="970"/>
      <c r="D33" s="988"/>
      <c r="E33" s="996">
        <f>SUM(E31:F32)</f>
        <v>4130</v>
      </c>
      <c r="F33" s="997"/>
      <c r="G33" s="395"/>
      <c r="H33" s="970" t="s">
        <v>71</v>
      </c>
      <c r="I33" s="970"/>
      <c r="J33" s="988"/>
      <c r="K33" s="998">
        <f>IF(D11="Environment Agency",K32+M32+O32,K32+M32)</f>
        <v>140</v>
      </c>
      <c r="L33" s="999"/>
      <c r="M33" s="1000"/>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11"/>
    </row>
    <row r="46" spans="1:20"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85"/>
      <c r="T46" s="12"/>
    </row>
    <row r="47" spans="1:20"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85"/>
      <c r="T47" s="12"/>
    </row>
    <row r="48" spans="1:20"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85"/>
      <c r="T48" s="12"/>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11"/>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25">
      <c r="A58" s="4"/>
      <c r="B58" s="977" t="str">
        <f>'PF calculator'!B58:D58</f>
        <v>Year when measures are ready for service - Gateway 4</v>
      </c>
      <c r="C58" s="977"/>
      <c r="D58" s="986"/>
      <c r="E58" s="987">
        <f>'PF calculator'!E58</f>
        <v>2020</v>
      </c>
      <c r="F58" s="985"/>
      <c r="G58" s="395"/>
      <c r="H58" s="395"/>
      <c r="I58" s="395"/>
      <c r="J58" s="395"/>
      <c r="K58" s="395"/>
      <c r="L58" s="395"/>
      <c r="M58" s="395"/>
      <c r="N58" s="395"/>
      <c r="O58" s="395"/>
      <c r="P58" s="395"/>
      <c r="Q58" s="395"/>
      <c r="R58" s="395"/>
      <c r="S58" s="395"/>
      <c r="T58" s="12"/>
      <c r="U58" s="1" t="s">
        <v>375</v>
      </c>
      <c r="V58" s="1" t="s">
        <v>376</v>
      </c>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11"/>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85"/>
      <c r="T61" s="11"/>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85"/>
      <c r="T62" s="11"/>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85"/>
      <c r="T63" s="11"/>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11"/>
    </row>
    <row r="74" spans="1:20"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12"/>
    </row>
    <row r="75" spans="1:20"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12"/>
    </row>
    <row r="76" spans="1:20"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967" t="s">
        <v>74</v>
      </c>
      <c r="S83" s="967"/>
      <c r="T83" s="11"/>
    </row>
    <row r="84" spans="1:20"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11"/>
    </row>
    <row r="85" spans="1:20"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11"/>
    </row>
    <row r="86" spans="1:20"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11"/>
    </row>
    <row r="87" spans="1:20"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11"/>
    </row>
    <row r="88" spans="1:20"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11"/>
    </row>
    <row r="89" spans="1:20"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11"/>
    </row>
    <row r="90" spans="1:20"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35" t="e">
        <f>IF(E39=0,0,IF(MAX((E39-SUM(D96:E104)),0)&gt;0,E39-SUM(D96:D104),"Ltd by high OM1b,2,3,4 values"))</f>
        <v>#N/A</v>
      </c>
      <c r="E95" s="936"/>
      <c r="F95" s="945">
        <f>'PF calculator'!G95</f>
        <v>6</v>
      </c>
      <c r="G95" s="946"/>
      <c r="H95" s="935" t="e">
        <f>IF(D95="Ltd by high OM1b,2,3,4 values",0,D95*(F95/100))</f>
        <v>#N/A</v>
      </c>
      <c r="I95" s="936"/>
      <c r="J95" s="328"/>
      <c r="K95" s="328"/>
      <c r="L95" s="328"/>
      <c r="M95" s="328"/>
      <c r="N95" s="328"/>
      <c r="O95" s="328"/>
      <c r="P95" s="328"/>
      <c r="Q95" s="328"/>
      <c r="R95" s="328"/>
      <c r="S95" s="328"/>
      <c r="T95" s="12"/>
    </row>
    <row r="96" spans="1:20" s="1" customFormat="1" ht="18.75" customHeight="1" x14ac:dyDescent="0.2">
      <c r="A96" s="4"/>
      <c r="B96" s="431"/>
      <c r="C96" s="432" t="s">
        <v>156</v>
      </c>
      <c r="D96" s="955">
        <f>E41</f>
        <v>13</v>
      </c>
      <c r="E96" s="956"/>
      <c r="F96" s="945">
        <f>'PF calculator'!G96</f>
        <v>20</v>
      </c>
      <c r="G96" s="946"/>
      <c r="H96" s="935">
        <f t="shared" ref="H96:H102" si="0">D96*(F96/100)</f>
        <v>2.6</v>
      </c>
      <c r="I96" s="936"/>
      <c r="J96" s="328"/>
      <c r="K96" s="328"/>
      <c r="L96" s="328"/>
      <c r="M96" s="328"/>
      <c r="N96" s="328"/>
      <c r="O96" s="328"/>
      <c r="P96" s="328"/>
      <c r="Q96" s="328"/>
      <c r="R96" s="328"/>
      <c r="S96" s="328"/>
      <c r="T96" s="12"/>
    </row>
    <row r="97" spans="1:20" s="1" customFormat="1" ht="18.75" customHeight="1" x14ac:dyDescent="0.2">
      <c r="A97" s="4"/>
      <c r="B97" s="934" t="s">
        <v>87</v>
      </c>
      <c r="C97" s="433" t="s">
        <v>88</v>
      </c>
      <c r="D97" s="943" t="e">
        <f>IF(R61="Ltd by DoB",R46,R46+R61)</f>
        <v>#N/A</v>
      </c>
      <c r="E97" s="944"/>
      <c r="F97" s="945">
        <f>'PF calculator'!G97</f>
        <v>45</v>
      </c>
      <c r="G97" s="946"/>
      <c r="H97" s="935" t="e">
        <f t="shared" si="0"/>
        <v>#N/A</v>
      </c>
      <c r="I97" s="936"/>
      <c r="J97" s="328"/>
      <c r="K97" s="328"/>
      <c r="L97" s="328"/>
      <c r="M97" s="328"/>
      <c r="N97" s="328"/>
      <c r="O97" s="328"/>
      <c r="P97" s="328"/>
      <c r="Q97" s="328"/>
      <c r="R97" s="328"/>
      <c r="S97" s="328"/>
      <c r="T97" s="12"/>
    </row>
    <row r="98" spans="1:20" s="1" customFormat="1" ht="18.75" customHeight="1" x14ac:dyDescent="0.2">
      <c r="A98" s="4"/>
      <c r="B98" s="941"/>
      <c r="C98" s="433" t="s">
        <v>89</v>
      </c>
      <c r="D98" s="943" t="e">
        <f>IF(R62="Ltd by DoB",R47,R47+R62)</f>
        <v>#N/A</v>
      </c>
      <c r="E98" s="944"/>
      <c r="F98" s="945">
        <f>'PF calculator'!G98</f>
        <v>30</v>
      </c>
      <c r="G98" s="946"/>
      <c r="H98" s="935" t="e">
        <f t="shared" si="0"/>
        <v>#N/A</v>
      </c>
      <c r="I98" s="936"/>
      <c r="J98" s="328"/>
      <c r="K98" s="328"/>
      <c r="L98" s="328"/>
      <c r="M98" s="328"/>
      <c r="N98" s="328"/>
      <c r="O98" s="328"/>
      <c r="P98" s="328"/>
      <c r="Q98" s="328"/>
      <c r="R98" s="328"/>
      <c r="S98" s="328"/>
      <c r="T98" s="12"/>
    </row>
    <row r="99" spans="1:20" s="1" customFormat="1" ht="18.75" customHeight="1" x14ac:dyDescent="0.2">
      <c r="A99" s="4"/>
      <c r="B99" s="942"/>
      <c r="C99" s="433" t="s">
        <v>90</v>
      </c>
      <c r="D99" s="943" t="e">
        <f>IF(R63="Ltd by DoB",R48,R48+R63)</f>
        <v>#N/A</v>
      </c>
      <c r="E99" s="944"/>
      <c r="F99" s="945">
        <f>'PF calculator'!G99</f>
        <v>20</v>
      </c>
      <c r="G99" s="946"/>
      <c r="H99" s="935" t="e">
        <f t="shared" si="0"/>
        <v>#N/A</v>
      </c>
      <c r="I99" s="936"/>
      <c r="J99" s="328"/>
      <c r="K99" s="328"/>
      <c r="L99" s="328"/>
      <c r="M99" s="328"/>
      <c r="N99" s="328"/>
      <c r="O99" s="328"/>
      <c r="P99" s="328"/>
      <c r="Q99" s="328"/>
      <c r="R99" s="328"/>
      <c r="S99" s="328"/>
      <c r="T99" s="12"/>
    </row>
    <row r="100" spans="1:20" s="1" customFormat="1" ht="18.75" customHeight="1" x14ac:dyDescent="0.2">
      <c r="A100" s="4"/>
      <c r="B100" s="934" t="s">
        <v>91</v>
      </c>
      <c r="C100" s="433" t="s">
        <v>88</v>
      </c>
      <c r="D100" s="935" t="e">
        <f>R74</f>
        <v>#N/A</v>
      </c>
      <c r="E100" s="936"/>
      <c r="F100" s="945">
        <f>'PF calculator'!G100</f>
        <v>45</v>
      </c>
      <c r="G100" s="946"/>
      <c r="H100" s="935" t="e">
        <f t="shared" si="0"/>
        <v>#N/A</v>
      </c>
      <c r="I100" s="936"/>
      <c r="J100" s="328"/>
      <c r="K100" s="328"/>
      <c r="L100" s="328"/>
      <c r="M100" s="328"/>
      <c r="N100" s="328"/>
      <c r="O100" s="328"/>
      <c r="P100" s="328"/>
      <c r="Q100" s="328"/>
      <c r="R100" s="328"/>
      <c r="S100" s="328"/>
      <c r="T100" s="12"/>
    </row>
    <row r="101" spans="1:20" s="1" customFormat="1" ht="18.75" customHeight="1" x14ac:dyDescent="0.2">
      <c r="A101" s="4"/>
      <c r="B101" s="941"/>
      <c r="C101" s="433" t="s">
        <v>89</v>
      </c>
      <c r="D101" s="935" t="e">
        <f>R75</f>
        <v>#N/A</v>
      </c>
      <c r="E101" s="936"/>
      <c r="F101" s="945">
        <f>'PF calculator'!G101</f>
        <v>30</v>
      </c>
      <c r="G101" s="946"/>
      <c r="H101" s="935" t="e">
        <f t="shared" si="0"/>
        <v>#N/A</v>
      </c>
      <c r="I101" s="936"/>
      <c r="J101" s="328"/>
      <c r="K101" s="328"/>
      <c r="L101" s="328"/>
      <c r="M101" s="328"/>
      <c r="N101" s="328"/>
      <c r="O101" s="328"/>
      <c r="P101" s="328"/>
      <c r="Q101" s="328"/>
      <c r="R101" s="328"/>
      <c r="S101" s="328"/>
      <c r="T101" s="12"/>
    </row>
    <row r="102" spans="1:20" s="1" customFormat="1" ht="18.75" customHeight="1" x14ac:dyDescent="0.2">
      <c r="A102" s="4"/>
      <c r="B102" s="942"/>
      <c r="C102" s="433" t="s">
        <v>90</v>
      </c>
      <c r="D102" s="935" t="e">
        <f>R76</f>
        <v>#N/A</v>
      </c>
      <c r="E102" s="936"/>
      <c r="F102" s="945">
        <f>'PF calculator'!G102</f>
        <v>20</v>
      </c>
      <c r="G102" s="946"/>
      <c r="H102" s="935" t="e">
        <f t="shared" si="0"/>
        <v>#N/A</v>
      </c>
      <c r="I102" s="936"/>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949" t="e">
        <f>IF(SUM(L83:M90)&lt;0,"Ltd by negative OM4 values",SUM(L83:M90))</f>
        <v>#N/A</v>
      </c>
      <c r="E103" s="950"/>
      <c r="F103" s="945">
        <f>'PF calculator'!G103</f>
        <v>20</v>
      </c>
      <c r="G103" s="946"/>
      <c r="H103" s="935" t="e">
        <f>IF(D103="Ltd by negative OM4 values",0,D103*(F103/100))</f>
        <v>#N/A</v>
      </c>
      <c r="I103" s="936"/>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t="e">
        <f>SUM(R84:S86)</f>
        <v>#N/A</v>
      </c>
      <c r="E104" s="950"/>
      <c r="F104" s="945">
        <f>'PF calculator'!G104</f>
        <v>20</v>
      </c>
      <c r="G104" s="946"/>
      <c r="H104" s="951" t="e">
        <f>D104*(F104/100)</f>
        <v>#N/A</v>
      </c>
      <c r="I104" s="952"/>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35" t="e">
        <f>SUM(D95:E104)</f>
        <v>#N/A</v>
      </c>
      <c r="E105" s="936"/>
      <c r="F105" s="937" t="str">
        <f>'PF calculator'!F105:G105</f>
        <v>pv max. eligible GiA</v>
      </c>
      <c r="G105" s="938"/>
      <c r="H105" s="939" t="e">
        <f>SUM(H95:I104)</f>
        <v>#N/A</v>
      </c>
      <c r="I105" s="940"/>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3:D33"/>
    <mergeCell ref="E33:F33"/>
    <mergeCell ref="H33:J33"/>
    <mergeCell ref="K33:L33"/>
    <mergeCell ref="M33:S33"/>
    <mergeCell ref="B35:S35"/>
    <mergeCell ref="B46:E46"/>
    <mergeCell ref="R46:S46"/>
    <mergeCell ref="B47:E47"/>
    <mergeCell ref="R47:S47"/>
    <mergeCell ref="B48:E48"/>
    <mergeCell ref="R48:S48"/>
    <mergeCell ref="B39:D39"/>
    <mergeCell ref="E39:F39"/>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K28:L32">
    <cfRule type="expression" dxfId="34" priority="13">
      <formula>$Q$22="Insufficient contribution to appraisal costs"</formula>
    </cfRule>
  </conditionalFormatting>
  <conditionalFormatting sqref="O32:P32">
    <cfRule type="expression" dxfId="33" priority="14">
      <formula>$D$11="Water Company"</formula>
    </cfRule>
    <cfRule type="expression" dxfId="32" priority="15">
      <formula>$D$11="Highways Authority"</formula>
    </cfRule>
    <cfRule type="expression" dxfId="31" priority="16">
      <formula>$D$11="Internal Drainage Board"</formula>
    </cfRule>
    <cfRule type="expression" dxfId="30" priority="17">
      <formula>$D$11="Local Authority"</formula>
    </cfRule>
  </conditionalFormatting>
  <pageMargins left="0.7" right="0.7" top="0.75" bottom="0.75" header="0.3" footer="0.3"/>
  <pageSetup paperSize="9" scale="3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38"/>
      <c r="C1" s="1038"/>
      <c r="D1" s="1038"/>
      <c r="E1" s="1038"/>
      <c r="F1" s="1038"/>
      <c r="G1" s="1038"/>
      <c r="H1" s="1038"/>
      <c r="I1" s="1038"/>
      <c r="J1" s="1038"/>
      <c r="K1" s="1038"/>
      <c r="L1" s="1038"/>
      <c r="M1" s="1038"/>
      <c r="N1" s="1038"/>
      <c r="O1" s="1038"/>
      <c r="P1" s="1038"/>
      <c r="Q1" s="1038"/>
      <c r="R1" s="1038"/>
      <c r="S1" s="1038"/>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56" t="str">
        <f>'PF calculator'!B4:P4</f>
        <v>Version 1: March 2020 (for use by projects delivering FCERM outcomes after 1 April 2021)</v>
      </c>
      <c r="C4" s="1056"/>
      <c r="D4" s="1056"/>
      <c r="E4" s="1056"/>
      <c r="F4" s="1056"/>
      <c r="G4" s="1056"/>
      <c r="H4" s="1056"/>
      <c r="I4" s="1056"/>
      <c r="J4" s="1056"/>
      <c r="K4" s="1056"/>
      <c r="L4" s="1056"/>
      <c r="M4" s="1056"/>
      <c r="N4" s="1056"/>
      <c r="O4" s="1056"/>
      <c r="P4" s="1056"/>
      <c r="Q4" s="388" t="s">
        <v>58</v>
      </c>
      <c r="R4" s="1057" t="s">
        <v>59</v>
      </c>
      <c r="S4" s="1058"/>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calculator'!L97</f>
        <v>Sensitivity Analysis: SA2: OM2 - Flood risks lower than assumptions made</v>
      </c>
      <c r="E7" s="1046"/>
      <c r="F7" s="1046"/>
      <c r="G7" s="1046"/>
      <c r="H7" s="1046"/>
      <c r="I7" s="1047"/>
      <c r="J7" s="393"/>
      <c r="K7" s="970" t="s">
        <v>334</v>
      </c>
      <c r="L7" s="988"/>
      <c r="M7" s="1021" t="str">
        <f>'PF calculator'!M7</f>
        <v>OBC</v>
      </c>
      <c r="N7" s="1023"/>
      <c r="O7" s="394"/>
      <c r="P7" s="395"/>
      <c r="Q7" s="395"/>
      <c r="R7" s="1049"/>
      <c r="S7" s="1049"/>
      <c r="T7" s="12"/>
    </row>
    <row r="8" spans="1:20"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12"/>
    </row>
    <row r="9" spans="1:20" s="1" customFormat="1" ht="18.75" customHeight="1" thickBot="1" x14ac:dyDescent="0.25">
      <c r="A9" s="4"/>
      <c r="B9" s="970" t="s">
        <v>354</v>
      </c>
      <c r="C9" s="970"/>
      <c r="D9" s="1034">
        <f>'PF calculator'!D9</f>
        <v>43900</v>
      </c>
      <c r="E9" s="1035"/>
      <c r="F9" s="1036"/>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12"/>
    </row>
    <row r="11" spans="1:20" s="1" customFormat="1" ht="18.75" customHeight="1" thickBot="1" x14ac:dyDescent="0.25">
      <c r="A11" s="4"/>
      <c r="B11" s="970" t="s">
        <v>333</v>
      </c>
      <c r="C11" s="988"/>
      <c r="D11" s="1034" t="str">
        <f>'PF calculator'!D11</f>
        <v>Internal Drainage Board</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0</v>
      </c>
      <c r="P28" s="1009"/>
      <c r="Q28" s="1055" t="str">
        <f>'PF calculator'!Q28:S28</f>
        <v>Contributor(s) or Fund(s)</v>
      </c>
      <c r="R28" s="1010"/>
      <c r="S28" s="1010"/>
      <c r="T28" s="11"/>
    </row>
    <row r="29" spans="1:20"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11"/>
    </row>
    <row r="30" spans="1:20"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12"/>
    </row>
    <row r="31" spans="1:20" s="1" customFormat="1" ht="18.75" customHeight="1" thickBot="1" x14ac:dyDescent="0.25">
      <c r="A31" s="4"/>
      <c r="B31" s="970" t="s">
        <v>69</v>
      </c>
      <c r="C31" s="970"/>
      <c r="D31" s="988"/>
      <c r="E31" s="996">
        <f>SUM(E28:E30)</f>
        <v>3300</v>
      </c>
      <c r="F31" s="997"/>
      <c r="G31" s="395"/>
      <c r="H31" s="970" t="s">
        <v>344</v>
      </c>
      <c r="I31" s="970"/>
      <c r="J31" s="971"/>
      <c r="K31" s="1053">
        <f>'PF calculator'!K31</f>
        <v>17</v>
      </c>
      <c r="L31" s="1054"/>
      <c r="M31" s="1053">
        <f>'PF calculator'!M31</f>
        <v>21</v>
      </c>
      <c r="N31" s="1054"/>
      <c r="O31" s="1053">
        <f>'PF calculator'!O31</f>
        <v>0</v>
      </c>
      <c r="P31" s="1054"/>
      <c r="Q31" s="1005">
        <f>'PF calculator'!Q31</f>
        <v>0</v>
      </c>
      <c r="R31" s="1006"/>
      <c r="S31" s="1007"/>
      <c r="T31" s="12"/>
    </row>
    <row r="32" spans="1:20"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0</v>
      </c>
      <c r="P32" s="1004"/>
      <c r="Q32" s="395"/>
      <c r="R32" s="395"/>
      <c r="S32" s="395"/>
      <c r="T32" s="12"/>
    </row>
    <row r="33" spans="1:20"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140</v>
      </c>
      <c r="L33" s="999"/>
      <c r="M33" s="1052"/>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1051" t="s">
        <v>74</v>
      </c>
      <c r="S45" s="1051"/>
      <c r="T45" s="11"/>
    </row>
    <row r="46" spans="1:20" s="1" customFormat="1" ht="18.75" customHeight="1" thickBot="1" x14ac:dyDescent="0.25">
      <c r="A46" s="14"/>
      <c r="B46" s="970" t="s">
        <v>348</v>
      </c>
      <c r="C46" s="970"/>
      <c r="D46" s="970"/>
      <c r="E46" s="971"/>
      <c r="F46" s="413"/>
      <c r="G46" s="414">
        <f>'PF calculator'!G46</f>
        <v>22</v>
      </c>
      <c r="H46" s="414">
        <f>'PF calculator'!H46</f>
        <v>23</v>
      </c>
      <c r="I46" s="436">
        <f>'PF calculator'!I46+('PF calculator'!J46*0.5)</f>
        <v>36.5</v>
      </c>
      <c r="J46" s="436">
        <f>'PF calculator'!J46*0.5</f>
        <v>12.5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75"/>
      <c r="T46" s="12"/>
    </row>
    <row r="47" spans="1:20" s="1" customFormat="1" ht="18.75" customHeight="1" thickBot="1" x14ac:dyDescent="0.25">
      <c r="A47" s="14"/>
      <c r="B47" s="970" t="s">
        <v>349</v>
      </c>
      <c r="C47" s="970"/>
      <c r="D47" s="970"/>
      <c r="E47" s="971"/>
      <c r="F47" s="413"/>
      <c r="G47" s="414">
        <f>'PF calculator'!G47</f>
        <v>26</v>
      </c>
      <c r="H47" s="414">
        <f>'PF calculator'!H47</f>
        <v>27</v>
      </c>
      <c r="I47" s="436">
        <f>'PF calculator'!I47+('PF calculator'!J47*0.5)</f>
        <v>42.5</v>
      </c>
      <c r="J47" s="436">
        <f>'PF calculator'!J47*0.5</f>
        <v>14.5</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75"/>
      <c r="T47" s="12"/>
    </row>
    <row r="48" spans="1:20" s="1" customFormat="1" ht="18.75" customHeight="1" thickBot="1" x14ac:dyDescent="0.25">
      <c r="A48" s="14"/>
      <c r="B48" s="970" t="s">
        <v>350</v>
      </c>
      <c r="C48" s="970"/>
      <c r="D48" s="970"/>
      <c r="E48" s="971"/>
      <c r="F48" s="413"/>
      <c r="G48" s="414">
        <f>'PF calculator'!G48</f>
        <v>30</v>
      </c>
      <c r="H48" s="414">
        <f>'PF calculator'!H48</f>
        <v>31</v>
      </c>
      <c r="I48" s="436">
        <f>'PF calculator'!I48+('PF calculator'!J48*0.5)</f>
        <v>48.5</v>
      </c>
      <c r="J48" s="436">
        <f>'PF calculator'!J48*0.5</f>
        <v>16.5</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75"/>
      <c r="T48" s="12"/>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11"/>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25">
      <c r="A58" s="4"/>
      <c r="B58" s="977" t="str">
        <f>'PF calculator'!B58:D58</f>
        <v>Year when measures are ready for service - Gateway 4</v>
      </c>
      <c r="C58" s="977"/>
      <c r="D58" s="986"/>
      <c r="E58" s="987">
        <f>'PF calculator'!E58</f>
        <v>2020</v>
      </c>
      <c r="F58" s="985"/>
      <c r="G58" s="395"/>
      <c r="H58" s="395"/>
      <c r="I58" s="395"/>
      <c r="J58" s="395"/>
      <c r="K58" s="395"/>
      <c r="L58" s="395"/>
      <c r="M58" s="395"/>
      <c r="N58" s="395"/>
      <c r="O58" s="395"/>
      <c r="P58" s="395"/>
      <c r="Q58" s="395"/>
      <c r="R58" s="395"/>
      <c r="S58" s="395"/>
      <c r="T58" s="12"/>
      <c r="U58" s="1" t="s">
        <v>378</v>
      </c>
      <c r="V58" s="1" t="s">
        <v>376</v>
      </c>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1051" t="s">
        <v>74</v>
      </c>
      <c r="S60" s="1051"/>
      <c r="T60" s="11"/>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75"/>
      <c r="T61" s="11"/>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75"/>
      <c r="T62" s="11"/>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75"/>
      <c r="T63" s="11"/>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1051" t="s">
        <v>74</v>
      </c>
      <c r="S73" s="1051"/>
      <c r="T73" s="11"/>
    </row>
    <row r="74" spans="1:20"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12"/>
    </row>
    <row r="75" spans="1:20"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12"/>
    </row>
    <row r="76" spans="1:20"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1050" t="s">
        <v>74</v>
      </c>
      <c r="S83" s="1050"/>
      <c r="T83" s="11"/>
    </row>
    <row r="84" spans="1:20"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11"/>
    </row>
    <row r="85" spans="1:20"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11"/>
    </row>
    <row r="86" spans="1:20"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11"/>
    </row>
    <row r="87" spans="1:20"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11"/>
    </row>
    <row r="88" spans="1:20"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11"/>
    </row>
    <row r="89" spans="1:20"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11"/>
    </row>
    <row r="90" spans="1:20"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35" t="e">
        <f>IF(E39=0,0,IF(MAX((E39-SUM(D96:E104)),0)&gt;0,E39-SUM(D96:D104),"Ltd by high OM1b,2,3,4 values"))</f>
        <v>#N/A</v>
      </c>
      <c r="E95" s="936"/>
      <c r="F95" s="945">
        <f>'PF calculator'!G95</f>
        <v>6</v>
      </c>
      <c r="G95" s="946"/>
      <c r="H95" s="935" t="e">
        <f>IF(D95="Ltd by high OM1b,2,3,4 values",0,D95*(F95/100))</f>
        <v>#N/A</v>
      </c>
      <c r="I95" s="936"/>
      <c r="J95" s="328"/>
      <c r="K95" s="328"/>
      <c r="L95" s="328"/>
      <c r="M95" s="328"/>
      <c r="N95" s="328"/>
      <c r="O95" s="328"/>
      <c r="P95" s="328"/>
      <c r="Q95" s="328"/>
      <c r="R95" s="328"/>
      <c r="S95" s="328"/>
      <c r="T95" s="12"/>
    </row>
    <row r="96" spans="1:20" s="1" customFormat="1" ht="18.75" customHeight="1" x14ac:dyDescent="0.2">
      <c r="A96" s="4"/>
      <c r="B96" s="431"/>
      <c r="C96" s="432" t="s">
        <v>156</v>
      </c>
      <c r="D96" s="955">
        <f>E41</f>
        <v>13</v>
      </c>
      <c r="E96" s="956"/>
      <c r="F96" s="945">
        <f>'PF calculator'!G96</f>
        <v>20</v>
      </c>
      <c r="G96" s="946"/>
      <c r="H96" s="935">
        <f t="shared" ref="H96:H102" si="0">D96*(F96/100)</f>
        <v>2.6</v>
      </c>
      <c r="I96" s="936"/>
      <c r="J96" s="328"/>
      <c r="K96" s="328"/>
      <c r="L96" s="328"/>
      <c r="M96" s="328"/>
      <c r="N96" s="328"/>
      <c r="O96" s="328"/>
      <c r="P96" s="328"/>
      <c r="Q96" s="328"/>
      <c r="R96" s="328"/>
      <c r="S96" s="328"/>
      <c r="T96" s="12"/>
    </row>
    <row r="97" spans="1:20" s="1" customFormat="1" ht="18.75" customHeight="1" x14ac:dyDescent="0.2">
      <c r="A97" s="4"/>
      <c r="B97" s="934" t="s">
        <v>87</v>
      </c>
      <c r="C97" s="433" t="s">
        <v>88</v>
      </c>
      <c r="D97" s="935" t="e">
        <f>IF(R61="Ltd by DoB",R46,R46+R61)</f>
        <v>#N/A</v>
      </c>
      <c r="E97" s="936"/>
      <c r="F97" s="945">
        <f>'PF calculator'!G97</f>
        <v>45</v>
      </c>
      <c r="G97" s="946"/>
      <c r="H97" s="935" t="e">
        <f t="shared" si="0"/>
        <v>#N/A</v>
      </c>
      <c r="I97" s="936"/>
      <c r="J97" s="328"/>
      <c r="K97" s="328"/>
      <c r="L97" s="328"/>
      <c r="M97" s="328"/>
      <c r="N97" s="328"/>
      <c r="O97" s="328"/>
      <c r="P97" s="328"/>
      <c r="Q97" s="328"/>
      <c r="R97" s="328"/>
      <c r="S97" s="328"/>
      <c r="T97" s="12"/>
    </row>
    <row r="98" spans="1:20" s="1" customFormat="1" ht="18.75" customHeight="1" x14ac:dyDescent="0.2">
      <c r="A98" s="4"/>
      <c r="B98" s="941"/>
      <c r="C98" s="433" t="s">
        <v>89</v>
      </c>
      <c r="D98" s="935" t="e">
        <f>IF(R62="Ltd by DoB",R47,R47+R62)</f>
        <v>#N/A</v>
      </c>
      <c r="E98" s="936"/>
      <c r="F98" s="945">
        <f>'PF calculator'!G98</f>
        <v>30</v>
      </c>
      <c r="G98" s="946"/>
      <c r="H98" s="935" t="e">
        <f t="shared" si="0"/>
        <v>#N/A</v>
      </c>
      <c r="I98" s="936"/>
      <c r="J98" s="328"/>
      <c r="K98" s="328"/>
      <c r="L98" s="328"/>
      <c r="M98" s="328"/>
      <c r="N98" s="328"/>
      <c r="O98" s="328"/>
      <c r="P98" s="328"/>
      <c r="Q98" s="328"/>
      <c r="R98" s="328"/>
      <c r="S98" s="328"/>
      <c r="T98" s="12"/>
    </row>
    <row r="99" spans="1:20" s="1" customFormat="1" ht="18.75" customHeight="1" x14ac:dyDescent="0.2">
      <c r="A99" s="4"/>
      <c r="B99" s="942"/>
      <c r="C99" s="433" t="s">
        <v>90</v>
      </c>
      <c r="D99" s="935" t="e">
        <f>IF(R63="Ltd by DoB",R48,R48+R63)</f>
        <v>#N/A</v>
      </c>
      <c r="E99" s="936"/>
      <c r="F99" s="945">
        <f>'PF calculator'!G99</f>
        <v>20</v>
      </c>
      <c r="G99" s="946"/>
      <c r="H99" s="935" t="e">
        <f t="shared" si="0"/>
        <v>#N/A</v>
      </c>
      <c r="I99" s="936"/>
      <c r="J99" s="328"/>
      <c r="K99" s="328"/>
      <c r="L99" s="328"/>
      <c r="M99" s="328"/>
      <c r="N99" s="328"/>
      <c r="O99" s="328"/>
      <c r="P99" s="328"/>
      <c r="Q99" s="328"/>
      <c r="R99" s="328"/>
      <c r="S99" s="328"/>
      <c r="T99" s="12"/>
    </row>
    <row r="100" spans="1:20" s="1" customFormat="1" ht="18.75" customHeight="1" x14ac:dyDescent="0.2">
      <c r="A100" s="4"/>
      <c r="B100" s="934" t="s">
        <v>91</v>
      </c>
      <c r="C100" s="433" t="s">
        <v>88</v>
      </c>
      <c r="D100" s="935" t="e">
        <f>R74</f>
        <v>#N/A</v>
      </c>
      <c r="E100" s="936"/>
      <c r="F100" s="945">
        <f>'PF calculator'!G100</f>
        <v>45</v>
      </c>
      <c r="G100" s="946"/>
      <c r="H100" s="935" t="e">
        <f t="shared" si="0"/>
        <v>#N/A</v>
      </c>
      <c r="I100" s="936"/>
      <c r="J100" s="328"/>
      <c r="K100" s="328"/>
      <c r="L100" s="328"/>
      <c r="M100" s="328"/>
      <c r="N100" s="328"/>
      <c r="O100" s="328"/>
      <c r="P100" s="328"/>
      <c r="Q100" s="328"/>
      <c r="R100" s="328"/>
      <c r="S100" s="328"/>
      <c r="T100" s="12"/>
    </row>
    <row r="101" spans="1:20" s="1" customFormat="1" ht="18.75" customHeight="1" x14ac:dyDescent="0.2">
      <c r="A101" s="4"/>
      <c r="B101" s="941"/>
      <c r="C101" s="433" t="s">
        <v>89</v>
      </c>
      <c r="D101" s="935" t="e">
        <f>R75</f>
        <v>#N/A</v>
      </c>
      <c r="E101" s="936"/>
      <c r="F101" s="945">
        <f>'PF calculator'!G101</f>
        <v>30</v>
      </c>
      <c r="G101" s="946"/>
      <c r="H101" s="935" t="e">
        <f t="shared" si="0"/>
        <v>#N/A</v>
      </c>
      <c r="I101" s="936"/>
      <c r="J101" s="328"/>
      <c r="K101" s="328"/>
      <c r="L101" s="328"/>
      <c r="M101" s="328"/>
      <c r="N101" s="328"/>
      <c r="O101" s="328"/>
      <c r="P101" s="328"/>
      <c r="Q101" s="328"/>
      <c r="R101" s="328"/>
      <c r="S101" s="328"/>
      <c r="T101" s="12"/>
    </row>
    <row r="102" spans="1:20" s="1" customFormat="1" ht="18.75" customHeight="1" x14ac:dyDescent="0.2">
      <c r="A102" s="4"/>
      <c r="B102" s="942"/>
      <c r="C102" s="433" t="s">
        <v>90</v>
      </c>
      <c r="D102" s="935" t="e">
        <f>R76</f>
        <v>#N/A</v>
      </c>
      <c r="E102" s="936"/>
      <c r="F102" s="945">
        <f>'PF calculator'!G102</f>
        <v>20</v>
      </c>
      <c r="G102" s="946"/>
      <c r="H102" s="935" t="e">
        <f t="shared" si="0"/>
        <v>#N/A</v>
      </c>
      <c r="I102" s="936"/>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949" t="e">
        <f>IF(SUM(L83:M90)&lt;0,"Ltd by negative OM4 values",SUM(L83:M90))</f>
        <v>#N/A</v>
      </c>
      <c r="E103" s="950"/>
      <c r="F103" s="945">
        <f>'PF calculator'!G103</f>
        <v>20</v>
      </c>
      <c r="G103" s="946"/>
      <c r="H103" s="935" t="e">
        <f>IF(D103="Ltd by negative OM4 values",0,D103*(F103/100))</f>
        <v>#N/A</v>
      </c>
      <c r="I103" s="936"/>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t="e">
        <f>SUM(R84:S86)</f>
        <v>#N/A</v>
      </c>
      <c r="E104" s="950"/>
      <c r="F104" s="945">
        <f>'PF calculator'!G104</f>
        <v>20</v>
      </c>
      <c r="G104" s="946"/>
      <c r="H104" s="951" t="e">
        <f>D104*(F104/100)</f>
        <v>#N/A</v>
      </c>
      <c r="I104" s="952"/>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35" t="e">
        <f>SUM(D95:E104)</f>
        <v>#N/A</v>
      </c>
      <c r="E105" s="936"/>
      <c r="F105" s="937" t="str">
        <f>'PF calculator'!F105:G105</f>
        <v>pv max. eligible GiA</v>
      </c>
      <c r="G105" s="938"/>
      <c r="H105" s="939" t="e">
        <f>SUM(H95:I104)</f>
        <v>#N/A</v>
      </c>
      <c r="I105" s="940"/>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29" priority="2">
      <formula>$D$11="Water Company"</formula>
    </cfRule>
    <cfRule type="expression" dxfId="28" priority="3">
      <formula>$D$11="Highways Authority"</formula>
    </cfRule>
    <cfRule type="expression" dxfId="27" priority="4">
      <formula>$D$11="Internal Drainage Board"</formula>
    </cfRule>
    <cfRule type="expression" dxfId="26" priority="5">
      <formula>$D$11="Local Authority"</formula>
    </cfRule>
  </conditionalFormatting>
  <conditionalFormatting sqref="K28:L32">
    <cfRule type="expression" dxfId="25" priority="1">
      <formula>$Q$22="Insufficient contribution to appraisal costs"</formula>
    </cfRule>
  </conditionalFormatting>
  <pageMargins left="0.7" right="0.7" top="0.75" bottom="0.75" header="0.3" footer="0.3"/>
  <pageSetup paperSize="9" scale="3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A1:T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65"/>
      <c r="C1" s="1065"/>
      <c r="D1" s="1065"/>
      <c r="E1" s="1065"/>
      <c r="F1" s="1065"/>
      <c r="G1" s="1065"/>
      <c r="H1" s="1065"/>
      <c r="I1" s="1065"/>
      <c r="J1" s="1065"/>
      <c r="K1" s="1065"/>
      <c r="L1" s="1065"/>
      <c r="M1" s="1065"/>
      <c r="N1" s="1065"/>
      <c r="O1" s="1065"/>
      <c r="P1" s="1065"/>
      <c r="Q1" s="1065"/>
      <c r="R1" s="1065"/>
      <c r="S1" s="1065"/>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calculator'!L98</f>
        <v>Sensitivity Analysis: SA3: OM3 - Erosion risks lower than assumptions made</v>
      </c>
      <c r="E7" s="1046"/>
      <c r="F7" s="1046"/>
      <c r="G7" s="1046"/>
      <c r="H7" s="1046"/>
      <c r="I7" s="1047"/>
      <c r="J7" s="393"/>
      <c r="K7" s="970" t="s">
        <v>334</v>
      </c>
      <c r="L7" s="988"/>
      <c r="M7" s="1021" t="str">
        <f>'PF calculator'!M7</f>
        <v>OBC</v>
      </c>
      <c r="N7" s="1023"/>
      <c r="O7" s="394"/>
      <c r="P7" s="395"/>
      <c r="Q7" s="395"/>
      <c r="R7" s="1049"/>
      <c r="S7" s="1049"/>
      <c r="T7" s="12"/>
    </row>
    <row r="8" spans="1:20"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12"/>
    </row>
    <row r="9" spans="1:20"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12"/>
    </row>
    <row r="11" spans="1:20" s="1" customFormat="1" ht="18.75" customHeight="1" thickBot="1" x14ac:dyDescent="0.25">
      <c r="A11" s="4"/>
      <c r="B11" s="970" t="s">
        <v>333</v>
      </c>
      <c r="C11" s="988"/>
      <c r="D11" s="1034" t="str">
        <f>'PF calculator'!D11</f>
        <v>Internal Drainage Board</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0</v>
      </c>
      <c r="P28" s="1009"/>
      <c r="Q28" s="1010" t="s">
        <v>102</v>
      </c>
      <c r="R28" s="1010"/>
      <c r="S28" s="1010"/>
      <c r="T28" s="11"/>
    </row>
    <row r="29" spans="1:20"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11"/>
    </row>
    <row r="30" spans="1:20"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12"/>
    </row>
    <row r="31" spans="1:20"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0</v>
      </c>
      <c r="P31" s="1009"/>
      <c r="Q31" s="1005">
        <f>'PF calculator'!Q31</f>
        <v>0</v>
      </c>
      <c r="R31" s="1006"/>
      <c r="S31" s="1007"/>
      <c r="T31" s="12"/>
    </row>
    <row r="32" spans="1:20"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0</v>
      </c>
      <c r="P32" s="1004"/>
      <c r="Q32" s="395"/>
      <c r="R32" s="395"/>
      <c r="S32" s="395"/>
      <c r="T32" s="12"/>
    </row>
    <row r="33" spans="1:20"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140</v>
      </c>
      <c r="L33" s="999"/>
      <c r="M33" s="1000"/>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11"/>
    </row>
    <row r="46" spans="1:20"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85"/>
      <c r="T46" s="12"/>
    </row>
    <row r="47" spans="1:20"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85"/>
      <c r="T47" s="12"/>
    </row>
    <row r="48" spans="1:20"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85"/>
      <c r="T48" s="12"/>
    </row>
    <row r="49" spans="1:20"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0"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0"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11"/>
    </row>
    <row r="52" spans="1:20"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0"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0"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0"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0"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0"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0"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12"/>
    </row>
    <row r="59" spans="1:20"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0"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11"/>
    </row>
    <row r="61" spans="1:20"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85"/>
      <c r="T61" s="11"/>
    </row>
    <row r="62" spans="1:20"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85"/>
      <c r="T62" s="11"/>
    </row>
    <row r="63" spans="1:20"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85"/>
      <c r="T63" s="11"/>
    </row>
    <row r="64" spans="1:20"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t="str">
        <f>'PF calculator'!$D$7&amp;"  Sensitivity Analysis: "&amp;'PF calculator'!$L$98</f>
        <v>Jason Leigh-Griffiths Test PFC  Sensitivity Analysis: SA3: OM3 - Erosion risks lower than assumptions made</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11"/>
    </row>
    <row r="74" spans="1:20" s="1" customFormat="1" ht="18.75" customHeight="1" thickBot="1" x14ac:dyDescent="0.2">
      <c r="A74" s="4"/>
      <c r="B74" s="970" t="s">
        <v>348</v>
      </c>
      <c r="C74" s="970"/>
      <c r="D74" s="970"/>
      <c r="E74" s="971"/>
      <c r="F74" s="436">
        <f>'PF calculator'!F74+('PF calculator'!G74*0.5)</f>
        <v>114.5</v>
      </c>
      <c r="G74" s="436">
        <f>'PF calculator'!G74*0.5</f>
        <v>38.5</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12"/>
    </row>
    <row r="75" spans="1:20" s="1" customFormat="1" ht="18.75" customHeight="1" thickBot="1" x14ac:dyDescent="0.2">
      <c r="A75" s="4"/>
      <c r="B75" s="970" t="s">
        <v>349</v>
      </c>
      <c r="C75" s="970"/>
      <c r="D75" s="970"/>
      <c r="E75" s="971"/>
      <c r="F75" s="436">
        <f>'PF calculator'!F75+('PF calculator'!G75*0.5)</f>
        <v>117.5</v>
      </c>
      <c r="G75" s="436">
        <f>'PF calculator'!G75*0.5</f>
        <v>39.5</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12"/>
    </row>
    <row r="76" spans="1:20" s="1" customFormat="1" ht="18.75" customHeight="1" thickBot="1" x14ac:dyDescent="0.2">
      <c r="A76" s="4"/>
      <c r="B76" s="970" t="s">
        <v>350</v>
      </c>
      <c r="C76" s="970"/>
      <c r="D76" s="970"/>
      <c r="E76" s="971"/>
      <c r="F76" s="436">
        <f>'PF calculator'!F76+('PF calculator'!G76*0.5)</f>
        <v>120.5</v>
      </c>
      <c r="G76" s="436">
        <f>'PF calculator'!G76*0.5</f>
        <v>40.5</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t="s">
        <v>322</v>
      </c>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967" t="s">
        <v>74</v>
      </c>
      <c r="S83" s="967"/>
      <c r="T83" s="11"/>
    </row>
    <row r="84" spans="1:20"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11"/>
    </row>
    <row r="85" spans="1:20"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11"/>
    </row>
    <row r="86" spans="1:20"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11"/>
    </row>
    <row r="87" spans="1:20"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11"/>
    </row>
    <row r="88" spans="1:20"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11"/>
    </row>
    <row r="89" spans="1:20"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11"/>
    </row>
    <row r="90" spans="1:20"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43" t="e">
        <f>IF(E39=0,0,IF(MAX((E39-SUM(D96:E104)),0)&gt;0,E39-SUM(D96:D104),"Ltd by high OM1b,2,3,4 values"))</f>
        <v>#N/A</v>
      </c>
      <c r="E95" s="944"/>
      <c r="F95" s="945">
        <f>'PF calculator'!G95</f>
        <v>6</v>
      </c>
      <c r="G95" s="946"/>
      <c r="H95" s="943" t="e">
        <f>IF(D95="Ltd by high OM1b,2,3,4 values",0,D95*(F95/100))</f>
        <v>#N/A</v>
      </c>
      <c r="I95" s="943"/>
      <c r="J95" s="328"/>
      <c r="K95" s="328"/>
      <c r="L95" s="328"/>
      <c r="M95" s="328"/>
      <c r="N95" s="328"/>
      <c r="O95" s="328"/>
      <c r="P95" s="328"/>
      <c r="Q95" s="328"/>
      <c r="R95" s="328"/>
      <c r="S95" s="328"/>
      <c r="T95" s="12"/>
    </row>
    <row r="96" spans="1:20" s="1" customFormat="1" ht="18.75" customHeight="1" x14ac:dyDescent="0.2">
      <c r="A96" s="4"/>
      <c r="B96" s="431"/>
      <c r="C96" s="432" t="s">
        <v>156</v>
      </c>
      <c r="D96" s="955">
        <f>E41</f>
        <v>13</v>
      </c>
      <c r="E96" s="956"/>
      <c r="F96" s="945">
        <f>'PF calculator'!G96</f>
        <v>20</v>
      </c>
      <c r="G96" s="946"/>
      <c r="H96" s="943">
        <f t="shared" ref="H96:H102" si="0">D96*(F96/100)</f>
        <v>2.6</v>
      </c>
      <c r="I96" s="943"/>
      <c r="J96" s="328"/>
      <c r="K96" s="328"/>
      <c r="L96" s="328"/>
      <c r="M96" s="328"/>
      <c r="N96" s="328"/>
      <c r="O96" s="328"/>
      <c r="P96" s="328"/>
      <c r="Q96" s="328"/>
      <c r="R96" s="328"/>
      <c r="S96" s="328"/>
      <c r="T96" s="12"/>
    </row>
    <row r="97" spans="1:20" s="1" customFormat="1" ht="18.75" customHeight="1" x14ac:dyDescent="0.2">
      <c r="A97" s="4"/>
      <c r="B97" s="1064" t="s">
        <v>87</v>
      </c>
      <c r="C97" s="433" t="s">
        <v>88</v>
      </c>
      <c r="D97" s="943" t="e">
        <f>IF(R61="Ltd by DoB",R46,R46+R61)</f>
        <v>#N/A</v>
      </c>
      <c r="E97" s="944"/>
      <c r="F97" s="945">
        <f>'PF calculator'!G97</f>
        <v>45</v>
      </c>
      <c r="G97" s="946"/>
      <c r="H97" s="943" t="e">
        <f t="shared" si="0"/>
        <v>#N/A</v>
      </c>
      <c r="I97" s="943"/>
      <c r="J97" s="328"/>
      <c r="K97" s="328"/>
      <c r="L97" s="328"/>
      <c r="M97" s="328"/>
      <c r="N97" s="328"/>
      <c r="O97" s="328"/>
      <c r="P97" s="328"/>
      <c r="Q97" s="328"/>
      <c r="R97" s="328"/>
      <c r="S97" s="328"/>
      <c r="T97" s="12"/>
    </row>
    <row r="98" spans="1:20" s="1" customFormat="1" ht="18.75" customHeight="1" x14ac:dyDescent="0.2">
      <c r="A98" s="4"/>
      <c r="B98" s="1064"/>
      <c r="C98" s="433" t="s">
        <v>89</v>
      </c>
      <c r="D98" s="943" t="e">
        <f>IF(R62="Ltd by DoB",R47,R47+R62)</f>
        <v>#N/A</v>
      </c>
      <c r="E98" s="944"/>
      <c r="F98" s="945">
        <f>'PF calculator'!G98</f>
        <v>30</v>
      </c>
      <c r="G98" s="946"/>
      <c r="H98" s="943" t="e">
        <f t="shared" si="0"/>
        <v>#N/A</v>
      </c>
      <c r="I98" s="943"/>
      <c r="J98" s="328"/>
      <c r="K98" s="328"/>
      <c r="L98" s="328"/>
      <c r="M98" s="328"/>
      <c r="N98" s="328"/>
      <c r="O98" s="328"/>
      <c r="P98" s="328"/>
      <c r="Q98" s="328"/>
      <c r="R98" s="328"/>
      <c r="S98" s="328"/>
      <c r="T98" s="12"/>
    </row>
    <row r="99" spans="1:20" s="1" customFormat="1" ht="18.75" customHeight="1" x14ac:dyDescent="0.2">
      <c r="A99" s="4"/>
      <c r="B99" s="1064"/>
      <c r="C99" s="433" t="s">
        <v>90</v>
      </c>
      <c r="D99" s="943" t="e">
        <f>IF(R63="Ltd by DoB",R48,R48+R63)</f>
        <v>#N/A</v>
      </c>
      <c r="E99" s="944"/>
      <c r="F99" s="945">
        <f>'PF calculator'!G99</f>
        <v>20</v>
      </c>
      <c r="G99" s="946"/>
      <c r="H99" s="943" t="e">
        <f t="shared" si="0"/>
        <v>#N/A</v>
      </c>
      <c r="I99" s="943"/>
      <c r="J99" s="328"/>
      <c r="K99" s="328"/>
      <c r="L99" s="328"/>
      <c r="M99" s="328"/>
      <c r="N99" s="328"/>
      <c r="O99" s="328"/>
      <c r="P99" s="328"/>
      <c r="Q99" s="328"/>
      <c r="R99" s="328"/>
      <c r="S99" s="328"/>
      <c r="T99" s="12"/>
    </row>
    <row r="100" spans="1:20" s="1" customFormat="1" ht="18.75" customHeight="1" x14ac:dyDescent="0.2">
      <c r="A100" s="4"/>
      <c r="B100" s="1064" t="s">
        <v>91</v>
      </c>
      <c r="C100" s="433" t="s">
        <v>88</v>
      </c>
      <c r="D100" s="943" t="e">
        <f>R74</f>
        <v>#N/A</v>
      </c>
      <c r="E100" s="944"/>
      <c r="F100" s="945">
        <f>'PF calculator'!G100</f>
        <v>45</v>
      </c>
      <c r="G100" s="946"/>
      <c r="H100" s="943" t="e">
        <f t="shared" si="0"/>
        <v>#N/A</v>
      </c>
      <c r="I100" s="943"/>
      <c r="J100" s="328"/>
      <c r="K100" s="328"/>
      <c r="L100" s="328"/>
      <c r="M100" s="328"/>
      <c r="N100" s="328"/>
      <c r="O100" s="328"/>
      <c r="P100" s="328"/>
      <c r="Q100" s="328"/>
      <c r="R100" s="328"/>
      <c r="S100" s="328"/>
      <c r="T100" s="12"/>
    </row>
    <row r="101" spans="1:20" s="1" customFormat="1" ht="18.75" customHeight="1" x14ac:dyDescent="0.2">
      <c r="A101" s="4"/>
      <c r="B101" s="1064"/>
      <c r="C101" s="433" t="s">
        <v>89</v>
      </c>
      <c r="D101" s="943" t="e">
        <f>R75</f>
        <v>#N/A</v>
      </c>
      <c r="E101" s="944"/>
      <c r="F101" s="945">
        <f>'PF calculator'!G101</f>
        <v>30</v>
      </c>
      <c r="G101" s="946"/>
      <c r="H101" s="943" t="e">
        <f t="shared" si="0"/>
        <v>#N/A</v>
      </c>
      <c r="I101" s="943"/>
      <c r="J101" s="328"/>
      <c r="K101" s="328"/>
      <c r="L101" s="328"/>
      <c r="M101" s="328"/>
      <c r="N101" s="328"/>
      <c r="O101" s="328"/>
      <c r="P101" s="328"/>
      <c r="Q101" s="328"/>
      <c r="R101" s="328"/>
      <c r="S101" s="328"/>
      <c r="T101" s="12"/>
    </row>
    <row r="102" spans="1:20" s="1" customFormat="1" ht="18.75" customHeight="1" x14ac:dyDescent="0.2">
      <c r="A102" s="4"/>
      <c r="B102" s="1064"/>
      <c r="C102" s="433" t="s">
        <v>90</v>
      </c>
      <c r="D102" s="943" t="e">
        <f>R76</f>
        <v>#N/A</v>
      </c>
      <c r="E102" s="944"/>
      <c r="F102" s="945">
        <f>'PF calculator'!G102</f>
        <v>20</v>
      </c>
      <c r="G102" s="946"/>
      <c r="H102" s="943" t="e">
        <f t="shared" si="0"/>
        <v>#N/A</v>
      </c>
      <c r="I102" s="943"/>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1063" t="e">
        <f>IF(SUM(L83:M90)&lt;0,"Ltd by negative OM4 values",SUM(L83:M90))</f>
        <v>#N/A</v>
      </c>
      <c r="E103" s="1063"/>
      <c r="F103" s="945">
        <f>'PF calculator'!G103</f>
        <v>20</v>
      </c>
      <c r="G103" s="946"/>
      <c r="H103" s="943" t="e">
        <f>IF(D103="Ltd by negative OM4 values",0,D103*(F103/100))</f>
        <v>#N/A</v>
      </c>
      <c r="I103" s="943"/>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t="e">
        <f>SUM(R84:S86)</f>
        <v>#N/A</v>
      </c>
      <c r="E104" s="950"/>
      <c r="F104" s="945">
        <f>'PF calculator'!G104</f>
        <v>20</v>
      </c>
      <c r="G104" s="946"/>
      <c r="H104" s="943" t="e">
        <f>D104*(F104/100)</f>
        <v>#N/A</v>
      </c>
      <c r="I104" s="943"/>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43" t="e">
        <f>SUM(D95:E104)</f>
        <v>#N/A</v>
      </c>
      <c r="E105" s="943"/>
      <c r="F105" s="1059" t="str">
        <f>'PF calculator'!F105:G105</f>
        <v>pv max. eligible GiA</v>
      </c>
      <c r="G105" s="1060"/>
      <c r="H105" s="1061" t="e">
        <f>SUM(H95:I104)</f>
        <v>#N/A</v>
      </c>
      <c r="I105" s="1062"/>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84:C84"/>
    <mergeCell ref="B85:C85"/>
    <mergeCell ref="B79:S79"/>
    <mergeCell ref="D81:F81"/>
    <mergeCell ref="B82:C82"/>
    <mergeCell ref="B83:C83"/>
    <mergeCell ref="R83:S83"/>
    <mergeCell ref="R84:S84"/>
    <mergeCell ref="R85:S85"/>
    <mergeCell ref="L82:M82"/>
    <mergeCell ref="L83:M83"/>
    <mergeCell ref="L84:M84"/>
    <mergeCell ref="N84:O84"/>
    <mergeCell ref="L85:M85"/>
    <mergeCell ref="G81:K81"/>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L86:M86"/>
    <mergeCell ref="L87:M87"/>
    <mergeCell ref="L88:M88"/>
    <mergeCell ref="L89:M89"/>
    <mergeCell ref="G83:G90"/>
    <mergeCell ref="K83:K90"/>
    <mergeCell ref="N85:O85"/>
    <mergeCell ref="N86:O87"/>
    <mergeCell ref="D97:E97"/>
    <mergeCell ref="F97:G97"/>
    <mergeCell ref="H97:I97"/>
    <mergeCell ref="D98:E98"/>
    <mergeCell ref="F98:G98"/>
    <mergeCell ref="H98:I98"/>
    <mergeCell ref="D99:E99"/>
    <mergeCell ref="F99:G99"/>
    <mergeCell ref="H99:I99"/>
    <mergeCell ref="L90:M90"/>
    <mergeCell ref="B105:C105"/>
    <mergeCell ref="D105:E105"/>
    <mergeCell ref="F105:G105"/>
    <mergeCell ref="H105:I105"/>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B97:B99"/>
  </mergeCells>
  <conditionalFormatting sqref="O32:P32">
    <cfRule type="expression" dxfId="24" priority="2">
      <formula>$D$11="Water Company"</formula>
    </cfRule>
    <cfRule type="expression" dxfId="23" priority="3">
      <formula>$D$11="Highways Authority"</formula>
    </cfRule>
    <cfRule type="expression" dxfId="22" priority="4">
      <formula>$D$11="Internal Drainage Board"</formula>
    </cfRule>
    <cfRule type="expression" dxfId="21" priority="5">
      <formula>$D$11="Local Authority"</formula>
    </cfRule>
  </conditionalFormatting>
  <conditionalFormatting sqref="K28:L32">
    <cfRule type="expression" dxfId="20" priority="1">
      <formula>$Q$22="Insufficient contribution to appraisal costs"</formula>
    </cfRule>
  </conditionalFormatting>
  <pageMargins left="0.7" right="0.7" top="0.75" bottom="0.75" header="0.3" footer="0.3"/>
  <pageSetup paperSize="9" scale="3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calculator'!$L$99</f>
        <v>Sensitivity Analysis: SA4: Duration of benefits - Option choice is conservative</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440"/>
      <c r="U10" s="77"/>
      <c r="V10" s="77"/>
    </row>
    <row r="11" spans="1:22" s="1" customFormat="1" ht="18.75" customHeight="1" thickBot="1" x14ac:dyDescent="0.25">
      <c r="A11" s="4"/>
      <c r="B11" s="970" t="s">
        <v>333</v>
      </c>
      <c r="C11" s="988"/>
      <c r="D11" s="1034" t="str">
        <f>'PF calculator'!D11</f>
        <v>Internal Drainage Board</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439"/>
    </row>
    <row r="23" spans="1:22"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0</v>
      </c>
      <c r="P28" s="1009"/>
      <c r="Q28" s="1010" t="s">
        <v>102</v>
      </c>
      <c r="R28" s="1010"/>
      <c r="S28" s="1010"/>
      <c r="T28" s="439"/>
      <c r="U28" s="77"/>
      <c r="V28" s="77"/>
    </row>
    <row r="29" spans="1:22"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0</v>
      </c>
      <c r="P31" s="1009"/>
      <c r="Q31" s="1005">
        <f>'PF calculator'!Q31</f>
        <v>0</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0</v>
      </c>
      <c r="P32" s="1004"/>
      <c r="Q32" s="395"/>
      <c r="R32" s="395"/>
      <c r="S32" s="395"/>
      <c r="T32" s="440"/>
      <c r="U32" s="77"/>
      <c r="V32" s="77"/>
    </row>
    <row r="33" spans="1:22"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140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1070">
        <f>IF('PF calculator'!E38*1.25&gt;100,100,(INT('PF calculator'!E38*1.25)))</f>
        <v>100</v>
      </c>
      <c r="F38" s="1071"/>
      <c r="G38" s="441"/>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f>-(SUMPRODUCT($M$46:$P$46,$M$52:$P$52))*(VLOOKUP($E$38,'Policy assumptions and formulae'!A10:D109,4,FALSE))</f>
        <v>0</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f>-(SUMPRODUCT($M$47:$P$47,$M$52:$P$52))*(VLOOKUP($E$38,'Policy assumptions and formulae'!A10:D109,4,FALSE))</f>
        <v>0</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f>-(SUMPRODUCT($M$48:$P$48,$M$52:$P$52))*(VLOOKUP($E$38,'Policy assumptions and formulae'!A10:D109,4,FALSE))</f>
        <v>0</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f>IF($E$58+$E$38&lt;2041,"Ltd by DoB",(-SUMPRODUCT($M$61:$P$61,$M$67:$P$67)*VLOOKUP($E$38,'Policy assumptions and formulae'!$A$10:$D$109,4,FALSE))-(-SUMPRODUCT($M$61:$P$61,$M$67:$P$67)*VLOOKUP((2040-$E$58),'Policy assumptions and formulae'!$A$10:$D$109,4,FALSE)))</f>
        <v>0</v>
      </c>
      <c r="S61" s="985"/>
      <c r="T61" s="439"/>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f>IF($E$58+$E$38&lt;2041,"Ltd by DoB",(-SUMPRODUCT($M$62:$P$62,$M$67:$P$67)*VLOOKUP($E$38,'Policy assumptions and formulae'!$A$10:$D$109,4,FALSE))-(-SUMPRODUCT($M$62:$P$62,$M$67:$P$67)*VLOOKUP((2040-$E$58),'Policy assumptions and formulae'!$A$10:$D$109,4,FALSE)))</f>
        <v>0</v>
      </c>
      <c r="S62" s="985"/>
      <c r="T62" s="439"/>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f>IF($E$58+$E$38&lt;2041,"Ltd by DoB",(-SUMPRODUCT($M$63:$P$63,$M$67:$P$67)*VLOOKUP($E$38,'Policy assumptions and formulae'!$A$10:$D$109,4,FALSE))-(-SUMPRODUCT($M$63:$P$63,$M$67:$P$67)*VLOOKUP((2040-$E$58),'Policy assumptions and formulae'!$A$10:$D$109,4,FALSE)))</f>
        <v>0</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10902781.569693521</v>
      </c>
      <c r="S74" s="975"/>
      <c r="T74" s="440"/>
      <c r="U74" s="77"/>
      <c r="V74" s="77"/>
    </row>
    <row r="75" spans="1:22"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11187011.177006638</v>
      </c>
      <c r="S75" s="975"/>
      <c r="T75" s="440"/>
      <c r="U75" s="77"/>
      <c r="V75" s="77"/>
    </row>
    <row r="76" spans="1:22"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11471240.784319753</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1069" t="s">
        <v>74</v>
      </c>
      <c r="M82" s="1069"/>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83</v>
      </c>
      <c r="F83" s="426">
        <f>'PF calculator'!F83</f>
        <v>84</v>
      </c>
      <c r="G83" s="1068"/>
      <c r="H83" s="426">
        <f>'PF calculator'!H83</f>
        <v>106</v>
      </c>
      <c r="I83" s="426">
        <f>'PF calculator'!I83</f>
        <v>107</v>
      </c>
      <c r="J83" s="426">
        <f>'PF calculator'!J83</f>
        <v>108</v>
      </c>
      <c r="K83" s="962" t="str">
        <f>IF(SUM(D83:F90)&lt;&gt;SUM(H83:J90),"Error in net change habitat","")</f>
        <v>Error in net change habitat</v>
      </c>
      <c r="L83" s="1066">
        <f>(((H83-D83)*'Policy assumptions and formulae'!AR12)+((I83-E83)*'Policy assumptions and formulae'!AS12)+((J83-F83)*'Policy assumptions and formulae'!AT12))*VLOOKUP($E$38,'Policy assumptions and formulae'!$A$10:$D$109,4,FALSE)</f>
        <v>13789706.66310136</v>
      </c>
      <c r="M83" s="1067"/>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86</v>
      </c>
      <c r="F84" s="426">
        <f>'PF calculator'!F84</f>
        <v>87</v>
      </c>
      <c r="G84" s="1068"/>
      <c r="H84" s="426">
        <f>'PF calculator'!H84</f>
        <v>109</v>
      </c>
      <c r="I84" s="426">
        <f>'PF calculator'!I84</f>
        <v>110</v>
      </c>
      <c r="J84" s="426">
        <f>'PF calculator'!J84</f>
        <v>111</v>
      </c>
      <c r="K84" s="962"/>
      <c r="L84" s="1066">
        <f>(((H84-D84)*'Policy assumptions and formulae'!AR13)+((I84-E84)*'Policy assumptions and formulae'!AS13)+((J84-F84)*'Policy assumptions and formulae'!AT13))*VLOOKUP($E$38,'Policy assumptions and formulae'!$A$10:$D$109,4,FALSE)</f>
        <v>7876760.7186841965</v>
      </c>
      <c r="M84" s="1067"/>
      <c r="N84" s="968" t="s">
        <v>380</v>
      </c>
      <c r="O84" s="969"/>
      <c r="P84" s="427">
        <f>'PF calculator'!P84</f>
        <v>130</v>
      </c>
      <c r="Q84" s="328"/>
      <c r="R84" s="953">
        <f>(P84*'Policy assumptions and formulae'!AT23)*VLOOKUP($E$38,'Policy assumptions and formulae'!$A$10:$D$109,4,FALSE)</f>
        <v>51245531.518282078</v>
      </c>
      <c r="S84" s="954"/>
      <c r="T84" s="439"/>
    </row>
    <row r="85" spans="1:22" ht="18.75" customHeight="1" thickBot="1" x14ac:dyDescent="0.25">
      <c r="A85" s="5"/>
      <c r="B85" s="957" t="s">
        <v>55</v>
      </c>
      <c r="C85" s="958"/>
      <c r="D85" s="426">
        <f>'PF calculator'!D85</f>
        <v>88</v>
      </c>
      <c r="E85" s="426">
        <f>'PF calculator'!E85</f>
        <v>89</v>
      </c>
      <c r="F85" s="426">
        <f>'PF calculator'!F85</f>
        <v>90</v>
      </c>
      <c r="G85" s="1068"/>
      <c r="H85" s="426">
        <f>'PF calculator'!H85</f>
        <v>112</v>
      </c>
      <c r="I85" s="426">
        <f>'PF calculator'!I85</f>
        <v>113</v>
      </c>
      <c r="J85" s="426">
        <f>'PF calculator'!J85</f>
        <v>114</v>
      </c>
      <c r="K85" s="962"/>
      <c r="L85" s="1066">
        <f>(((H85-D85)*'Policy assumptions and formulae'!AR14)+((I85-E85)*'Policy assumptions and formulae'!AS14)+((J85-F85)*'Policy assumptions and formulae'!AT14))*VLOOKUP($E$38,'Policy assumptions and formulae'!$A$10:$D$109,4,FALSE)</f>
        <v>7876760.7186841965</v>
      </c>
      <c r="M85" s="1067"/>
      <c r="N85" s="968" t="s">
        <v>381</v>
      </c>
      <c r="O85" s="969"/>
      <c r="P85" s="427">
        <f>'PF calculator'!P85</f>
        <v>131</v>
      </c>
      <c r="Q85" s="328"/>
      <c r="R85" s="953">
        <f>(P85*'Policy assumptions and formulae'!AT24)*VLOOKUP($E$38,'Policy assumptions and formulae'!$A$10:$D$109,4,FALSE)</f>
        <v>25819863.95728828</v>
      </c>
      <c r="S85" s="954"/>
      <c r="T85" s="439"/>
    </row>
    <row r="86" spans="1:22" ht="18.75" customHeight="1" thickBot="1" x14ac:dyDescent="0.25">
      <c r="A86" s="5"/>
      <c r="B86" s="957" t="s">
        <v>107</v>
      </c>
      <c r="C86" s="958"/>
      <c r="D86" s="426">
        <f>'PF calculator'!D86</f>
        <v>91</v>
      </c>
      <c r="E86" s="426">
        <f>'PF calculator'!E86</f>
        <v>92</v>
      </c>
      <c r="F86" s="426">
        <f>'PF calculator'!F86</f>
        <v>93</v>
      </c>
      <c r="G86" s="1068"/>
      <c r="H86" s="426">
        <f>'PF calculator'!H86</f>
        <v>115</v>
      </c>
      <c r="I86" s="426">
        <f>'PF calculator'!I86</f>
        <v>116</v>
      </c>
      <c r="J86" s="426">
        <f>'PF calculator'!J86</f>
        <v>117</v>
      </c>
      <c r="K86" s="962"/>
      <c r="L86" s="1066">
        <f>(((H86-D86)*'Policy assumptions and formulae'!AR15)+((I86-E86)*'Policy assumptions and formulae'!AS15)+((J86-F86)*'Policy assumptions and formulae'!AT15))*VLOOKUP($E$38,'Policy assumptions and formulae'!$A$10:$D$109,4,FALSE)</f>
        <v>4386330.8096767319</v>
      </c>
      <c r="M86" s="1067"/>
      <c r="N86" s="963" t="s">
        <v>352</v>
      </c>
      <c r="O86" s="964"/>
      <c r="P86" s="427">
        <f>'PF calculator'!P86</f>
        <v>132</v>
      </c>
      <c r="Q86" s="328"/>
      <c r="R86" s="953">
        <f>(P86*'Policy assumptions and formulae'!AT25)*VLOOKUP($E$38,'Policy assumptions and formulae'!$A$10:$D$109,4,FALSE)</f>
        <v>13008481.077717759</v>
      </c>
      <c r="S86" s="954"/>
      <c r="T86" s="439"/>
    </row>
    <row r="87" spans="1:22" ht="18.75" customHeight="1" thickBot="1" x14ac:dyDescent="0.25">
      <c r="A87" s="5"/>
      <c r="B87" s="957" t="s">
        <v>108</v>
      </c>
      <c r="C87" s="958"/>
      <c r="D87" s="426">
        <f>'PF calculator'!D87</f>
        <v>94</v>
      </c>
      <c r="E87" s="426">
        <f>'PF calculator'!E87</f>
        <v>95</v>
      </c>
      <c r="F87" s="426">
        <f>'PF calculator'!F87</f>
        <v>96</v>
      </c>
      <c r="G87" s="1068"/>
      <c r="H87" s="426">
        <f>'PF calculator'!H87</f>
        <v>118</v>
      </c>
      <c r="I87" s="426">
        <f>'PF calculator'!I87</f>
        <v>119</v>
      </c>
      <c r="J87" s="426">
        <f>'PF calculator'!J87</f>
        <v>120</v>
      </c>
      <c r="K87" s="962"/>
      <c r="L87" s="1066">
        <f>(((H87-D87)*'Policy assumptions and formulae'!AR16)+((I87-E87)*'Policy assumptions and formulae'!AS16)+((J87-F87)*'Policy assumptions and formulae'!AT16))*VLOOKUP($E$38,'Policy assumptions and formulae'!$A$10:$D$109,4,FALSE)</f>
        <v>473035.67555337306</v>
      </c>
      <c r="M87" s="1067"/>
      <c r="N87" s="963"/>
      <c r="O87" s="964"/>
      <c r="P87" s="329"/>
      <c r="Q87" s="328"/>
      <c r="R87" s="330"/>
      <c r="S87" s="330"/>
      <c r="T87" s="439"/>
    </row>
    <row r="88" spans="1:22" ht="18.75" customHeight="1" thickBot="1" x14ac:dyDescent="0.25">
      <c r="A88" s="5"/>
      <c r="B88" s="957" t="s">
        <v>329</v>
      </c>
      <c r="C88" s="958"/>
      <c r="D88" s="426">
        <f>'PF calculator'!D88</f>
        <v>97</v>
      </c>
      <c r="E88" s="426">
        <f>'PF calculator'!E88</f>
        <v>98</v>
      </c>
      <c r="F88" s="426">
        <f>'PF calculator'!F88</f>
        <v>99</v>
      </c>
      <c r="G88" s="1068"/>
      <c r="H88" s="426">
        <f>'PF calculator'!H88</f>
        <v>121</v>
      </c>
      <c r="I88" s="426">
        <f>'PF calculator'!I88</f>
        <v>122</v>
      </c>
      <c r="J88" s="426">
        <f>'PF calculator'!J88</f>
        <v>123</v>
      </c>
      <c r="K88" s="962"/>
      <c r="L88" s="1066">
        <f>(((H88-D88)*'Policy assumptions and formulae'!AR17)+((I88-E88)*'Policy assumptions and formulae'!AS17)+((J88-F88)*'Policy assumptions and formulae'!AT17))*VLOOKUP($E$38,'Policy assumptions and formulae'!$A$10:$D$109,4,FALSE)</f>
        <v>3017394.2334540919</v>
      </c>
      <c r="M88" s="1067"/>
      <c r="N88" s="391"/>
      <c r="O88" s="391"/>
      <c r="P88" s="391"/>
      <c r="Q88" s="391"/>
      <c r="R88" s="391"/>
      <c r="S88" s="391"/>
      <c r="T88" s="439"/>
    </row>
    <row r="89" spans="1:22" ht="18.75" customHeight="1" thickBot="1" x14ac:dyDescent="0.25">
      <c r="A89" s="5"/>
      <c r="B89" s="957" t="s">
        <v>109</v>
      </c>
      <c r="C89" s="958"/>
      <c r="D89" s="426">
        <f>'PF calculator'!D89</f>
        <v>100</v>
      </c>
      <c r="E89" s="426">
        <f>'PF calculator'!E89</f>
        <v>101</v>
      </c>
      <c r="F89" s="426">
        <f>'PF calculator'!F89</f>
        <v>102</v>
      </c>
      <c r="G89" s="1068"/>
      <c r="H89" s="426">
        <f>'PF calculator'!H89</f>
        <v>124</v>
      </c>
      <c r="I89" s="426">
        <f>'PF calculator'!I89</f>
        <v>125</v>
      </c>
      <c r="J89" s="426">
        <f>'PF calculator'!J89</f>
        <v>126</v>
      </c>
      <c r="K89" s="962"/>
      <c r="L89" s="1066">
        <f>(((H89-D89)*'Policy assumptions and formulae'!AR18)+((I89-E89)*'Policy assumptions and formulae'!AS18)+((J89-F89)*'Policy assumptions and formulae'!AT18))*VLOOKUP($E$38,'Policy assumptions and formulae'!$A$10:$D$109,4,FALSE)</f>
        <v>4386330.8096767319</v>
      </c>
      <c r="M89" s="1067"/>
      <c r="N89" s="428"/>
      <c r="O89" s="428"/>
      <c r="P89" s="331"/>
      <c r="Q89" s="328"/>
      <c r="R89" s="332"/>
      <c r="S89" s="332"/>
      <c r="T89" s="439"/>
    </row>
    <row r="90" spans="1:22" ht="18.75" customHeight="1" thickBot="1" x14ac:dyDescent="0.25">
      <c r="A90" s="5"/>
      <c r="B90" s="957" t="s">
        <v>110</v>
      </c>
      <c r="C90" s="958"/>
      <c r="D90" s="426">
        <f>'PF calculator'!D90</f>
        <v>103</v>
      </c>
      <c r="E90" s="426">
        <f>'PF calculator'!E90</f>
        <v>104</v>
      </c>
      <c r="F90" s="426">
        <f>'PF calculator'!F90</f>
        <v>105</v>
      </c>
      <c r="G90" s="1068"/>
      <c r="H90" s="426">
        <f>'PF calculator'!H90</f>
        <v>127</v>
      </c>
      <c r="I90" s="426">
        <f>'PF calculator'!I90</f>
        <v>128</v>
      </c>
      <c r="J90" s="426">
        <f>'PF calculator'!J90</f>
        <v>129</v>
      </c>
      <c r="K90" s="962"/>
      <c r="L90" s="1066">
        <f>(((H90-D90)*'Policy assumptions and formulae'!AR19)+((I90-E90)*'Policy assumptions and formulae'!AS19)+((J90-F90)*'Policy assumptions and formulae'!AT19))*VLOOKUP($E$38,'Policy assumptions and formulae'!$A$10:$D$109,4,FALSE)</f>
        <v>100340.90087495792</v>
      </c>
      <c r="M90" s="1067"/>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str">
        <f>IF(E39=0,0,IF(MAX((E39-SUM(D96:E104)),0)&gt;0,E39-SUM(D96:D104),"Ltd by high OM1b,2,3,4 values"))</f>
        <v>Ltd by high OM1b,2,3,4 values</v>
      </c>
      <c r="E95" s="944"/>
      <c r="F95" s="945">
        <f>'PF calculator'!G95</f>
        <v>6</v>
      </c>
      <c r="G95" s="946"/>
      <c r="H95" s="943">
        <f>IF(D95="Ltd by high OM1b,2,3,4 values",0,D95*(F95/100))</f>
        <v>0</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13</v>
      </c>
      <c r="E96" s="956"/>
      <c r="F96" s="945">
        <f>'PF calculator'!G96</f>
        <v>20</v>
      </c>
      <c r="G96" s="946"/>
      <c r="H96" s="943">
        <f t="shared" ref="H96:H102" si="0">D96*(F96/100)</f>
        <v>2.6</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0</v>
      </c>
      <c r="E97" s="944"/>
      <c r="F97" s="945">
        <f>'PF calculator'!G97</f>
        <v>45</v>
      </c>
      <c r="G97" s="946"/>
      <c r="H97" s="943">
        <f t="shared" si="0"/>
        <v>0</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0</v>
      </c>
      <c r="E98" s="944"/>
      <c r="F98" s="945">
        <f>'PF calculator'!G98</f>
        <v>30</v>
      </c>
      <c r="G98" s="946"/>
      <c r="H98" s="943">
        <f t="shared" si="0"/>
        <v>0</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0</v>
      </c>
      <c r="E99" s="944"/>
      <c r="F99" s="945">
        <f>'PF calculator'!G99</f>
        <v>20</v>
      </c>
      <c r="G99" s="946"/>
      <c r="H99" s="943">
        <f t="shared" si="0"/>
        <v>0</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10902781.569693521</v>
      </c>
      <c r="E100" s="944"/>
      <c r="F100" s="945">
        <f>'PF calculator'!G100</f>
        <v>45</v>
      </c>
      <c r="G100" s="946"/>
      <c r="H100" s="943">
        <f t="shared" si="0"/>
        <v>4906251.7063620845</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11187011.177006638</v>
      </c>
      <c r="E101" s="944"/>
      <c r="F101" s="945">
        <f>'PF calculator'!G101</f>
        <v>30</v>
      </c>
      <c r="G101" s="946"/>
      <c r="H101" s="943">
        <f t="shared" si="0"/>
        <v>3356103.3531019911</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11471240.784319753</v>
      </c>
      <c r="E102" s="944"/>
      <c r="F102" s="945">
        <f>'PF calculator'!G102</f>
        <v>20</v>
      </c>
      <c r="G102" s="946"/>
      <c r="H102" s="943">
        <f t="shared" si="0"/>
        <v>2294248.1568639507</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41906660.529705636</v>
      </c>
      <c r="E103" s="1063"/>
      <c r="F103" s="945">
        <f>'PF calculator'!G103</f>
        <v>20</v>
      </c>
      <c r="G103" s="946"/>
      <c r="H103" s="943">
        <f>IF(D103="Ltd by negative OM4 values",0,D103*(F103/100))</f>
        <v>8381332.105941128</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90073876.553288102</v>
      </c>
      <c r="E104" s="950"/>
      <c r="F104" s="945">
        <f>'PF calculator'!G104</f>
        <v>20</v>
      </c>
      <c r="G104" s="946"/>
      <c r="H104" s="943">
        <f>D104*(F104/100)</f>
        <v>18014775.31065762</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165541583.61401364</v>
      </c>
      <c r="E105" s="943"/>
      <c r="F105" s="1059" t="str">
        <f>'PF calculator'!F105:G105</f>
        <v>pv max. eligible GiA</v>
      </c>
      <c r="G105" s="1060"/>
      <c r="H105" s="1061">
        <f>SUM(H95:I104)</f>
        <v>36952713.232926771</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19" priority="2">
      <formula>$D$11="Water Company"</formula>
    </cfRule>
    <cfRule type="expression" dxfId="18" priority="3">
      <formula>$D$11="Highways Authority"</formula>
    </cfRule>
    <cfRule type="expression" dxfId="17" priority="4">
      <formula>$D$11="Internal Drainage Board"</formula>
    </cfRule>
    <cfRule type="expression" dxfId="16" priority="5">
      <formula>$D$11="Local Authority"</formula>
    </cfRule>
  </conditionalFormatting>
  <conditionalFormatting sqref="K28:L32">
    <cfRule type="expression" dxfId="15" priority="1">
      <formula>$Q$22="Insufficient contribution to appraisal costs"</formula>
    </cfRule>
  </conditionalFormatting>
  <pageMargins left="0.7" right="0.7" top="0.75" bottom="0.75" header="0.3" footer="0.3"/>
  <pageSetup paperSize="9" scale="38"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Guidance and version</vt:lpstr>
      <vt:lpstr>PF calculator</vt:lpstr>
      <vt:lpstr>Economic summary</vt:lpstr>
      <vt:lpstr>Policy assumptions and formulae</vt:lpstr>
      <vt:lpstr>pv calculator</vt:lpstr>
      <vt:lpstr>SA1</vt:lpstr>
      <vt:lpstr>SA2</vt:lpstr>
      <vt:lpstr>SA3</vt:lpstr>
      <vt:lpstr>SA4</vt:lpstr>
      <vt:lpstr>SA5</vt:lpstr>
      <vt:lpstr>SA6</vt:lpstr>
      <vt:lpstr>SA7</vt:lpstr>
      <vt:lpstr>'Economic summary'!Print_Area</vt:lpstr>
      <vt:lpstr>'Guidance and version'!Print_Area</vt:lpstr>
      <vt:lpstr>'PF calculator'!Print_Area</vt:lpstr>
      <vt:lpstr>'pv calculator'!Print_Area</vt:lpstr>
      <vt:lpstr>'SA1'!Print_Area</vt:lpstr>
      <vt:lpstr>'SA2'!Print_Area</vt:lpstr>
      <vt:lpstr>Strategic_Approach</vt:lpstr>
    </vt:vector>
  </TitlesOfParts>
  <Company>Environment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FCERM Partnership Funding Calculator v9</dc:title>
  <dc:subject>Controlled content: Excel template</dc:subject>
  <dc:creator>Martin Smalls</dc:creator>
  <cp:keywords/>
  <dc:description>Version 1
Issued 05/11/2018</dc:description>
  <cp:lastModifiedBy>Howard Davis</cp:lastModifiedBy>
  <cp:lastPrinted>2020-02-26T15:01:38Z</cp:lastPrinted>
  <dcterms:created xsi:type="dcterms:W3CDTF">2018-05-30T15:47:53Z</dcterms:created>
  <dcterms:modified xsi:type="dcterms:W3CDTF">2020-03-12T13:05:17Z</dcterms:modified>
</cp:coreProperties>
</file>