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8_{F4FA3E6E-D284-404F-9ECB-6D728F4FF5A6}" xr6:coauthVersionLast="45" xr6:coauthVersionMax="45" xr10:uidLastSave="{00000000-0000-0000-0000-000000000000}"/>
  <workbookProtection workbookPassword="B0C5" lockStructure="1"/>
  <bookViews>
    <workbookView xWindow="3700" yWindow="460" windowWidth="33600" windowHeight="1946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56" i="5" l="1"/>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O76" i="8"/>
  <c r="O76" i="20"/>
  <c r="O76" i="17"/>
  <c r="O76" i="19"/>
  <c r="O76" i="18"/>
  <c r="O76" i="10"/>
  <c r="R46" i="18"/>
  <c r="R47" i="18"/>
  <c r="R48" i="18"/>
  <c r="R47" i="10"/>
  <c r="R48" i="10"/>
  <c r="R46" i="10"/>
  <c r="R46" i="19"/>
  <c r="R47" i="19"/>
  <c r="R48" i="19"/>
  <c r="R47" i="8"/>
  <c r="R46" i="8"/>
  <c r="R48" i="8"/>
  <c r="R46" i="17"/>
  <c r="R48" i="17"/>
  <c r="R47" i="17"/>
  <c r="AM28" i="4"/>
  <c r="D99" i="20" l="1"/>
  <c r="D98" i="10"/>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<sst xmlns="http://schemas.openxmlformats.org/spreadsheetml/2006/main" count="1719" uniqueCount="444">
  <si>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</si>
  <si>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</si>
  <si>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</si>
  <si>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</si>
  <si>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</si>
  <si>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</si>
  <si>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</si>
  <si>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</si>
  <si>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</si>
  <si>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</si>
  <si>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</si>
  <si>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</si>
  <si>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</si>
  <si>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</si>
  <si>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</si>
  <si>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</si>
  <si>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</si>
  <si>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</si>
  <si>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</si>
  <si>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</si>
  <si>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</si>
  <si>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</si>
  <si>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</si>
  <si>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</si>
  <si>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</si>
  <si>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</si>
  <si>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</si>
  <si>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</si>
  <si>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</si>
  <si>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</si>
  <si>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</si>
  <si>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</si>
  <si>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</si>
  <si>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</si>
  <si>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</si>
  <si>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</si>
  <si>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</si>
  <si>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</si>
  <si>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</si>
  <si>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</si>
  <si>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</si>
  <si>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</si>
  <si>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</si>
  <si>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</si>
  <si>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</si>
  <si>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</si>
  <si>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</si>
  <si>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</si>
  <si>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</si>
  <si>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</si>
  <si>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</si>
  <si>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</si>
  <si>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</si>
  <si>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</si>
  <si>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</si>
  <si>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</si>
  <si>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</si>
  <si>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</si>
  <si>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</si>
  <si>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</si>
  <si>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</si>
  <si>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</si>
  <si>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</si>
  <si>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</si>
  <si>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</si>
  <si>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</si>
  <si>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</si>
  <si>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</si>
  <si>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</si>
  <si>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</si>
  <si>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</si>
  <si>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</si>
  <si>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</si>
  <si>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</si>
  <si>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</si>
  <si>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</si>
  <si>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</si>
  <si>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</si>
  <si>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</si>
  <si>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</si>
  <si>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</si>
  <si>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</si>
  <si>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</si>
  <si>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</si>
  <si>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</si>
  <si>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</si>
  <si>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</si>
  <si>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</si>
  <si>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</si>
  <si>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</si>
  <si>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</si>
  <si>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</si>
  <si>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</si>
  <si>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</si>
  <si>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</si>
  <si>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</si>
  <si>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</si>
  <si>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</si>
  <si>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</si>
  <si>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</si>
  <si>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</si>
  <si>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</si>
  <si>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</si>
  <si>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</si>
  <si>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</si>
  <si>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</si>
  <si>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</si>
  <si>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</si>
  <si>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</si>
  <si>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</si>
  <si>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</si>
  <si>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</si>
  <si>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</si>
  <si>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</si>
  <si>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</si>
  <si>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</si>
  <si>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</si>
  <si>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</si>
  <si>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</si>
  <si>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</si>
  <si>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</si>
  <si>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</si>
  <si>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</si>
  <si>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</si>
  <si>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</si>
  <si>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</si>
  <si>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</si>
  <si>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</si>
  <si>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</si>
  <si>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</si>
  <si>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</si>
  <si>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</si>
  <si>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</si>
  <si>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</si>
  <si>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</si>
  <si>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</si>
  <si>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</si>
  <si>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</si>
  <si>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</si>
  <si>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</si>
  <si>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</si>
  <si>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</si>
  <si>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</si>
  <si>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</si>
  <si>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</si>
  <si>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</si>
  <si>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</si>
  <si>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</si>
  <si>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</si>
  <si>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</si>
  <si>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</si>
  <si>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</si>
  <si>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</si>
  <si>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</si>
  <si>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</si>
  <si>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</si>
  <si>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</si>
  <si>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</si>
  <si>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</si>
  <si>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</si>
  <si>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</si>
  <si>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</si>
  <si>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</si>
  <si>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</si>
  <si>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</si>
  <si>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</si>
  <si>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</si>
  <si>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</si>
  <si>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</si>
  <si>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</si>
  <si>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</si>
  <si>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</si>
  <si>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</si>
  <si>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</si>
  <si>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</si>
  <si>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</si>
  <si>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</si>
  <si>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</si>
  <si>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</si>
  <si>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</si>
  <si>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</si>
  <si>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</si>
  <si>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</si>
  <si>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</si>
  <si>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</si>
  <si>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</si>
  <si>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</si>
  <si>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</si>
  <si>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</si>
  <si>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</si>
  <si>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</si>
  <si>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</si>
  <si>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</si>
  <si>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</si>
  <si>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</si>
  <si>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</si>
  <si>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</si>
  <si>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</si>
  <si>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</si>
  <si>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</si>
  <si>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</si>
  <si>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</si>
  <si>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</si>
  <si>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</si>
  <si>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</si>
  <si>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</si>
  <si>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</si>
  <si>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</si>
  <si>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</si>
  <si>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</si>
  <si>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</si>
  <si>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</si>
  <si>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</si>
  <si>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</si>
  <si>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</si>
  <si>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</si>
  <si>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</si>
  <si>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</si>
  <si>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</si>
  <si>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</si>
  <si>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</si>
  <si>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</si>
  <si>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</si>
  <si>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</si>
  <si>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</si>
  <si>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</si>
  <si>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</si>
  <si>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</si>
  <si>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</si>
  <si>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</si>
  <si>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</si>
  <si>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</si>
  <si>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</si>
  <si>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</si>
  <si>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</si>
  <si>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</si>
  <si>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</si>
  <si>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</si>
  <si>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</si>
  <si>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</si>
  <si>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</si>
  <si>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</si>
  <si>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</si>
  <si>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</si>
  <si>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</si>
  <si>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</si>
  <si>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</si>
  <si>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</si>
  <si>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</si>
  <si>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</si>
  <si>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</si>
  <si>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</si>
  <si>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</si>
  <si>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</si>
  <si>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</si>
  <si>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</si>
  <si>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</si>
  <si>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</si>
  <si>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</si>
  <si>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</si>
  <si>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</si>
  <si>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</si>
  <si>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</si>
  <si>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</si>
  <si>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</si>
  <si>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</si>
  <si>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</si>
  <si>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</si>
  <si>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</si>
  <si>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</si>
  <si>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</si>
  <si>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</si>
  <si>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</si>
  <si>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</si>
  <si>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</si>
  <si>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</si>
  <si>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</si>
  <si>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</si>
  <si>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</si>
  <si>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</si>
  <si>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</si>
  <si>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</si>
  <si>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</si>
  <si>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</si>
  <si>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</si>
  <si>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</si>
  <si>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</si>
  <si>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</si>
  <si>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</si>
  <si>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</si>
  <si>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</si>
  <si>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</si>
  <si>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</si>
  <si>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</si>
  <si>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</si>
  <si>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</si>
  <si>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</si>
  <si>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</si>
  <si>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</si>
  <si>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</si>
  <si>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</si>
  <si>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</si>
  <si>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</si>
  <si>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</si>
  <si>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</si>
  <si>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</si>
  <si>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</si>
  <si>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</si>
  <si>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</si>
  <si>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</si>
  <si>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</si>
  <si>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</si>
  <si>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</si>
  <si>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</si>
  <si>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</si>
  <si>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</si>
  <si>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</si>
  <si>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</si>
  <si>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</si>
  <si>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</si>
  <si>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</si>
  <si>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</si>
  <si>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</si>
  <si>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</si>
  <si>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</si>
  <si>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</si>
  <si>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</si>
  <si>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</si>
  <si>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</si>
  <si>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</si>
  <si>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</si>
  <si>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</si>
  <si>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</si>
  <si>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</si>
  <si>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</si>
  <si>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</si>
  <si>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</si>
  <si>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</si>
  <si>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</si>
  <si>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</si>
  <si>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</si>
  <si>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</si>
  <si>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</si>
  <si>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</si>
  <si>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</si>
  <si>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</si>
  <si>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</si>
  <si>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</si>
  <si>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</si>
  <si>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</si>
  <si>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</si>
  <si>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</si>
  <si>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</si>
  <si>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</si>
  <si>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</si>
  <si>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</si>
  <si>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</si>
  <si>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</si>
  <si>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</si>
  <si>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</si>
  <si>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</si>
  <si>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</si>
  <si>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</si>
  <si>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</si>
  <si>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</si>
  <si>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</si>
  <si>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</si>
  <si>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</si>
  <si>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</si>
  <si>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</si>
  <si>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</si>
  <si>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</si>
  <si>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</si>
  <si>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</si>
  <si>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</si>
  <si>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</si>
  <si>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</si>
  <si>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</si>
  <si>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</si>
  <si>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</si>
  <si>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</si>
  <si>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</si>
  <si>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</si>
  <si>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</si>
  <si>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</si>
  <si>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</si>
  <si>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</si>
  <si>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</si>
  <si>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</si>
  <si>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</si>
  <si>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</si>
  <si>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</si>
  <si>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</si>
  <si>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</si>
  <si>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</si>
  <si>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</si>
  <si>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</si>
  <si>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</si>
  <si>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</si>
  <si>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</si>
  <si>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</si>
  <si>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</si>
  <si>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</si>
  <si>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</si>
  <si>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</si>
  <si>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</si>
  <si>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</si>
  <si>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</si>
  <si>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</si>
  <si>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</si>
  <si>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</si>
  <si>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</si>
  <si>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</si>
  <si>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</si>
  <si>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</si>
  <si>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</si>
  <si>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</si>
  <si>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</si>
  <si>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</si>
  <si>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</si>
  <si>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</si>
  <si>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</si>
  <si>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</si>
  <si>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</si>
  <si>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</si>
  <si>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</si>
  <si>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</si>
  <si>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</si>
  <si>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</si>
  <si>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</si>
  <si>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</si>
  <si>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</si>
  <si>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</si>
  <si>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</si>
  <si>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</si>
  <si>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OBC</t>
  </si>
  <si>
    <t>ABCDEFGHJKL</t>
  </si>
  <si>
    <t>Yes</t>
  </si>
  <si>
    <t>Jason Leigh-Griffiths Test PFC</t>
  </si>
  <si>
    <t>Bristol County Council</t>
  </si>
  <si>
    <t>JLG</t>
  </si>
  <si>
    <t>RR</t>
  </si>
  <si>
    <t>Environment Agency</t>
  </si>
  <si>
    <t>Environmental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</si>
</sst>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84</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10543218.430444287</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10818074.42156416</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11092930.412684031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13334935.540207976</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f>(((H84-D84)*'Policy assumptions and formulae'!AR13)+((I84-E84)*'Policy assumptions and formulae'!AS13)+((J84-F84)*'Policy assumptions and formulae'!AT13))*VLOOKUP($E$38,'Policy assumptions and formulae'!$A$10:$D$109,4,FALSE)</f>
        <v>7616992.8059711885</v>
      </c>
      <c r="M84" s="932"/>
      <c r="N84" s="968" t="s">
        <v>380</v>
      </c>
      <c r="O84" s="969"/>
      <c r="P84" s="427">
        <f>'PF calculator'!P84</f>
        <v>130</v>
      </c>
      <c r="Q84" s="328"/>
      <c r="R84" s="953">
        <f>(P84*'Policy assumptions and formulae'!AT23)*VLOOKUP($E$38,'Policy assumptions and formulae'!$A$10:$D$109,4,FALSE)</f>
        <v>49555503.696718834</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f>(((H85-D85)*'Policy assumptions and formulae'!AR14)+((I85-E85)*'Policy assumptions and formulae'!AS14)+((J85-F85)*'Policy assumptions and formulae'!AT14))*VLOOKUP($E$38,'Policy assumptions and formulae'!$A$10:$D$109,4,FALSE)</f>
        <v>7616992.8059711885</v>
      </c>
      <c r="M85" s="932"/>
      <c r="N85" s="968" t="s">
        <v>381</v>
      </c>
      <c r="O85" s="969"/>
      <c r="P85" s="427">
        <f>'PF calculator'!P85</f>
        <v>131</v>
      </c>
      <c r="Q85" s="328"/>
      <c r="R85" s="953">
        <f>(P85*'Policy assumptions and formulae'!AT24)*VLOOKUP($E$38,'Policy assumptions and formulae'!$A$10:$D$109,4,FALSE)</f>
        <v>24968349.939500641</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f>(((H86-D86)*'Policy assumptions and formulae'!AR15)+((I86-E86)*'Policy assumptions and formulae'!AS15)+((J86-F86)*'Policy assumptions and formulae'!AT15))*VLOOKUP($E$38,'Policy assumptions and formulae'!$A$10:$D$109,4,FALSE)</f>
        <v>4241673.8828520179</v>
      </c>
      <c r="M86" s="932"/>
      <c r="N86" s="963" t="s">
        <v>352</v>
      </c>
      <c r="O86" s="964"/>
      <c r="P86" s="427">
        <f>'PF calculator'!P86</f>
        <v>132</v>
      </c>
      <c r="Q86" s="328"/>
      <c r="R86" s="953">
        <f>(P86*'Policy assumptions and formulae'!AT25)*VLOOKUP($E$38,'Policy assumptions and formulae'!$A$10:$D$109,4,FALSE)</f>
        <v>12579474.015320934</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f>(((H87-D87)*'Policy assumptions and formulae'!AR16)+((I87-E87)*'Policy assumptions and formulae'!AS16)+((J87-F87)*'Policy assumptions and formulae'!AT16))*VLOOKUP($E$38,'Policy assumptions and formulae'!$A$10:$D$109,4,FALSE)</f>
        <v>457435.41873894306</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f>(((H88-D88)*'Policy assumptions and formulae'!AR17)+((I88-E88)*'Policy assumptions and formulae'!AS17)+((J88-F88)*'Policy assumptions and formulae'!AT17))*VLOOKUP($E$38,'Policy assumptions and formulae'!$A$10:$D$109,4,FALSE)</f>
        <v>2917883.504380228</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f>(((H89-D89)*'Policy assumptions and formulae'!AR18)+((I89-E89)*'Policy assumptions and formulae'!AS18)+((J89-F89)*'Policy assumptions and formulae'!AT18))*VLOOKUP($E$38,'Policy assumptions and formulae'!$A$10:$D$109,4,FALSE)</f>
        <v>4241673.8828520179</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f>(((H90-D90)*'Policy assumptions and formulae'!AR19)+((I90-E90)*'Policy assumptions and formulae'!AS19)+((J90-F90)*'Policy assumptions and formulae'!AT19))*VLOOKUP($E$38,'Policy assumptions and formulae'!$A$10:$D$109,4,FALSE)</f>
        <v>97031.755490078838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10543218.430444287</v>
      </c>
      <c r="E100" s="944"/>
      <c r="F100" s="945">
        <f>'PF calculator'!G100</f>
        <v>45</v>
      </c>
      <c r="G100" s="946"/>
      <c r="H100" s="943">
        <f t="shared" si="0"/>
        <v>4744448.2936999295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10818074.42156416</v>
      </c>
      <c r="E101" s="944"/>
      <c r="F101" s="945">
        <f>'PF calculator'!G101</f>
        <v>30</v>
      </c>
      <c r="G101" s="946"/>
      <c r="H101" s="943">
        <f t="shared" si="0"/>
        <v>3245422.3264692477</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11092930.412684031</v>
      </c>
      <c r="E102" s="944"/>
      <c r="F102" s="945">
        <f>'PF calculator'!G102</f>
        <v>20</v>
      </c>
      <c r="G102" s="946"/>
      <c r="H102" s="943">
        <f t="shared" si="0"/>
        <v>2218586.0825368064</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40524619.596463643</v>
      </c>
      <c r="E103" s="1063"/>
      <c r="F103" s="945">
        <f>'PF calculator'!G103</f>
        <v>20</v>
      </c>
      <c r="G103" s="946"/>
      <c r="H103" s="943">
        <f>IF(D103="Ltd by negative OM4 values",0,D103*(F103/100))</f>
        <v>8104923.9192927293</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87103327.651540399</v>
      </c>
      <c r="E104" s="950"/>
      <c r="F104" s="945">
        <f>'PF calculator'!G104</f>
        <v>20</v>
      </c>
      <c r="G104" s="946"/>
      <c r="H104" s="943">
        <f>D104*(F104/100)</f>
        <v>17420665.530308079</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160082183.5126965</v>
      </c>
      <c r="E105" s="943"/>
      <c r="F105" s="1059" t="str">
        <f>'PF calculator'!F105:G105</f>
        <v>pv max. eligible GiA</v>
      </c>
      <c r="G105" s="1060"/>
      <c r="H105" s="1061">
        <f>SUM(H95:I104)</f>
        <v>35734048.752306789</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35" t="e">
        <f>IF(D95="Ltd by high OM1b,2,3,4 values",0,D95*(F95/100))</f>
        <v>#N/A</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44">
        <f>'PF calculator'!I83+('PF calculator'!J83*0.25)</f>
        <v>134</v>
      </c>
      <c r="J83" s="444">
        <f>'PF calculator'!J83*0.75</f>
        <v>81</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44">
        <f>'PF calculator'!I84+('PF calculator'!J84*0.25)</f>
        <v>137.75</v>
      </c>
      <c r="J84" s="444">
        <f>'PF calculator'!J84*0.75</f>
        <v>83.25</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44">
        <f>'PF calculator'!I85+('PF calculator'!J85*0.25)</f>
        <v>141.5</v>
      </c>
      <c r="J85" s="444">
        <f>'PF calculator'!J85*0.75</f>
        <v>85.5</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44">
        <f>'PF calculator'!I86+('PF calculator'!J86*0.25)</f>
        <v>145.25</v>
      </c>
      <c r="J86" s="444">
        <f>'PF calculator'!J86*0.75</f>
        <v>87.75</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44">
        <f>'PF calculator'!I87+('PF calculator'!J87*0.25)</f>
        <v>149</v>
      </c>
      <c r="J87" s="444">
        <f>'PF calculator'!J87*0.75</f>
        <v>90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44">
        <f>'PF calculator'!I88+('PF calculator'!J88*0.25)</f>
        <v>152.75</v>
      </c>
      <c r="J88" s="444">
        <f>'PF calculator'!J88*0.75</f>
        <v>92.25</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44">
        <f>'PF calculator'!I89+('PF calculator'!J89*0.25)</f>
        <v>156.5</v>
      </c>
      <c r="J89" s="444">
        <f>'PF calculator'!J89*0.75</f>
        <v>94.5</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44">
        <f>'PF calculator'!I90+('PF calculator'!J90*0.25)</f>
        <v>160.25</v>
      </c>
      <c r="J90" s="444">
        <f>'PF calculator'!J90*0.75</f>
        <v>96.75</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1" zoomScale="108" zoomScaleNormal="60" zoomScaleSheetLayoutView="108" workbookViewId="0">
      <selection activeCell="D11" sqref="D11:F11"/>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438</v>
      </c>
      <c r="E7" s="627"/>
      <c r="F7" s="627"/>
      <c r="G7" s="627"/>
      <c r="H7" s="627"/>
      <c r="I7" s="628"/>
      <c r="J7" s="142"/>
      <c r="K7" s="499" t="s">
        <v>334</v>
      </c>
      <c r="L7" s="500"/>
      <c r="M7" s="629" t="s">
        <v>435</v>
      </c>
      <c r="N7" s="630"/>
      <c r="O7" s="145"/>
      <c r="P7" s="143"/>
      <c r="Q7" s="143"/>
      <c r="R7" s="619"/>
      <c r="S7" s="619"/>
      <c r="T7" s="255"/>
      <c r="U7" s="39"/>
    </row>
    <row r="8" spans="1:21" s="1" customFormat="1" ht="18.75" customHeight="1" thickBot="1" x14ac:dyDescent="0.25">
      <c r="A8" s="254"/>
      <c r="B8" s="501" t="s">
        <v>330</v>
      </c>
      <c r="C8" s="501"/>
      <c r="D8" s="602" t="s">
        <v>436</v>
      </c>
      <c r="E8" s="603"/>
      <c r="F8" s="604"/>
      <c r="G8" s="150"/>
      <c r="H8" s="143"/>
      <c r="I8" s="143"/>
      <c r="J8" s="143"/>
      <c r="K8" s="499" t="s">
        <v>335</v>
      </c>
      <c r="L8" s="500"/>
      <c r="M8" s="605">
        <v>1</v>
      </c>
      <c r="N8" s="606"/>
      <c r="O8" s="595" t="s">
        <v>372</v>
      </c>
      <c r="P8" s="596"/>
      <c r="Q8" s="597"/>
      <c r="R8" s="123">
        <f>$E$39/$E$33</f>
        <v>3.026634382566586E-2</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t="s">
        <v>439</v>
      </c>
      <c r="E10" s="615"/>
      <c r="F10" s="615"/>
      <c r="G10" s="615"/>
      <c r="H10" s="615"/>
      <c r="I10" s="616"/>
      <c r="J10" s="145"/>
      <c r="K10" s="146"/>
      <c r="L10" s="146"/>
      <c r="M10" s="146"/>
      <c r="N10" s="146"/>
      <c r="O10" s="593" t="s">
        <v>129</v>
      </c>
      <c r="P10" s="593"/>
      <c r="Q10" s="594"/>
      <c r="R10" s="125">
        <f>IF($K$33&gt;0,$E$39/$K$33,"n/a")</f>
        <v>9.6711798839458407E-2</v>
      </c>
      <c r="S10" s="124" t="s">
        <v>15</v>
      </c>
      <c r="T10" s="255"/>
      <c r="U10" s="39"/>
    </row>
    <row r="11" spans="1:21" s="1" customFormat="1" ht="18.75" customHeight="1" thickBot="1" x14ac:dyDescent="0.25">
      <c r="A11" s="254"/>
      <c r="B11" s="501" t="s">
        <v>333</v>
      </c>
      <c r="C11" s="502"/>
      <c r="D11" s="607" t="s">
        <v>442</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FCERM GiA eligibility is removed as costs exceed benefits</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437</v>
      </c>
      <c r="F17" s="625"/>
      <c r="G17" s="544" t="str">
        <f>IF(R8&lt;1,"",IF(Strategic_Approach="No","GiA reduced to 45% of maximum to avoid risk of double counting benefits","See guidance.  Evidence provided in the business case"))</f>
        <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
      </c>
      <c r="N18" s="617"/>
      <c r="O18" s="617"/>
      <c r="P18" s="617"/>
      <c r="Q18" s="617"/>
      <c r="R18" s="617"/>
      <c r="S18" s="144"/>
      <c r="T18" s="253"/>
    </row>
    <row r="19" spans="1:21" ht="18.75" customHeight="1" thickBot="1" x14ac:dyDescent="0.25">
      <c r="A19" s="252"/>
      <c r="B19" s="527" t="s">
        <v>64</v>
      </c>
      <c r="C19" s="527"/>
      <c r="D19" s="528"/>
      <c r="E19" s="620" t="str">
        <f>IF(E23="low BCR","n/a",IF(Strategic_Approach="Yes",$E$23/MAX($E$33,$E$31),0.45*$E$23/MAX($E$33,$E$31)))</f>
        <v>n/a</v>
      </c>
      <c r="F19" s="621"/>
      <c r="G19" s="143"/>
      <c r="H19" s="527" t="s">
        <v>65</v>
      </c>
      <c r="I19" s="527"/>
      <c r="J19" s="528"/>
      <c r="K19" s="622" t="str">
        <f>IF(E23="low BCR","n/a",IF(Strategic_Approach="Yes",IF(D11="Environment Agency",E23/MAX(MAX(E33,E31)-K33,1),E19+K33/E31),IF(D11="Environment Agency",E23*0.45/MAX(MAX(E33,E31)-K33,1),E19+K33/E31)))</f>
        <v>n/a</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t="str">
        <f>IF(E23="low BCR","n/a",ROUNDUP((IF(Strategic_Approach="Yes",MAX(IF(D11="Environment Agency",MAX(E33,E31)-MIN(E23,E33),E31*(1-(E19))),0),IF(D11="Environment Agency",MAX(E33,E31)-MIN(E23*0.45,E33),E31*(1-(E19))))),0))</f>
        <v>n/a</v>
      </c>
      <c r="F21" s="508"/>
      <c r="G21" s="143"/>
      <c r="H21" s="499" t="s">
        <v>66</v>
      </c>
      <c r="I21" s="499"/>
      <c r="J21" s="500"/>
      <c r="K21" s="535" t="str">
        <f>IF(E23="low BCR","n/a",IF(ROUNDUP(K19,4)&lt;100%,0,IF(K32+M32&gt;E31,0,E31-(K32+M32))))</f>
        <v>n/a</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t="str">
        <f>IF(R8&lt;1,"low BCR",H105)</f>
        <v>low BCR</v>
      </c>
      <c r="F23" s="508"/>
      <c r="G23" s="143"/>
      <c r="H23" s="499" t="s">
        <v>68</v>
      </c>
      <c r="I23" s="499"/>
      <c r="J23" s="500"/>
      <c r="K23" s="535" t="str">
        <f>IF(E23="low BCR","n/a",IF(D11="Environment Agency",(IF(ROUNDUP(K19,4)&lt;100%,0,IF(E32-O32&gt;E23,0,IF(O32&lt;E32,E32-O32,0)))),0))</f>
        <v>n/a</v>
      </c>
      <c r="L23" s="536"/>
      <c r="M23" s="533" t="str">
        <f>IF(K23="n/a","",IF(D11="Environment Agency",IF(E32-O32&gt;E23,"Insufficient eligible FCERM GiA towards future costs",""),"Other RMAs not eligible for FCERM GiA towards future costs"))</f>
        <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100</v>
      </c>
      <c r="F28" s="514"/>
      <c r="G28" s="143"/>
      <c r="H28" s="499" t="s">
        <v>341</v>
      </c>
      <c r="I28" s="499"/>
      <c r="J28" s="515"/>
      <c r="K28" s="503">
        <v>14</v>
      </c>
      <c r="L28" s="504"/>
      <c r="M28" s="503">
        <v>18</v>
      </c>
      <c r="N28" s="504"/>
      <c r="O28" s="503">
        <v>222</v>
      </c>
      <c r="P28" s="504"/>
      <c r="Q28" s="555" t="s">
        <v>368</v>
      </c>
      <c r="R28" s="555"/>
      <c r="S28" s="555"/>
      <c r="T28" s="253"/>
      <c r="U28" s="39"/>
    </row>
    <row r="29" spans="1:21" s="1" customFormat="1" ht="18.75" customHeight="1" thickBot="1" x14ac:dyDescent="0.25">
      <c r="A29" s="254"/>
      <c r="B29" s="499" t="s">
        <v>338</v>
      </c>
      <c r="C29" s="499"/>
      <c r="D29" s="500"/>
      <c r="E29" s="513">
        <v>200</v>
      </c>
      <c r="F29" s="514"/>
      <c r="G29" s="143"/>
      <c r="H29" s="499" t="s">
        <v>342</v>
      </c>
      <c r="I29" s="499"/>
      <c r="J29" s="515"/>
      <c r="K29" s="503">
        <v>15</v>
      </c>
      <c r="L29" s="504"/>
      <c r="M29" s="503">
        <v>19</v>
      </c>
      <c r="N29" s="504"/>
      <c r="O29" s="503">
        <v>223</v>
      </c>
      <c r="P29" s="504"/>
      <c r="Q29" s="549" t="s">
        <v>440</v>
      </c>
      <c r="R29" s="550"/>
      <c r="S29" s="551"/>
      <c r="T29" s="253"/>
      <c r="U29" s="39"/>
    </row>
    <row r="30" spans="1:21" s="1" customFormat="1" ht="18.75" customHeight="1" thickBot="1" x14ac:dyDescent="0.25">
      <c r="A30" s="254"/>
      <c r="B30" s="499" t="s">
        <v>339</v>
      </c>
      <c r="C30" s="499"/>
      <c r="D30" s="500"/>
      <c r="E30" s="513">
        <v>3000</v>
      </c>
      <c r="F30" s="514"/>
      <c r="G30" s="143"/>
      <c r="H30" s="499" t="s">
        <v>343</v>
      </c>
      <c r="I30" s="499"/>
      <c r="J30" s="515"/>
      <c r="K30" s="503">
        <v>16</v>
      </c>
      <c r="L30" s="504"/>
      <c r="M30" s="503">
        <v>20</v>
      </c>
      <c r="N30" s="504"/>
      <c r="O30" s="503">
        <v>224</v>
      </c>
      <c r="P30" s="504"/>
      <c r="Q30" s="549" t="s">
        <v>441</v>
      </c>
      <c r="R30" s="550"/>
      <c r="S30" s="551"/>
      <c r="T30" s="255"/>
      <c r="U30" s="39"/>
    </row>
    <row r="31" spans="1:21" s="1" customFormat="1" ht="18.75" customHeight="1" thickBot="1" x14ac:dyDescent="0.25">
      <c r="A31" s="254"/>
      <c r="B31" s="501" t="s">
        <v>69</v>
      </c>
      <c r="C31" s="501"/>
      <c r="D31" s="502"/>
      <c r="E31" s="511">
        <f>SUM(E28:E30)</f>
        <v>3300</v>
      </c>
      <c r="F31" s="512"/>
      <c r="G31" s="143"/>
      <c r="H31" s="499" t="s">
        <v>344</v>
      </c>
      <c r="I31" s="499"/>
      <c r="J31" s="515"/>
      <c r="K31" s="505">
        <v>17</v>
      </c>
      <c r="L31" s="506"/>
      <c r="M31" s="505">
        <v>21</v>
      </c>
      <c r="N31" s="506"/>
      <c r="O31" s="505">
        <v>225</v>
      </c>
      <c r="P31" s="506"/>
      <c r="Q31" s="552" t="s">
        <v>443</v>
      </c>
      <c r="R31" s="553"/>
      <c r="S31" s="554"/>
      <c r="T31" s="255"/>
      <c r="U31" s="39"/>
    </row>
    <row r="32" spans="1:21" s="1" customFormat="1" ht="18.75" customHeight="1" thickBot="1" x14ac:dyDescent="0.25">
      <c r="A32" s="254"/>
      <c r="B32" s="499" t="s">
        <v>340</v>
      </c>
      <c r="C32" s="499"/>
      <c r="D32" s="500"/>
      <c r="E32" s="513">
        <v>4</v>
      </c>
      <c r="F32" s="514"/>
      <c r="G32" s="143"/>
      <c r="H32" s="516" t="s">
        <v>70</v>
      </c>
      <c r="I32" s="516"/>
      <c r="J32" s="517"/>
      <c r="K32" s="509">
        <f>SUM(K28:L31)</f>
        <v>62</v>
      </c>
      <c r="L32" s="510"/>
      <c r="M32" s="509">
        <f>SUM(M28:N31)</f>
        <v>78</v>
      </c>
      <c r="N32" s="510"/>
      <c r="O32" s="509">
        <f>SUM(O28:P31)</f>
        <v>894</v>
      </c>
      <c r="P32" s="510"/>
      <c r="Q32" s="143"/>
      <c r="R32" s="143"/>
      <c r="S32" s="143"/>
      <c r="T32" s="255"/>
      <c r="U32" s="39"/>
    </row>
    <row r="33" spans="1:32" s="1" customFormat="1" ht="18.75" customHeight="1" thickBot="1" x14ac:dyDescent="0.25">
      <c r="A33" s="254"/>
      <c r="B33" s="499" t="s">
        <v>147</v>
      </c>
      <c r="C33" s="499"/>
      <c r="D33" s="500"/>
      <c r="E33" s="507">
        <f>SUM(E31:F32)</f>
        <v>3304</v>
      </c>
      <c r="F33" s="508"/>
      <c r="G33" s="143"/>
      <c r="H33" s="499" t="s">
        <v>71</v>
      </c>
      <c r="I33" s="499"/>
      <c r="J33" s="500"/>
      <c r="K33" s="507">
        <f>IF(D11="Environment Agency",K32+M32+O32,K32+M32)</f>
        <v>1034</v>
      </c>
      <c r="L33" s="508"/>
      <c r="M33" s="544" t="str">
        <f>IF(E32&gt;0,IF(D11="Environment Agency","","Contributions to future costs are not included in GiA calculation.  Other RMAs are encouraged to secure contributions towards future costs, separately"),"")</f>
        <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12</v>
      </c>
      <c r="F37" s="514"/>
      <c r="G37" s="143"/>
      <c r="H37" s="537" t="s">
        <v>346</v>
      </c>
      <c r="I37" s="537"/>
      <c r="J37" s="538"/>
      <c r="K37" s="267" t="s">
        <v>437</v>
      </c>
      <c r="L37" s="533" t="str">
        <f>IF(OR(M7="Pre-SOC",M7="SOC",M7="Change (before OBC)"),"Not required",IF(K37="No","By not completing the economic summary sheet FCERM GiA may be delayed",""))</f>
        <v/>
      </c>
      <c r="M37" s="534"/>
      <c r="N37" s="534"/>
      <c r="O37" s="534"/>
      <c r="P37" s="534"/>
      <c r="Q37" s="534"/>
      <c r="R37" s="534"/>
      <c r="S37" s="159"/>
      <c r="T37" s="255"/>
      <c r="U37" s="39"/>
    </row>
    <row r="38" spans="1:32" s="1" customFormat="1" ht="18.75" customHeight="1" thickBot="1" x14ac:dyDescent="0.25">
      <c r="A38" s="254"/>
      <c r="B38" s="527" t="s">
        <v>369</v>
      </c>
      <c r="C38" s="527"/>
      <c r="D38" s="528"/>
      <c r="E38" s="531">
        <v>112</v>
      </c>
      <c r="F38" s="532"/>
      <c r="G38" s="143"/>
      <c r="H38" s="499" t="s">
        <v>347</v>
      </c>
      <c r="I38" s="499"/>
      <c r="J38" s="500"/>
      <c r="K38" s="267" t="s">
        <v>437</v>
      </c>
      <c r="L38" s="518" t="str">
        <f>IF(OR(M7="Pre-SOC",M7="SOC",M7="Change (before OBC)"),"Not required",IF(K38="No","Economic data (annual benefits and costs) for all short-list options is required in business cases from OBC onwards",""))</f>
        <v/>
      </c>
      <c r="M38" s="519"/>
      <c r="N38" s="519"/>
      <c r="O38" s="519"/>
      <c r="P38" s="519"/>
      <c r="Q38" s="519"/>
      <c r="R38" s="519"/>
      <c r="S38" s="159"/>
      <c r="T38" s="255"/>
      <c r="U38" s="39"/>
    </row>
    <row r="39" spans="1:32" s="1" customFormat="1" ht="18.75" customHeight="1" thickBot="1" x14ac:dyDescent="0.25">
      <c r="A39" s="254"/>
      <c r="B39" s="527" t="s">
        <v>370</v>
      </c>
      <c r="C39" s="527"/>
      <c r="D39" s="528"/>
      <c r="E39" s="556">
        <v>100</v>
      </c>
      <c r="F39" s="557"/>
      <c r="G39" s="522" t="str">
        <f>IF(OR(M7="OBC",M7="FBC",M7="Change (after OBC)"),IF(E39='Economic summary'!B12,"","OM1a not equal to Economic summary"),"")</f>
        <v>OM1a not equal to Economic summary</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13</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22</v>
      </c>
      <c r="H46" s="102">
        <v>23</v>
      </c>
      <c r="I46" s="102">
        <v>24</v>
      </c>
      <c r="J46" s="102">
        <v>25</v>
      </c>
      <c r="K46" s="143"/>
      <c r="L46" s="127" t="str">
        <f>IF(SUM(G46:J46)&lt;&gt;SUM(F51:J51),"n/a",F51)</f>
        <v>n/a</v>
      </c>
      <c r="M46" s="127" t="str">
        <f>IF(SUM(G46:J46)&lt;&gt;SUM(F51:J51),"n/a",G51-G46)</f>
        <v>n/a</v>
      </c>
      <c r="N46" s="127" t="str">
        <f>IF(SUM(G46:J46)&lt;&gt;SUM(F51:J51),"n/a",H51-H46)</f>
        <v>n/a</v>
      </c>
      <c r="O46" s="127" t="str">
        <f>IF(SUM(G46:J46)&lt;&gt;SUM(F51:J51),"n/a",I51-I46)</f>
        <v>n/a</v>
      </c>
      <c r="P46" s="127" t="str">
        <f>IF(SUM(G46:J46)&lt;&gt;SUM(F51:J51),"n/a",J51-J46)</f>
        <v>n/a</v>
      </c>
      <c r="Q46" s="143"/>
      <c r="R46" s="509" t="e">
        <f>-(SUMPRODUCT($M$46:$P$46,$M$52:$P$52))*(VLOOKUP($E$38,'Policy assumptions and formulae'!A10:D109,4,FALSE))</f>
        <v>#N/A</v>
      </c>
      <c r="S46" s="547"/>
      <c r="T46" s="255"/>
      <c r="U46" s="39"/>
    </row>
    <row r="47" spans="1:32" s="1" customFormat="1" ht="18.75" customHeight="1" thickBot="1" x14ac:dyDescent="0.25">
      <c r="A47" s="256"/>
      <c r="B47" s="499" t="s">
        <v>349</v>
      </c>
      <c r="C47" s="499"/>
      <c r="D47" s="499"/>
      <c r="E47" s="515"/>
      <c r="F47" s="126"/>
      <c r="G47" s="102">
        <v>26</v>
      </c>
      <c r="H47" s="102">
        <v>27</v>
      </c>
      <c r="I47" s="102">
        <v>28</v>
      </c>
      <c r="J47" s="102">
        <v>29</v>
      </c>
      <c r="K47" s="143"/>
      <c r="L47" s="127" t="str">
        <f>IF(SUM(G47:J47)&lt;&gt;SUM(F52:J52),"n/a",F52)</f>
        <v>n/a</v>
      </c>
      <c r="M47" s="127" t="str">
        <f>IF(SUM(G47:J47)&lt;&gt;SUM(F52:J52),"n/a",G52-G47)</f>
        <v>n/a</v>
      </c>
      <c r="N47" s="127" t="str">
        <f>IF(SUM(G47:J47)&lt;&gt;SUM(F52:J52),"n/a",H52-H47)</f>
        <v>n/a</v>
      </c>
      <c r="O47" s="127" t="str">
        <f>IF(SUM(G47:J47)&lt;&gt;SUM(F52:J52),"n/a",I52-I47)</f>
        <v>n/a</v>
      </c>
      <c r="P47" s="127" t="str">
        <f>IF(SUM(G47:J47)&lt;&gt;SUM(F52:J52),"n/a",J52-J47)</f>
        <v>n/a</v>
      </c>
      <c r="Q47" s="143"/>
      <c r="R47" s="509" t="e">
        <f>-(SUMPRODUCT($M$47:$P$47,$M$52:$P$52))*(VLOOKUP($E$38,'Policy assumptions and formulae'!A10:D109,4,FALSE))</f>
        <v>#N/A</v>
      </c>
      <c r="S47" s="547"/>
      <c r="T47" s="255"/>
      <c r="U47" s="39"/>
    </row>
    <row r="48" spans="1:32" s="1" customFormat="1" ht="18.75" customHeight="1" thickBot="1" x14ac:dyDescent="0.25">
      <c r="A48" s="256"/>
      <c r="B48" s="499" t="s">
        <v>350</v>
      </c>
      <c r="C48" s="499"/>
      <c r="D48" s="499"/>
      <c r="E48" s="515"/>
      <c r="F48" s="126"/>
      <c r="G48" s="102">
        <v>30</v>
      </c>
      <c r="H48" s="102">
        <v>31</v>
      </c>
      <c r="I48" s="102">
        <v>32</v>
      </c>
      <c r="J48" s="102">
        <v>33</v>
      </c>
      <c r="K48" s="143"/>
      <c r="L48" s="127" t="str">
        <f>IF(SUM(G48:J48)&lt;&gt;SUM(F53:J53),"n/a",F53)</f>
        <v>n/a</v>
      </c>
      <c r="M48" s="127" t="str">
        <f>IF(SUM(G48:J48)&lt;&gt;SUM(F53:J53),"n/a",G53-G48)</f>
        <v>n/a</v>
      </c>
      <c r="N48" s="127" t="str">
        <f>IF(SUM(G48:J48)&lt;&gt;SUM(F53:J53),"n/a",H53-H48)</f>
        <v>n/a</v>
      </c>
      <c r="O48" s="127" t="str">
        <f>IF(SUM(G48:J48)&lt;&gt;SUM(F53:J53),"n/a",I53-I48)</f>
        <v>n/a</v>
      </c>
      <c r="P48" s="127" t="str">
        <f>IF(SUM(G48:J48)&lt;&gt;SUM(F53:J53),"n/a",J53-J48)</f>
        <v>n/a</v>
      </c>
      <c r="Q48" s="143"/>
      <c r="R48" s="509" t="e">
        <f>-(SUMPRODUCT($M$48:$P$48,$M$52:$P$52))*(VLOOKUP($E$38,'Policy assumptions and formulae'!A10:D109,4,FALSE))</f>
        <v>#N/A</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34</v>
      </c>
      <c r="G51" s="102">
        <v>35</v>
      </c>
      <c r="H51" s="102">
        <v>36</v>
      </c>
      <c r="I51" s="102">
        <v>37</v>
      </c>
      <c r="J51" s="102">
        <v>38</v>
      </c>
      <c r="K51" s="143"/>
      <c r="L51" s="581"/>
      <c r="M51" s="581"/>
      <c r="N51" s="581"/>
      <c r="O51" s="581"/>
      <c r="P51" s="581"/>
      <c r="Q51" s="140"/>
      <c r="R51" s="140"/>
      <c r="S51" s="140"/>
      <c r="T51" s="253"/>
    </row>
    <row r="52" spans="1:21" ht="18.75" customHeight="1" x14ac:dyDescent="0.2">
      <c r="A52" s="252"/>
      <c r="B52" s="499" t="s">
        <v>349</v>
      </c>
      <c r="C52" s="499"/>
      <c r="D52" s="499"/>
      <c r="E52" s="515"/>
      <c r="F52" s="102">
        <v>39</v>
      </c>
      <c r="G52" s="102">
        <v>40</v>
      </c>
      <c r="H52" s="102">
        <v>41</v>
      </c>
      <c r="I52" s="102">
        <v>42</v>
      </c>
      <c r="J52" s="102">
        <v>43</v>
      </c>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44</v>
      </c>
      <c r="G53" s="102">
        <v>45</v>
      </c>
      <c r="H53" s="102">
        <v>46</v>
      </c>
      <c r="I53" s="102">
        <v>47</v>
      </c>
      <c r="J53" s="102">
        <v>48</v>
      </c>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Error. Total households at risk today and at risk after project completion are not equal.</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2020</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v>49</v>
      </c>
      <c r="H61" s="103">
        <v>50</v>
      </c>
      <c r="I61" s="103">
        <v>51</v>
      </c>
      <c r="J61" s="103">
        <v>52</v>
      </c>
      <c r="K61" s="143"/>
      <c r="L61" s="127" t="str">
        <f>IF(SUM(G61:J61)&lt;&gt;SUM(F66:J66),"n/a",F66)</f>
        <v>n/a</v>
      </c>
      <c r="M61" s="127" t="str">
        <f>IF(SUM(G61:J61)&lt;&gt;SUM(F66:J66),"n/a",G66-G61)</f>
        <v>n/a</v>
      </c>
      <c r="N61" s="127" t="str">
        <f>IF(SUM(G61:J61)&lt;&gt;SUM(F66:J66),"n/a",H66-H61)</f>
        <v>n/a</v>
      </c>
      <c r="O61" s="127" t="str">
        <f>IF(SUM(G61:J61)&lt;&gt;SUM(F66:J66),"n/a",I66-I61)</f>
        <v>n/a</v>
      </c>
      <c r="P61" s="127" t="str">
        <f>IF(SUM(G61:J61)&lt;&gt;SUM(F66:J66),"n/a",J66-J61)</f>
        <v>n/a</v>
      </c>
      <c r="Q61" s="143"/>
      <c r="R61" s="509" t="e">
        <f>IF($E$58+$E$38&lt;2041,"Ltd by DoB",(-SUMPRODUCT($M$61:$P$61,$M$67:$P$67)*VLOOKUP($E$38,'Policy assumptions and formulae'!$A$10:$D$109,4,FALSE))-(-SUMPRODUCT($M$61:$P$61,$M$67:$P$67)*VLOOKUP((2040-$E$58),'Policy assumptions and formulae'!$A$10:$D$109,4,FALSE)))</f>
        <v>#N/A</v>
      </c>
      <c r="S61" s="547"/>
      <c r="T61" s="253"/>
    </row>
    <row r="62" spans="1:21" ht="18.75" customHeight="1" thickBot="1" x14ac:dyDescent="0.25">
      <c r="A62" s="252"/>
      <c r="B62" s="499" t="s">
        <v>349</v>
      </c>
      <c r="C62" s="499"/>
      <c r="D62" s="499"/>
      <c r="E62" s="515"/>
      <c r="F62" s="126"/>
      <c r="G62" s="103">
        <v>53</v>
      </c>
      <c r="H62" s="103">
        <v>54</v>
      </c>
      <c r="I62" s="103">
        <v>55</v>
      </c>
      <c r="J62" s="103">
        <v>56</v>
      </c>
      <c r="K62" s="143"/>
      <c r="L62" s="127" t="str">
        <f>IF(SUM(G62:J62)&lt;&gt;SUM(F67:J67),"n/a",F67)</f>
        <v>n/a</v>
      </c>
      <c r="M62" s="127" t="str">
        <f>IF(SUM(G62:J62)&lt;&gt;SUM(F67:J67),"n/a",G67-G62)</f>
        <v>n/a</v>
      </c>
      <c r="N62" s="127" t="str">
        <f>IF(SUM(G62:J62)&lt;&gt;SUM(F67:J67),"n/a",H67-H62)</f>
        <v>n/a</v>
      </c>
      <c r="O62" s="127" t="str">
        <f>IF(SUM(G62:J62)&lt;&gt;SUM(F67:J67),"n/a",I67-I62)</f>
        <v>n/a</v>
      </c>
      <c r="P62" s="127" t="str">
        <f>IF(SUM(G62:J62)&lt;&gt;SUM(F67:J67),"n/a",J67-J62)</f>
        <v>n/a</v>
      </c>
      <c r="Q62" s="143"/>
      <c r="R62" s="509" t="e">
        <f>IF($E$58+$E$38&lt;2041,"Ltd by DoB",(-SUMPRODUCT($M$62:$P$62,$M$67:$P$67)*VLOOKUP($E$38,'Policy assumptions and formulae'!$A$10:$D$109,4,FALSE))-(-SUMPRODUCT($M$62:$P$62,$M$67:$P$67)*VLOOKUP((2040-$E$58),'Policy assumptions and formulae'!$A$10:$D$109,4,FALSE)))</f>
        <v>#N/A</v>
      </c>
      <c r="S62" s="547"/>
      <c r="T62" s="253"/>
    </row>
    <row r="63" spans="1:21" ht="18.75" customHeight="1" thickBot="1" x14ac:dyDescent="0.25">
      <c r="A63" s="252"/>
      <c r="B63" s="499" t="s">
        <v>350</v>
      </c>
      <c r="C63" s="499"/>
      <c r="D63" s="499"/>
      <c r="E63" s="515"/>
      <c r="F63" s="126"/>
      <c r="G63" s="103">
        <v>57</v>
      </c>
      <c r="H63" s="103">
        <v>58</v>
      </c>
      <c r="I63" s="103">
        <v>59</v>
      </c>
      <c r="J63" s="103">
        <v>60</v>
      </c>
      <c r="K63" s="143"/>
      <c r="L63" s="127" t="str">
        <f>IF(SUM(G63:J63)&lt;&gt;SUM(F68:J68),"n/a",F68)</f>
        <v>n/a</v>
      </c>
      <c r="M63" s="127" t="str">
        <f>IF(SUM(G63:J63)&lt;&gt;SUM(F68:J68),"n/a",G68-G63)</f>
        <v>n/a</v>
      </c>
      <c r="N63" s="127" t="str">
        <f>IF(SUM(G63:J63)&lt;&gt;SUM(F68:J68),"n/a",H68-H63)</f>
        <v>n/a</v>
      </c>
      <c r="O63" s="127" t="str">
        <f>IF(SUM(G63:J63)&lt;&gt;SUM(F68:J68),"n/a",I68-I63)</f>
        <v>n/a</v>
      </c>
      <c r="P63" s="127" t="str">
        <f>IF(SUM(G63:J63)&lt;&gt;SUM(F68:J68),"n/a",J68-J63)</f>
        <v>n/a</v>
      </c>
      <c r="Q63" s="143"/>
      <c r="R63" s="509" t="e">
        <f>IF($E$58+$E$38&lt;2041,"Ltd by DoB",(-SUMPRODUCT($M$63:$P$63,$M$67:$P$67)*VLOOKUP($E$38,'Policy assumptions and formulae'!$A$10:$D$109,4,FALSE))-(-SUMPRODUCT($M$63:$P$63,$M$67:$P$67)*VLOOKUP((2040-$E$58),'Policy assumptions and formulae'!$A$10:$D$109,4,FALSE)))</f>
        <v>#N/A</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61</v>
      </c>
      <c r="G66" s="103">
        <v>62</v>
      </c>
      <c r="H66" s="103">
        <v>63</v>
      </c>
      <c r="I66" s="103">
        <v>64</v>
      </c>
      <c r="J66" s="103">
        <v>65</v>
      </c>
      <c r="K66" s="143"/>
      <c r="L66" s="581"/>
      <c r="M66" s="581"/>
      <c r="N66" s="581"/>
      <c r="O66" s="581"/>
      <c r="P66" s="581"/>
      <c r="Q66" s="143"/>
      <c r="R66" s="143"/>
      <c r="S66" s="143"/>
      <c r="T66" s="253"/>
    </row>
    <row r="67" spans="1:21" ht="18.75" customHeight="1" x14ac:dyDescent="0.2">
      <c r="A67" s="252"/>
      <c r="B67" s="499" t="s">
        <v>349</v>
      </c>
      <c r="C67" s="499"/>
      <c r="D67" s="499"/>
      <c r="E67" s="515"/>
      <c r="F67" s="103">
        <v>66</v>
      </c>
      <c r="G67" s="103">
        <v>67</v>
      </c>
      <c r="H67" s="103">
        <v>68</v>
      </c>
      <c r="I67" s="103">
        <v>69</v>
      </c>
      <c r="J67" s="103">
        <v>70</v>
      </c>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71</v>
      </c>
      <c r="G68" s="103">
        <v>72</v>
      </c>
      <c r="H68" s="103">
        <v>73</v>
      </c>
      <c r="I68" s="103">
        <v>74</v>
      </c>
      <c r="J68" s="103">
        <v>75</v>
      </c>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Error. Total households at risk from 2040 and at risk after project completion are not equal.</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v>77</v>
      </c>
      <c r="H74" s="143"/>
      <c r="I74" s="143"/>
      <c r="J74" s="529" t="s">
        <v>123</v>
      </c>
      <c r="K74" s="529"/>
      <c r="L74" s="529"/>
      <c r="M74" s="530"/>
      <c r="N74" s="129">
        <f>'Policy assumptions and formulae'!$AJ$7</f>
        <v>6800</v>
      </c>
      <c r="O74" s="129">
        <f>'Policy assumptions and formulae'!$AJ$7</f>
        <v>6800</v>
      </c>
      <c r="P74" s="165"/>
      <c r="Q74" s="143"/>
      <c r="R74" s="509" t="e">
        <f>SUMPRODUCT($N$76:$O$76,$F$74:$G$74)*VLOOKUP($E$38,'Policy assumptions and formulae'!$A$10:$D$109,4,FALSE)</f>
        <v>#N/A</v>
      </c>
      <c r="S74" s="510"/>
      <c r="T74" s="255"/>
      <c r="U74" s="39"/>
    </row>
    <row r="75" spans="1:21" s="1" customFormat="1" ht="18.75" customHeight="1" thickBot="1" x14ac:dyDescent="0.2">
      <c r="A75" s="254"/>
      <c r="B75" s="499" t="s">
        <v>349</v>
      </c>
      <c r="C75" s="499"/>
      <c r="D75" s="499"/>
      <c r="E75" s="515"/>
      <c r="F75" s="103">
        <v>78</v>
      </c>
      <c r="G75" s="103">
        <v>79</v>
      </c>
      <c r="H75" s="143"/>
      <c r="I75" s="143"/>
      <c r="J75" s="578" t="s">
        <v>124</v>
      </c>
      <c r="K75" s="578"/>
      <c r="L75" s="578"/>
      <c r="M75" s="579"/>
      <c r="N75" s="130">
        <f>'Policy assumptions and formulae'!AJ28</f>
        <v>50</v>
      </c>
      <c r="O75" s="130">
        <f>'Policy assumptions and formulae'!AJ26</f>
        <v>20</v>
      </c>
      <c r="P75" s="166" t="s">
        <v>121</v>
      </c>
      <c r="Q75" s="143"/>
      <c r="R75" s="509" t="e">
        <f>SUMPRODUCT($N$76:$O$76,$F$75:$G$75)*VLOOKUP($E$38,'Policy assumptions and formulae'!$A$10:$D$109,4,FALSE)</f>
        <v>#N/A</v>
      </c>
      <c r="S75" s="510"/>
      <c r="T75" s="255"/>
      <c r="U75" s="39"/>
    </row>
    <row r="76" spans="1:21" s="1" customFormat="1" ht="18.75" customHeight="1" thickBot="1" x14ac:dyDescent="0.2">
      <c r="A76" s="254"/>
      <c r="B76" s="499" t="s">
        <v>350</v>
      </c>
      <c r="C76" s="499"/>
      <c r="D76" s="499"/>
      <c r="E76" s="515"/>
      <c r="F76" s="103">
        <v>80</v>
      </c>
      <c r="G76" s="103">
        <v>81</v>
      </c>
      <c r="H76" s="143"/>
      <c r="I76" s="143"/>
      <c r="J76" s="548" t="s">
        <v>125</v>
      </c>
      <c r="K76" s="548"/>
      <c r="L76" s="548"/>
      <c r="M76" s="548"/>
      <c r="N76" s="129">
        <f>'Policy assumptions and formulae'!$AM$28</f>
        <v>1341.3864802956614</v>
      </c>
      <c r="O76" s="129">
        <f>'Policy assumptions and formulae'!$AM$26</f>
        <v>3417.4480141353602</v>
      </c>
      <c r="P76" s="167"/>
      <c r="Q76" s="143"/>
      <c r="R76" s="509" t="e">
        <f>SUMPRODUCT($N$76:$O$76,$F$76:$G$76)*VLOOKUP($E$38,'Policy assumptions and formulae'!$A$10:$D$109,4,FALSE)</f>
        <v>#N/A</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82</v>
      </c>
      <c r="E83" s="104">
        <v>83</v>
      </c>
      <c r="F83" s="104">
        <v>84</v>
      </c>
      <c r="G83" s="586"/>
      <c r="H83" s="104">
        <v>106</v>
      </c>
      <c r="I83" s="104">
        <v>107</v>
      </c>
      <c r="J83" s="104">
        <v>108</v>
      </c>
      <c r="K83" s="567" t="str">
        <f>IF(SUM(D83:F90)&lt;&gt;SUM(H83:J90),"Error in net change habitat","")</f>
        <v>Error in net change habitat</v>
      </c>
      <c r="L83" s="584" t="e">
        <f>(((H83-D83)*'Policy assumptions and formulae'!AR12)+((I83-E83)*'Policy assumptions and formulae'!AS12)+((J83-F83)*'Policy assumptions and formulae'!AT12))*VLOOKUP($E$38,'Policy assumptions and formulae'!$A$10:$D$109,4,FALSE)</f>
        <v>#N/A</v>
      </c>
      <c r="M83" s="585"/>
      <c r="N83" s="140"/>
      <c r="O83" s="168"/>
      <c r="P83" s="322" t="s">
        <v>379</v>
      </c>
      <c r="Q83" s="323"/>
      <c r="R83" s="641" t="s">
        <v>74</v>
      </c>
      <c r="S83" s="641"/>
      <c r="T83" s="253"/>
    </row>
    <row r="84" spans="1:21" ht="18.75" customHeight="1" thickBot="1" x14ac:dyDescent="0.25">
      <c r="A84" s="252"/>
      <c r="B84" s="524" t="s">
        <v>106</v>
      </c>
      <c r="C84" s="525"/>
      <c r="D84" s="104">
        <v>85</v>
      </c>
      <c r="E84" s="104">
        <v>86</v>
      </c>
      <c r="F84" s="104">
        <v>87</v>
      </c>
      <c r="G84" s="586"/>
      <c r="H84" s="104">
        <v>109</v>
      </c>
      <c r="I84" s="104">
        <v>110</v>
      </c>
      <c r="J84" s="104">
        <v>111</v>
      </c>
      <c r="K84" s="567"/>
      <c r="L84" s="584" t="e">
        <f>(((H84-D84)*'Policy assumptions and formulae'!AR13)+((I84-E84)*'Policy assumptions and formulae'!AS13)+((J84-F84)*'Policy assumptions and formulae'!AT13))*VLOOKUP($E$38,'Policy assumptions and formulae'!$A$10:$D$109,4,FALSE)</f>
        <v>#N/A</v>
      </c>
      <c r="M84" s="585"/>
      <c r="N84" s="563" t="s">
        <v>380</v>
      </c>
      <c r="O84" s="564"/>
      <c r="P84" s="319">
        <v>130</v>
      </c>
      <c r="Q84" s="323"/>
      <c r="R84" s="561" t="e">
        <f>(P84*'Policy assumptions and formulae'!AT23)*VLOOKUP($E$38,'Policy assumptions and formulae'!$A$10:$D$109,4,FALSE)</f>
        <v>#N/A</v>
      </c>
      <c r="S84" s="562"/>
      <c r="T84" s="253"/>
    </row>
    <row r="85" spans="1:21" ht="18.75" customHeight="1" thickBot="1" x14ac:dyDescent="0.25">
      <c r="A85" s="252"/>
      <c r="B85" s="524" t="s">
        <v>55</v>
      </c>
      <c r="C85" s="525"/>
      <c r="D85" s="104">
        <v>88</v>
      </c>
      <c r="E85" s="104">
        <v>89</v>
      </c>
      <c r="F85" s="104">
        <v>90</v>
      </c>
      <c r="G85" s="586"/>
      <c r="H85" s="104">
        <v>112</v>
      </c>
      <c r="I85" s="104">
        <v>113</v>
      </c>
      <c r="J85" s="104">
        <v>114</v>
      </c>
      <c r="K85" s="567"/>
      <c r="L85" s="584" t="e">
        <f>(((H85-D85)*'Policy assumptions and formulae'!AR14)+((I85-E85)*'Policy assumptions and formulae'!AS14)+((J85-F85)*'Policy assumptions and formulae'!AT14))*VLOOKUP($E$38,'Policy assumptions and formulae'!$A$10:$D$109,4,FALSE)</f>
        <v>#N/A</v>
      </c>
      <c r="M85" s="585"/>
      <c r="N85" s="563" t="s">
        <v>381</v>
      </c>
      <c r="O85" s="564"/>
      <c r="P85" s="320">
        <v>131</v>
      </c>
      <c r="Q85" s="323"/>
      <c r="R85" s="561" t="e">
        <f>(P85*'Policy assumptions and formulae'!AT24)*VLOOKUP($E$38,'Policy assumptions and formulae'!$A$10:$D$109,4,FALSE)</f>
        <v>#N/A</v>
      </c>
      <c r="S85" s="562"/>
      <c r="T85" s="253"/>
    </row>
    <row r="86" spans="1:21" ht="18.75" customHeight="1" thickBot="1" x14ac:dyDescent="0.25">
      <c r="A86" s="252"/>
      <c r="B86" s="524" t="s">
        <v>107</v>
      </c>
      <c r="C86" s="525"/>
      <c r="D86" s="104">
        <v>91</v>
      </c>
      <c r="E86" s="104">
        <v>92</v>
      </c>
      <c r="F86" s="104">
        <v>93</v>
      </c>
      <c r="G86" s="586"/>
      <c r="H86" s="104">
        <v>115</v>
      </c>
      <c r="I86" s="104">
        <v>116</v>
      </c>
      <c r="J86" s="104">
        <v>117</v>
      </c>
      <c r="K86" s="567"/>
      <c r="L86" s="584" t="e">
        <f>(((H86-D86)*'Policy assumptions and formulae'!AR15)+((I86-E86)*'Policy assumptions and formulae'!AS15)+((J86-F86)*'Policy assumptions and formulae'!AT15))*VLOOKUP($E$38,'Policy assumptions and formulae'!$A$10:$D$109,4,FALSE)</f>
        <v>#N/A</v>
      </c>
      <c r="M86" s="585"/>
      <c r="N86" s="587" t="s">
        <v>352</v>
      </c>
      <c r="O86" s="588"/>
      <c r="P86" s="319">
        <v>132</v>
      </c>
      <c r="Q86" s="323"/>
      <c r="R86" s="561" t="e">
        <f>(P86*'Policy assumptions and formulae'!AT25)*VLOOKUP($E$38,'Policy assumptions and formulae'!$A$10:$D$109,4,FALSE)</f>
        <v>#N/A</v>
      </c>
      <c r="S86" s="562"/>
      <c r="T86" s="253"/>
    </row>
    <row r="87" spans="1:21" ht="18.75" customHeight="1" thickBot="1" x14ac:dyDescent="0.25">
      <c r="A87" s="252"/>
      <c r="B87" s="524" t="s">
        <v>108</v>
      </c>
      <c r="C87" s="525"/>
      <c r="D87" s="104">
        <v>94</v>
      </c>
      <c r="E87" s="104">
        <v>95</v>
      </c>
      <c r="F87" s="104">
        <v>96</v>
      </c>
      <c r="G87" s="586"/>
      <c r="H87" s="104">
        <v>118</v>
      </c>
      <c r="I87" s="104">
        <v>119</v>
      </c>
      <c r="J87" s="104">
        <v>120</v>
      </c>
      <c r="K87" s="567"/>
      <c r="L87" s="584" t="e">
        <f>(((H87-D87)*'Policy assumptions and formulae'!AR16)+((I87-E87)*'Policy assumptions and formulae'!AS16)+((J87-F87)*'Policy assumptions and formulae'!AT16))*VLOOKUP($E$38,'Policy assumptions and formulae'!$A$10:$D$109,4,FALSE)</f>
        <v>#N/A</v>
      </c>
      <c r="M87" s="585"/>
      <c r="N87" s="587"/>
      <c r="O87" s="588"/>
      <c r="P87" s="324"/>
      <c r="Q87" s="323"/>
      <c r="R87" s="325"/>
      <c r="S87" s="325"/>
      <c r="T87" s="253"/>
    </row>
    <row r="88" spans="1:21" ht="18.75" customHeight="1" thickBot="1" x14ac:dyDescent="0.25">
      <c r="A88" s="252"/>
      <c r="B88" s="524" t="s">
        <v>329</v>
      </c>
      <c r="C88" s="525"/>
      <c r="D88" s="104">
        <v>97</v>
      </c>
      <c r="E88" s="104">
        <v>98</v>
      </c>
      <c r="F88" s="104">
        <v>99</v>
      </c>
      <c r="G88" s="586"/>
      <c r="H88" s="104">
        <v>121</v>
      </c>
      <c r="I88" s="104">
        <v>122</v>
      </c>
      <c r="J88" s="104">
        <v>123</v>
      </c>
      <c r="K88" s="567"/>
      <c r="L88" s="584" t="e">
        <f>(((H88-D88)*'Policy assumptions and formulae'!AR17)+((I88-E88)*'Policy assumptions and formulae'!AS17)+((J88-F88)*'Policy assumptions and formulae'!AT17))*VLOOKUP($E$38,'Policy assumptions and formulae'!$A$10:$D$109,4,FALSE)</f>
        <v>#N/A</v>
      </c>
      <c r="M88" s="585"/>
      <c r="N88" s="140"/>
      <c r="O88" s="140"/>
      <c r="P88" s="140"/>
      <c r="Q88" s="140"/>
      <c r="R88" s="140"/>
      <c r="S88" s="140"/>
      <c r="T88" s="253"/>
    </row>
    <row r="89" spans="1:21" ht="18.75" customHeight="1" thickBot="1" x14ac:dyDescent="0.25">
      <c r="A89" s="252"/>
      <c r="B89" s="524" t="s">
        <v>109</v>
      </c>
      <c r="C89" s="525"/>
      <c r="D89" s="104">
        <v>100</v>
      </c>
      <c r="E89" s="104">
        <v>101</v>
      </c>
      <c r="F89" s="104">
        <v>102</v>
      </c>
      <c r="G89" s="586"/>
      <c r="H89" s="104">
        <v>124</v>
      </c>
      <c r="I89" s="104">
        <v>125</v>
      </c>
      <c r="J89" s="104">
        <v>126</v>
      </c>
      <c r="K89" s="567"/>
      <c r="L89" s="584" t="e">
        <f>(((H89-D89)*'Policy assumptions and formulae'!AR18)+((I89-E89)*'Policy assumptions and formulae'!AS18)+((J89-F89)*'Policy assumptions and formulae'!AT18))*VLOOKUP($E$38,'Policy assumptions and formulae'!$A$10:$D$109,4,FALSE)</f>
        <v>#N/A</v>
      </c>
      <c r="M89" s="585"/>
      <c r="N89" s="326"/>
      <c r="O89" s="326"/>
      <c r="P89" s="321"/>
      <c r="Q89" s="323"/>
      <c r="R89" s="327"/>
      <c r="S89" s="327"/>
      <c r="T89" s="253"/>
    </row>
    <row r="90" spans="1:21" ht="18.75" customHeight="1" thickBot="1" x14ac:dyDescent="0.25">
      <c r="A90" s="252"/>
      <c r="B90" s="524" t="s">
        <v>110</v>
      </c>
      <c r="C90" s="525"/>
      <c r="D90" s="104">
        <v>103</v>
      </c>
      <c r="E90" s="104">
        <v>104</v>
      </c>
      <c r="F90" s="104">
        <v>105</v>
      </c>
      <c r="G90" s="586"/>
      <c r="H90" s="104">
        <v>127</v>
      </c>
      <c r="I90" s="104">
        <v>128</v>
      </c>
      <c r="J90" s="104">
        <v>129</v>
      </c>
      <c r="K90" s="567"/>
      <c r="L90" s="584" t="e">
        <f>(((H90-D90)*'Policy assumptions and formulae'!AR19)+((I90-E90)*'Policy assumptions and formulae'!AS19)+((J90-F90)*'Policy assumptions and formulae'!AT19))*VLOOKUP($E$38,'Policy assumptions and formulae'!$A$10:$D$109,4,FALSE)</f>
        <v>#N/A</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t="e">
        <f>IF(E39=0,0,IF(MAX((E39-SUM(D96:E104)),0)&gt;0,E39-SUM(D96:D104),"Ltd by high OM1b,2,3,4 values"))</f>
        <v>#N/A</v>
      </c>
      <c r="E95" s="636"/>
      <c r="F95" s="131" t="e">
        <f>IF(D95="Ltd by high OM1b,2,3,4 values",0,D95/$D$105)</f>
        <v>#N/A</v>
      </c>
      <c r="G95" s="132">
        <f>'Policy assumptions and formulae'!Q10</f>
        <v>6</v>
      </c>
      <c r="H95" s="583" t="e">
        <f>IF(D95="Ltd by high OM1b,2,3,4 values",0,D95*(G95/100))</f>
        <v>#N/A</v>
      </c>
      <c r="I95" s="574"/>
      <c r="J95" s="131" t="e">
        <f>H95/$H$105</f>
        <v>#N/A</v>
      </c>
      <c r="K95" s="157"/>
      <c r="L95" s="537" t="s">
        <v>151</v>
      </c>
      <c r="M95" s="537"/>
      <c r="N95" s="537"/>
      <c r="O95" s="573"/>
      <c r="P95" s="135" t="str">
        <f>E19</f>
        <v>n/a</v>
      </c>
      <c r="Q95" s="574" t="str">
        <f>E21</f>
        <v>n/a</v>
      </c>
      <c r="R95" s="575"/>
      <c r="S95" s="136" t="str">
        <f>IF(Q95="n/a","n/a",IF(D11="Environment Agency",Q95/$E$33,Q95/$E$31))</f>
        <v>n/a</v>
      </c>
      <c r="T95" s="255"/>
      <c r="U95" s="39"/>
    </row>
    <row r="96" spans="1:21" s="1" customFormat="1" ht="18.75" customHeight="1" x14ac:dyDescent="0.2">
      <c r="A96" s="254"/>
      <c r="B96" s="176" t="s">
        <v>300</v>
      </c>
      <c r="C96" s="173" t="s">
        <v>156</v>
      </c>
      <c r="D96" s="653">
        <f>E41</f>
        <v>13</v>
      </c>
      <c r="E96" s="654"/>
      <c r="F96" s="131" t="e">
        <f t="shared" ref="F96:F104" si="0">D96/$D$105</f>
        <v>#N/A</v>
      </c>
      <c r="G96" s="133">
        <f>'Policy assumptions and formulae'!Q7*'Policy assumptions and formulae'!X20</f>
        <v>20</v>
      </c>
      <c r="H96" s="583">
        <f>D96*(G96/100)</f>
        <v>2.6</v>
      </c>
      <c r="I96" s="574"/>
      <c r="J96" s="131" t="e">
        <f t="shared" ref="J96:J104" si="1">H96/$H$105</f>
        <v>#N/A</v>
      </c>
      <c r="K96" s="157"/>
      <c r="L96" s="571" t="s">
        <v>252</v>
      </c>
      <c r="M96" s="571"/>
      <c r="N96" s="571"/>
      <c r="O96" s="572"/>
      <c r="P96" s="135" t="str">
        <f>'SA1'!$E$19</f>
        <v>n/a</v>
      </c>
      <c r="Q96" s="569" t="str">
        <f>'SA1'!$E$21</f>
        <v>n/a</v>
      </c>
      <c r="R96" s="570"/>
      <c r="S96" s="136" t="str">
        <f>IF(Q96="n/a","n/a",$Q$96/'SA1'!$E$33)</f>
        <v>n/a</v>
      </c>
      <c r="T96" s="255"/>
      <c r="U96" s="39"/>
    </row>
    <row r="97" spans="1:21" s="1" customFormat="1" ht="18.75" customHeight="1" x14ac:dyDescent="0.2">
      <c r="A97" s="254"/>
      <c r="B97" s="655" t="s">
        <v>87</v>
      </c>
      <c r="C97" s="174" t="s">
        <v>88</v>
      </c>
      <c r="D97" s="635" t="e">
        <f>IF(R61="Ltd by DoB",R46,R46+R61)</f>
        <v>#N/A</v>
      </c>
      <c r="E97" s="636"/>
      <c r="F97" s="131" t="e">
        <f t="shared" si="0"/>
        <v>#N/A</v>
      </c>
      <c r="G97" s="132">
        <f>'Policy assumptions and formulae'!X$10*'Policy assumptions and formulae'!X$16</f>
        <v>45</v>
      </c>
      <c r="H97" s="583" t="e">
        <f t="shared" ref="H97:H104" si="2">D97*(G97/100)</f>
        <v>#N/A</v>
      </c>
      <c r="I97" s="574"/>
      <c r="J97" s="131" t="e">
        <f t="shared" si="1"/>
        <v>#N/A</v>
      </c>
      <c r="K97" s="157"/>
      <c r="L97" s="571" t="s">
        <v>253</v>
      </c>
      <c r="M97" s="571"/>
      <c r="N97" s="571"/>
      <c r="O97" s="572"/>
      <c r="P97" s="135" t="e">
        <f>IF(SUM(H97:I99)&gt;0,'SA2'!$E$19,"N/A")</f>
        <v>#N/A</v>
      </c>
      <c r="Q97" s="569" t="e">
        <f>IF(SUM(H97:I99)&gt;0,'SA2'!$E$21,"No OM2 contribution")</f>
        <v>#N/A</v>
      </c>
      <c r="R97" s="570"/>
      <c r="S97" s="136" t="e">
        <f>IF(Q97="No OM2 contribution","n/a",$Q$97/'SA2'!$E$33)</f>
        <v>#N/A</v>
      </c>
      <c r="T97" s="255"/>
      <c r="U97" s="39"/>
    </row>
    <row r="98" spans="1:21" s="1" customFormat="1" ht="18.75" customHeight="1" x14ac:dyDescent="0.2">
      <c r="A98" s="254"/>
      <c r="B98" s="655"/>
      <c r="C98" s="174" t="s">
        <v>89</v>
      </c>
      <c r="D98" s="635" t="e">
        <f>IF(R62="Ltd by DoB",R47,R47+R62)</f>
        <v>#N/A</v>
      </c>
      <c r="E98" s="636"/>
      <c r="F98" s="131" t="e">
        <f t="shared" si="0"/>
        <v>#N/A</v>
      </c>
      <c r="G98" s="132">
        <f>'Policy assumptions and formulae'!X$10*'Policy assumptions and formulae'!X$18</f>
        <v>30</v>
      </c>
      <c r="H98" s="583" t="e">
        <f t="shared" si="2"/>
        <v>#N/A</v>
      </c>
      <c r="I98" s="574"/>
      <c r="J98" s="131" t="e">
        <f t="shared" si="1"/>
        <v>#N/A</v>
      </c>
      <c r="K98" s="157"/>
      <c r="L98" s="571" t="s">
        <v>254</v>
      </c>
      <c r="M98" s="571"/>
      <c r="N98" s="571"/>
      <c r="O98" s="572"/>
      <c r="P98" s="135" t="e">
        <f>IF(SUM(H100:I102)&gt;0,'SA3'!$E$19,"N/A")</f>
        <v>#N/A</v>
      </c>
      <c r="Q98" s="569" t="e">
        <f>IF(SUM(H100:I102)&gt;0,'SA3'!$E$21,"No OM3 contribution")</f>
        <v>#N/A</v>
      </c>
      <c r="R98" s="570"/>
      <c r="S98" s="136" t="e">
        <f>IF(Q98="No OM3 contribution","n/a",$Q$98/'SA3'!$E$33)</f>
        <v>#N/A</v>
      </c>
      <c r="T98" s="255"/>
      <c r="U98" s="39"/>
    </row>
    <row r="99" spans="1:21" s="1" customFormat="1" ht="18.75" customHeight="1" x14ac:dyDescent="0.2">
      <c r="A99" s="254"/>
      <c r="B99" s="655"/>
      <c r="C99" s="174" t="s">
        <v>90</v>
      </c>
      <c r="D99" s="635" t="e">
        <f>IF(R63="Ltd by DoB",R48,R48+R63)</f>
        <v>#N/A</v>
      </c>
      <c r="E99" s="636"/>
      <c r="F99" s="131" t="e">
        <f t="shared" si="0"/>
        <v>#N/A</v>
      </c>
      <c r="G99" s="132">
        <f>'Policy assumptions and formulae'!X$10*'Policy assumptions and formulae'!X$20</f>
        <v>20</v>
      </c>
      <c r="H99" s="583" t="e">
        <f t="shared" si="2"/>
        <v>#N/A</v>
      </c>
      <c r="I99" s="574"/>
      <c r="J99" s="131" t="e">
        <f t="shared" si="1"/>
        <v>#N/A</v>
      </c>
      <c r="K99" s="157"/>
      <c r="L99" s="571" t="s">
        <v>255</v>
      </c>
      <c r="M99" s="571"/>
      <c r="N99" s="571"/>
      <c r="O99" s="572"/>
      <c r="P99" s="135" t="str">
        <f>'SA4'!$E$19</f>
        <v>n/a</v>
      </c>
      <c r="Q99" s="569" t="str">
        <f>'SA4'!$E$21</f>
        <v>n/a</v>
      </c>
      <c r="R99" s="570"/>
      <c r="S99" s="136" t="str">
        <f>IF(Q99="n/a","n/a",$Q$99/'SA4'!$E$33)</f>
        <v>n/a</v>
      </c>
      <c r="T99" s="255"/>
      <c r="U99" s="39"/>
    </row>
    <row r="100" spans="1:21" s="1" customFormat="1" ht="18.75" customHeight="1" x14ac:dyDescent="0.2">
      <c r="A100" s="254"/>
      <c r="B100" s="655" t="s">
        <v>91</v>
      </c>
      <c r="C100" s="174" t="s">
        <v>88</v>
      </c>
      <c r="D100" s="635" t="e">
        <f>R74</f>
        <v>#N/A</v>
      </c>
      <c r="E100" s="636"/>
      <c r="F100" s="131" t="e">
        <f t="shared" si="0"/>
        <v>#N/A</v>
      </c>
      <c r="G100" s="132">
        <f>'Policy assumptions and formulae'!X$10*'Policy assumptions and formulae'!X$16</f>
        <v>45</v>
      </c>
      <c r="H100" s="583" t="e">
        <f t="shared" si="2"/>
        <v>#N/A</v>
      </c>
      <c r="I100" s="574"/>
      <c r="J100" s="131" t="e">
        <f t="shared" si="1"/>
        <v>#N/A</v>
      </c>
      <c r="K100" s="157"/>
      <c r="L100" s="571" t="s">
        <v>256</v>
      </c>
      <c r="M100" s="571"/>
      <c r="N100" s="571"/>
      <c r="O100" s="572"/>
      <c r="P100" s="135" t="str">
        <f>'SA5'!$E$19</f>
        <v>n/a</v>
      </c>
      <c r="Q100" s="569" t="str">
        <f>'SA5'!$E$21</f>
        <v>n/a</v>
      </c>
      <c r="R100" s="570"/>
      <c r="S100" s="136" t="str">
        <f>IF(Q100="n/a","n/a",$Q$100/'SA5'!$E$33)</f>
        <v>n/a</v>
      </c>
      <c r="T100" s="255"/>
      <c r="U100" s="39"/>
    </row>
    <row r="101" spans="1:21" s="1" customFormat="1" ht="18.75" customHeight="1" x14ac:dyDescent="0.2">
      <c r="A101" s="254"/>
      <c r="B101" s="655"/>
      <c r="C101" s="174" t="s">
        <v>89</v>
      </c>
      <c r="D101" s="635" t="e">
        <f>R75</f>
        <v>#N/A</v>
      </c>
      <c r="E101" s="636"/>
      <c r="F101" s="131" t="e">
        <f t="shared" si="0"/>
        <v>#N/A</v>
      </c>
      <c r="G101" s="132">
        <f>'Policy assumptions and formulae'!X$10*'Policy assumptions and formulae'!X$18</f>
        <v>30</v>
      </c>
      <c r="H101" s="583" t="e">
        <f t="shared" si="2"/>
        <v>#N/A</v>
      </c>
      <c r="I101" s="574"/>
      <c r="J101" s="131" t="e">
        <f t="shared" si="1"/>
        <v>#N/A</v>
      </c>
      <c r="K101" s="157"/>
      <c r="L101" s="571" t="s">
        <v>257</v>
      </c>
      <c r="M101" s="571"/>
      <c r="N101" s="571"/>
      <c r="O101" s="572"/>
      <c r="P101" s="135" t="str">
        <f>'SA6'!$E$19</f>
        <v>n/a</v>
      </c>
      <c r="Q101" s="569" t="str">
        <f>'SA6'!$E$21</f>
        <v>n/a</v>
      </c>
      <c r="R101" s="570"/>
      <c r="S101" s="136" t="str">
        <f>IF(Q101="n/a","n/a",$Q$101/'SA6'!$E$33)</f>
        <v>n/a</v>
      </c>
      <c r="T101" s="255"/>
      <c r="U101" s="39"/>
    </row>
    <row r="102" spans="1:21" s="1" customFormat="1" ht="18.75" customHeight="1" x14ac:dyDescent="0.2">
      <c r="A102" s="254"/>
      <c r="B102" s="655"/>
      <c r="C102" s="174" t="s">
        <v>90</v>
      </c>
      <c r="D102" s="635" t="e">
        <f>R76</f>
        <v>#N/A</v>
      </c>
      <c r="E102" s="636"/>
      <c r="F102" s="131" t="e">
        <f t="shared" si="0"/>
        <v>#N/A</v>
      </c>
      <c r="G102" s="132">
        <f>'Policy assumptions and formulae'!X$10*'Policy assumptions and formulae'!X$20</f>
        <v>20</v>
      </c>
      <c r="H102" s="583" t="e">
        <f t="shared" si="2"/>
        <v>#N/A</v>
      </c>
      <c r="I102" s="574"/>
      <c r="J102" s="131" t="e">
        <f t="shared" si="1"/>
        <v>#N/A</v>
      </c>
      <c r="K102" s="157"/>
      <c r="L102" s="571" t="s">
        <v>258</v>
      </c>
      <c r="M102" s="571"/>
      <c r="N102" s="571"/>
      <c r="O102" s="572"/>
      <c r="P102" s="135" t="e">
        <f>IF(SUM(H103:I104)&gt;0,'SA7'!E19,"N/A")</f>
        <v>#N/A</v>
      </c>
      <c r="Q102" s="569" t="e">
        <f>IF(SUM(H103:I104)&gt;0,'SA7'!$E$21,"No OM4 contribution")</f>
        <v>#N/A</v>
      </c>
      <c r="R102" s="570"/>
      <c r="S102" s="136" t="e">
        <f>IF(Q102="No OM4 contribution","n/a",$Q$102/'SA7'!$E$33)</f>
        <v>#N/A</v>
      </c>
      <c r="T102" s="255"/>
      <c r="U102" s="39"/>
    </row>
    <row r="103" spans="1:21" s="1" customFormat="1" ht="18.75" customHeight="1" x14ac:dyDescent="0.2">
      <c r="A103" s="254"/>
      <c r="B103" s="649" t="s">
        <v>92</v>
      </c>
      <c r="C103" s="175" t="s">
        <v>118</v>
      </c>
      <c r="D103" s="657" t="e">
        <f>IF(SUM(L83:M90)&lt;0,"Ltd by negative OM4 values",SUM(L83:M90))</f>
        <v>#N/A</v>
      </c>
      <c r="E103" s="657"/>
      <c r="F103" s="131" t="e">
        <f>IF(D103="Ltd by negative OM4 values",0,D103/$D$105)</f>
        <v>#N/A</v>
      </c>
      <c r="G103" s="132">
        <f>'Policy assumptions and formulae'!AT7</f>
        <v>20</v>
      </c>
      <c r="H103" s="583" t="e">
        <f>IF(D103="Ltd by negative OM4 values",0,D103*(G103/100))</f>
        <v>#N/A</v>
      </c>
      <c r="I103" s="574"/>
      <c r="J103" s="131" t="e">
        <f t="shared" si="1"/>
        <v>#N/A</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t="e">
        <f>SUM(R84:S86)</f>
        <v>#N/A</v>
      </c>
      <c r="E104" s="634"/>
      <c r="F104" s="131" t="e">
        <f t="shared" si="0"/>
        <v>#N/A</v>
      </c>
      <c r="G104" s="134">
        <f>'Policy assumptions and formulae'!AT7</f>
        <v>20</v>
      </c>
      <c r="H104" s="583" t="e">
        <f t="shared" si="2"/>
        <v>#N/A</v>
      </c>
      <c r="I104" s="574"/>
      <c r="J104" s="131" t="e">
        <f t="shared" si="1"/>
        <v>#N/A</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t="e">
        <f>SUM(D95:E104)</f>
        <v>#N/A</v>
      </c>
      <c r="E105" s="644"/>
      <c r="F105" s="645" t="s">
        <v>321</v>
      </c>
      <c r="G105" s="646"/>
      <c r="H105" s="647" t="e">
        <f>SUM(H95:I104)</f>
        <v>#N/A</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2.4213075060532687E-2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12"/>
    </row>
    <row r="11" spans="1:20"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125</v>
      </c>
      <c r="F28" s="1002"/>
      <c r="G28" s="395"/>
      <c r="H28" s="970" t="s">
        <v>341</v>
      </c>
      <c r="I28" s="970"/>
      <c r="J28" s="971"/>
      <c r="K28" s="1008">
        <f>'PF calculator'!K28</f>
        <v>14</v>
      </c>
      <c r="L28" s="1009"/>
      <c r="M28" s="1008">
        <f>'PF calculator'!M28</f>
        <v>18</v>
      </c>
      <c r="N28" s="1009"/>
      <c r="O28" s="1008">
        <f>'PF calculator'!O28</f>
        <v>222</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250</v>
      </c>
      <c r="F29" s="1002"/>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11"/>
    </row>
    <row r="30" spans="1:20" s="1" customFormat="1" ht="18.75" customHeight="1" thickBot="1" x14ac:dyDescent="0.25">
      <c r="A30" s="4"/>
      <c r="B30" s="970" t="s">
        <v>339</v>
      </c>
      <c r="C30" s="970"/>
      <c r="D30" s="988"/>
      <c r="E30" s="1001">
        <f>'PF calculator'!E30*1.25</f>
        <v>3750</v>
      </c>
      <c r="F30" s="1002"/>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12"/>
    </row>
    <row r="31" spans="1:20" s="1" customFormat="1" ht="18.75" customHeight="1" thickBot="1" x14ac:dyDescent="0.25">
      <c r="A31" s="4"/>
      <c r="B31" s="970" t="s">
        <v>69</v>
      </c>
      <c r="C31" s="970"/>
      <c r="D31" s="988"/>
      <c r="E31" s="996">
        <f>SUM(E28:E30)</f>
        <v>4125</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12"/>
    </row>
    <row r="32" spans="1:20" s="1" customFormat="1" ht="18.75" customHeight="1" thickBot="1" x14ac:dyDescent="0.25">
      <c r="A32" s="4"/>
      <c r="B32" s="970" t="s">
        <v>340</v>
      </c>
      <c r="C32" s="970"/>
      <c r="D32" s="988"/>
      <c r="E32" s="1001">
        <f>'PF calculator'!E32*1.25</f>
        <v>5</v>
      </c>
      <c r="F32" s="1002"/>
      <c r="G32" s="395"/>
      <c r="H32" s="977" t="s">
        <v>70</v>
      </c>
      <c r="I32" s="977"/>
      <c r="J32" s="986"/>
      <c r="K32" s="1003">
        <f>SUM(K28:L31)</f>
        <v>62</v>
      </c>
      <c r="L32" s="1004"/>
      <c r="M32" s="1003">
        <f>SUM(M28:N31)</f>
        <v>78</v>
      </c>
      <c r="N32" s="1004"/>
      <c r="O32" s="1003">
        <f>SUM(O28:P31)</f>
        <v>894</v>
      </c>
      <c r="P32" s="1004"/>
      <c r="Q32" s="395"/>
      <c r="R32" s="395"/>
      <c r="S32" s="395"/>
      <c r="T32" s="12"/>
    </row>
    <row r="33" spans="1:20" s="1" customFormat="1" ht="18.75" customHeight="1" thickBot="1" x14ac:dyDescent="0.25">
      <c r="A33" s="4"/>
      <c r="B33" s="970" t="s">
        <v>147</v>
      </c>
      <c r="C33" s="970"/>
      <c r="D33" s="988"/>
      <c r="E33" s="996">
        <f>SUM(E31:F32)</f>
        <v>4130</v>
      </c>
      <c r="F33" s="997"/>
      <c r="G33" s="395"/>
      <c r="H33" s="970" t="s">
        <v>71</v>
      </c>
      <c r="I33" s="970"/>
      <c r="J33" s="988"/>
      <c r="K33" s="998">
        <f>IF(D11="Environment Agency",K32+M32+O32,K32+M32)</f>
        <v>1034</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t="e">
        <f>IF(R61="Ltd by DoB",R46,R46+R61)</f>
        <v>#N/A</v>
      </c>
      <c r="E97" s="944"/>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43" t="e">
        <f>IF(R62="Ltd by DoB",R47,R47+R62)</f>
        <v>#N/A</v>
      </c>
      <c r="E98" s="944"/>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43" t="e">
        <f>IF(R63="Ltd by DoB",R48,R48+R63)</f>
        <v>#N/A</v>
      </c>
      <c r="E99" s="944"/>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12"/>
    </row>
    <row r="11" spans="1:20"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53">
        <f>'PF calculator'!K31</f>
        <v>17</v>
      </c>
      <c r="L31" s="1054"/>
      <c r="M31" s="1053">
        <f>'PF calculator'!M31</f>
        <v>21</v>
      </c>
      <c r="N31" s="1054"/>
      <c r="O31" s="1053">
        <f>'PF calculator'!O31</f>
        <v>225</v>
      </c>
      <c r="P31" s="1054"/>
      <c r="Q31" s="1005" t="str">
        <f>'PF calculator'!Q31</f>
        <v>Environmental funding</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22</v>
      </c>
      <c r="H46" s="414">
        <f>'PF calculator'!H46</f>
        <v>23</v>
      </c>
      <c r="I46" s="436">
        <f>'PF calculator'!I46+('PF calculator'!J46*0.5)</f>
        <v>36.5</v>
      </c>
      <c r="J46" s="436">
        <f>'PF calculator'!J46*0.5</f>
        <v>12.5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75"/>
      <c r="T46" s="12"/>
    </row>
    <row r="47" spans="1:20" s="1" customFormat="1" ht="18.75" customHeight="1" thickBot="1" x14ac:dyDescent="0.25">
      <c r="A47" s="14"/>
      <c r="B47" s="970" t="s">
        <v>349</v>
      </c>
      <c r="C47" s="970"/>
      <c r="D47" s="970"/>
      <c r="E47" s="971"/>
      <c r="F47" s="413"/>
      <c r="G47" s="414">
        <f>'PF calculator'!G47</f>
        <v>26</v>
      </c>
      <c r="H47" s="414">
        <f>'PF calculator'!H47</f>
        <v>27</v>
      </c>
      <c r="I47" s="436">
        <f>'PF calculator'!I47+('PF calculator'!J47*0.5)</f>
        <v>42.5</v>
      </c>
      <c r="J47" s="436">
        <f>'PF calculator'!J47*0.5</f>
        <v>14.5</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75"/>
      <c r="T47" s="12"/>
    </row>
    <row r="48" spans="1:20" s="1" customFormat="1" ht="18.75" customHeight="1" thickBot="1" x14ac:dyDescent="0.25">
      <c r="A48" s="14"/>
      <c r="B48" s="970" t="s">
        <v>350</v>
      </c>
      <c r="C48" s="970"/>
      <c r="D48" s="970"/>
      <c r="E48" s="971"/>
      <c r="F48" s="413"/>
      <c r="G48" s="414">
        <f>'PF calculator'!G48</f>
        <v>30</v>
      </c>
      <c r="H48" s="414">
        <f>'PF calculator'!H48</f>
        <v>31</v>
      </c>
      <c r="I48" s="436">
        <f>'PF calculator'!I48+('PF calculator'!J48*0.5)</f>
        <v>48.5</v>
      </c>
      <c r="J48" s="436">
        <f>'PF calculator'!J48*0.5</f>
        <v>16.5</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7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7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1050" t="s">
        <v>74</v>
      </c>
      <c r="S83" s="1050"/>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t="e">
        <f>IF(R61="Ltd by DoB",R46,R46+R61)</f>
        <v>#N/A</v>
      </c>
      <c r="E97" s="936"/>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35" t="e">
        <f>IF(R62="Ltd by DoB",R47,R47+R62)</f>
        <v>#N/A</v>
      </c>
      <c r="E98" s="936"/>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35" t="e">
        <f>IF(R63="Ltd by DoB",R48,R48+R63)</f>
        <v>#N/A</v>
      </c>
      <c r="E99" s="936"/>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12"/>
    </row>
    <row r="11" spans="1:20"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0"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0"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t="str">
        <f>'PF calculator'!$D$7&amp;"  Sensitivity Analysis: "&amp;'PF calculator'!$L$98</f>
        <v>Jason Leigh-Griffiths Test PFC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114.5</v>
      </c>
      <c r="G74" s="436">
        <f>'PF calculator'!G74*0.5</f>
        <v>38.5</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36">
        <f>'PF calculator'!F75+('PF calculator'!G75*0.5)</f>
        <v>117.5</v>
      </c>
      <c r="G75" s="436">
        <f>'PF calculator'!G75*0.5</f>
        <v>39.5</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36">
        <f>'PF calculator'!F76+('PF calculator'!G76*0.5)</f>
        <v>120.5</v>
      </c>
      <c r="G76" s="436">
        <f>'PF calculator'!G76*0.5</f>
        <v>40.5</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100</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10902781.569693521</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11187011.177006638</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11471240.784319753</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1068"/>
      <c r="H83" s="426">
        <f>'PF calculator'!H83</f>
        <v>106</v>
      </c>
      <c r="I83" s="426">
        <f>'PF calculator'!I83</f>
        <v>107</v>
      </c>
      <c r="J83" s="426">
        <f>'PF calculator'!J83</f>
        <v>108</v>
      </c>
      <c r="K83" s="962" t="str">
        <f>IF(SUM(D83:F90)&lt;&gt;SUM(H83:J90),"Error in net change habitat","")</f>
        <v>Error in net change habitat</v>
      </c>
      <c r="L83" s="1066">
        <f>(((H83-D83)*'Policy assumptions and formulae'!AR12)+((I83-E83)*'Policy assumptions and formulae'!AS12)+((J83-F83)*'Policy assumptions and formulae'!AT12))*VLOOKUP($E$38,'Policy assumptions and formulae'!$A$10:$D$109,4,FALSE)</f>
        <v>13789706.66310136</v>
      </c>
      <c r="M83" s="1067"/>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1068"/>
      <c r="H84" s="426">
        <f>'PF calculator'!H84</f>
        <v>109</v>
      </c>
      <c r="I84" s="426">
        <f>'PF calculator'!I84</f>
        <v>110</v>
      </c>
      <c r="J84" s="426">
        <f>'PF calculator'!J84</f>
        <v>111</v>
      </c>
      <c r="K84" s="962"/>
      <c r="L84" s="1066">
        <f>(((H84-D84)*'Policy assumptions and formulae'!AR13)+((I84-E84)*'Policy assumptions and formulae'!AS13)+((J84-F84)*'Policy assumptions and formulae'!AT13))*VLOOKUP($E$38,'Policy assumptions and formulae'!$A$10:$D$109,4,FALSE)</f>
        <v>7876760.7186841965</v>
      </c>
      <c r="M84" s="1067"/>
      <c r="N84" s="968" t="s">
        <v>380</v>
      </c>
      <c r="O84" s="969"/>
      <c r="P84" s="427">
        <f>'PF calculator'!P84</f>
        <v>130</v>
      </c>
      <c r="Q84" s="328"/>
      <c r="R84" s="953">
        <f>(P84*'Policy assumptions and formulae'!AT23)*VLOOKUP($E$38,'Policy assumptions and formulae'!$A$10:$D$109,4,FALSE)</f>
        <v>51245531.518282078</v>
      </c>
      <c r="S84" s="954"/>
      <c r="T84" s="439"/>
    </row>
    <row r="85" spans="1:22" ht="18.75" customHeight="1" thickBot="1" x14ac:dyDescent="0.25">
      <c r="A85" s="5"/>
      <c r="B85" s="957" t="s">
        <v>55</v>
      </c>
      <c r="C85" s="958"/>
      <c r="D85" s="426">
        <f>'PF calculator'!D85</f>
        <v>88</v>
      </c>
      <c r="E85" s="426">
        <f>'PF calculator'!E85</f>
        <v>89</v>
      </c>
      <c r="F85" s="426">
        <f>'PF calculator'!F85</f>
        <v>90</v>
      </c>
      <c r="G85" s="1068"/>
      <c r="H85" s="426">
        <f>'PF calculator'!H85</f>
        <v>112</v>
      </c>
      <c r="I85" s="426">
        <f>'PF calculator'!I85</f>
        <v>113</v>
      </c>
      <c r="J85" s="426">
        <f>'PF calculator'!J85</f>
        <v>114</v>
      </c>
      <c r="K85" s="962"/>
      <c r="L85" s="1066">
        <f>(((H85-D85)*'Policy assumptions and formulae'!AR14)+((I85-E85)*'Policy assumptions and formulae'!AS14)+((J85-F85)*'Policy assumptions and formulae'!AT14))*VLOOKUP($E$38,'Policy assumptions and formulae'!$A$10:$D$109,4,FALSE)</f>
        <v>7876760.7186841965</v>
      </c>
      <c r="M85" s="1067"/>
      <c r="N85" s="968" t="s">
        <v>381</v>
      </c>
      <c r="O85" s="969"/>
      <c r="P85" s="427">
        <f>'PF calculator'!P85</f>
        <v>131</v>
      </c>
      <c r="Q85" s="328"/>
      <c r="R85" s="953">
        <f>(P85*'Policy assumptions and formulae'!AT24)*VLOOKUP($E$38,'Policy assumptions and formulae'!$A$10:$D$109,4,FALSE)</f>
        <v>25819863.95728828</v>
      </c>
      <c r="S85" s="954"/>
      <c r="T85" s="439"/>
    </row>
    <row r="86" spans="1:22" ht="18.75" customHeight="1" thickBot="1" x14ac:dyDescent="0.25">
      <c r="A86" s="5"/>
      <c r="B86" s="957" t="s">
        <v>107</v>
      </c>
      <c r="C86" s="958"/>
      <c r="D86" s="426">
        <f>'PF calculator'!D86</f>
        <v>91</v>
      </c>
      <c r="E86" s="426">
        <f>'PF calculator'!E86</f>
        <v>92</v>
      </c>
      <c r="F86" s="426">
        <f>'PF calculator'!F86</f>
        <v>93</v>
      </c>
      <c r="G86" s="1068"/>
      <c r="H86" s="426">
        <f>'PF calculator'!H86</f>
        <v>115</v>
      </c>
      <c r="I86" s="426">
        <f>'PF calculator'!I86</f>
        <v>116</v>
      </c>
      <c r="J86" s="426">
        <f>'PF calculator'!J86</f>
        <v>117</v>
      </c>
      <c r="K86" s="962"/>
      <c r="L86" s="1066">
        <f>(((H86-D86)*'Policy assumptions and formulae'!AR15)+((I86-E86)*'Policy assumptions and formulae'!AS15)+((J86-F86)*'Policy assumptions and formulae'!AT15))*VLOOKUP($E$38,'Policy assumptions and formulae'!$A$10:$D$109,4,FALSE)</f>
        <v>4386330.8096767319</v>
      </c>
      <c r="M86" s="1067"/>
      <c r="N86" s="963" t="s">
        <v>352</v>
      </c>
      <c r="O86" s="964"/>
      <c r="P86" s="427">
        <f>'PF calculator'!P86</f>
        <v>132</v>
      </c>
      <c r="Q86" s="328"/>
      <c r="R86" s="953">
        <f>(P86*'Policy assumptions and formulae'!AT25)*VLOOKUP($E$38,'Policy assumptions and formulae'!$A$10:$D$109,4,FALSE)</f>
        <v>13008481.077717759</v>
      </c>
      <c r="S86" s="954"/>
      <c r="T86" s="439"/>
    </row>
    <row r="87" spans="1:22" ht="18.75" customHeight="1" thickBot="1" x14ac:dyDescent="0.25">
      <c r="A87" s="5"/>
      <c r="B87" s="957" t="s">
        <v>108</v>
      </c>
      <c r="C87" s="958"/>
      <c r="D87" s="426">
        <f>'PF calculator'!D87</f>
        <v>94</v>
      </c>
      <c r="E87" s="426">
        <f>'PF calculator'!E87</f>
        <v>95</v>
      </c>
      <c r="F87" s="426">
        <f>'PF calculator'!F87</f>
        <v>96</v>
      </c>
      <c r="G87" s="1068"/>
      <c r="H87" s="426">
        <f>'PF calculator'!H87</f>
        <v>118</v>
      </c>
      <c r="I87" s="426">
        <f>'PF calculator'!I87</f>
        <v>119</v>
      </c>
      <c r="J87" s="426">
        <f>'PF calculator'!J87</f>
        <v>120</v>
      </c>
      <c r="K87" s="962"/>
      <c r="L87" s="1066">
        <f>(((H87-D87)*'Policy assumptions and formulae'!AR16)+((I87-E87)*'Policy assumptions and formulae'!AS16)+((J87-F87)*'Policy assumptions and formulae'!AT16))*VLOOKUP($E$38,'Policy assumptions and formulae'!$A$10:$D$109,4,FALSE)</f>
        <v>473035.67555337306</v>
      </c>
      <c r="M87" s="1067"/>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1068"/>
      <c r="H88" s="426">
        <f>'PF calculator'!H88</f>
        <v>121</v>
      </c>
      <c r="I88" s="426">
        <f>'PF calculator'!I88</f>
        <v>122</v>
      </c>
      <c r="J88" s="426">
        <f>'PF calculator'!J88</f>
        <v>123</v>
      </c>
      <c r="K88" s="962"/>
      <c r="L88" s="1066">
        <f>(((H88-D88)*'Policy assumptions and formulae'!AR17)+((I88-E88)*'Policy assumptions and formulae'!AS17)+((J88-F88)*'Policy assumptions and formulae'!AT17))*VLOOKUP($E$38,'Policy assumptions and formulae'!$A$10:$D$109,4,FALSE)</f>
        <v>3017394.2334540919</v>
      </c>
      <c r="M88" s="1067"/>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1068"/>
      <c r="H89" s="426">
        <f>'PF calculator'!H89</f>
        <v>124</v>
      </c>
      <c r="I89" s="426">
        <f>'PF calculator'!I89</f>
        <v>125</v>
      </c>
      <c r="J89" s="426">
        <f>'PF calculator'!J89</f>
        <v>126</v>
      </c>
      <c r="K89" s="962"/>
      <c r="L89" s="1066">
        <f>(((H89-D89)*'Policy assumptions and formulae'!AR18)+((I89-E89)*'Policy assumptions and formulae'!AS18)+((J89-F89)*'Policy assumptions and formulae'!AT18))*VLOOKUP($E$38,'Policy assumptions and formulae'!$A$10:$D$109,4,FALSE)</f>
        <v>4386330.8096767319</v>
      </c>
      <c r="M89" s="1067"/>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1068"/>
      <c r="H90" s="426">
        <f>'PF calculator'!H90</f>
        <v>127</v>
      </c>
      <c r="I90" s="426">
        <f>'PF calculator'!I90</f>
        <v>128</v>
      </c>
      <c r="J90" s="426">
        <f>'PF calculator'!J90</f>
        <v>129</v>
      </c>
      <c r="K90" s="962"/>
      <c r="L90" s="1066">
        <f>(((H90-D90)*'Policy assumptions and formulae'!AR19)+((I90-E90)*'Policy assumptions and formulae'!AS19)+((J90-F90)*'Policy assumptions and formulae'!AT19))*VLOOKUP($E$38,'Policy assumptions and formulae'!$A$10:$D$109,4,FALSE)</f>
        <v>100340.90087495792</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10902781.569693521</v>
      </c>
      <c r="E100" s="944"/>
      <c r="F100" s="945">
        <f>'PF calculator'!G100</f>
        <v>45</v>
      </c>
      <c r="G100" s="946"/>
      <c r="H100" s="943">
        <f t="shared" si="0"/>
        <v>4906251.7063620845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11187011.177006638</v>
      </c>
      <c r="E101" s="944"/>
      <c r="F101" s="945">
        <f>'PF calculator'!G101</f>
        <v>30</v>
      </c>
      <c r="G101" s="946"/>
      <c r="H101" s="943">
        <f t="shared" si="0"/>
        <v>3356103.3531019911</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11471240.784319753</v>
      </c>
      <c r="E102" s="944"/>
      <c r="F102" s="945">
        <f>'PF calculator'!G102</f>
        <v>20</v>
      </c>
      <c r="G102" s="946"/>
      <c r="H102" s="943">
        <f t="shared" si="0"/>
        <v>2294248.1568639507</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41906660.529705636</v>
      </c>
      <c r="E103" s="1063"/>
      <c r="F103" s="945">
        <f>'PF calculator'!G103</f>
        <v>20</v>
      </c>
      <c r="G103" s="946"/>
      <c r="H103" s="943">
        <f>IF(D103="Ltd by negative OM4 values",0,D103*(F103/100))</f>
        <v>8381332.105941128</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90073876.553288102</v>
      </c>
      <c r="E104" s="950"/>
      <c r="F104" s="945">
        <f>'PF calculator'!G104</f>
        <v>20</v>
      </c>
      <c r="G104" s="946"/>
      <c r="H104" s="943">
        <f>D104*(F104/100)</f>
        <v>18014775.31065762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165541583.61401364</v>
      </c>
      <c r="E105" s="943"/>
      <c r="F105" s="1059" t="str">
        <f>'PF calculator'!F105:G105</f>
        <v>pv max. eligible GiA</v>
      </c>
      <c r="G105" s="1060"/>
      <c r="H105" s="1061">
        <f>SUM(H95:I104)</f>
        <v>36952713.232926771</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2020-03-12T13:04:22Z</dcterms:modified>
</cp:coreProperties>
</file>