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codeName="ThisWorkbook" hidePivotFieldList="1" defaultThemeVersion="124226"/>
  <mc:AlternateContent xmlns:mc="http://schemas.openxmlformats.org/markup-compatibility/2006">
    <mc:Choice Requires="x15">
      <x15ac:absPath xmlns:x15ac="http://schemas.microsoft.com/office/spreadsheetml/2010/11/ac" url="/Users/howarddavis/Downloads/"/>
    </mc:Choice>
  </mc:AlternateContent>
  <xr:revisionPtr revIDLastSave="0" documentId="8_{75C40E21-A4E2-4A44-99D2-6EC3D9AD8536}" xr6:coauthVersionLast="32" xr6:coauthVersionMax="32" xr10:uidLastSave="{00000000-0000-0000-0000-000000000000}"/>
  <bookViews>
    <workbookView xWindow="13780" yWindow="460" windowWidth="10260" windowHeight="1518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79017"/>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30"/>
  <c r="I89" i="30" s="1"/>
  <c r="D89" i="27"/>
  <c r="I89" i="27" s="1"/>
  <c r="D89" i="29"/>
  <c r="I89" i="29" s="1"/>
  <c r="D89" i="28"/>
  <c r="I89" i="28" s="1"/>
  <c r="D89" i="26"/>
  <c r="I89" i="26" s="1"/>
  <c r="C11" i="1" l="1"/>
  <c r="C17" i="31"/>
  <c r="F17" i="31" s="1"/>
  <c r="D10" i="1"/>
  <c r="D11" i="1" s="1"/>
  <c r="C12" i="1" l="1"/>
  <c r="C18" i="31"/>
  <c r="F18" i="31" s="1"/>
  <c r="D90" i="8"/>
  <c r="I90" i="8"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s="1"/>
  <c r="C24" i="1" l="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s="1"/>
  <c r="C32" i="1" l="1"/>
  <c r="C38" i="31"/>
  <c r="F38" i="31" s="1"/>
  <c r="C33" i="1" l="1"/>
  <c r="C39" i="31"/>
  <c r="F39" i="31" s="1"/>
  <c r="D32" i="1"/>
  <c r="D33" i="1" s="1"/>
  <c r="C34" i="1" l="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s="1"/>
  <c r="J74" i="26" l="1"/>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I94" i="8" l="1"/>
  <c r="I98" i="8" s="1"/>
  <c r="D98" i="8"/>
  <c r="I93" i="26"/>
  <c r="I97" i="26" s="1"/>
  <c r="D97" i="26"/>
  <c r="I93" i="30"/>
  <c r="I97" i="30" s="1"/>
  <c r="D97" i="30"/>
  <c r="C59" i="1"/>
  <c r="C65" i="31"/>
  <c r="F65" i="31" s="1"/>
  <c r="D58" i="1"/>
  <c r="I93" i="28"/>
  <c r="I97" i="28" s="1"/>
  <c r="D97" i="28"/>
  <c r="I93" i="27"/>
  <c r="I97" i="27" s="1"/>
  <c r="D97" i="27"/>
  <c r="H15" i="28" l="1"/>
  <c r="H19" i="28"/>
  <c r="H21" i="28" s="1"/>
  <c r="N14" i="28" s="1"/>
  <c r="C60" i="1"/>
  <c r="C66" i="31"/>
  <c r="F66" i="31" s="1"/>
  <c r="H19" i="30"/>
  <c r="H21" i="30" s="1"/>
  <c r="N14" i="30" s="1"/>
  <c r="H15" i="30"/>
  <c r="H15" i="27"/>
  <c r="I106" i="8" s="1"/>
  <c r="H19" i="27"/>
  <c r="H21" i="27" s="1"/>
  <c r="N14" i="27" s="1"/>
  <c r="H17" i="27"/>
  <c r="H15" i="26"/>
  <c r="D59" i="1"/>
  <c r="D60" i="1" s="1"/>
  <c r="H15" i="8"/>
  <c r="I104" i="8" s="1"/>
  <c r="H17" i="8"/>
  <c r="H19" i="8"/>
  <c r="H21" i="8" s="1"/>
  <c r="N14" i="8" s="1"/>
  <c r="H17" i="30" l="1"/>
  <c r="I109" i="8"/>
  <c r="B45" i="8"/>
  <c r="J104" i="8"/>
  <c r="C61" i="1"/>
  <c r="C67" i="31"/>
  <c r="F67" i="31" s="1"/>
  <c r="H17" i="26"/>
  <c r="I105" i="8"/>
  <c r="B45" i="27"/>
  <c r="J106" i="8"/>
  <c r="H17" i="28"/>
  <c r="I107" i="8"/>
  <c r="C62" i="1" l="1"/>
  <c r="C68" i="31"/>
  <c r="F68" i="31" s="1"/>
  <c r="J105" i="8"/>
  <c r="H44" i="26"/>
  <c r="B45" i="26"/>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H19" i="29"/>
  <c r="H21" i="29" s="1"/>
  <c r="N14" i="29" s="1"/>
  <c r="H17" i="29"/>
  <c r="C71" i="1"/>
  <c r="C77" i="31"/>
  <c r="F77" i="31" s="1"/>
  <c r="C72" i="1" l="1"/>
  <c r="C78" i="31"/>
  <c r="F78" i="31" s="1"/>
  <c r="B45" i="29"/>
  <c r="J108" i="8"/>
  <c r="D71" i="1"/>
  <c r="D72" i="1" s="1"/>
  <c r="C73" i="1" l="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<sst xmlns="http://schemas.openxmlformats.org/spreadsheetml/2006/main" count="1016" uniqueCount="222">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</sst>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5" fontId="2" fillId="4" borderId="3" xfId="15" applyNumberFormat="1" applyFont="1" applyFill="1" applyBorder="1" applyProtection="1">
      <protection locked="0"/>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70" zoomScale="172" zoomScaleNormal="172" workbookViewId="0">
      <selection activeCell="C85" sqref="C85"/>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2" t="s">
        <v>132</v>
      </c>
      <c r="C5" s="242"/>
      <c r="D5" s="242"/>
      <c r="E5" s="57"/>
      <c r="F5" s="87"/>
      <c r="G5" s="87"/>
      <c r="H5" s="87"/>
      <c r="I5" s="87"/>
      <c r="J5" s="87"/>
      <c r="K5" s="87"/>
      <c r="L5" s="87"/>
      <c r="M5" s="87"/>
      <c r="N5" s="87"/>
      <c r="O5" s="87"/>
      <c r="P5" s="88"/>
      <c r="Q5" s="89"/>
      <c r="R5" s="89"/>
    </row>
    <row r="6" spans="1:18" ht="20" x14ac:dyDescent="0.2">
      <c r="B6" s="90" t="s">
        <v>208</v>
      </c>
      <c r="C6" s="90"/>
      <c r="D6" s="90"/>
      <c r="E6" s="58"/>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3" t="s">
        <v>14</v>
      </c>
      <c r="N8" s="244"/>
      <c r="O8" s="245"/>
    </row>
    <row r="9" spans="1:18" x14ac:dyDescent="0.2">
      <c r="B9" s="94" t="s">
        <v>203</v>
      </c>
      <c r="J9" s="83" t="s">
        <v>146</v>
      </c>
      <c r="L9" s="80"/>
      <c r="M9" s="246" t="s">
        <v>15</v>
      </c>
      <c r="N9" s="247"/>
      <c r="O9" s="248"/>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t="e">
        <f>H29/MIN(H21,H37)</f>
        <v>#DIV/0!</v>
      </c>
      <c r="O14" s="47" t="s">
        <v>17</v>
      </c>
    </row>
    <row r="15" spans="1:18" ht="15" customHeight="1" x14ac:dyDescent="0.2">
      <c r="B15" s="109" t="s">
        <v>153</v>
      </c>
      <c r="C15" s="110"/>
      <c r="D15" s="110"/>
      <c r="E15" s="110"/>
      <c r="F15" s="110"/>
      <c r="G15" s="110"/>
      <c r="H15" s="61" t="e">
        <f>IF(J25="yes",I98/MAX(H37,H34),IF(J25="Yes",I98/MAX(H37,H34),0.45*I98/MAX(H37,H34)))</f>
        <v>#DIV/0!</v>
      </c>
      <c r="I15" s="107" t="s">
        <v>156</v>
      </c>
      <c r="K15" s="80"/>
      <c r="L15" s="80"/>
      <c r="M15" s="108" t="s">
        <v>210</v>
      </c>
      <c r="N15" s="60"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55" t="s">
        <v>206</v>
      </c>
      <c r="K17" s="256"/>
      <c r="L17" s="256"/>
      <c r="M17" s="256"/>
      <c r="N17" s="256"/>
      <c r="O17" s="256"/>
      <c r="Q17" s="253"/>
      <c r="R17" s="254"/>
      <c r="S17" s="254"/>
      <c r="T17" s="254"/>
      <c r="U17" s="254"/>
      <c r="V17" s="254"/>
    </row>
    <row r="18" spans="2:22" ht="15" customHeight="1" x14ac:dyDescent="0.2">
      <c r="B18" s="109"/>
      <c r="C18" s="86"/>
      <c r="D18" s="86"/>
      <c r="E18" s="86"/>
      <c r="F18" s="86"/>
      <c r="G18" s="86"/>
      <c r="H18" s="86"/>
      <c r="J18" s="256"/>
      <c r="K18" s="256"/>
      <c r="L18" s="256"/>
      <c r="M18" s="256"/>
      <c r="N18" s="256"/>
      <c r="O18" s="256"/>
      <c r="Q18" s="254"/>
      <c r="R18" s="254"/>
      <c r="S18" s="254"/>
      <c r="T18" s="254"/>
      <c r="U18" s="254"/>
      <c r="V18" s="254"/>
    </row>
    <row r="19" spans="2:22" ht="15" customHeight="1" x14ac:dyDescent="0.2">
      <c r="B19" s="109" t="s">
        <v>134</v>
      </c>
      <c r="C19" s="112"/>
      <c r="D19" s="112"/>
      <c r="E19" s="112"/>
      <c r="F19" s="112"/>
      <c r="G19" s="112"/>
      <c r="H19" s="61">
        <f>IF(J25="Yes",IF(Authority="EA",I98/MAX(MAX(H37,H34)-H44,1),RawOMScore+H44/H34),IF(Authority="EA",I98*0.45/MAX(MAX(H37,H34)-H44,1),H15+H44/H34))</f>
        <v>44095000</v>
      </c>
      <c r="I19" s="107" t="s">
        <v>158</v>
      </c>
      <c r="J19" s="256"/>
      <c r="K19" s="256"/>
      <c r="L19" s="256"/>
      <c r="M19" s="256"/>
      <c r="N19" s="256"/>
      <c r="O19" s="256"/>
      <c r="Q19" s="254"/>
      <c r="R19" s="254"/>
      <c r="S19" s="254"/>
      <c r="T19" s="254"/>
      <c r="U19" s="254"/>
      <c r="V19" s="254"/>
    </row>
    <row r="20" spans="2:22" ht="15" customHeight="1" x14ac:dyDescent="0.2">
      <c r="J20" s="256"/>
      <c r="K20" s="256"/>
      <c r="L20" s="256"/>
      <c r="M20" s="256"/>
      <c r="N20" s="256"/>
      <c r="O20" s="256"/>
      <c r="Q20" s="254"/>
      <c r="R20" s="254"/>
      <c r="S20" s="254"/>
      <c r="T20" s="254"/>
      <c r="U20" s="254"/>
      <c r="V20" s="254"/>
    </row>
    <row r="21" spans="2:22" ht="15" customHeight="1" x14ac:dyDescent="0.2">
      <c r="B21" s="113" t="s">
        <v>219</v>
      </c>
      <c r="C21" s="114"/>
      <c r="D21" s="114"/>
      <c r="E21" s="114"/>
      <c r="F21" s="114"/>
      <c r="G21" s="114"/>
      <c r="H21" s="63">
        <f>IF(ROUNDUP(AdjOMScore,4)&lt;100%,"-",H34-H44)</f>
        <v>0</v>
      </c>
      <c r="I21" s="107" t="s">
        <v>159</v>
      </c>
      <c r="J21" s="256"/>
      <c r="K21" s="256"/>
      <c r="L21" s="256"/>
      <c r="M21" s="256"/>
      <c r="N21" s="256"/>
      <c r="O21" s="256"/>
      <c r="Q21" s="254"/>
      <c r="R21" s="254"/>
      <c r="S21" s="254"/>
      <c r="T21" s="254"/>
      <c r="U21" s="254"/>
      <c r="V21" s="254"/>
    </row>
    <row r="22" spans="2:22" ht="22.5" customHeight="1" x14ac:dyDescent="0.2">
      <c r="C22" s="80"/>
      <c r="D22" s="80"/>
      <c r="E22" s="80"/>
      <c r="G22" s="115"/>
      <c r="H22" s="115"/>
      <c r="I22" s="104"/>
      <c r="J22" s="264"/>
      <c r="K22" s="264"/>
      <c r="L22" s="264"/>
      <c r="M22" s="264"/>
      <c r="N22" s="264"/>
      <c r="O22" s="264"/>
      <c r="Q22" s="254"/>
      <c r="R22" s="254"/>
      <c r="S22" s="254"/>
      <c r="T22" s="254"/>
      <c r="U22" s="254"/>
      <c r="V22" s="254"/>
    </row>
    <row r="23" spans="2:22" ht="6.75" customHeight="1" x14ac:dyDescent="0.2">
      <c r="B23" s="116"/>
      <c r="C23" s="116"/>
      <c r="D23" s="116"/>
      <c r="E23" s="116"/>
      <c r="F23" s="116"/>
      <c r="G23" s="116"/>
      <c r="H23" s="116"/>
      <c r="I23" s="116"/>
      <c r="J23" s="117"/>
      <c r="K23" s="117"/>
      <c r="L23" s="117"/>
      <c r="M23" s="117"/>
      <c r="N23" s="117"/>
      <c r="O23" s="118"/>
      <c r="P23" s="100"/>
      <c r="Q23" s="254"/>
      <c r="R23" s="254"/>
      <c r="S23" s="254"/>
      <c r="T23" s="254"/>
      <c r="U23" s="254"/>
      <c r="V23" s="254"/>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66" t="s">
        <v>174</v>
      </c>
      <c r="K26" s="267"/>
      <c r="L26" s="267"/>
      <c r="M26" s="267"/>
      <c r="N26" s="267"/>
      <c r="O26" s="125"/>
      <c r="P26" s="126"/>
    </row>
    <row r="27" spans="2:22" x14ac:dyDescent="0.2">
      <c r="B27" s="122" t="s">
        <v>124</v>
      </c>
      <c r="C27" s="120"/>
      <c r="D27" s="123"/>
      <c r="E27" s="80"/>
      <c r="F27" s="80"/>
      <c r="G27" s="80"/>
      <c r="H27" s="39">
        <v>50</v>
      </c>
      <c r="I27" s="107" t="s">
        <v>161</v>
      </c>
      <c r="J27" s="267"/>
      <c r="K27" s="267"/>
      <c r="L27" s="267"/>
      <c r="M27" s="267"/>
      <c r="N27" s="267"/>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c r="I29" s="107" t="s">
        <v>162</v>
      </c>
      <c r="J29" s="121"/>
      <c r="K29" s="121"/>
      <c r="L29" s="121"/>
      <c r="M29" s="121"/>
      <c r="N29" s="121"/>
      <c r="O29" s="83"/>
    </row>
    <row r="30" spans="2:22" ht="15.75" customHeight="1" x14ac:dyDescent="0.2">
      <c r="B30" s="122"/>
      <c r="C30" s="120"/>
      <c r="D30" s="123"/>
      <c r="E30" s="80"/>
      <c r="F30" s="80"/>
      <c r="G30" s="80"/>
      <c r="H30" s="80"/>
      <c r="I30" s="80"/>
      <c r="J30" s="257" t="s">
        <v>197</v>
      </c>
      <c r="K30" s="258"/>
      <c r="L30" s="258"/>
      <c r="M30" s="258"/>
      <c r="N30" s="259"/>
      <c r="O30" s="121"/>
    </row>
    <row r="31" spans="2:22" x14ac:dyDescent="0.2">
      <c r="B31" s="127" t="s">
        <v>151</v>
      </c>
      <c r="C31" s="120"/>
      <c r="D31" s="123"/>
      <c r="E31" s="80"/>
      <c r="F31" s="80"/>
      <c r="G31" s="80"/>
      <c r="H31" s="106"/>
      <c r="I31" s="80"/>
      <c r="J31" s="260"/>
      <c r="K31" s="261"/>
      <c r="L31" s="261"/>
      <c r="M31" s="261"/>
      <c r="N31" s="262"/>
      <c r="O31" s="83"/>
    </row>
    <row r="32" spans="2:22" x14ac:dyDescent="0.2">
      <c r="B32" s="120" t="s">
        <v>118</v>
      </c>
      <c r="C32" s="120"/>
      <c r="D32" s="123"/>
      <c r="E32" s="80"/>
      <c r="F32" s="80"/>
      <c r="G32" s="80"/>
      <c r="H32" s="40"/>
      <c r="I32" s="107" t="s">
        <v>163</v>
      </c>
      <c r="J32" s="260"/>
      <c r="K32" s="261"/>
      <c r="L32" s="261"/>
      <c r="M32" s="261"/>
      <c r="N32" s="262"/>
      <c r="O32" s="121"/>
    </row>
    <row r="33" spans="2:15" x14ac:dyDescent="0.2">
      <c r="B33" s="120" t="s">
        <v>125</v>
      </c>
      <c r="C33" s="120"/>
      <c r="D33" s="123"/>
      <c r="E33" s="80"/>
      <c r="F33" s="80"/>
      <c r="G33" s="80"/>
      <c r="H33" s="40"/>
      <c r="I33" s="107" t="s">
        <v>164</v>
      </c>
      <c r="J33" s="263"/>
      <c r="K33" s="264"/>
      <c r="L33" s="264"/>
      <c r="M33" s="264"/>
      <c r="N33" s="265"/>
      <c r="O33" s="121"/>
    </row>
    <row r="34" spans="2:15" x14ac:dyDescent="0.2">
      <c r="B34" s="127" t="s">
        <v>154</v>
      </c>
      <c r="C34" s="120"/>
      <c r="D34" s="123"/>
      <c r="E34" s="80"/>
      <c r="F34" s="80"/>
      <c r="G34" s="80"/>
      <c r="H34" s="64">
        <f>SUM(H32:H33)</f>
        <v>0</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c r="I36" s="107" t="s">
        <v>166</v>
      </c>
      <c r="J36" s="121"/>
      <c r="K36" s="121"/>
      <c r="L36" s="121"/>
      <c r="M36" s="121"/>
      <c r="N36" s="121"/>
      <c r="O36" s="121"/>
    </row>
    <row r="37" spans="2:15" x14ac:dyDescent="0.2">
      <c r="B37" s="122" t="s">
        <v>209</v>
      </c>
      <c r="C37" s="120"/>
      <c r="D37" s="123"/>
      <c r="E37" s="80"/>
      <c r="F37" s="80"/>
      <c r="G37" s="80"/>
      <c r="H37" s="65">
        <f>H36+H34</f>
        <v>0</v>
      </c>
      <c r="I37" s="107" t="s">
        <v>167</v>
      </c>
      <c r="J37" s="121"/>
      <c r="K37" s="121"/>
      <c r="L37" s="121"/>
      <c r="M37" s="121"/>
      <c r="N37" s="121"/>
      <c r="O37" s="121"/>
    </row>
    <row r="38" spans="2:15" ht="30" customHeight="1" x14ac:dyDescent="0.2">
      <c r="B38" s="120"/>
      <c r="C38" s="120"/>
      <c r="D38" s="123"/>
      <c r="E38" s="80"/>
      <c r="F38" s="80"/>
      <c r="G38" s="80"/>
      <c r="H38" s="128"/>
      <c r="I38" s="80"/>
      <c r="J38" s="252" t="s">
        <v>200</v>
      </c>
      <c r="K38" s="251"/>
      <c r="L38" s="251"/>
      <c r="M38" s="251"/>
      <c r="N38" s="251"/>
      <c r="O38" s="251"/>
    </row>
    <row r="39" spans="2:15" ht="15" customHeight="1" x14ac:dyDescent="0.2">
      <c r="B39" s="129" t="s">
        <v>152</v>
      </c>
      <c r="C39" s="120"/>
      <c r="D39" s="123"/>
      <c r="E39" s="80"/>
      <c r="F39" s="80"/>
      <c r="G39" s="80"/>
      <c r="H39" s="128"/>
      <c r="I39" s="80"/>
      <c r="J39" s="251"/>
      <c r="K39" s="251"/>
      <c r="L39" s="251"/>
      <c r="M39" s="251"/>
      <c r="N39" s="251"/>
      <c r="O39" s="251"/>
    </row>
    <row r="40" spans="2:15" ht="15" customHeight="1" x14ac:dyDescent="0.2">
      <c r="B40" s="120" t="s">
        <v>119</v>
      </c>
      <c r="C40" s="120"/>
      <c r="D40" s="123"/>
      <c r="E40" s="80"/>
      <c r="F40" s="80"/>
      <c r="G40" s="80"/>
      <c r="H40" s="42"/>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row>
    <row r="41" spans="2:15" ht="15" customHeight="1" x14ac:dyDescent="0.2">
      <c r="B41" s="120" t="s">
        <v>120</v>
      </c>
      <c r="C41" s="120"/>
      <c r="D41" s="123"/>
      <c r="E41" s="80"/>
      <c r="F41" s="80"/>
      <c r="G41" s="80"/>
      <c r="H41" s="40"/>
      <c r="I41" s="107" t="s">
        <v>169</v>
      </c>
      <c r="J41" s="251"/>
      <c r="K41" s="251"/>
      <c r="L41" s="251"/>
      <c r="M41" s="251"/>
      <c r="N41" s="251"/>
      <c r="O41" s="251"/>
    </row>
    <row r="42" spans="2:15" ht="15" customHeight="1" x14ac:dyDescent="0.2">
      <c r="B42" s="120" t="s">
        <v>121</v>
      </c>
      <c r="C42" s="120"/>
      <c r="D42" s="123"/>
      <c r="E42" s="80"/>
      <c r="F42" s="80"/>
      <c r="G42" s="80"/>
      <c r="H42" s="42"/>
      <c r="I42" s="107" t="s">
        <v>170</v>
      </c>
      <c r="J42" s="251"/>
      <c r="K42" s="251"/>
      <c r="L42" s="251"/>
      <c r="M42" s="251"/>
      <c r="N42" s="251"/>
      <c r="O42" s="251"/>
    </row>
    <row r="43" spans="2:15" ht="15" customHeight="1" x14ac:dyDescent="0.2">
      <c r="B43" s="120" t="s">
        <v>122</v>
      </c>
      <c r="C43" s="120"/>
      <c r="D43" s="123"/>
      <c r="E43" s="80"/>
      <c r="F43" s="80"/>
      <c r="G43" s="80"/>
      <c r="H43" s="42"/>
      <c r="I43" s="107" t="s">
        <v>171</v>
      </c>
      <c r="J43" s="251"/>
      <c r="K43" s="251"/>
      <c r="L43" s="251"/>
      <c r="M43" s="251"/>
      <c r="N43" s="251"/>
      <c r="O43" s="251"/>
    </row>
    <row r="44" spans="2:15" x14ac:dyDescent="0.2">
      <c r="B44" s="127" t="s">
        <v>123</v>
      </c>
      <c r="C44" s="120"/>
      <c r="D44" s="123"/>
      <c r="F44" s="80"/>
      <c r="G44" s="80"/>
      <c r="H44" s="66">
        <f>SUM(H40:H43)</f>
        <v>0</v>
      </c>
      <c r="I44" s="107" t="s">
        <v>172</v>
      </c>
      <c r="J44" s="251"/>
      <c r="K44" s="251"/>
      <c r="L44" s="251"/>
      <c r="M44" s="251"/>
      <c r="N44" s="251"/>
      <c r="O44" s="251"/>
    </row>
    <row r="45" spans="2:15"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15" x14ac:dyDescent="0.2">
      <c r="C46" s="120"/>
      <c r="D46" s="80"/>
      <c r="E46" s="80"/>
      <c r="F46" s="80"/>
      <c r="G46" s="80"/>
      <c r="H46" s="80"/>
      <c r="I46" s="107"/>
      <c r="J46" s="251"/>
      <c r="K46" s="251"/>
      <c r="L46" s="251"/>
      <c r="M46" s="251"/>
      <c r="N46" s="251"/>
      <c r="O46" s="251"/>
    </row>
    <row r="47" spans="2:15" ht="28.5" customHeight="1" x14ac:dyDescent="0.2">
      <c r="B47" s="127"/>
      <c r="C47" s="120"/>
      <c r="D47" s="123"/>
      <c r="E47" s="80"/>
      <c r="F47" s="80"/>
      <c r="G47" s="80"/>
      <c r="H47" s="80"/>
      <c r="I47" s="107"/>
      <c r="J47" s="251"/>
      <c r="K47" s="251"/>
      <c r="L47" s="251"/>
      <c r="M47" s="251"/>
      <c r="N47" s="251"/>
      <c r="O47" s="251"/>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0" t="s">
        <v>54</v>
      </c>
      <c r="N51" s="250"/>
      <c r="O51" s="250"/>
    </row>
    <row r="52" spans="2:19" x14ac:dyDescent="0.2">
      <c r="B52" s="133" t="s">
        <v>21</v>
      </c>
      <c r="C52" s="80"/>
      <c r="D52" s="80"/>
      <c r="E52" s="24"/>
      <c r="F52" s="24"/>
      <c r="G52" s="24"/>
      <c r="H52" s="80"/>
      <c r="I52" s="24"/>
      <c r="J52" s="24"/>
      <c r="K52" s="24"/>
      <c r="L52" s="80"/>
      <c r="M52" s="67">
        <f t="shared" ref="M52:O54" si="0">I52-E52</f>
        <v>0</v>
      </c>
      <c r="N52" s="67">
        <f t="shared" si="0"/>
        <v>0</v>
      </c>
      <c r="O52" s="67">
        <f t="shared" si="0"/>
        <v>0</v>
      </c>
    </row>
    <row r="53" spans="2:19" x14ac:dyDescent="0.2">
      <c r="B53" s="133" t="s">
        <v>20</v>
      </c>
      <c r="C53" s="80"/>
      <c r="D53" s="80"/>
      <c r="E53" s="24"/>
      <c r="F53" s="24"/>
      <c r="G53" s="24"/>
      <c r="H53" s="80"/>
      <c r="I53" s="24"/>
      <c r="J53" s="24"/>
      <c r="K53" s="24"/>
      <c r="L53" s="80"/>
      <c r="M53" s="67">
        <f t="shared" si="0"/>
        <v>0</v>
      </c>
      <c r="N53" s="67">
        <f t="shared" si="0"/>
        <v>0</v>
      </c>
      <c r="O53" s="67">
        <f t="shared" si="0"/>
        <v>0</v>
      </c>
    </row>
    <row r="54" spans="2:19" x14ac:dyDescent="0.2">
      <c r="B54" s="133" t="s">
        <v>22</v>
      </c>
      <c r="C54" s="80"/>
      <c r="D54" s="80"/>
      <c r="E54" s="24"/>
      <c r="F54" s="24"/>
      <c r="G54" s="24"/>
      <c r="H54" s="80"/>
      <c r="I54" s="24"/>
      <c r="J54" s="24"/>
      <c r="K54" s="24"/>
      <c r="L54" s="80"/>
      <c r="M54" s="67">
        <f t="shared" si="0"/>
        <v>0</v>
      </c>
      <c r="N54" s="67">
        <f t="shared" si="0"/>
        <v>0</v>
      </c>
      <c r="O54" s="67">
        <f t="shared" si="0"/>
        <v>0</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6">
        <f>SUMPRODUCT($M52:$O52,$M$58:$O$58)</f>
        <v>0</v>
      </c>
      <c r="G61" s="226"/>
      <c r="H61" s="80"/>
      <c r="J61" s="227">
        <f>F61*Duration</f>
        <v>0</v>
      </c>
      <c r="K61" s="227"/>
      <c r="M61" s="136" t="s">
        <v>74</v>
      </c>
      <c r="N61" s="227">
        <f>-F61*VLOOKUP(Duration,'Discount Rates &amp; Assumptions'!$A$6:$D$105,4,FALSE)</f>
        <v>0</v>
      </c>
      <c r="O61" s="227"/>
    </row>
    <row r="62" spans="2:19" x14ac:dyDescent="0.2">
      <c r="B62" s="133" t="str">
        <f>B53</f>
        <v>21-40% most deprived areas</v>
      </c>
      <c r="C62" s="80"/>
      <c r="D62" s="80"/>
      <c r="F62" s="226">
        <f>SUMPRODUCT($M53:$O53,$M$58:$O$58)</f>
        <v>0</v>
      </c>
      <c r="G62" s="226"/>
      <c r="H62" s="80"/>
      <c r="J62" s="227">
        <f>F62*Duration</f>
        <v>0</v>
      </c>
      <c r="K62" s="227"/>
      <c r="M62" s="136" t="s">
        <v>75</v>
      </c>
      <c r="N62" s="227">
        <f>-F62*VLOOKUP(Duration,'Discount Rates &amp; Assumptions'!$A$6:$D$105,4,FALSE)</f>
        <v>0</v>
      </c>
      <c r="O62" s="227"/>
    </row>
    <row r="63" spans="2:19" x14ac:dyDescent="0.2">
      <c r="B63" s="133" t="str">
        <f>B54</f>
        <v>60% least deprived areas</v>
      </c>
      <c r="C63" s="80"/>
      <c r="D63" s="80"/>
      <c r="F63" s="226">
        <f>SUMPRODUCT($M54:$O54,$M$58:$O$58)</f>
        <v>0</v>
      </c>
      <c r="G63" s="226"/>
      <c r="H63" s="80"/>
      <c r="J63" s="227">
        <f>F63*Duration</f>
        <v>0</v>
      </c>
      <c r="K63" s="227"/>
      <c r="M63" s="136" t="s">
        <v>90</v>
      </c>
      <c r="N63" s="227">
        <f>-F63*VLOOKUP(Duration,'Discount Rates &amp; Assumptions'!$A$6:$D$105,4,FALSE)</f>
        <v>0</v>
      </c>
      <c r="O63" s="227"/>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49" t="s">
        <v>19</v>
      </c>
      <c r="G67" s="249"/>
      <c r="H67" s="80"/>
      <c r="I67" s="139" t="s">
        <v>66</v>
      </c>
    </row>
    <row r="68" spans="2:16" x14ac:dyDescent="0.2">
      <c r="B68" s="133" t="s">
        <v>21</v>
      </c>
      <c r="C68" s="80"/>
      <c r="D68" s="80"/>
      <c r="E68" s="80"/>
      <c r="F68" s="24"/>
      <c r="G68" s="24"/>
      <c r="H68" s="80"/>
      <c r="I68" s="133" t="s">
        <v>55</v>
      </c>
      <c r="J68" s="133"/>
      <c r="K68" s="140"/>
      <c r="L68" s="133"/>
      <c r="M68" s="68">
        <f>AvCEDamages</f>
        <v>6000</v>
      </c>
      <c r="N68" s="68">
        <f>AvCEDamages</f>
        <v>6000</v>
      </c>
      <c r="O68" s="83"/>
    </row>
    <row r="69" spans="2:16" x14ac:dyDescent="0.2">
      <c r="B69" s="133" t="s">
        <v>20</v>
      </c>
      <c r="C69" s="80"/>
      <c r="D69" s="80"/>
      <c r="E69" s="80"/>
      <c r="F69" s="24"/>
      <c r="G69" s="24"/>
      <c r="H69" s="80"/>
      <c r="I69" s="141" t="s">
        <v>67</v>
      </c>
      <c r="M69" s="69">
        <v>50</v>
      </c>
      <c r="N69" s="69">
        <v>20</v>
      </c>
      <c r="O69" s="133" t="s">
        <v>8</v>
      </c>
    </row>
    <row r="70" spans="2:16" ht="15" customHeight="1" x14ac:dyDescent="0.2">
      <c r="B70" s="133" t="s">
        <v>22</v>
      </c>
      <c r="C70" s="80"/>
      <c r="D70" s="80"/>
      <c r="E70" s="80"/>
      <c r="F70" s="24"/>
      <c r="G70" s="24"/>
      <c r="H70" s="80"/>
      <c r="I70" s="228" t="s">
        <v>95</v>
      </c>
      <c r="J70" s="228"/>
      <c r="K70" s="228"/>
      <c r="L70" s="228"/>
      <c r="M70" s="68">
        <f>M68*VLOOKUP('Discount Rates &amp; Assumptions'!K39,'Discount Rates &amp; Assumptions'!$A$6:$D$105,3,FALSE)</f>
        <v>1183.5763061432306</v>
      </c>
      <c r="N70" s="68">
        <f>N68*VLOOKUP('Discount Rates &amp; Assumptions'!K38,'Discount Rates &amp; Assumptions'!$A$6:$D$105,3,FALSE)</f>
        <v>3015.3953065900237</v>
      </c>
    </row>
    <row r="71" spans="2:16" ht="28" x14ac:dyDescent="0.2">
      <c r="B71" s="80"/>
      <c r="C71" s="80"/>
      <c r="D71" s="142"/>
      <c r="E71" s="80"/>
      <c r="F71" s="143" t="s">
        <v>65</v>
      </c>
      <c r="G71" s="143" t="s">
        <v>64</v>
      </c>
      <c r="H71" s="80"/>
      <c r="I71" s="228"/>
      <c r="J71" s="228"/>
      <c r="K71" s="228"/>
      <c r="L71" s="228"/>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6">
        <f>-SUMPRODUCT($M$70:$N$70,F68:G68)</f>
        <v>0</v>
      </c>
      <c r="G74" s="226"/>
      <c r="H74" s="80"/>
      <c r="J74" s="227">
        <f>F74*Duration</f>
        <v>0</v>
      </c>
      <c r="K74" s="227"/>
      <c r="M74" s="136" t="s">
        <v>76</v>
      </c>
      <c r="N74" s="225">
        <f>-F74*VLOOKUP(Duration,'Discount Rates &amp; Assumptions'!$A$6:$D$105,4,FALSE)</f>
        <v>0</v>
      </c>
      <c r="O74" s="225"/>
    </row>
    <row r="75" spans="2:16" x14ac:dyDescent="0.2">
      <c r="B75" s="133" t="str">
        <f>B69</f>
        <v>21-40% most deprived areas</v>
      </c>
      <c r="C75" s="80"/>
      <c r="D75" s="80"/>
      <c r="F75" s="226">
        <f>-SUMPRODUCT($M$70:$N$70,F69:G69)</f>
        <v>0</v>
      </c>
      <c r="G75" s="226"/>
      <c r="H75" s="80"/>
      <c r="J75" s="227">
        <f>F75*Duration</f>
        <v>0</v>
      </c>
      <c r="K75" s="227"/>
      <c r="M75" s="136" t="s">
        <v>77</v>
      </c>
      <c r="N75" s="225">
        <f>-F75*VLOOKUP(Duration,'Discount Rates &amp; Assumptions'!$A$6:$D$105,4,FALSE)</f>
        <v>0</v>
      </c>
      <c r="O75" s="225"/>
    </row>
    <row r="76" spans="2:16" x14ac:dyDescent="0.2">
      <c r="B76" s="133" t="str">
        <f>B70</f>
        <v>60% least deprived areas</v>
      </c>
      <c r="C76" s="80"/>
      <c r="D76" s="80"/>
      <c r="F76" s="226">
        <f>-SUMPRODUCT($M$70:$N$70,F70:G70)</f>
        <v>0</v>
      </c>
      <c r="G76" s="226"/>
      <c r="H76" s="80"/>
      <c r="J76" s="227">
        <f>F76*Duration</f>
        <v>0</v>
      </c>
      <c r="K76" s="227"/>
      <c r="M76" s="136" t="s">
        <v>91</v>
      </c>
      <c r="N76" s="225">
        <f>-F76*VLOOKUP(Duration,'Discount Rates &amp; Assumptions'!$A$6:$D$105,4,FALSE)</f>
        <v>0</v>
      </c>
      <c r="O76" s="225"/>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40"/>
      <c r="G80" s="240"/>
      <c r="H80" s="100"/>
      <c r="I80" s="139"/>
      <c r="K80" s="147" t="s">
        <v>89</v>
      </c>
      <c r="L80" s="139"/>
      <c r="M80" s="139"/>
      <c r="N80" s="139"/>
      <c r="O80" s="136" t="s">
        <v>78</v>
      </c>
      <c r="P80" s="139"/>
    </row>
    <row r="81" spans="1:16" x14ac:dyDescent="0.2">
      <c r="B81" s="139" t="s">
        <v>68</v>
      </c>
      <c r="C81" s="302">
        <v>2121</v>
      </c>
      <c r="D81" s="121" t="s">
        <v>12</v>
      </c>
      <c r="E81" s="100"/>
      <c r="F81" s="100"/>
      <c r="G81" s="100"/>
      <c r="H81" s="100"/>
      <c r="I81" s="80"/>
      <c r="J81" s="229">
        <f>'Discount Rates &amp; Assumptions'!K14</f>
        <v>15000</v>
      </c>
      <c r="K81" s="229"/>
      <c r="M81" s="147" t="s">
        <v>68</v>
      </c>
      <c r="N81" s="239">
        <f>J81*C81</f>
        <v>31815000</v>
      </c>
      <c r="O81" s="239"/>
      <c r="P81" s="83"/>
    </row>
    <row r="82" spans="1:16" x14ac:dyDescent="0.2">
      <c r="B82" s="139" t="s">
        <v>4</v>
      </c>
      <c r="C82" s="302">
        <v>212</v>
      </c>
      <c r="D82" s="121" t="s">
        <v>11</v>
      </c>
      <c r="E82" s="100"/>
      <c r="F82" s="100"/>
      <c r="G82" s="100"/>
      <c r="H82" s="100"/>
      <c r="I82" s="80"/>
      <c r="J82" s="229">
        <f>'Discount Rates &amp; Assumptions'!K15</f>
        <v>50000</v>
      </c>
      <c r="K82" s="229"/>
      <c r="M82" s="147" t="s">
        <v>4</v>
      </c>
      <c r="N82" s="239">
        <f>J82*C82</f>
        <v>10600000</v>
      </c>
      <c r="O82" s="239"/>
      <c r="P82" s="83"/>
    </row>
    <row r="83" spans="1:16" x14ac:dyDescent="0.2">
      <c r="B83" s="139" t="s">
        <v>69</v>
      </c>
      <c r="C83" s="302">
        <v>21</v>
      </c>
      <c r="D83" s="121" t="s">
        <v>10</v>
      </c>
      <c r="E83" s="80"/>
      <c r="F83" s="80"/>
      <c r="G83" s="80"/>
      <c r="H83" s="80"/>
      <c r="I83" s="80"/>
      <c r="J83" s="229">
        <f>'Discount Rates &amp; Assumptions'!K16</f>
        <v>80000</v>
      </c>
      <c r="K83" s="229"/>
      <c r="M83" s="147" t="s">
        <v>69</v>
      </c>
      <c r="N83" s="239">
        <f>J83*C83</f>
        <v>1680000</v>
      </c>
      <c r="O83" s="239"/>
      <c r="P83" s="83"/>
    </row>
    <row r="84" spans="1:16" x14ac:dyDescent="0.2">
      <c r="B84" s="80"/>
      <c r="C84" s="80"/>
      <c r="D84" s="121"/>
      <c r="E84" s="80"/>
      <c r="F84" s="80"/>
      <c r="G84" s="80"/>
      <c r="H84" s="80"/>
      <c r="I84" s="80"/>
      <c r="J84" s="80"/>
      <c r="K84" s="80"/>
      <c r="L84" s="139"/>
      <c r="M84" s="136" t="s">
        <v>3</v>
      </c>
      <c r="N84" s="241">
        <f>SUM(N81:O83)</f>
        <v>44095000</v>
      </c>
      <c r="O84" s="241"/>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31">
        <f>IF(H29=0,0,IF(MAX((H29-SUM(D91:E97)),0)&gt;0,H29-SUM(D91:E97),"Ltd by high OM2,3,4 values"))</f>
        <v>0</v>
      </c>
      <c r="E90" s="232"/>
      <c r="F90" s="70">
        <f>1/TargetBCRWLBs*100</f>
        <v>5.5555555555555554</v>
      </c>
      <c r="G90" s="151" t="s">
        <v>81</v>
      </c>
      <c r="H90" s="80"/>
      <c r="I90" s="230">
        <f>IF(D90="Ltd by high OM2,3,4 values",0,D90*F90/100)</f>
        <v>0</v>
      </c>
      <c r="J90" s="230"/>
      <c r="K90" s="80"/>
      <c r="L90" s="139"/>
      <c r="M90" s="80"/>
      <c r="N90" s="154"/>
    </row>
    <row r="91" spans="1:16" x14ac:dyDescent="0.2">
      <c r="B91" s="155" t="s">
        <v>1</v>
      </c>
      <c r="C91" s="156" t="s">
        <v>84</v>
      </c>
      <c r="D91" s="233">
        <f>N61</f>
        <v>0</v>
      </c>
      <c r="E91" s="233"/>
      <c r="F91" s="71">
        <f>1/TargetMinBCR*DeprivedScalar20*100</f>
        <v>45</v>
      </c>
      <c r="G91" s="80"/>
      <c r="H91" s="80"/>
      <c r="I91" s="230">
        <f t="shared" ref="I91:I97" si="1">D91*F91/100</f>
        <v>0</v>
      </c>
      <c r="J91" s="230"/>
      <c r="K91" s="80"/>
      <c r="L91" s="80"/>
      <c r="M91" s="80"/>
      <c r="N91" s="154"/>
    </row>
    <row r="92" spans="1:16" x14ac:dyDescent="0.2">
      <c r="B92" s="157"/>
      <c r="C92" s="158" t="s">
        <v>80</v>
      </c>
      <c r="D92" s="233">
        <f>N62</f>
        <v>0</v>
      </c>
      <c r="E92" s="233"/>
      <c r="F92" s="71">
        <f>1/TargetMinBCR*DeprivedScalar40*100</f>
        <v>30.000000000000004</v>
      </c>
      <c r="G92" s="80"/>
      <c r="H92" s="80"/>
      <c r="I92" s="230">
        <f t="shared" si="1"/>
        <v>0</v>
      </c>
      <c r="J92" s="230"/>
      <c r="M92" s="139"/>
    </row>
    <row r="93" spans="1:16" x14ac:dyDescent="0.2">
      <c r="B93" s="159"/>
      <c r="C93" s="160" t="s">
        <v>88</v>
      </c>
      <c r="D93" s="233">
        <f>N63</f>
        <v>0</v>
      </c>
      <c r="E93" s="233"/>
      <c r="F93" s="71">
        <f>1/TargetMinBCR*DeprivedScalarOther*100</f>
        <v>20</v>
      </c>
      <c r="G93" s="80"/>
      <c r="H93" s="80"/>
      <c r="I93" s="230">
        <f t="shared" si="1"/>
        <v>0</v>
      </c>
      <c r="J93" s="230"/>
    </row>
    <row r="94" spans="1:16" x14ac:dyDescent="0.2">
      <c r="B94" s="155" t="s">
        <v>0</v>
      </c>
      <c r="C94" s="156" t="s">
        <v>84</v>
      </c>
      <c r="D94" s="233">
        <f>N74</f>
        <v>0</v>
      </c>
      <c r="E94" s="233"/>
      <c r="F94" s="71">
        <f>1/TargetMinBCR*DeprivedScalar20*100</f>
        <v>45</v>
      </c>
      <c r="G94" s="80"/>
      <c r="H94" s="80"/>
      <c r="I94" s="230">
        <f t="shared" si="1"/>
        <v>0</v>
      </c>
      <c r="J94" s="230"/>
    </row>
    <row r="95" spans="1:16" x14ac:dyDescent="0.2">
      <c r="B95" s="161"/>
      <c r="C95" s="158" t="s">
        <v>80</v>
      </c>
      <c r="D95" s="233">
        <f>N75</f>
        <v>0</v>
      </c>
      <c r="E95" s="233"/>
      <c r="F95" s="71">
        <f>1/TargetMinBCR*DeprivedScalar40*100</f>
        <v>30.000000000000004</v>
      </c>
      <c r="G95" s="80"/>
      <c r="H95" s="80"/>
      <c r="I95" s="230">
        <f t="shared" si="1"/>
        <v>0</v>
      </c>
      <c r="J95" s="230"/>
    </row>
    <row r="96" spans="1:16" x14ac:dyDescent="0.2">
      <c r="B96" s="159"/>
      <c r="C96" s="160" t="s">
        <v>88</v>
      </c>
      <c r="D96" s="233">
        <f>N76</f>
        <v>0</v>
      </c>
      <c r="E96" s="233"/>
      <c r="F96" s="71">
        <f>1/TargetMinBCR*DeprivedScalarOther*100</f>
        <v>20</v>
      </c>
      <c r="G96" s="80"/>
      <c r="H96" s="80"/>
      <c r="I96" s="230">
        <f t="shared" si="1"/>
        <v>0</v>
      </c>
      <c r="J96" s="230"/>
    </row>
    <row r="97" spans="2:16" x14ac:dyDescent="0.2">
      <c r="B97" s="162" t="s">
        <v>3</v>
      </c>
      <c r="C97" s="163"/>
      <c r="D97" s="233">
        <f>N84</f>
        <v>44095000</v>
      </c>
      <c r="E97" s="233"/>
      <c r="F97" s="71">
        <v>100</v>
      </c>
      <c r="G97" s="80"/>
      <c r="H97" s="80"/>
      <c r="I97" s="230">
        <f t="shared" si="1"/>
        <v>44095000</v>
      </c>
      <c r="J97" s="230"/>
      <c r="P97" s="164"/>
    </row>
    <row r="98" spans="2:16" ht="15.75" customHeight="1" x14ac:dyDescent="0.2">
      <c r="B98" s="80" t="s">
        <v>7</v>
      </c>
      <c r="C98" s="80"/>
      <c r="D98" s="235">
        <f>SUM(D90:E97)</f>
        <v>44095000</v>
      </c>
      <c r="E98" s="236"/>
      <c r="F98" s="80"/>
      <c r="G98" s="80"/>
      <c r="H98" s="80"/>
      <c r="I98" s="237">
        <f>SUM(I90:J97)</f>
        <v>44095000</v>
      </c>
      <c r="J98" s="238"/>
      <c r="K98" s="234" t="s">
        <v>213</v>
      </c>
      <c r="L98" s="234"/>
      <c r="M98" s="234"/>
      <c r="N98" s="234"/>
      <c r="O98" s="234"/>
    </row>
    <row r="99" spans="2:16" x14ac:dyDescent="0.2">
      <c r="B99" s="80"/>
      <c r="C99" s="80"/>
      <c r="D99" s="80"/>
      <c r="E99" s="80"/>
      <c r="F99" s="80"/>
      <c r="G99" s="80"/>
      <c r="H99" s="80"/>
      <c r="I99" s="80"/>
      <c r="K99" s="234"/>
      <c r="L99" s="234"/>
      <c r="M99" s="234"/>
      <c r="N99" s="234"/>
      <c r="O99" s="234"/>
    </row>
    <row r="100" spans="2:16" s="139" customFormat="1" x14ac:dyDescent="0.2">
      <c r="B100" s="222" t="s">
        <v>182</v>
      </c>
      <c r="C100" s="223"/>
      <c r="D100" s="223"/>
      <c r="E100" s="223"/>
      <c r="F100" s="223"/>
      <c r="G100" s="223"/>
      <c r="H100" s="223"/>
      <c r="I100" s="223"/>
      <c r="J100" s="223"/>
      <c r="K100" s="223"/>
      <c r="L100" s="223"/>
      <c r="M100" s="223"/>
      <c r="N100" s="223"/>
      <c r="O100" s="223"/>
      <c r="P100" s="83"/>
    </row>
    <row r="101" spans="2:16" s="165" customFormat="1" ht="13" x14ac:dyDescent="0.15">
      <c r="B101" s="224"/>
      <c r="C101" s="224"/>
      <c r="D101" s="224"/>
      <c r="E101" s="224"/>
      <c r="F101" s="224"/>
      <c r="G101" s="224"/>
      <c r="H101" s="224"/>
      <c r="I101" s="224"/>
      <c r="J101" s="224"/>
      <c r="K101" s="224"/>
      <c r="L101" s="224"/>
      <c r="M101" s="224"/>
      <c r="N101" s="224"/>
      <c r="O101" s="224"/>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t="e">
        <f>RawOMScore</f>
        <v>#DIV/0!</v>
      </c>
      <c r="J104" s="170">
        <f>H17</f>
        <v>0</v>
      </c>
    </row>
    <row r="105" spans="2:16" x14ac:dyDescent="0.2">
      <c r="B105" s="165" t="s">
        <v>143</v>
      </c>
      <c r="C105" s="165"/>
      <c r="D105" s="165"/>
      <c r="E105" s="165"/>
      <c r="F105" s="165"/>
      <c r="G105" s="165"/>
      <c r="H105" s="165"/>
      <c r="I105" s="169" t="e">
        <f>'Sensitivity 1'!RawOMScore</f>
        <v>#DIV/0!</v>
      </c>
      <c r="J105" s="170">
        <f>'Sensitivity 1'!H17</f>
        <v>0</v>
      </c>
      <c r="M105" s="80"/>
    </row>
    <row r="106" spans="2:16" x14ac:dyDescent="0.2">
      <c r="B106" s="165" t="s">
        <v>136</v>
      </c>
      <c r="C106" s="165"/>
      <c r="D106" s="165"/>
      <c r="E106" s="165"/>
      <c r="F106" s="165"/>
      <c r="G106" s="165"/>
      <c r="H106" s="165"/>
      <c r="I106" s="171" t="e">
        <f>'Sensitivity 2'!RawOMScore</f>
        <v>#DIV/0!</v>
      </c>
      <c r="J106" s="172">
        <f>'Sensitivity 2'!H17</f>
        <v>0</v>
      </c>
      <c r="M106" s="80"/>
    </row>
    <row r="107" spans="2:16" x14ac:dyDescent="0.2">
      <c r="B107" s="165" t="s">
        <v>144</v>
      </c>
      <c r="C107" s="165"/>
      <c r="D107" s="165"/>
      <c r="E107" s="165"/>
      <c r="F107" s="165"/>
      <c r="G107" s="165"/>
      <c r="H107" s="165"/>
      <c r="I107" s="171" t="e">
        <f>'Sensitivity 3'!RawOMScore</f>
        <v>#DIV/0!</v>
      </c>
      <c r="J107" s="172">
        <f>'Sensitivity 3'!H17</f>
        <v>0</v>
      </c>
      <c r="M107" s="80"/>
    </row>
    <row r="108" spans="2:16" x14ac:dyDescent="0.2">
      <c r="B108" s="173" t="s">
        <v>141</v>
      </c>
      <c r="C108" s="174"/>
      <c r="D108" s="174"/>
      <c r="E108" s="174"/>
      <c r="F108" s="165"/>
      <c r="G108" s="165"/>
      <c r="H108" s="165"/>
      <c r="I108" s="171" t="e">
        <f>'Sensitivity 4'!RawOMScore</f>
        <v>#DIV/0!</v>
      </c>
      <c r="J108" s="172">
        <f>'Sensitivity 4'!H17</f>
        <v>0</v>
      </c>
      <c r="M108" s="80"/>
    </row>
    <row r="109" spans="2:16" x14ac:dyDescent="0.2">
      <c r="B109" s="173" t="s">
        <v>142</v>
      </c>
      <c r="C109" s="174"/>
      <c r="D109" s="174"/>
      <c r="E109" s="174"/>
      <c r="F109" s="165"/>
      <c r="G109" s="165"/>
      <c r="H109" s="165"/>
      <c r="I109" s="171" t="e">
        <f>'Sensitivity 5'!RawOMScore</f>
        <v>#DIV/0!</v>
      </c>
      <c r="J109" s="172">
        <f>'Sensitivity 5'!H17</f>
        <v>0</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8" t="s">
        <v>188</v>
      </c>
      <c r="C4" s="224"/>
      <c r="D4" s="224"/>
      <c r="E4" s="224"/>
      <c r="F4" s="224"/>
      <c r="G4" s="224"/>
      <c r="H4" s="224"/>
      <c r="I4" s="224"/>
      <c r="J4" s="224"/>
      <c r="K4" s="224"/>
      <c r="L4" s="224"/>
    </row>
    <row r="7" spans="1:12" x14ac:dyDescent="0.15">
      <c r="A7" s="182"/>
      <c r="B7" s="182" t="s">
        <v>190</v>
      </c>
    </row>
    <row r="10" spans="1:12" ht="25.5" customHeight="1" x14ac:dyDescent="0.2">
      <c r="B10" s="183" t="s">
        <v>59</v>
      </c>
      <c r="C10" s="184" t="s">
        <v>184</v>
      </c>
      <c r="D10" s="185" t="s">
        <v>186</v>
      </c>
      <c r="E10" s="269" t="s">
        <v>187</v>
      </c>
      <c r="F10" s="270"/>
      <c r="G10" s="186" t="s">
        <v>13</v>
      </c>
      <c r="H10" s="243" t="s">
        <v>14</v>
      </c>
      <c r="I10" s="244"/>
      <c r="J10" s="245"/>
    </row>
    <row r="11" spans="1:12" ht="12.75" customHeight="1" x14ac:dyDescent="0.2">
      <c r="B11" s="187"/>
      <c r="C11" s="188"/>
      <c r="D11" s="189"/>
      <c r="E11" s="190" t="s">
        <v>189</v>
      </c>
      <c r="F11" s="191">
        <f>SUM(F12:F112)</f>
        <v>0</v>
      </c>
      <c r="G11" s="192"/>
      <c r="H11" s="246" t="s">
        <v>15</v>
      </c>
      <c r="I11" s="247"/>
      <c r="J11" s="248"/>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1"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1"/>
      <c r="Q26" s="271"/>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1"/>
      <c r="P27" s="271"/>
      <c r="Q27" s="271"/>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1"/>
      <c r="P28" s="271"/>
      <c r="Q28" s="271"/>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1"/>
      <c r="P29" s="271"/>
      <c r="Q29" s="271"/>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1"/>
      <c r="P30" s="271"/>
      <c r="Q30" s="271"/>
    </row>
    <row r="31" spans="1:17" x14ac:dyDescent="0.2">
      <c r="A31" s="9">
        <v>26</v>
      </c>
      <c r="B31" s="16">
        <v>3.5000000000000003E-2</v>
      </c>
      <c r="C31" s="34">
        <f t="shared" si="0"/>
        <v>0.40883767079225974</v>
      </c>
      <c r="D31" s="15">
        <f t="shared" si="1"/>
        <v>17.890352263078331</v>
      </c>
      <c r="I31" s="13"/>
      <c r="J31" s="12"/>
      <c r="K31" s="12"/>
      <c r="L31" s="12"/>
      <c r="M31" s="12"/>
      <c r="O31" s="271"/>
      <c r="P31" s="271"/>
      <c r="Q31" s="271"/>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2" t="s">
        <v>116</v>
      </c>
      <c r="B3" s="272"/>
      <c r="C3" s="272"/>
      <c r="D3" s="272"/>
      <c r="E3" s="76"/>
      <c r="F3" s="76"/>
      <c r="G3" s="76"/>
      <c r="H3" s="76"/>
      <c r="I3" s="76"/>
      <c r="J3" s="76"/>
      <c r="K3" s="76"/>
      <c r="L3" s="76"/>
      <c r="M3" s="76"/>
      <c r="N3" s="76"/>
    </row>
    <row r="5" spans="1:14" x14ac:dyDescent="0.2">
      <c r="A5" s="27" t="s">
        <v>109</v>
      </c>
      <c r="B5" s="27" t="s">
        <v>111</v>
      </c>
      <c r="C5" s="27" t="s">
        <v>112</v>
      </c>
      <c r="D5" s="28" t="s">
        <v>110</v>
      </c>
    </row>
    <row r="6" spans="1:14" x14ac:dyDescent="0.2">
      <c r="A6" s="29">
        <v>2</v>
      </c>
      <c r="B6" s="29" t="s">
        <v>113</v>
      </c>
      <c r="C6" s="30">
        <v>40690</v>
      </c>
      <c r="D6" s="31" t="s">
        <v>115</v>
      </c>
    </row>
    <row r="7" spans="1:14" ht="104" x14ac:dyDescent="0.2">
      <c r="A7" s="29">
        <v>3</v>
      </c>
      <c r="B7" s="29" t="s">
        <v>114</v>
      </c>
      <c r="C7" s="30">
        <v>40701</v>
      </c>
      <c r="D7" s="32" t="s">
        <v>117</v>
      </c>
    </row>
    <row r="8" spans="1:14" ht="65" x14ac:dyDescent="0.2">
      <c r="A8" s="29" t="s">
        <v>147</v>
      </c>
      <c r="B8" s="29" t="s">
        <v>148</v>
      </c>
      <c r="C8" s="30">
        <v>40965</v>
      </c>
      <c r="D8" s="32" t="s">
        <v>149</v>
      </c>
    </row>
    <row r="9" spans="1:14" ht="39" x14ac:dyDescent="0.2">
      <c r="A9" s="29">
        <v>4</v>
      </c>
      <c r="B9" s="56" t="s">
        <v>175</v>
      </c>
      <c r="C9" s="30" t="s">
        <v>194</v>
      </c>
      <c r="D9" s="32" t="s">
        <v>176</v>
      </c>
    </row>
    <row r="10" spans="1:14" ht="39.75" customHeight="1" x14ac:dyDescent="0.2">
      <c r="A10" s="29">
        <v>5</v>
      </c>
      <c r="B10" s="56" t="s">
        <v>193</v>
      </c>
      <c r="C10" s="30">
        <v>41353</v>
      </c>
      <c r="D10" s="32" t="s">
        <v>195</v>
      </c>
    </row>
    <row r="11" spans="1:14" ht="26" x14ac:dyDescent="0.2">
      <c r="A11" s="29">
        <v>6</v>
      </c>
      <c r="B11" s="56" t="s">
        <v>198</v>
      </c>
      <c r="C11" s="30">
        <v>41358</v>
      </c>
      <c r="D11" s="32" t="s">
        <v>199</v>
      </c>
    </row>
    <row r="12" spans="1:14" ht="26" x14ac:dyDescent="0.2">
      <c r="A12" s="29">
        <v>7</v>
      </c>
      <c r="B12" s="56" t="s">
        <v>201</v>
      </c>
      <c r="C12" s="30"/>
      <c r="D12" s="32"/>
    </row>
    <row r="13" spans="1:14" ht="39"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2" t="s">
        <v>132</v>
      </c>
      <c r="C5" s="242"/>
      <c r="D5" s="242"/>
      <c r="E5" s="202">
        <f>'PF Calculator'!E5</f>
        <v>0</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4" t="s">
        <v>135</v>
      </c>
      <c r="N8" s="275"/>
      <c r="O8" s="276"/>
    </row>
    <row r="9" spans="1:18" x14ac:dyDescent="0.2">
      <c r="B9" s="94" t="s">
        <v>203</v>
      </c>
      <c r="J9" s="83" t="s">
        <v>146</v>
      </c>
      <c r="L9" s="80"/>
      <c r="M9" s="246" t="s">
        <v>15</v>
      </c>
      <c r="N9" s="247"/>
      <c r="O9" s="248"/>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t="e">
        <f>H29/MIN(H21,H37)</f>
        <v>#DIV/0!</v>
      </c>
      <c r="O14" s="47" t="s">
        <v>17</v>
      </c>
    </row>
    <row r="15" spans="1:18" ht="15" customHeight="1" x14ac:dyDescent="0.2">
      <c r="B15" s="109" t="s">
        <v>153</v>
      </c>
      <c r="C15" s="110"/>
      <c r="D15" s="110"/>
      <c r="E15" s="110"/>
      <c r="F15" s="110"/>
      <c r="G15" s="110"/>
      <c r="H15" s="53" t="e">
        <f>IF(J25="yes",I97/MAX(H37,H34),IF(J25="Yes",I97/MAX(H37,H34),0.45*I97/MAX(H37,H34)))</f>
        <v>#DIV/0!</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5" t="s">
        <v>179</v>
      </c>
      <c r="K17" s="277"/>
      <c r="L17" s="277"/>
      <c r="M17" s="277"/>
      <c r="N17" s="277"/>
      <c r="O17" s="277"/>
      <c r="Q17" s="253"/>
      <c r="R17" s="254"/>
      <c r="S17" s="254"/>
      <c r="T17" s="254"/>
      <c r="U17" s="254"/>
      <c r="V17" s="254"/>
    </row>
    <row r="18" spans="2:22" ht="15" customHeight="1" x14ac:dyDescent="0.2">
      <c r="B18" s="109"/>
      <c r="C18" s="86"/>
      <c r="D18" s="86"/>
      <c r="E18" s="86"/>
      <c r="F18" s="86"/>
      <c r="G18" s="86"/>
      <c r="H18" s="86"/>
      <c r="I18" s="139"/>
      <c r="J18" s="277"/>
      <c r="K18" s="277"/>
      <c r="L18" s="277"/>
      <c r="M18" s="277"/>
      <c r="N18" s="277"/>
      <c r="O18" s="277"/>
      <c r="Q18" s="254"/>
      <c r="R18" s="254"/>
      <c r="S18" s="254"/>
      <c r="T18" s="254"/>
      <c r="U18" s="254"/>
      <c r="V18" s="254"/>
    </row>
    <row r="19" spans="2:22" ht="15" customHeight="1" x14ac:dyDescent="0.2">
      <c r="B19" s="109" t="s">
        <v>134</v>
      </c>
      <c r="C19" s="112"/>
      <c r="D19" s="112"/>
      <c r="E19" s="112"/>
      <c r="F19" s="112"/>
      <c r="G19" s="112"/>
      <c r="H19" s="53">
        <f>IF(J25="Yes",IF(Authority="EA",I97/MAX(MAX(H37,H34)-H44,1),RawOMScore+H44/H34),IF(Authority="EA",I97*0.45/MAX(MAX(H37,H34)-H44,1),I15+H44/H34))</f>
        <v>19842750</v>
      </c>
      <c r="I19" s="107" t="s">
        <v>158</v>
      </c>
      <c r="J19" s="277"/>
      <c r="K19" s="277"/>
      <c r="L19" s="277"/>
      <c r="M19" s="277"/>
      <c r="N19" s="277"/>
      <c r="O19" s="277"/>
      <c r="Q19" s="254"/>
      <c r="R19" s="254"/>
      <c r="S19" s="254"/>
      <c r="T19" s="254"/>
      <c r="U19" s="254"/>
      <c r="V19" s="254"/>
    </row>
    <row r="20" spans="2:22" ht="15" customHeight="1" x14ac:dyDescent="0.2">
      <c r="J20" s="277"/>
      <c r="K20" s="277"/>
      <c r="L20" s="277"/>
      <c r="M20" s="277"/>
      <c r="N20" s="277"/>
      <c r="O20" s="277"/>
      <c r="Q20" s="254"/>
      <c r="R20" s="254"/>
      <c r="S20" s="254"/>
      <c r="T20" s="254"/>
      <c r="U20" s="254"/>
      <c r="V20" s="254"/>
    </row>
    <row r="21" spans="2:22" ht="15" customHeight="1" x14ac:dyDescent="0.2">
      <c r="B21" s="113" t="s">
        <v>205</v>
      </c>
      <c r="C21" s="114"/>
      <c r="D21" s="114"/>
      <c r="E21" s="114"/>
      <c r="F21" s="114"/>
      <c r="G21" s="114"/>
      <c r="H21" s="207">
        <f>IF(ROUNDUP(AdjOMScore,4)&lt;100%,"-",H34-H44)</f>
        <v>0</v>
      </c>
      <c r="I21" s="107" t="s">
        <v>159</v>
      </c>
      <c r="J21" s="277"/>
      <c r="K21" s="277"/>
      <c r="L21" s="277"/>
      <c r="M21" s="277"/>
      <c r="N21" s="277"/>
      <c r="O21" s="277"/>
      <c r="Q21" s="254"/>
      <c r="R21" s="254"/>
      <c r="S21" s="254"/>
      <c r="T21" s="254"/>
      <c r="U21" s="254"/>
      <c r="V21" s="254"/>
    </row>
    <row r="22" spans="2:22" ht="22.5" customHeight="1" x14ac:dyDescent="0.2">
      <c r="B22" s="208"/>
      <c r="C22" s="80"/>
      <c r="D22" s="80"/>
      <c r="E22" s="80"/>
      <c r="G22" s="115"/>
      <c r="H22" s="115"/>
      <c r="I22" s="104"/>
      <c r="J22" s="273"/>
      <c r="K22" s="273"/>
      <c r="L22" s="273"/>
      <c r="M22" s="273"/>
      <c r="N22" s="273"/>
      <c r="O22" s="273"/>
      <c r="Q22" s="254"/>
      <c r="R22" s="254"/>
      <c r="S22" s="254"/>
      <c r="T22" s="254"/>
      <c r="U22" s="254"/>
      <c r="V22" s="254"/>
    </row>
    <row r="23" spans="2:22" ht="6.75" customHeight="1" x14ac:dyDescent="0.2">
      <c r="B23" s="116"/>
      <c r="C23" s="116"/>
      <c r="D23" s="116"/>
      <c r="E23" s="116"/>
      <c r="F23" s="116"/>
      <c r="G23" s="116"/>
      <c r="H23" s="116"/>
      <c r="I23" s="116"/>
      <c r="J23" s="116"/>
      <c r="K23" s="116"/>
      <c r="L23" s="116"/>
      <c r="M23" s="116"/>
      <c r="N23" s="116"/>
      <c r="O23" s="100"/>
      <c r="P23" s="100"/>
      <c r="Q23" s="254"/>
      <c r="R23" s="254"/>
      <c r="S23" s="254"/>
      <c r="T23" s="254"/>
      <c r="U23" s="254"/>
      <c r="V23" s="254"/>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10" t="s">
        <v>207</v>
      </c>
      <c r="K25" s="211" t="s">
        <v>173</v>
      </c>
      <c r="L25" s="212"/>
      <c r="M25" s="212"/>
      <c r="N25" s="212"/>
      <c r="O25" s="212"/>
    </row>
    <row r="26" spans="2:22" x14ac:dyDescent="0.2">
      <c r="B26" s="120"/>
      <c r="C26" s="120"/>
      <c r="D26" s="123"/>
      <c r="E26" s="80"/>
      <c r="F26" s="80"/>
      <c r="G26" s="80"/>
      <c r="H26" s="106"/>
      <c r="I26" s="80"/>
      <c r="J26" s="278" t="s">
        <v>174</v>
      </c>
      <c r="K26" s="224"/>
      <c r="L26" s="224"/>
      <c r="M26" s="224"/>
      <c r="N26" s="224"/>
      <c r="O26" s="212"/>
      <c r="P26" s="126"/>
    </row>
    <row r="27" spans="2:22" x14ac:dyDescent="0.2">
      <c r="B27" s="122" t="s">
        <v>124</v>
      </c>
      <c r="C27" s="120"/>
      <c r="D27" s="123"/>
      <c r="E27" s="80"/>
      <c r="F27" s="80"/>
      <c r="G27" s="80"/>
      <c r="H27" s="209">
        <f>'PF Calculator'!H27</f>
        <v>50</v>
      </c>
      <c r="I27" s="107" t="s">
        <v>161</v>
      </c>
      <c r="J27" s="224"/>
      <c r="K27" s="224"/>
      <c r="L27" s="224"/>
      <c r="M27" s="224"/>
      <c r="N27" s="22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0</v>
      </c>
      <c r="I29" s="107" t="s">
        <v>162</v>
      </c>
      <c r="J29" s="80"/>
      <c r="K29" s="80"/>
      <c r="L29" s="80"/>
      <c r="M29" s="80"/>
      <c r="O29" s="83"/>
    </row>
    <row r="30" spans="2:22" x14ac:dyDescent="0.2">
      <c r="B30" s="122"/>
      <c r="C30" s="120"/>
      <c r="D30" s="123"/>
      <c r="E30" s="80"/>
      <c r="F30" s="80"/>
      <c r="G30" s="80"/>
      <c r="H30" s="80"/>
      <c r="I30" s="80"/>
      <c r="J30" s="279" t="s">
        <v>155</v>
      </c>
      <c r="K30" s="280"/>
      <c r="L30" s="280"/>
      <c r="M30" s="280"/>
      <c r="N30" s="281"/>
    </row>
    <row r="31" spans="2:22" x14ac:dyDescent="0.2">
      <c r="B31" s="127" t="s">
        <v>151</v>
      </c>
      <c r="C31" s="120"/>
      <c r="D31" s="123"/>
      <c r="E31" s="80"/>
      <c r="F31" s="80"/>
      <c r="G31" s="80"/>
      <c r="H31" s="106"/>
      <c r="I31" s="80"/>
      <c r="J31" s="282"/>
      <c r="K31" s="283"/>
      <c r="L31" s="283"/>
      <c r="M31" s="283"/>
      <c r="N31" s="284"/>
      <c r="O31" s="83"/>
    </row>
    <row r="32" spans="2:22" x14ac:dyDescent="0.2">
      <c r="B32" s="120" t="s">
        <v>118</v>
      </c>
      <c r="C32" s="120"/>
      <c r="D32" s="123"/>
      <c r="E32" s="80"/>
      <c r="F32" s="80"/>
      <c r="G32" s="80"/>
      <c r="H32" s="213">
        <f>'PF Calculator'!H32*1.25</f>
        <v>0</v>
      </c>
      <c r="I32" s="107" t="s">
        <v>163</v>
      </c>
      <c r="J32" s="282"/>
      <c r="K32" s="283"/>
      <c r="L32" s="283"/>
      <c r="M32" s="283"/>
      <c r="N32" s="284"/>
    </row>
    <row r="33" spans="2:21" x14ac:dyDescent="0.2">
      <c r="B33" s="120" t="s">
        <v>125</v>
      </c>
      <c r="C33" s="120"/>
      <c r="D33" s="123"/>
      <c r="E33" s="80"/>
      <c r="F33" s="80"/>
      <c r="G33" s="80"/>
      <c r="H33" s="213">
        <f>'PF Calculator'!H33*1.25</f>
        <v>0</v>
      </c>
      <c r="I33" s="107" t="s">
        <v>164</v>
      </c>
      <c r="J33" s="285"/>
      <c r="K33" s="286"/>
      <c r="L33" s="286"/>
      <c r="M33" s="286"/>
      <c r="N33" s="287"/>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2" t="s">
        <v>200</v>
      </c>
      <c r="K38" s="251"/>
      <c r="L38" s="251"/>
      <c r="M38" s="251"/>
      <c r="N38" s="251"/>
      <c r="O38" s="251"/>
      <c r="P38" s="288"/>
      <c r="Q38" s="288"/>
      <c r="R38" s="288"/>
      <c r="S38" s="288"/>
      <c r="T38" s="288"/>
      <c r="U38" s="288"/>
    </row>
    <row r="39" spans="2:21" ht="32.25" customHeight="1" x14ac:dyDescent="0.2">
      <c r="B39" s="129" t="s">
        <v>152</v>
      </c>
      <c r="C39" s="120"/>
      <c r="D39" s="123"/>
      <c r="E39" s="80"/>
      <c r="F39" s="80"/>
      <c r="G39" s="80"/>
      <c r="H39" s="128"/>
      <c r="I39" s="80"/>
      <c r="J39" s="251"/>
      <c r="K39" s="251"/>
      <c r="L39" s="251"/>
      <c r="M39" s="251"/>
      <c r="N39" s="251"/>
      <c r="O39" s="251"/>
      <c r="P39" s="288"/>
      <c r="Q39" s="288"/>
      <c r="R39" s="288"/>
      <c r="S39" s="288"/>
      <c r="T39" s="288"/>
      <c r="U39" s="288"/>
    </row>
    <row r="40" spans="2:21" ht="15" customHeight="1" x14ac:dyDescent="0.2">
      <c r="B40" s="120" t="s">
        <v>119</v>
      </c>
      <c r="C40" s="120"/>
      <c r="D40" s="123"/>
      <c r="E40" s="80"/>
      <c r="F40" s="80"/>
      <c r="G40" s="80"/>
      <c r="H40" s="213">
        <f>'PF Calculator'!H40</f>
        <v>0</v>
      </c>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c r="P40" s="288"/>
      <c r="Q40" s="288"/>
      <c r="R40" s="288"/>
      <c r="S40" s="288"/>
      <c r="T40" s="288"/>
      <c r="U40" s="288"/>
    </row>
    <row r="41" spans="2:21" ht="15" customHeight="1" x14ac:dyDescent="0.2">
      <c r="B41" s="120" t="s">
        <v>120</v>
      </c>
      <c r="C41" s="120"/>
      <c r="D41" s="123"/>
      <c r="E41" s="80"/>
      <c r="F41" s="80"/>
      <c r="G41" s="80"/>
      <c r="H41" s="213">
        <f>'PF Calculator'!H41</f>
        <v>0</v>
      </c>
      <c r="I41" s="107" t="s">
        <v>169</v>
      </c>
      <c r="J41" s="251"/>
      <c r="K41" s="251"/>
      <c r="L41" s="251"/>
      <c r="M41" s="251"/>
      <c r="N41" s="251"/>
      <c r="O41" s="251"/>
      <c r="P41" s="288"/>
      <c r="Q41" s="288"/>
      <c r="R41" s="288"/>
      <c r="S41" s="288"/>
      <c r="T41" s="288"/>
      <c r="U41" s="288"/>
    </row>
    <row r="42" spans="2:21" ht="15" customHeight="1" x14ac:dyDescent="0.2">
      <c r="B42" s="120" t="s">
        <v>121</v>
      </c>
      <c r="C42" s="120"/>
      <c r="D42" s="123"/>
      <c r="E42" s="80"/>
      <c r="F42" s="80"/>
      <c r="G42" s="80"/>
      <c r="H42" s="213">
        <f>'PF Calculator'!H42</f>
        <v>0</v>
      </c>
      <c r="I42" s="107" t="s">
        <v>170</v>
      </c>
      <c r="J42" s="251"/>
      <c r="K42" s="251"/>
      <c r="L42" s="251"/>
      <c r="M42" s="251"/>
      <c r="N42" s="251"/>
      <c r="O42" s="251"/>
      <c r="P42" s="288"/>
      <c r="Q42" s="288"/>
      <c r="R42" s="288"/>
      <c r="S42" s="288"/>
      <c r="T42" s="288"/>
      <c r="U42" s="288"/>
    </row>
    <row r="43" spans="2:21" ht="15" customHeight="1" x14ac:dyDescent="0.2">
      <c r="B43" s="120" t="s">
        <v>122</v>
      </c>
      <c r="C43" s="120"/>
      <c r="D43" s="123"/>
      <c r="E43" s="80"/>
      <c r="F43" s="80"/>
      <c r="G43" s="80"/>
      <c r="H43" s="213">
        <f>'PF Calculator'!H43</f>
        <v>0</v>
      </c>
      <c r="I43" s="107" t="s">
        <v>171</v>
      </c>
      <c r="J43" s="251"/>
      <c r="K43" s="251"/>
      <c r="L43" s="251"/>
      <c r="M43" s="251"/>
      <c r="N43" s="251"/>
      <c r="O43" s="251"/>
      <c r="P43" s="288"/>
      <c r="Q43" s="288"/>
      <c r="R43" s="288"/>
      <c r="S43" s="288"/>
      <c r="T43" s="288"/>
      <c r="U43" s="288"/>
    </row>
    <row r="44" spans="2:21" x14ac:dyDescent="0.2">
      <c r="B44" s="127" t="s">
        <v>123</v>
      </c>
      <c r="C44" s="120"/>
      <c r="D44" s="123"/>
      <c r="E44" s="80"/>
      <c r="F44" s="80"/>
      <c r="G44" s="80"/>
      <c r="H44" s="44">
        <f>H17</f>
        <v>0</v>
      </c>
      <c r="I44" s="107" t="s">
        <v>172</v>
      </c>
      <c r="J44" s="251"/>
      <c r="K44" s="251"/>
      <c r="L44" s="251"/>
      <c r="M44" s="251"/>
      <c r="N44" s="251"/>
      <c r="O44" s="251"/>
    </row>
    <row r="45" spans="2:21"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21" ht="25.5" customHeight="1" x14ac:dyDescent="0.2">
      <c r="B46" s="127"/>
      <c r="C46" s="120"/>
      <c r="D46" s="123"/>
      <c r="E46" s="80"/>
      <c r="F46" s="80"/>
      <c r="G46" s="80"/>
      <c r="H46" s="80"/>
      <c r="I46" s="107"/>
      <c r="J46" s="251"/>
      <c r="K46" s="251"/>
      <c r="L46" s="251"/>
      <c r="M46" s="251"/>
      <c r="N46" s="251"/>
      <c r="O46" s="251"/>
    </row>
    <row r="47" spans="2:21" ht="7.5" customHeight="1" x14ac:dyDescent="0.2">
      <c r="B47" s="80"/>
      <c r="C47" s="80"/>
      <c r="D47" s="80"/>
      <c r="E47" s="130"/>
      <c r="F47" s="130"/>
      <c r="G47" s="130"/>
      <c r="H47" s="130"/>
      <c r="I47" s="130"/>
      <c r="J47" s="251"/>
      <c r="K47" s="251"/>
      <c r="L47" s="251"/>
      <c r="M47" s="251"/>
      <c r="N47" s="251"/>
      <c r="O47" s="251"/>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0" t="s">
        <v>54</v>
      </c>
      <c r="N50" s="250"/>
      <c r="O50" s="250"/>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9">
        <f>SUMPRODUCT($M51:$O51,$M$57:$O$57)</f>
        <v>0</v>
      </c>
      <c r="G60" s="289"/>
      <c r="H60" s="80"/>
      <c r="J60" s="290">
        <f>F60*Duration</f>
        <v>0</v>
      </c>
      <c r="K60" s="290"/>
      <c r="M60" s="136" t="s">
        <v>74</v>
      </c>
      <c r="N60" s="290">
        <f>-F60*VLOOKUP(Duration,'Discount Rates &amp; Assumptions'!$A$6:$D$105,4,FALSE)</f>
        <v>0</v>
      </c>
      <c r="O60" s="290"/>
    </row>
    <row r="61" spans="2:19" x14ac:dyDescent="0.2">
      <c r="B61" s="133" t="str">
        <f>B52</f>
        <v>21-40% most deprived areas</v>
      </c>
      <c r="C61" s="80"/>
      <c r="D61" s="80"/>
      <c r="F61" s="289">
        <f>SUMPRODUCT($M52:$O52,$M$57:$O$57)</f>
        <v>0</v>
      </c>
      <c r="G61" s="289"/>
      <c r="H61" s="80"/>
      <c r="J61" s="290">
        <f>F61*Duration</f>
        <v>0</v>
      </c>
      <c r="K61" s="290"/>
      <c r="M61" s="136" t="s">
        <v>75</v>
      </c>
      <c r="N61" s="290">
        <f>-F61*VLOOKUP(Duration,'Discount Rates &amp; Assumptions'!$A$6:$D$105,4,FALSE)</f>
        <v>0</v>
      </c>
      <c r="O61" s="290"/>
    </row>
    <row r="62" spans="2:19" x14ac:dyDescent="0.2">
      <c r="B62" s="133" t="str">
        <f>B53</f>
        <v>60% least deprived areas</v>
      </c>
      <c r="C62" s="80"/>
      <c r="D62" s="80"/>
      <c r="F62" s="289">
        <f>SUMPRODUCT($M53:$O53,$M$57:$O$57)</f>
        <v>0</v>
      </c>
      <c r="G62" s="289"/>
      <c r="H62" s="80"/>
      <c r="J62" s="290">
        <f>F62*Duration</f>
        <v>0</v>
      </c>
      <c r="K62" s="290"/>
      <c r="M62" s="136" t="s">
        <v>90</v>
      </c>
      <c r="N62" s="290">
        <f>-F62*VLOOKUP(Duration,'Discount Rates &amp; Assumptions'!$A$6:$D$105,4,FALSE)</f>
        <v>0</v>
      </c>
      <c r="O62" s="290"/>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49" t="s">
        <v>19</v>
      </c>
      <c r="G66" s="249"/>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8" t="s">
        <v>95</v>
      </c>
      <c r="J69" s="228"/>
      <c r="K69" s="228"/>
      <c r="L69" s="228"/>
      <c r="M69" s="50">
        <f>M67*VLOOKUP('Discount Rates &amp; Assumptions'!K39,'Discount Rates &amp; Assumptions'!$A$6:$D$105,3,FALSE)</f>
        <v>1183.5763061432306</v>
      </c>
      <c r="N69" s="50">
        <f>N67*VLOOKUP('Discount Rates &amp; Assumptions'!K38,'Discount Rates &amp; Assumptions'!$A$6:$D$105,3,FALSE)</f>
        <v>3015.3953065900237</v>
      </c>
    </row>
    <row r="70" spans="2:16" ht="28" x14ac:dyDescent="0.2">
      <c r="B70" s="80"/>
      <c r="C70" s="80"/>
      <c r="D70" s="142"/>
      <c r="E70" s="80"/>
      <c r="F70" s="143" t="s">
        <v>65</v>
      </c>
      <c r="G70" s="143" t="s">
        <v>64</v>
      </c>
      <c r="H70" s="80"/>
      <c r="I70" s="228"/>
      <c r="J70" s="228"/>
      <c r="K70" s="228"/>
      <c r="L70" s="228"/>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9">
        <f>-SUMPRODUCT($M$69:$N$69,F67:G67)</f>
        <v>0</v>
      </c>
      <c r="G73" s="289"/>
      <c r="H73" s="80"/>
      <c r="J73" s="290">
        <f>F73*Duration</f>
        <v>0</v>
      </c>
      <c r="K73" s="290"/>
      <c r="M73" s="136" t="s">
        <v>76</v>
      </c>
      <c r="N73" s="291">
        <f>-F73*VLOOKUP(Duration,'Discount Rates &amp; Assumptions'!$A$6:$D$105,4,FALSE)</f>
        <v>0</v>
      </c>
      <c r="O73" s="291"/>
    </row>
    <row r="74" spans="2:16" x14ac:dyDescent="0.2">
      <c r="B74" s="133" t="str">
        <f>B68</f>
        <v>21-40% most deprived areas</v>
      </c>
      <c r="C74" s="80"/>
      <c r="D74" s="80"/>
      <c r="F74" s="289">
        <f>-SUMPRODUCT($M$69:$N$69,F68:G68)</f>
        <v>0</v>
      </c>
      <c r="G74" s="289"/>
      <c r="H74" s="80"/>
      <c r="J74" s="290">
        <f>F74*Duration</f>
        <v>0</v>
      </c>
      <c r="K74" s="290"/>
      <c r="M74" s="136" t="s">
        <v>77</v>
      </c>
      <c r="N74" s="291">
        <f>-F74*VLOOKUP(Duration,'Discount Rates &amp; Assumptions'!$A$6:$D$105,4,FALSE)</f>
        <v>0</v>
      </c>
      <c r="O74" s="291"/>
    </row>
    <row r="75" spans="2:16" x14ac:dyDescent="0.2">
      <c r="B75" s="133" t="str">
        <f>B69</f>
        <v>60% least deprived areas</v>
      </c>
      <c r="C75" s="80"/>
      <c r="D75" s="80"/>
      <c r="F75" s="289">
        <f>-SUMPRODUCT($M$69:$N$69,F69:G69)</f>
        <v>0</v>
      </c>
      <c r="G75" s="289"/>
      <c r="H75" s="80"/>
      <c r="J75" s="290">
        <f>F75*Duration</f>
        <v>0</v>
      </c>
      <c r="K75" s="290"/>
      <c r="M75" s="136" t="s">
        <v>91</v>
      </c>
      <c r="N75" s="291">
        <f>-F75*VLOOKUP(Duration,'Discount Rates &amp; Assumptions'!$A$6:$D$105,4,FALSE)</f>
        <v>0</v>
      </c>
      <c r="O75" s="291"/>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0"/>
      <c r="G79" s="240"/>
      <c r="H79" s="100"/>
      <c r="I79" s="139"/>
      <c r="K79" s="147" t="s">
        <v>89</v>
      </c>
      <c r="L79" s="139"/>
      <c r="M79" s="139"/>
      <c r="N79" s="139"/>
      <c r="O79" s="136" t="s">
        <v>78</v>
      </c>
      <c r="P79" s="139"/>
    </row>
    <row r="80" spans="2:16" x14ac:dyDescent="0.2">
      <c r="B80" s="139" t="s">
        <v>68</v>
      </c>
      <c r="C80" s="215">
        <f>'PF Calculator'!C81</f>
        <v>2121</v>
      </c>
      <c r="D80" s="121" t="s">
        <v>12</v>
      </c>
      <c r="E80" s="100"/>
      <c r="F80" s="100"/>
      <c r="G80" s="100"/>
      <c r="H80" s="100"/>
      <c r="I80" s="80"/>
      <c r="J80" s="294">
        <f>'Discount Rates &amp; Assumptions'!K14</f>
        <v>15000</v>
      </c>
      <c r="K80" s="294"/>
      <c r="L80" s="139"/>
      <c r="M80" s="147" t="s">
        <v>68</v>
      </c>
      <c r="N80" s="295">
        <f>J80*C80</f>
        <v>31815000</v>
      </c>
      <c r="O80" s="295"/>
      <c r="P80" s="139"/>
    </row>
    <row r="81" spans="1:16" x14ac:dyDescent="0.2">
      <c r="B81" s="139" t="s">
        <v>4</v>
      </c>
      <c r="C81" s="215">
        <f>'PF Calculator'!C82</f>
        <v>212</v>
      </c>
      <c r="D81" s="121" t="s">
        <v>11</v>
      </c>
      <c r="E81" s="100"/>
      <c r="F81" s="100"/>
      <c r="G81" s="100"/>
      <c r="H81" s="100"/>
      <c r="I81" s="80"/>
      <c r="J81" s="294">
        <f>'Discount Rates &amp; Assumptions'!K15</f>
        <v>50000</v>
      </c>
      <c r="K81" s="294"/>
      <c r="L81" s="139"/>
      <c r="M81" s="147" t="s">
        <v>4</v>
      </c>
      <c r="N81" s="295">
        <f>J81*C81</f>
        <v>10600000</v>
      </c>
      <c r="O81" s="295"/>
      <c r="P81" s="139"/>
    </row>
    <row r="82" spans="1:16" x14ac:dyDescent="0.2">
      <c r="B82" s="139" t="s">
        <v>69</v>
      </c>
      <c r="C82" s="215">
        <f>'PF Calculator'!C83</f>
        <v>21</v>
      </c>
      <c r="D82" s="121" t="s">
        <v>10</v>
      </c>
      <c r="E82" s="80"/>
      <c r="F82" s="80"/>
      <c r="G82" s="80"/>
      <c r="H82" s="80"/>
      <c r="I82" s="80"/>
      <c r="J82" s="294">
        <f>'Discount Rates &amp; Assumptions'!K16</f>
        <v>80000</v>
      </c>
      <c r="K82" s="294"/>
      <c r="L82" s="139"/>
      <c r="M82" s="147" t="s">
        <v>69</v>
      </c>
      <c r="N82" s="295">
        <f>J82*C82</f>
        <v>1680000</v>
      </c>
      <c r="O82" s="295"/>
      <c r="P82" s="139"/>
    </row>
    <row r="83" spans="1:16" x14ac:dyDescent="0.2">
      <c r="B83" s="80"/>
      <c r="C83" s="80"/>
      <c r="D83" s="121"/>
      <c r="E83" s="80"/>
      <c r="F83" s="80"/>
      <c r="G83" s="80"/>
      <c r="H83" s="80"/>
      <c r="I83" s="80"/>
      <c r="J83" s="80"/>
      <c r="K83" s="80"/>
      <c r="L83" s="139"/>
      <c r="M83" s="136" t="s">
        <v>3</v>
      </c>
      <c r="N83" s="296">
        <f>SUM(N80:O82)</f>
        <v>44095000</v>
      </c>
      <c r="O83" s="296"/>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7">
        <f>IF(H29=0,0,IF(MAX((H29-SUM(D90:E96)),0)&gt;0,H29-SUM(D90:E96),"Ltd by high OM2,3,4 values"))</f>
        <v>0</v>
      </c>
      <c r="E89" s="298"/>
      <c r="F89" s="55">
        <f>1/TargetBCRWLBs*100</f>
        <v>5.5555555555555554</v>
      </c>
      <c r="G89" s="151" t="s">
        <v>81</v>
      </c>
      <c r="H89" s="80"/>
      <c r="I89" s="293">
        <f>IF(D89="Ltd by high OM2,3,4 values",0,D89*F89/100)</f>
        <v>0</v>
      </c>
      <c r="J89" s="293"/>
      <c r="K89" s="80"/>
      <c r="L89" s="139"/>
      <c r="M89" s="80"/>
      <c r="N89" s="154"/>
    </row>
    <row r="90" spans="1:16" x14ac:dyDescent="0.2">
      <c r="B90" s="155" t="s">
        <v>1</v>
      </c>
      <c r="C90" s="156" t="s">
        <v>84</v>
      </c>
      <c r="D90" s="292">
        <f>N60</f>
        <v>0</v>
      </c>
      <c r="E90" s="292"/>
      <c r="F90" s="52">
        <f>1/TargetMinBCR*DeprivedScalar20*100</f>
        <v>45</v>
      </c>
      <c r="G90" s="80"/>
      <c r="H90" s="80"/>
      <c r="I90" s="293">
        <f t="shared" ref="I90:I96" si="1">D90*F90/100</f>
        <v>0</v>
      </c>
      <c r="J90" s="293"/>
      <c r="K90" s="80"/>
      <c r="L90" s="80"/>
      <c r="M90" s="80"/>
      <c r="N90" s="154"/>
    </row>
    <row r="91" spans="1:16" x14ac:dyDescent="0.2">
      <c r="B91" s="157"/>
      <c r="C91" s="158" t="s">
        <v>80</v>
      </c>
      <c r="D91" s="292">
        <f>N61</f>
        <v>0</v>
      </c>
      <c r="E91" s="292"/>
      <c r="F91" s="52">
        <f>1/TargetMinBCR*DeprivedScalar40*100</f>
        <v>30.000000000000004</v>
      </c>
      <c r="G91" s="80"/>
      <c r="H91" s="80"/>
      <c r="I91" s="293">
        <f t="shared" si="1"/>
        <v>0</v>
      </c>
      <c r="J91" s="293"/>
      <c r="M91" s="139"/>
    </row>
    <row r="92" spans="1:16" x14ac:dyDescent="0.2">
      <c r="B92" s="159"/>
      <c r="C92" s="160" t="s">
        <v>88</v>
      </c>
      <c r="D92" s="292">
        <f>N62</f>
        <v>0</v>
      </c>
      <c r="E92" s="292"/>
      <c r="F92" s="52">
        <f>1/TargetMinBCR*DeprivedScalarOther*100</f>
        <v>20</v>
      </c>
      <c r="G92" s="80"/>
      <c r="H92" s="80"/>
      <c r="I92" s="293">
        <f t="shared" si="1"/>
        <v>0</v>
      </c>
      <c r="J92" s="293"/>
    </row>
    <row r="93" spans="1:16" x14ac:dyDescent="0.2">
      <c r="B93" s="155" t="s">
        <v>0</v>
      </c>
      <c r="C93" s="156" t="s">
        <v>84</v>
      </c>
      <c r="D93" s="292">
        <f>N73</f>
        <v>0</v>
      </c>
      <c r="E93" s="292"/>
      <c r="F93" s="52">
        <f>1/TargetMinBCR*DeprivedScalar20*100</f>
        <v>45</v>
      </c>
      <c r="G93" s="80"/>
      <c r="H93" s="80"/>
      <c r="I93" s="293">
        <f t="shared" si="1"/>
        <v>0</v>
      </c>
      <c r="J93" s="293"/>
    </row>
    <row r="94" spans="1:16" x14ac:dyDescent="0.2">
      <c r="B94" s="161"/>
      <c r="C94" s="158" t="s">
        <v>80</v>
      </c>
      <c r="D94" s="292">
        <f>N74</f>
        <v>0</v>
      </c>
      <c r="E94" s="292"/>
      <c r="F94" s="52">
        <f>1/TargetMinBCR*DeprivedScalar40*100</f>
        <v>30.000000000000004</v>
      </c>
      <c r="G94" s="80"/>
      <c r="H94" s="80"/>
      <c r="I94" s="293">
        <f t="shared" si="1"/>
        <v>0</v>
      </c>
      <c r="J94" s="293"/>
    </row>
    <row r="95" spans="1:16" x14ac:dyDescent="0.2">
      <c r="B95" s="159"/>
      <c r="C95" s="160" t="s">
        <v>88</v>
      </c>
      <c r="D95" s="292">
        <f>N75</f>
        <v>0</v>
      </c>
      <c r="E95" s="292"/>
      <c r="F95" s="52">
        <f>1/TargetMinBCR*DeprivedScalarOther*100</f>
        <v>20</v>
      </c>
      <c r="G95" s="80"/>
      <c r="H95" s="80"/>
      <c r="I95" s="293">
        <f t="shared" si="1"/>
        <v>0</v>
      </c>
      <c r="J95" s="293"/>
    </row>
    <row r="96" spans="1:16" x14ac:dyDescent="0.2">
      <c r="B96" s="162" t="s">
        <v>3</v>
      </c>
      <c r="C96" s="163"/>
      <c r="D96" s="292">
        <f>N83</f>
        <v>44095000</v>
      </c>
      <c r="E96" s="292"/>
      <c r="F96" s="52">
        <v>100</v>
      </c>
      <c r="G96" s="80"/>
      <c r="H96" s="80"/>
      <c r="I96" s="293">
        <f t="shared" si="1"/>
        <v>44095000</v>
      </c>
      <c r="J96" s="293"/>
      <c r="P96" s="164"/>
    </row>
    <row r="97" spans="2:16" x14ac:dyDescent="0.2">
      <c r="B97" s="80" t="s">
        <v>7</v>
      </c>
      <c r="C97" s="80"/>
      <c r="D97" s="299">
        <f>SUM(D89:E96)</f>
        <v>44095000</v>
      </c>
      <c r="E97" s="248"/>
      <c r="F97" s="80"/>
      <c r="G97" s="80"/>
      <c r="H97" s="80"/>
      <c r="I97" s="300">
        <f>SUM(I89:J96)</f>
        <v>44095000</v>
      </c>
      <c r="J97" s="301"/>
      <c r="K97" s="234" t="s">
        <v>213</v>
      </c>
      <c r="L97" s="234"/>
      <c r="M97" s="234"/>
      <c r="N97" s="234"/>
      <c r="O97" s="234"/>
    </row>
    <row r="98" spans="2:16" x14ac:dyDescent="0.2">
      <c r="B98" s="80"/>
      <c r="C98" s="80"/>
      <c r="D98" s="80"/>
      <c r="E98" s="80"/>
      <c r="F98" s="80"/>
      <c r="G98" s="80"/>
      <c r="H98" s="80"/>
      <c r="I98" s="80"/>
      <c r="K98" s="234"/>
      <c r="L98" s="234"/>
      <c r="M98" s="234"/>
      <c r="N98" s="234"/>
      <c r="O98" s="234"/>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2" t="s">
        <v>132</v>
      </c>
      <c r="C5" s="242"/>
      <c r="D5" s="242"/>
      <c r="E5" s="202">
        <f>'PF Calculator'!E5</f>
        <v>0</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4" t="s">
        <v>180</v>
      </c>
      <c r="N8" s="275"/>
      <c r="O8" s="276"/>
    </row>
    <row r="9" spans="1:18" x14ac:dyDescent="0.2">
      <c r="B9" s="94" t="s">
        <v>203</v>
      </c>
      <c r="J9" s="83" t="s">
        <v>146</v>
      </c>
      <c r="L9" s="80"/>
      <c r="M9" s="246" t="s">
        <v>15</v>
      </c>
      <c r="N9" s="247"/>
      <c r="O9" s="248"/>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#DIV/0!</v>
      </c>
      <c r="O14" s="47" t="s">
        <v>17</v>
      </c>
    </row>
    <row r="15" spans="1:18" ht="15" customHeight="1" x14ac:dyDescent="0.2">
      <c r="B15" s="109" t="s">
        <v>153</v>
      </c>
      <c r="C15" s="110"/>
      <c r="D15" s="110"/>
      <c r="E15" s="110"/>
      <c r="F15" s="110"/>
      <c r="G15" s="110"/>
      <c r="H15" s="53" t="e">
        <f>IF(J25="yes",I97/MAX(H37,H34),IF(J25="Yes",I97/MAX(H37,H34),0.45*I97/MAX(H37,H34)))</f>
        <v>#DIV/0!</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5" t="s">
        <v>177</v>
      </c>
      <c r="K17" s="277"/>
      <c r="L17" s="277"/>
      <c r="M17" s="277"/>
      <c r="N17" s="277"/>
      <c r="O17" s="277"/>
      <c r="Q17" s="253"/>
      <c r="R17" s="254"/>
      <c r="S17" s="254"/>
      <c r="T17" s="254"/>
      <c r="U17" s="254"/>
      <c r="V17" s="254"/>
    </row>
    <row r="18" spans="2:22" ht="15" customHeight="1" x14ac:dyDescent="0.2">
      <c r="B18" s="109"/>
      <c r="C18" s="86"/>
      <c r="D18" s="86"/>
      <c r="E18" s="86"/>
      <c r="F18" s="86"/>
      <c r="G18" s="86"/>
      <c r="H18" s="86"/>
      <c r="I18" s="139"/>
      <c r="J18" s="277"/>
      <c r="K18" s="277"/>
      <c r="L18" s="277"/>
      <c r="M18" s="277"/>
      <c r="N18" s="277"/>
      <c r="O18" s="277"/>
      <c r="Q18" s="254"/>
      <c r="R18" s="254"/>
      <c r="S18" s="254"/>
      <c r="T18" s="254"/>
      <c r="U18" s="254"/>
      <c r="V18" s="254"/>
    </row>
    <row r="19" spans="2:22" ht="15" customHeight="1" x14ac:dyDescent="0.2">
      <c r="B19" s="109" t="s">
        <v>134</v>
      </c>
      <c r="C19" s="112"/>
      <c r="D19" s="112"/>
      <c r="E19" s="112"/>
      <c r="F19" s="112"/>
      <c r="G19" s="112"/>
      <c r="H19" s="53">
        <f>IF(J25="Yes",IF(Authority="EA",I97/MAX(MAX(H37,H34)-H44,1),RawOMScore+H44/H34),IF(Authority="EA",I97*0.45/MAX(MAX(H37,H34)-H44,1),I15+H44/H34))</f>
        <v>44095000</v>
      </c>
      <c r="I19" s="107" t="s">
        <v>158</v>
      </c>
      <c r="J19" s="277"/>
      <c r="K19" s="277"/>
      <c r="L19" s="277"/>
      <c r="M19" s="277"/>
      <c r="N19" s="277"/>
      <c r="O19" s="277"/>
      <c r="Q19" s="254"/>
      <c r="R19" s="254"/>
      <c r="S19" s="254"/>
      <c r="T19" s="254"/>
      <c r="U19" s="254"/>
      <c r="V19" s="254"/>
    </row>
    <row r="20" spans="2:22" ht="15" customHeight="1" x14ac:dyDescent="0.2">
      <c r="J20" s="277"/>
      <c r="K20" s="277"/>
      <c r="L20" s="277"/>
      <c r="M20" s="277"/>
      <c r="N20" s="277"/>
      <c r="O20" s="277"/>
      <c r="Q20" s="254"/>
      <c r="R20" s="254"/>
      <c r="S20" s="254"/>
      <c r="T20" s="254"/>
      <c r="U20" s="254"/>
      <c r="V20" s="254"/>
    </row>
    <row r="21" spans="2:22" ht="15" customHeight="1" x14ac:dyDescent="0.2">
      <c r="B21" s="113" t="s">
        <v>205</v>
      </c>
      <c r="C21" s="114"/>
      <c r="D21" s="114"/>
      <c r="E21" s="114"/>
      <c r="F21" s="114"/>
      <c r="G21" s="114"/>
      <c r="H21" s="207">
        <f>IF(ROUNDUP(AdjOMScore,4)&lt;100%,"-",H34-H44)</f>
        <v>0</v>
      </c>
      <c r="I21" s="107" t="s">
        <v>159</v>
      </c>
      <c r="J21" s="277"/>
      <c r="K21" s="277"/>
      <c r="L21" s="277"/>
      <c r="M21" s="277"/>
      <c r="N21" s="277"/>
      <c r="O21" s="277"/>
      <c r="Q21" s="254"/>
      <c r="R21" s="254"/>
      <c r="S21" s="254"/>
      <c r="T21" s="254"/>
      <c r="U21" s="254"/>
      <c r="V21" s="254"/>
    </row>
    <row r="22" spans="2:22" ht="22.5" customHeight="1" x14ac:dyDescent="0.2">
      <c r="B22" s="208"/>
      <c r="C22" s="80"/>
      <c r="D22" s="80"/>
      <c r="E22" s="80"/>
      <c r="G22" s="115"/>
      <c r="H22" s="115"/>
      <c r="I22" s="104"/>
      <c r="J22" s="273"/>
      <c r="K22" s="273"/>
      <c r="L22" s="273"/>
      <c r="M22" s="273"/>
      <c r="N22" s="273"/>
      <c r="O22" s="273"/>
      <c r="Q22" s="254"/>
      <c r="R22" s="254"/>
      <c r="S22" s="254"/>
      <c r="T22" s="254"/>
      <c r="U22" s="254"/>
      <c r="V22" s="254"/>
    </row>
    <row r="23" spans="2:22" ht="6.75" customHeight="1" x14ac:dyDescent="0.2">
      <c r="B23" s="116"/>
      <c r="C23" s="116"/>
      <c r="D23" s="116"/>
      <c r="E23" s="116"/>
      <c r="F23" s="116"/>
      <c r="G23" s="116"/>
      <c r="H23" s="116"/>
      <c r="I23" s="116"/>
      <c r="J23" s="116"/>
      <c r="K23" s="116"/>
      <c r="L23" s="116"/>
      <c r="M23" s="116"/>
      <c r="N23" s="116"/>
      <c r="O23" s="100"/>
      <c r="P23" s="100"/>
      <c r="Q23" s="254"/>
      <c r="R23" s="254"/>
      <c r="S23" s="254"/>
      <c r="T23" s="254"/>
      <c r="U23" s="254"/>
      <c r="V23" s="254"/>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8" t="s">
        <v>174</v>
      </c>
      <c r="K26" s="224"/>
      <c r="L26" s="224"/>
      <c r="M26" s="224"/>
      <c r="N26" s="224"/>
      <c r="O26" s="212"/>
      <c r="P26" s="126"/>
    </row>
    <row r="27" spans="2:22" x14ac:dyDescent="0.2">
      <c r="B27" s="122" t="s">
        <v>124</v>
      </c>
      <c r="C27" s="120"/>
      <c r="D27" s="123"/>
      <c r="E27" s="80"/>
      <c r="F27" s="80"/>
      <c r="G27" s="80"/>
      <c r="H27" s="209">
        <f>'PF Calculator'!H27</f>
        <v>50</v>
      </c>
      <c r="I27" s="107" t="s">
        <v>161</v>
      </c>
      <c r="J27" s="224"/>
      <c r="K27" s="224"/>
      <c r="L27" s="224"/>
      <c r="M27" s="224"/>
      <c r="N27" s="22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0</v>
      </c>
      <c r="I29" s="107" t="s">
        <v>162</v>
      </c>
      <c r="J29" s="80"/>
      <c r="K29" s="80"/>
      <c r="L29" s="80"/>
      <c r="M29" s="80"/>
      <c r="O29" s="83"/>
    </row>
    <row r="30" spans="2:22" x14ac:dyDescent="0.2">
      <c r="B30" s="122"/>
      <c r="C30" s="120"/>
      <c r="D30" s="123"/>
      <c r="E30" s="80"/>
      <c r="F30" s="80"/>
      <c r="G30" s="80"/>
      <c r="H30" s="80"/>
      <c r="I30" s="80"/>
      <c r="J30" s="279" t="s">
        <v>155</v>
      </c>
      <c r="K30" s="280"/>
      <c r="L30" s="280"/>
      <c r="M30" s="280"/>
      <c r="N30" s="281"/>
    </row>
    <row r="31" spans="2:22" x14ac:dyDescent="0.2">
      <c r="B31" s="127" t="s">
        <v>151</v>
      </c>
      <c r="C31" s="120"/>
      <c r="D31" s="123"/>
      <c r="E31" s="80"/>
      <c r="F31" s="80"/>
      <c r="G31" s="80"/>
      <c r="H31" s="106"/>
      <c r="I31" s="80"/>
      <c r="J31" s="282"/>
      <c r="K31" s="283"/>
      <c r="L31" s="283"/>
      <c r="M31" s="283"/>
      <c r="N31" s="284"/>
      <c r="O31" s="83"/>
    </row>
    <row r="32" spans="2:22" x14ac:dyDescent="0.2">
      <c r="B32" s="120" t="s">
        <v>118</v>
      </c>
      <c r="C32" s="120"/>
      <c r="D32" s="123"/>
      <c r="E32" s="80"/>
      <c r="F32" s="80"/>
      <c r="G32" s="80"/>
      <c r="H32" s="213">
        <f>'PF Calculator'!H32</f>
        <v>0</v>
      </c>
      <c r="I32" s="107" t="s">
        <v>163</v>
      </c>
      <c r="J32" s="282"/>
      <c r="K32" s="283"/>
      <c r="L32" s="283"/>
      <c r="M32" s="283"/>
      <c r="N32" s="284"/>
    </row>
    <row r="33" spans="2:21" x14ac:dyDescent="0.2">
      <c r="B33" s="120" t="s">
        <v>125</v>
      </c>
      <c r="C33" s="120"/>
      <c r="D33" s="123"/>
      <c r="E33" s="80"/>
      <c r="F33" s="80"/>
      <c r="G33" s="80"/>
      <c r="H33" s="213">
        <f>'PF Calculator'!H33</f>
        <v>0</v>
      </c>
      <c r="I33" s="107" t="s">
        <v>164</v>
      </c>
      <c r="J33" s="285"/>
      <c r="K33" s="286"/>
      <c r="L33" s="286"/>
      <c r="M33" s="286"/>
      <c r="N33" s="287"/>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2" t="s">
        <v>200</v>
      </c>
      <c r="K38" s="251"/>
      <c r="L38" s="251"/>
      <c r="M38" s="251"/>
      <c r="N38" s="251"/>
      <c r="O38" s="251"/>
      <c r="P38" s="288"/>
      <c r="Q38" s="288"/>
      <c r="R38" s="288"/>
      <c r="S38" s="288"/>
      <c r="T38" s="288"/>
      <c r="U38" s="288"/>
    </row>
    <row r="39" spans="2:21" ht="32.25" customHeight="1" x14ac:dyDescent="0.2">
      <c r="B39" s="129" t="s">
        <v>152</v>
      </c>
      <c r="C39" s="120"/>
      <c r="D39" s="123"/>
      <c r="E39" s="80"/>
      <c r="F39" s="80"/>
      <c r="G39" s="80"/>
      <c r="H39" s="128"/>
      <c r="I39" s="80"/>
      <c r="J39" s="251"/>
      <c r="K39" s="251"/>
      <c r="L39" s="251"/>
      <c r="M39" s="251"/>
      <c r="N39" s="251"/>
      <c r="O39" s="251"/>
      <c r="P39" s="288"/>
      <c r="Q39" s="288"/>
      <c r="R39" s="288"/>
      <c r="S39" s="288"/>
      <c r="T39" s="288"/>
      <c r="U39" s="288"/>
    </row>
    <row r="40" spans="2:21" ht="15" customHeight="1" x14ac:dyDescent="0.2">
      <c r="B40" s="120" t="s">
        <v>119</v>
      </c>
      <c r="C40" s="120"/>
      <c r="D40" s="123"/>
      <c r="E40" s="80"/>
      <c r="F40" s="80"/>
      <c r="G40" s="80"/>
      <c r="H40" s="213">
        <f>'PF Calculator'!H40</f>
        <v>0</v>
      </c>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c r="P40" s="288"/>
      <c r="Q40" s="288"/>
      <c r="R40" s="288"/>
      <c r="S40" s="288"/>
      <c r="T40" s="288"/>
      <c r="U40" s="288"/>
    </row>
    <row r="41" spans="2:21" ht="15" customHeight="1" x14ac:dyDescent="0.2">
      <c r="B41" s="120" t="s">
        <v>120</v>
      </c>
      <c r="C41" s="120"/>
      <c r="D41" s="123"/>
      <c r="E41" s="80"/>
      <c r="F41" s="80"/>
      <c r="G41" s="80"/>
      <c r="H41" s="213">
        <f>'PF Calculator'!H41</f>
        <v>0</v>
      </c>
      <c r="I41" s="107" t="s">
        <v>169</v>
      </c>
      <c r="J41" s="251"/>
      <c r="K41" s="251"/>
      <c r="L41" s="251"/>
      <c r="M41" s="251"/>
      <c r="N41" s="251"/>
      <c r="O41" s="251"/>
      <c r="P41" s="288"/>
      <c r="Q41" s="288"/>
      <c r="R41" s="288"/>
      <c r="S41" s="288"/>
      <c r="T41" s="288"/>
      <c r="U41" s="288"/>
    </row>
    <row r="42" spans="2:21" ht="15" customHeight="1" x14ac:dyDescent="0.2">
      <c r="B42" s="120" t="s">
        <v>121</v>
      </c>
      <c r="C42" s="120"/>
      <c r="D42" s="123"/>
      <c r="E42" s="80"/>
      <c r="F42" s="80"/>
      <c r="G42" s="80"/>
      <c r="H42" s="213">
        <f>'PF Calculator'!H42</f>
        <v>0</v>
      </c>
      <c r="I42" s="107" t="s">
        <v>170</v>
      </c>
      <c r="J42" s="251"/>
      <c r="K42" s="251"/>
      <c r="L42" s="251"/>
      <c r="M42" s="251"/>
      <c r="N42" s="251"/>
      <c r="O42" s="251"/>
      <c r="P42" s="288"/>
      <c r="Q42" s="288"/>
      <c r="R42" s="288"/>
      <c r="S42" s="288"/>
      <c r="T42" s="288"/>
      <c r="U42" s="288"/>
    </row>
    <row r="43" spans="2:21" ht="15" customHeight="1" x14ac:dyDescent="0.2">
      <c r="B43" s="120" t="s">
        <v>122</v>
      </c>
      <c r="C43" s="120"/>
      <c r="D43" s="123"/>
      <c r="E43" s="80"/>
      <c r="F43" s="80"/>
      <c r="G43" s="80"/>
      <c r="H43" s="213">
        <f>'PF Calculator'!H43</f>
        <v>0</v>
      </c>
      <c r="I43" s="107" t="s">
        <v>171</v>
      </c>
      <c r="J43" s="251"/>
      <c r="K43" s="251"/>
      <c r="L43" s="251"/>
      <c r="M43" s="251"/>
      <c r="N43" s="251"/>
      <c r="O43" s="251"/>
      <c r="P43" s="288"/>
      <c r="Q43" s="288"/>
      <c r="R43" s="288"/>
      <c r="S43" s="288"/>
      <c r="T43" s="288"/>
      <c r="U43" s="288"/>
    </row>
    <row r="44" spans="2:21" x14ac:dyDescent="0.2">
      <c r="B44" s="127" t="s">
        <v>123</v>
      </c>
      <c r="C44" s="120"/>
      <c r="D44" s="123"/>
      <c r="E44" s="80"/>
      <c r="F44" s="80"/>
      <c r="G44" s="80"/>
      <c r="H44" s="44">
        <f>SUM(H40:H43)</f>
        <v>0</v>
      </c>
      <c r="I44" s="107" t="s">
        <v>172</v>
      </c>
      <c r="J44" s="251"/>
      <c r="K44" s="251"/>
      <c r="L44" s="251"/>
      <c r="M44" s="251"/>
      <c r="N44" s="251"/>
      <c r="O44" s="251"/>
    </row>
    <row r="45" spans="2:21"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21" x14ac:dyDescent="0.2">
      <c r="B46" s="127"/>
      <c r="C46" s="120"/>
      <c r="D46" s="123"/>
      <c r="E46" s="80"/>
      <c r="F46" s="80"/>
      <c r="G46" s="80"/>
      <c r="H46" s="80"/>
      <c r="I46" s="107"/>
      <c r="J46" s="251"/>
      <c r="K46" s="251"/>
      <c r="L46" s="251"/>
      <c r="M46" s="251"/>
      <c r="N46" s="251"/>
      <c r="O46" s="251"/>
    </row>
    <row r="47" spans="2:21" ht="17.25" customHeight="1" x14ac:dyDescent="0.2">
      <c r="B47" s="80"/>
      <c r="C47" s="80"/>
      <c r="D47" s="80"/>
      <c r="E47" s="130"/>
      <c r="F47" s="130"/>
      <c r="G47" s="130"/>
      <c r="H47" s="130"/>
      <c r="I47" s="130"/>
      <c r="J47" s="251"/>
      <c r="K47" s="251"/>
      <c r="L47" s="251"/>
      <c r="M47" s="251"/>
      <c r="N47" s="251"/>
      <c r="O47" s="251"/>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0" t="s">
        <v>54</v>
      </c>
      <c r="N50" s="250"/>
      <c r="O50" s="250"/>
    </row>
    <row r="51" spans="2:19" x14ac:dyDescent="0.2">
      <c r="B51" s="133" t="s">
        <v>21</v>
      </c>
      <c r="C51" s="80"/>
      <c r="D51" s="80"/>
      <c r="E51" s="214">
        <f>'PF Calculator'!E52</f>
        <v>0</v>
      </c>
      <c r="F51" s="214">
        <f>'PF Calculator'!F52+'PF Calculator'!G52*0.5</f>
        <v>0</v>
      </c>
      <c r="G51" s="214">
        <f>'PF Calculator'!G52*0.5</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Calculator'!F53+'PF Calculator'!G53*0.5</f>
        <v>0</v>
      </c>
      <c r="G52" s="214">
        <f>'PF Calculator'!G53*0.5</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Calculator'!F54+'PF Calculator'!G54*0.5</f>
        <v>0</v>
      </c>
      <c r="G53" s="214">
        <f>'PF Calculator'!G54*0.5</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9">
        <f>SUMPRODUCT($M51:$O51,$M$57:$O$57)</f>
        <v>0</v>
      </c>
      <c r="G60" s="289"/>
      <c r="H60" s="80"/>
      <c r="J60" s="290">
        <f>F60*Duration</f>
        <v>0</v>
      </c>
      <c r="K60" s="290"/>
      <c r="M60" s="136" t="s">
        <v>74</v>
      </c>
      <c r="N60" s="290">
        <f>-F60*VLOOKUP(Duration,'Discount Rates &amp; Assumptions'!$A$6:$D$105,4,FALSE)</f>
        <v>0</v>
      </c>
      <c r="O60" s="290"/>
    </row>
    <row r="61" spans="2:19" x14ac:dyDescent="0.2">
      <c r="B61" s="133" t="str">
        <f>B52</f>
        <v>21-40% most deprived areas</v>
      </c>
      <c r="C61" s="80"/>
      <c r="D61" s="80"/>
      <c r="F61" s="289">
        <f>SUMPRODUCT($M52:$O52,$M$57:$O$57)</f>
        <v>0</v>
      </c>
      <c r="G61" s="289"/>
      <c r="H61" s="80"/>
      <c r="J61" s="290">
        <f>F61*Duration</f>
        <v>0</v>
      </c>
      <c r="K61" s="290"/>
      <c r="M61" s="136" t="s">
        <v>75</v>
      </c>
      <c r="N61" s="290">
        <f>-F61*VLOOKUP(Duration,'Discount Rates &amp; Assumptions'!$A$6:$D$105,4,FALSE)</f>
        <v>0</v>
      </c>
      <c r="O61" s="290"/>
    </row>
    <row r="62" spans="2:19" x14ac:dyDescent="0.2">
      <c r="B62" s="133" t="str">
        <f>B53</f>
        <v>60% least deprived areas</v>
      </c>
      <c r="C62" s="80"/>
      <c r="D62" s="80"/>
      <c r="F62" s="289">
        <f>SUMPRODUCT($M53:$O53,$M$57:$O$57)</f>
        <v>0</v>
      </c>
      <c r="G62" s="289"/>
      <c r="H62" s="80"/>
      <c r="J62" s="290">
        <f>F62*Duration</f>
        <v>0</v>
      </c>
      <c r="K62" s="290"/>
      <c r="M62" s="136" t="s">
        <v>90</v>
      </c>
      <c r="N62" s="290">
        <f>-F62*VLOOKUP(Duration,'Discount Rates &amp; Assumptions'!$A$6:$D$105,4,FALSE)</f>
        <v>0</v>
      </c>
      <c r="O62" s="290"/>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49" t="s">
        <v>19</v>
      </c>
      <c r="G66" s="249"/>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8" t="s">
        <v>95</v>
      </c>
      <c r="J69" s="228"/>
      <c r="K69" s="228"/>
      <c r="L69" s="228"/>
      <c r="M69" s="50">
        <f>M67*VLOOKUP('Discount Rates &amp; Assumptions'!K39,'Discount Rates &amp; Assumptions'!$A$6:$D$105,3,FALSE)</f>
        <v>1183.5763061432306</v>
      </c>
      <c r="N69" s="50">
        <f>N67*VLOOKUP('Discount Rates &amp; Assumptions'!K38,'Discount Rates &amp; Assumptions'!$A$6:$D$105,3,FALSE)</f>
        <v>3015.3953065900237</v>
      </c>
    </row>
    <row r="70" spans="2:16" ht="28" x14ac:dyDescent="0.2">
      <c r="B70" s="80"/>
      <c r="C70" s="80"/>
      <c r="D70" s="142"/>
      <c r="E70" s="80"/>
      <c r="F70" s="143" t="s">
        <v>65</v>
      </c>
      <c r="G70" s="143" t="s">
        <v>64</v>
      </c>
      <c r="H70" s="80"/>
      <c r="I70" s="228"/>
      <c r="J70" s="228"/>
      <c r="K70" s="228"/>
      <c r="L70" s="228"/>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9">
        <f>-SUMPRODUCT($M$69:$N$69,F67:G67)</f>
        <v>0</v>
      </c>
      <c r="G73" s="289"/>
      <c r="H73" s="80"/>
      <c r="J73" s="290">
        <f>F73*Duration</f>
        <v>0</v>
      </c>
      <c r="K73" s="290"/>
      <c r="M73" s="136" t="s">
        <v>76</v>
      </c>
      <c r="N73" s="291">
        <f>-F73*VLOOKUP(Duration,'Discount Rates &amp; Assumptions'!$A$6:$D$105,4,FALSE)</f>
        <v>0</v>
      </c>
      <c r="O73" s="291"/>
    </row>
    <row r="74" spans="2:16" x14ac:dyDescent="0.2">
      <c r="B74" s="133" t="str">
        <f>B68</f>
        <v>21-40% most deprived areas</v>
      </c>
      <c r="C74" s="80"/>
      <c r="D74" s="80"/>
      <c r="F74" s="289">
        <f>-SUMPRODUCT($M$69:$N$69,F68:G68)</f>
        <v>0</v>
      </c>
      <c r="G74" s="289"/>
      <c r="H74" s="80"/>
      <c r="J74" s="290">
        <f>F74*Duration</f>
        <v>0</v>
      </c>
      <c r="K74" s="290"/>
      <c r="M74" s="136" t="s">
        <v>77</v>
      </c>
      <c r="N74" s="291">
        <f>-F74*VLOOKUP(Duration,'Discount Rates &amp; Assumptions'!$A$6:$D$105,4,FALSE)</f>
        <v>0</v>
      </c>
      <c r="O74" s="291"/>
    </row>
    <row r="75" spans="2:16" x14ac:dyDescent="0.2">
      <c r="B75" s="133" t="str">
        <f>B69</f>
        <v>60% least deprived areas</v>
      </c>
      <c r="C75" s="80"/>
      <c r="D75" s="80"/>
      <c r="F75" s="289">
        <f>-SUMPRODUCT($M$69:$N$69,F69:G69)</f>
        <v>0</v>
      </c>
      <c r="G75" s="289"/>
      <c r="H75" s="80"/>
      <c r="J75" s="290">
        <f>F75*Duration</f>
        <v>0</v>
      </c>
      <c r="K75" s="290"/>
      <c r="M75" s="136" t="s">
        <v>91</v>
      </c>
      <c r="N75" s="291">
        <f>-F75*VLOOKUP(Duration,'Discount Rates &amp; Assumptions'!$A$6:$D$105,4,FALSE)</f>
        <v>0</v>
      </c>
      <c r="O75" s="291"/>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0"/>
      <c r="G79" s="240"/>
      <c r="H79" s="100"/>
      <c r="I79" s="139"/>
      <c r="K79" s="147" t="s">
        <v>89</v>
      </c>
      <c r="L79" s="139"/>
      <c r="M79" s="139"/>
      <c r="N79" s="139"/>
      <c r="O79" s="136" t="s">
        <v>78</v>
      </c>
      <c r="P79" s="139"/>
    </row>
    <row r="80" spans="2:16" x14ac:dyDescent="0.2">
      <c r="B80" s="139" t="s">
        <v>68</v>
      </c>
      <c r="C80" s="221">
        <f>'PF Calculator'!C81</f>
        <v>2121</v>
      </c>
      <c r="D80" s="121" t="s">
        <v>12</v>
      </c>
      <c r="E80" s="100"/>
      <c r="F80" s="100"/>
      <c r="G80" s="100"/>
      <c r="H80" s="100"/>
      <c r="I80" s="80"/>
      <c r="J80" s="294">
        <f>'Discount Rates &amp; Assumptions'!K14</f>
        <v>15000</v>
      </c>
      <c r="K80" s="294"/>
      <c r="L80" s="139"/>
      <c r="M80" s="147" t="s">
        <v>68</v>
      </c>
      <c r="N80" s="295">
        <f>J80*C80</f>
        <v>31815000</v>
      </c>
      <c r="O80" s="295"/>
      <c r="P80" s="139"/>
    </row>
    <row r="81" spans="1:16" x14ac:dyDescent="0.2">
      <c r="B81" s="139" t="s">
        <v>4</v>
      </c>
      <c r="C81" s="221">
        <f>'PF Calculator'!C82</f>
        <v>212</v>
      </c>
      <c r="D81" s="121" t="s">
        <v>11</v>
      </c>
      <c r="E81" s="100"/>
      <c r="F81" s="100"/>
      <c r="G81" s="100"/>
      <c r="H81" s="100"/>
      <c r="I81" s="80"/>
      <c r="J81" s="294">
        <f>'Discount Rates &amp; Assumptions'!K15</f>
        <v>50000</v>
      </c>
      <c r="K81" s="294"/>
      <c r="L81" s="139"/>
      <c r="M81" s="147" t="s">
        <v>4</v>
      </c>
      <c r="N81" s="295">
        <f>J81*C81</f>
        <v>10600000</v>
      </c>
      <c r="O81" s="295"/>
      <c r="P81" s="139"/>
    </row>
    <row r="82" spans="1:16" x14ac:dyDescent="0.2">
      <c r="B82" s="139" t="s">
        <v>69</v>
      </c>
      <c r="C82" s="221">
        <f>'PF Calculator'!C83</f>
        <v>21</v>
      </c>
      <c r="D82" s="121" t="s">
        <v>10</v>
      </c>
      <c r="E82" s="80"/>
      <c r="F82" s="80"/>
      <c r="G82" s="80"/>
      <c r="H82" s="80"/>
      <c r="I82" s="80"/>
      <c r="J82" s="294">
        <f>'Discount Rates &amp; Assumptions'!K16</f>
        <v>80000</v>
      </c>
      <c r="K82" s="294"/>
      <c r="L82" s="139"/>
      <c r="M82" s="147" t="s">
        <v>69</v>
      </c>
      <c r="N82" s="295">
        <f>J82*C82</f>
        <v>1680000</v>
      </c>
      <c r="O82" s="295"/>
      <c r="P82" s="139"/>
    </row>
    <row r="83" spans="1:16" x14ac:dyDescent="0.2">
      <c r="B83" s="80"/>
      <c r="C83" s="80"/>
      <c r="D83" s="121"/>
      <c r="E83" s="80"/>
      <c r="F83" s="80"/>
      <c r="G83" s="80"/>
      <c r="H83" s="80"/>
      <c r="I83" s="80"/>
      <c r="J83" s="80"/>
      <c r="K83" s="80"/>
      <c r="L83" s="139"/>
      <c r="M83" s="136" t="s">
        <v>3</v>
      </c>
      <c r="N83" s="296">
        <f>SUM(N80:O82)</f>
        <v>44095000</v>
      </c>
      <c r="O83" s="296"/>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7">
        <f>IF(H29=0,0,IF(MAX((H29-SUM(D90:E96)),0)&gt;0,H29-SUM(D90:E96),"Ltd by high OM2,3,4 values"))</f>
        <v>0</v>
      </c>
      <c r="E89" s="298"/>
      <c r="F89" s="55">
        <f>1/TargetBCRWLBs*100</f>
        <v>5.5555555555555554</v>
      </c>
      <c r="G89" s="151" t="s">
        <v>81</v>
      </c>
      <c r="H89" s="80"/>
      <c r="I89" s="293">
        <f>IF(D89="Ltd by high OM2,3,4 values",0,D89*F89/100)</f>
        <v>0</v>
      </c>
      <c r="J89" s="293"/>
      <c r="K89" s="80"/>
      <c r="L89" s="139"/>
      <c r="M89" s="80"/>
      <c r="N89" s="154"/>
    </row>
    <row r="90" spans="1:16" x14ac:dyDescent="0.2">
      <c r="B90" s="155" t="s">
        <v>1</v>
      </c>
      <c r="C90" s="156" t="s">
        <v>84</v>
      </c>
      <c r="D90" s="292">
        <f>N60</f>
        <v>0</v>
      </c>
      <c r="E90" s="292"/>
      <c r="F90" s="52">
        <f>1/TargetMinBCR*DeprivedScalar20*100</f>
        <v>45</v>
      </c>
      <c r="G90" s="80"/>
      <c r="H90" s="80"/>
      <c r="I90" s="293">
        <f t="shared" ref="I90:I96" si="1">D90*F90/100</f>
        <v>0</v>
      </c>
      <c r="J90" s="293"/>
      <c r="K90" s="80"/>
      <c r="L90" s="80"/>
      <c r="M90" s="80"/>
      <c r="N90" s="154"/>
    </row>
    <row r="91" spans="1:16" x14ac:dyDescent="0.2">
      <c r="B91" s="157"/>
      <c r="C91" s="158" t="s">
        <v>80</v>
      </c>
      <c r="D91" s="292">
        <f>N61</f>
        <v>0</v>
      </c>
      <c r="E91" s="292"/>
      <c r="F91" s="52">
        <f>1/TargetMinBCR*DeprivedScalar40*100</f>
        <v>30.000000000000004</v>
      </c>
      <c r="G91" s="80"/>
      <c r="H91" s="80"/>
      <c r="I91" s="293">
        <f t="shared" si="1"/>
        <v>0</v>
      </c>
      <c r="J91" s="293"/>
      <c r="M91" s="139"/>
    </row>
    <row r="92" spans="1:16" x14ac:dyDescent="0.2">
      <c r="B92" s="159"/>
      <c r="C92" s="160" t="s">
        <v>88</v>
      </c>
      <c r="D92" s="292">
        <f>N62</f>
        <v>0</v>
      </c>
      <c r="E92" s="292"/>
      <c r="F92" s="52">
        <f>1/TargetMinBCR*DeprivedScalarOther*100</f>
        <v>20</v>
      </c>
      <c r="G92" s="80"/>
      <c r="H92" s="80"/>
      <c r="I92" s="293">
        <f t="shared" si="1"/>
        <v>0</v>
      </c>
      <c r="J92" s="293"/>
    </row>
    <row r="93" spans="1:16" x14ac:dyDescent="0.2">
      <c r="B93" s="155" t="s">
        <v>0</v>
      </c>
      <c r="C93" s="156" t="s">
        <v>84</v>
      </c>
      <c r="D93" s="292">
        <f>N73</f>
        <v>0</v>
      </c>
      <c r="E93" s="292"/>
      <c r="F93" s="52">
        <f>1/TargetMinBCR*DeprivedScalar20*100</f>
        <v>45</v>
      </c>
      <c r="G93" s="80"/>
      <c r="H93" s="80"/>
      <c r="I93" s="293">
        <f t="shared" si="1"/>
        <v>0</v>
      </c>
      <c r="J93" s="293"/>
    </row>
    <row r="94" spans="1:16" x14ac:dyDescent="0.2">
      <c r="B94" s="161"/>
      <c r="C94" s="158" t="s">
        <v>80</v>
      </c>
      <c r="D94" s="292">
        <f>N74</f>
        <v>0</v>
      </c>
      <c r="E94" s="292"/>
      <c r="F94" s="52">
        <f>1/TargetMinBCR*DeprivedScalar40*100</f>
        <v>30.000000000000004</v>
      </c>
      <c r="G94" s="80"/>
      <c r="H94" s="80"/>
      <c r="I94" s="293">
        <f t="shared" si="1"/>
        <v>0</v>
      </c>
      <c r="J94" s="293"/>
    </row>
    <row r="95" spans="1:16" x14ac:dyDescent="0.2">
      <c r="B95" s="159"/>
      <c r="C95" s="160" t="s">
        <v>88</v>
      </c>
      <c r="D95" s="292">
        <f>N75</f>
        <v>0</v>
      </c>
      <c r="E95" s="292"/>
      <c r="F95" s="52">
        <f>1/TargetMinBCR*DeprivedScalarOther*100</f>
        <v>20</v>
      </c>
      <c r="G95" s="80"/>
      <c r="H95" s="80"/>
      <c r="I95" s="293">
        <f t="shared" si="1"/>
        <v>0</v>
      </c>
      <c r="J95" s="293"/>
    </row>
    <row r="96" spans="1:16" x14ac:dyDescent="0.2">
      <c r="B96" s="162" t="s">
        <v>3</v>
      </c>
      <c r="C96" s="163"/>
      <c r="D96" s="292">
        <f>N83</f>
        <v>44095000</v>
      </c>
      <c r="E96" s="292"/>
      <c r="F96" s="52">
        <v>100</v>
      </c>
      <c r="G96" s="80"/>
      <c r="H96" s="80"/>
      <c r="I96" s="293">
        <f t="shared" si="1"/>
        <v>44095000</v>
      </c>
      <c r="J96" s="293"/>
      <c r="P96" s="164"/>
    </row>
    <row r="97" spans="2:16" ht="15.75" customHeight="1" x14ac:dyDescent="0.2">
      <c r="B97" s="80" t="s">
        <v>7</v>
      </c>
      <c r="C97" s="80"/>
      <c r="D97" s="299">
        <f>SUM(D89:E96)</f>
        <v>44095000</v>
      </c>
      <c r="E97" s="248"/>
      <c r="F97" s="80"/>
      <c r="G97" s="80"/>
      <c r="H97" s="80"/>
      <c r="I97" s="300">
        <f>SUM(I89:J96)</f>
        <v>44095000</v>
      </c>
      <c r="J97" s="301"/>
      <c r="K97" s="234" t="s">
        <v>213</v>
      </c>
      <c r="L97" s="234"/>
      <c r="M97" s="234"/>
      <c r="N97" s="234"/>
      <c r="O97" s="234"/>
    </row>
    <row r="98" spans="2:16" x14ac:dyDescent="0.2">
      <c r="B98" s="80"/>
      <c r="C98" s="80"/>
      <c r="D98" s="80"/>
      <c r="E98" s="80"/>
      <c r="F98" s="80"/>
      <c r="G98" s="80"/>
      <c r="H98" s="80"/>
      <c r="I98" s="80"/>
      <c r="K98" s="234"/>
      <c r="L98" s="234"/>
      <c r="M98" s="234"/>
      <c r="N98" s="234"/>
      <c r="O98" s="234"/>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2" t="s">
        <v>132</v>
      </c>
      <c r="C5" s="242"/>
      <c r="D5" s="242"/>
      <c r="E5" s="202">
        <f>'PF Calculator'!E5</f>
        <v>0</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4" t="s">
        <v>180</v>
      </c>
      <c r="N8" s="275"/>
      <c r="O8" s="276"/>
    </row>
    <row r="9" spans="1:18" x14ac:dyDescent="0.2">
      <c r="B9" s="94" t="s">
        <v>203</v>
      </c>
      <c r="J9" s="83" t="s">
        <v>146</v>
      </c>
      <c r="L9" s="80"/>
      <c r="M9" s="246" t="s">
        <v>15</v>
      </c>
      <c r="N9" s="247"/>
      <c r="O9" s="248"/>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#DIV/0!</v>
      </c>
      <c r="O14" s="47" t="s">
        <v>17</v>
      </c>
    </row>
    <row r="15" spans="1:18" ht="15" customHeight="1" x14ac:dyDescent="0.2">
      <c r="B15" s="109" t="s">
        <v>153</v>
      </c>
      <c r="C15" s="110"/>
      <c r="D15" s="110"/>
      <c r="E15" s="110"/>
      <c r="F15" s="110"/>
      <c r="G15" s="110"/>
      <c r="H15" s="53" t="e">
        <f>IF(J25="yes",I97/MAX(H37,H34),IF(J25="Yes",I97/MAX(H37,H34),0.45*I97/MAX(H37,H34)))</f>
        <v>#DIV/0!</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5" t="s">
        <v>177</v>
      </c>
      <c r="K17" s="277"/>
      <c r="L17" s="277"/>
      <c r="M17" s="277"/>
      <c r="N17" s="277"/>
      <c r="O17" s="277"/>
      <c r="Q17" s="253"/>
      <c r="R17" s="254"/>
      <c r="S17" s="254"/>
      <c r="T17" s="254"/>
      <c r="U17" s="254"/>
      <c r="V17" s="254"/>
    </row>
    <row r="18" spans="2:22" ht="15" customHeight="1" x14ac:dyDescent="0.2">
      <c r="B18" s="109"/>
      <c r="C18" s="86"/>
      <c r="D18" s="86"/>
      <c r="E18" s="86"/>
      <c r="F18" s="86"/>
      <c r="G18" s="86"/>
      <c r="H18" s="86"/>
      <c r="I18" s="139"/>
      <c r="J18" s="277"/>
      <c r="K18" s="277"/>
      <c r="L18" s="277"/>
      <c r="M18" s="277"/>
      <c r="N18" s="277"/>
      <c r="O18" s="277"/>
      <c r="Q18" s="254"/>
      <c r="R18" s="254"/>
      <c r="S18" s="254"/>
      <c r="T18" s="254"/>
      <c r="U18" s="254"/>
      <c r="V18" s="254"/>
    </row>
    <row r="19" spans="2:22" ht="15" customHeight="1" x14ac:dyDescent="0.2">
      <c r="B19" s="109" t="s">
        <v>134</v>
      </c>
      <c r="C19" s="112"/>
      <c r="D19" s="112"/>
      <c r="E19" s="112"/>
      <c r="F19" s="112"/>
      <c r="G19" s="112"/>
      <c r="H19" s="53">
        <f>IF(J25="Yes",IF(Authority="EA",I97/MAX(MAX(H37,H34)-H44,1),RawOMScore+H44/H34),IF(Authority="EA",I97*0.45/MAX(MAX(H37,H34)-H44,1),I15+H44/H34))</f>
        <v>44095000</v>
      </c>
      <c r="I19" s="107" t="s">
        <v>158</v>
      </c>
      <c r="J19" s="277"/>
      <c r="K19" s="277"/>
      <c r="L19" s="277"/>
      <c r="M19" s="277"/>
      <c r="N19" s="277"/>
      <c r="O19" s="277"/>
      <c r="Q19" s="254"/>
      <c r="R19" s="254"/>
      <c r="S19" s="254"/>
      <c r="T19" s="254"/>
      <c r="U19" s="254"/>
      <c r="V19" s="254"/>
    </row>
    <row r="20" spans="2:22" ht="15" customHeight="1" x14ac:dyDescent="0.2">
      <c r="J20" s="277"/>
      <c r="K20" s="277"/>
      <c r="L20" s="277"/>
      <c r="M20" s="277"/>
      <c r="N20" s="277"/>
      <c r="O20" s="277"/>
      <c r="Q20" s="254"/>
      <c r="R20" s="254"/>
      <c r="S20" s="254"/>
      <c r="T20" s="254"/>
      <c r="U20" s="254"/>
      <c r="V20" s="254"/>
    </row>
    <row r="21" spans="2:22" ht="15" customHeight="1" x14ac:dyDescent="0.2">
      <c r="B21" s="113" t="s">
        <v>205</v>
      </c>
      <c r="C21" s="114"/>
      <c r="D21" s="114"/>
      <c r="E21" s="114"/>
      <c r="F21" s="114"/>
      <c r="G21" s="114"/>
      <c r="H21" s="207">
        <f>IF(ROUNDUP(AdjOMScore,4)&lt;100%,"-",H34-H44)</f>
        <v>0</v>
      </c>
      <c r="I21" s="107" t="s">
        <v>159</v>
      </c>
      <c r="J21" s="277"/>
      <c r="K21" s="277"/>
      <c r="L21" s="277"/>
      <c r="M21" s="277"/>
      <c r="N21" s="277"/>
      <c r="O21" s="277"/>
      <c r="Q21" s="254"/>
      <c r="R21" s="254"/>
      <c r="S21" s="254"/>
      <c r="T21" s="254"/>
      <c r="U21" s="254"/>
      <c r="V21" s="254"/>
    </row>
    <row r="22" spans="2:22" ht="22.5" customHeight="1" x14ac:dyDescent="0.2">
      <c r="B22" s="208"/>
      <c r="C22" s="80"/>
      <c r="D22" s="80"/>
      <c r="E22" s="80"/>
      <c r="G22" s="115"/>
      <c r="H22" s="115"/>
      <c r="I22" s="104"/>
      <c r="J22" s="273"/>
      <c r="K22" s="273"/>
      <c r="L22" s="273"/>
      <c r="M22" s="273"/>
      <c r="N22" s="273"/>
      <c r="O22" s="273"/>
      <c r="Q22" s="254"/>
      <c r="R22" s="254"/>
      <c r="S22" s="254"/>
      <c r="T22" s="254"/>
      <c r="U22" s="254"/>
      <c r="V22" s="254"/>
    </row>
    <row r="23" spans="2:22" ht="6.75" customHeight="1" x14ac:dyDescent="0.2">
      <c r="B23" s="116"/>
      <c r="C23" s="116"/>
      <c r="D23" s="116"/>
      <c r="E23" s="116"/>
      <c r="F23" s="116"/>
      <c r="G23" s="116"/>
      <c r="H23" s="116"/>
      <c r="I23" s="116"/>
      <c r="J23" s="116"/>
      <c r="K23" s="116"/>
      <c r="L23" s="116"/>
      <c r="M23" s="116"/>
      <c r="N23" s="116"/>
      <c r="O23" s="100"/>
      <c r="P23" s="100"/>
      <c r="Q23" s="254"/>
      <c r="R23" s="254"/>
      <c r="S23" s="254"/>
      <c r="T23" s="254"/>
      <c r="U23" s="254"/>
      <c r="V23" s="254"/>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8" t="s">
        <v>174</v>
      </c>
      <c r="K26" s="224"/>
      <c r="L26" s="224"/>
      <c r="M26" s="224"/>
      <c r="N26" s="224"/>
      <c r="O26" s="212"/>
      <c r="P26" s="126"/>
    </row>
    <row r="27" spans="2:22" x14ac:dyDescent="0.2">
      <c r="B27" s="122" t="s">
        <v>124</v>
      </c>
      <c r="C27" s="120"/>
      <c r="D27" s="123"/>
      <c r="E27" s="80"/>
      <c r="F27" s="80"/>
      <c r="G27" s="80"/>
      <c r="H27" s="209">
        <f>'PF Calculator'!H27</f>
        <v>50</v>
      </c>
      <c r="I27" s="107" t="s">
        <v>161</v>
      </c>
      <c r="J27" s="224"/>
      <c r="K27" s="224"/>
      <c r="L27" s="224"/>
      <c r="M27" s="224"/>
      <c r="N27" s="22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0</v>
      </c>
      <c r="I29" s="107" t="s">
        <v>162</v>
      </c>
      <c r="J29" s="80"/>
      <c r="K29" s="80"/>
      <c r="L29" s="80"/>
      <c r="M29" s="80"/>
      <c r="O29" s="83"/>
    </row>
    <row r="30" spans="2:22" x14ac:dyDescent="0.2">
      <c r="B30" s="122"/>
      <c r="C30" s="120"/>
      <c r="D30" s="123"/>
      <c r="E30" s="80"/>
      <c r="F30" s="80"/>
      <c r="G30" s="80"/>
      <c r="H30" s="80"/>
      <c r="I30" s="80"/>
      <c r="J30" s="279" t="s">
        <v>155</v>
      </c>
      <c r="K30" s="280"/>
      <c r="L30" s="280"/>
      <c r="M30" s="280"/>
      <c r="N30" s="281"/>
    </row>
    <row r="31" spans="2:22" x14ac:dyDescent="0.2">
      <c r="B31" s="127" t="s">
        <v>151</v>
      </c>
      <c r="C31" s="120"/>
      <c r="D31" s="123"/>
      <c r="E31" s="80"/>
      <c r="F31" s="80"/>
      <c r="G31" s="80"/>
      <c r="H31" s="106"/>
      <c r="I31" s="80"/>
      <c r="J31" s="282"/>
      <c r="K31" s="283"/>
      <c r="L31" s="283"/>
      <c r="M31" s="283"/>
      <c r="N31" s="284"/>
      <c r="O31" s="83"/>
    </row>
    <row r="32" spans="2:22" x14ac:dyDescent="0.2">
      <c r="B32" s="120" t="s">
        <v>118</v>
      </c>
      <c r="C32" s="120"/>
      <c r="D32" s="123"/>
      <c r="E32" s="80"/>
      <c r="F32" s="80"/>
      <c r="G32" s="80"/>
      <c r="H32" s="209">
        <f>'PF Calculator'!H32</f>
        <v>0</v>
      </c>
      <c r="I32" s="107" t="s">
        <v>163</v>
      </c>
      <c r="J32" s="282"/>
      <c r="K32" s="283"/>
      <c r="L32" s="283"/>
      <c r="M32" s="283"/>
      <c r="N32" s="284"/>
    </row>
    <row r="33" spans="2:21" x14ac:dyDescent="0.2">
      <c r="B33" s="120" t="s">
        <v>125</v>
      </c>
      <c r="C33" s="120"/>
      <c r="D33" s="123"/>
      <c r="E33" s="80"/>
      <c r="F33" s="80"/>
      <c r="G33" s="80"/>
      <c r="H33" s="209">
        <f>'PF Calculator'!H33</f>
        <v>0</v>
      </c>
      <c r="I33" s="107" t="s">
        <v>164</v>
      </c>
      <c r="J33" s="285"/>
      <c r="K33" s="286"/>
      <c r="L33" s="286"/>
      <c r="M33" s="286"/>
      <c r="N33" s="287"/>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2" t="s">
        <v>200</v>
      </c>
      <c r="K38" s="251"/>
      <c r="L38" s="251"/>
      <c r="M38" s="251"/>
      <c r="N38" s="251"/>
      <c r="O38" s="251"/>
      <c r="P38" s="288"/>
      <c r="Q38" s="288"/>
      <c r="R38" s="288"/>
      <c r="S38" s="288"/>
      <c r="T38" s="288"/>
      <c r="U38" s="288"/>
    </row>
    <row r="39" spans="2:21" ht="30.75" customHeight="1" x14ac:dyDescent="0.2">
      <c r="B39" s="129" t="s">
        <v>152</v>
      </c>
      <c r="C39" s="120"/>
      <c r="D39" s="123"/>
      <c r="E39" s="80"/>
      <c r="F39" s="80"/>
      <c r="G39" s="80"/>
      <c r="H39" s="128"/>
      <c r="I39" s="80"/>
      <c r="J39" s="251"/>
      <c r="K39" s="251"/>
      <c r="L39" s="251"/>
      <c r="M39" s="251"/>
      <c r="N39" s="251"/>
      <c r="O39" s="251"/>
      <c r="P39" s="288"/>
      <c r="Q39" s="288"/>
      <c r="R39" s="288"/>
      <c r="S39" s="288"/>
      <c r="T39" s="288"/>
      <c r="U39" s="288"/>
    </row>
    <row r="40" spans="2:21" ht="15" customHeight="1" x14ac:dyDescent="0.2">
      <c r="B40" s="120" t="s">
        <v>119</v>
      </c>
      <c r="C40" s="120"/>
      <c r="D40" s="123"/>
      <c r="E40" s="80"/>
      <c r="F40" s="80"/>
      <c r="G40" s="80"/>
      <c r="H40" s="209">
        <f>'PF Calculator'!H40</f>
        <v>0</v>
      </c>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c r="P40" s="288"/>
      <c r="Q40" s="288"/>
      <c r="R40" s="288"/>
      <c r="S40" s="288"/>
      <c r="T40" s="288"/>
      <c r="U40" s="288"/>
    </row>
    <row r="41" spans="2:21" ht="15" customHeight="1" x14ac:dyDescent="0.2">
      <c r="B41" s="120" t="s">
        <v>120</v>
      </c>
      <c r="C41" s="120"/>
      <c r="D41" s="123"/>
      <c r="E41" s="80"/>
      <c r="F41" s="80"/>
      <c r="G41" s="80"/>
      <c r="H41" s="209">
        <f>'PF Calculator'!H41</f>
        <v>0</v>
      </c>
      <c r="I41" s="107" t="s">
        <v>169</v>
      </c>
      <c r="J41" s="251"/>
      <c r="K41" s="251"/>
      <c r="L41" s="251"/>
      <c r="M41" s="251"/>
      <c r="N41" s="251"/>
      <c r="O41" s="251"/>
      <c r="P41" s="288"/>
      <c r="Q41" s="288"/>
      <c r="R41" s="288"/>
      <c r="S41" s="288"/>
      <c r="T41" s="288"/>
      <c r="U41" s="288"/>
    </row>
    <row r="42" spans="2:21" ht="15" customHeight="1" x14ac:dyDescent="0.2">
      <c r="B42" s="120" t="s">
        <v>121</v>
      </c>
      <c r="C42" s="120"/>
      <c r="D42" s="123"/>
      <c r="E42" s="80"/>
      <c r="F42" s="80"/>
      <c r="G42" s="80"/>
      <c r="H42" s="209">
        <f>'PF Calculator'!H42</f>
        <v>0</v>
      </c>
      <c r="I42" s="107" t="s">
        <v>170</v>
      </c>
      <c r="J42" s="251"/>
      <c r="K42" s="251"/>
      <c r="L42" s="251"/>
      <c r="M42" s="251"/>
      <c r="N42" s="251"/>
      <c r="O42" s="251"/>
      <c r="P42" s="288"/>
      <c r="Q42" s="288"/>
      <c r="R42" s="288"/>
      <c r="S42" s="288"/>
      <c r="T42" s="288"/>
      <c r="U42" s="288"/>
    </row>
    <row r="43" spans="2:21" ht="15" customHeight="1" x14ac:dyDescent="0.2">
      <c r="B43" s="120" t="s">
        <v>122</v>
      </c>
      <c r="C43" s="120"/>
      <c r="D43" s="123"/>
      <c r="E43" s="80"/>
      <c r="F43" s="80"/>
      <c r="G43" s="80"/>
      <c r="H43" s="209">
        <f>'PF Calculator'!H43</f>
        <v>0</v>
      </c>
      <c r="I43" s="107" t="s">
        <v>171</v>
      </c>
      <c r="J43" s="251"/>
      <c r="K43" s="251"/>
      <c r="L43" s="251"/>
      <c r="M43" s="251"/>
      <c r="N43" s="251"/>
      <c r="O43" s="251"/>
      <c r="P43" s="288"/>
      <c r="Q43" s="288"/>
      <c r="R43" s="288"/>
      <c r="S43" s="288"/>
      <c r="T43" s="288"/>
      <c r="U43" s="288"/>
    </row>
    <row r="44" spans="2:21" x14ac:dyDescent="0.2">
      <c r="B44" s="127" t="s">
        <v>123</v>
      </c>
      <c r="C44" s="120"/>
      <c r="D44" s="123"/>
      <c r="E44" s="80"/>
      <c r="F44" s="80"/>
      <c r="G44" s="80"/>
      <c r="H44" s="44">
        <f>SUM(H40:H43)</f>
        <v>0</v>
      </c>
      <c r="I44" s="107" t="s">
        <v>172</v>
      </c>
      <c r="J44" s="251"/>
      <c r="K44" s="251"/>
      <c r="L44" s="251"/>
      <c r="M44" s="251"/>
      <c r="N44" s="251"/>
      <c r="O44" s="251"/>
    </row>
    <row r="45" spans="2:21"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21" ht="16.5" customHeight="1" x14ac:dyDescent="0.2">
      <c r="B46" s="127"/>
      <c r="C46" s="120"/>
      <c r="D46" s="123"/>
      <c r="E46" s="80"/>
      <c r="F46" s="80"/>
      <c r="G46" s="80"/>
      <c r="H46" s="80"/>
      <c r="I46" s="107"/>
      <c r="J46" s="251"/>
      <c r="K46" s="251"/>
      <c r="L46" s="251"/>
      <c r="M46" s="251"/>
      <c r="N46" s="251"/>
      <c r="O46" s="251"/>
    </row>
    <row r="47" spans="2:21" ht="18" customHeight="1" x14ac:dyDescent="0.2">
      <c r="B47" s="80"/>
      <c r="C47" s="80"/>
      <c r="D47" s="80"/>
      <c r="E47" s="130"/>
      <c r="F47" s="130"/>
      <c r="G47" s="130"/>
      <c r="H47" s="130"/>
      <c r="I47" s="130"/>
      <c r="J47" s="251"/>
      <c r="K47" s="251"/>
      <c r="L47" s="251"/>
      <c r="M47" s="251"/>
      <c r="N47" s="251"/>
      <c r="O47" s="251"/>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0" t="s">
        <v>54</v>
      </c>
      <c r="N50" s="250"/>
      <c r="O50" s="250"/>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9">
        <f>SUMPRODUCT($M51:$O51,$M$57:$O$57)</f>
        <v>0</v>
      </c>
      <c r="G60" s="289"/>
      <c r="H60" s="80"/>
      <c r="J60" s="290">
        <f>F60*Duration</f>
        <v>0</v>
      </c>
      <c r="K60" s="290"/>
      <c r="M60" s="136" t="s">
        <v>74</v>
      </c>
      <c r="N60" s="290">
        <f>-F60*VLOOKUP(Duration,'Discount Rates &amp; Assumptions'!$A$6:$D$105,4,FALSE)</f>
        <v>0</v>
      </c>
      <c r="O60" s="290"/>
    </row>
    <row r="61" spans="2:19" x14ac:dyDescent="0.2">
      <c r="B61" s="133" t="str">
        <f>B52</f>
        <v>21-40% most deprived areas</v>
      </c>
      <c r="C61" s="80"/>
      <c r="D61" s="80"/>
      <c r="F61" s="289">
        <f>SUMPRODUCT($M52:$O52,$M$57:$O$57)</f>
        <v>0</v>
      </c>
      <c r="G61" s="289"/>
      <c r="H61" s="80"/>
      <c r="J61" s="290">
        <f>F61*Duration</f>
        <v>0</v>
      </c>
      <c r="K61" s="290"/>
      <c r="M61" s="136" t="s">
        <v>75</v>
      </c>
      <c r="N61" s="290">
        <f>-F61*VLOOKUP(Duration,'Discount Rates &amp; Assumptions'!$A$6:$D$105,4,FALSE)</f>
        <v>0</v>
      </c>
      <c r="O61" s="290"/>
    </row>
    <row r="62" spans="2:19" x14ac:dyDescent="0.2">
      <c r="B62" s="133" t="str">
        <f>B53</f>
        <v>60% least deprived areas</v>
      </c>
      <c r="C62" s="80"/>
      <c r="D62" s="80"/>
      <c r="F62" s="289">
        <f>SUMPRODUCT($M53:$O53,$M$57:$O$57)</f>
        <v>0</v>
      </c>
      <c r="G62" s="289"/>
      <c r="H62" s="80"/>
      <c r="J62" s="290">
        <f>F62*Duration</f>
        <v>0</v>
      </c>
      <c r="K62" s="290"/>
      <c r="M62" s="136" t="s">
        <v>90</v>
      </c>
      <c r="N62" s="290">
        <f>-F62*VLOOKUP(Duration,'Discount Rates &amp; Assumptions'!$A$6:$D$105,4,FALSE)</f>
        <v>0</v>
      </c>
      <c r="O62" s="290"/>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49" t="s">
        <v>19</v>
      </c>
      <c r="G66" s="249"/>
      <c r="H66" s="80"/>
      <c r="I66" s="139" t="s">
        <v>66</v>
      </c>
    </row>
    <row r="67" spans="2:16" x14ac:dyDescent="0.2">
      <c r="B67" s="133" t="s">
        <v>21</v>
      </c>
      <c r="C67" s="80"/>
      <c r="D67" s="80"/>
      <c r="E67" s="80"/>
      <c r="F67" s="214">
        <f>'PF Calculator'!F68+0.5*'PF Calculator'!G68</f>
        <v>0</v>
      </c>
      <c r="G67" s="214">
        <f>'PF Calculator'!G68*0.5</f>
        <v>0</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0</v>
      </c>
      <c r="G68" s="214">
        <f>'PF Calculator'!G69*0.5</f>
        <v>0</v>
      </c>
      <c r="H68" s="80"/>
      <c r="I68" s="141" t="s">
        <v>67</v>
      </c>
      <c r="M68" s="51">
        <v>50</v>
      </c>
      <c r="N68" s="51">
        <v>20</v>
      </c>
      <c r="O68" s="133" t="s">
        <v>8</v>
      </c>
    </row>
    <row r="69" spans="2:16" ht="15" customHeight="1" x14ac:dyDescent="0.2">
      <c r="B69" s="133" t="s">
        <v>22</v>
      </c>
      <c r="C69" s="80"/>
      <c r="D69" s="80"/>
      <c r="E69" s="80"/>
      <c r="F69" s="214">
        <f>'PF Calculator'!F70+0.5*'PF Calculator'!G70</f>
        <v>0</v>
      </c>
      <c r="G69" s="214">
        <f>'PF Calculator'!G70*0.5</f>
        <v>0</v>
      </c>
      <c r="H69" s="80"/>
      <c r="I69" s="228" t="s">
        <v>95</v>
      </c>
      <c r="J69" s="228"/>
      <c r="K69" s="228"/>
      <c r="L69" s="228"/>
      <c r="M69" s="50">
        <f>M67*VLOOKUP('Discount Rates &amp; Assumptions'!K39,'Discount Rates &amp; Assumptions'!$A$6:$D$105,3,FALSE)</f>
        <v>1183.5763061432306</v>
      </c>
      <c r="N69" s="50">
        <f>N67*VLOOKUP('Discount Rates &amp; Assumptions'!K38,'Discount Rates &amp; Assumptions'!$A$6:$D$105,3,FALSE)</f>
        <v>3015.3953065900237</v>
      </c>
    </row>
    <row r="70" spans="2:16" ht="28" x14ac:dyDescent="0.2">
      <c r="B70" s="80"/>
      <c r="C70" s="80"/>
      <c r="D70" s="142"/>
      <c r="E70" s="80"/>
      <c r="F70" s="143" t="s">
        <v>65</v>
      </c>
      <c r="G70" s="143" t="s">
        <v>64</v>
      </c>
      <c r="H70" s="80"/>
      <c r="I70" s="228"/>
      <c r="J70" s="228"/>
      <c r="K70" s="228"/>
      <c r="L70" s="228"/>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9">
        <f>-SUMPRODUCT($M$69:$N$69,F67:G67)</f>
        <v>0</v>
      </c>
      <c r="G73" s="289"/>
      <c r="H73" s="80"/>
      <c r="J73" s="290">
        <f>F73*Duration</f>
        <v>0</v>
      </c>
      <c r="K73" s="290"/>
      <c r="M73" s="136" t="s">
        <v>76</v>
      </c>
      <c r="N73" s="291">
        <f>-F73*VLOOKUP(Duration,'Discount Rates &amp; Assumptions'!$A$6:$D$105,4,FALSE)</f>
        <v>0</v>
      </c>
      <c r="O73" s="291"/>
    </row>
    <row r="74" spans="2:16" x14ac:dyDescent="0.2">
      <c r="B74" s="133" t="str">
        <f>B68</f>
        <v>21-40% most deprived areas</v>
      </c>
      <c r="C74" s="80"/>
      <c r="D74" s="80"/>
      <c r="F74" s="289">
        <f>-SUMPRODUCT($M$69:$N$69,F68:G68)</f>
        <v>0</v>
      </c>
      <c r="G74" s="289"/>
      <c r="H74" s="80"/>
      <c r="J74" s="290">
        <f>F74*Duration</f>
        <v>0</v>
      </c>
      <c r="K74" s="290"/>
      <c r="M74" s="136" t="s">
        <v>77</v>
      </c>
      <c r="N74" s="291">
        <f>-F74*VLOOKUP(Duration,'Discount Rates &amp; Assumptions'!$A$6:$D$105,4,FALSE)</f>
        <v>0</v>
      </c>
      <c r="O74" s="291"/>
    </row>
    <row r="75" spans="2:16" x14ac:dyDescent="0.2">
      <c r="B75" s="133" t="str">
        <f>B69</f>
        <v>60% least deprived areas</v>
      </c>
      <c r="C75" s="80"/>
      <c r="D75" s="80"/>
      <c r="F75" s="289">
        <f>-SUMPRODUCT($M$69:$N$69,F69:G69)</f>
        <v>0</v>
      </c>
      <c r="G75" s="289"/>
      <c r="H75" s="80"/>
      <c r="J75" s="290">
        <f>F75*Duration</f>
        <v>0</v>
      </c>
      <c r="K75" s="290"/>
      <c r="M75" s="136" t="s">
        <v>91</v>
      </c>
      <c r="N75" s="291">
        <f>-F75*VLOOKUP(Duration,'Discount Rates &amp; Assumptions'!$A$6:$D$105,4,FALSE)</f>
        <v>0</v>
      </c>
      <c r="O75" s="291"/>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0"/>
      <c r="G79" s="240"/>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4">
        <f>'Discount Rates &amp; Assumptions'!K14</f>
        <v>15000</v>
      </c>
      <c r="K80" s="294"/>
      <c r="L80" s="139"/>
      <c r="M80" s="147" t="s">
        <v>68</v>
      </c>
      <c r="N80" s="295">
        <f>J80*C80</f>
        <v>31815000</v>
      </c>
      <c r="O80" s="295"/>
      <c r="P80" s="139"/>
    </row>
    <row r="81" spans="1:16" x14ac:dyDescent="0.2">
      <c r="B81" s="139" t="s">
        <v>4</v>
      </c>
      <c r="C81" s="219">
        <f>'PF Calculator'!C82</f>
        <v>212</v>
      </c>
      <c r="D81" s="121" t="s">
        <v>11</v>
      </c>
      <c r="E81" s="100"/>
      <c r="F81" s="100"/>
      <c r="G81" s="100"/>
      <c r="H81" s="100"/>
      <c r="I81" s="80"/>
      <c r="J81" s="294">
        <f>'Discount Rates &amp; Assumptions'!K15</f>
        <v>50000</v>
      </c>
      <c r="K81" s="294"/>
      <c r="L81" s="139"/>
      <c r="M81" s="147" t="s">
        <v>4</v>
      </c>
      <c r="N81" s="295">
        <f>J81*C81</f>
        <v>10600000</v>
      </c>
      <c r="O81" s="295"/>
      <c r="P81" s="139"/>
    </row>
    <row r="82" spans="1:16" x14ac:dyDescent="0.2">
      <c r="B82" s="139" t="s">
        <v>69</v>
      </c>
      <c r="C82" s="219">
        <f>'PF Calculator'!C83</f>
        <v>21</v>
      </c>
      <c r="D82" s="121" t="s">
        <v>10</v>
      </c>
      <c r="E82" s="80"/>
      <c r="F82" s="80"/>
      <c r="G82" s="80"/>
      <c r="H82" s="80"/>
      <c r="I82" s="80"/>
      <c r="J82" s="294">
        <f>'Discount Rates &amp; Assumptions'!K16</f>
        <v>80000</v>
      </c>
      <c r="K82" s="294"/>
      <c r="L82" s="139"/>
      <c r="M82" s="147" t="s">
        <v>69</v>
      </c>
      <c r="N82" s="295">
        <f>J82*C82</f>
        <v>1680000</v>
      </c>
      <c r="O82" s="295"/>
      <c r="P82" s="139"/>
    </row>
    <row r="83" spans="1:16" x14ac:dyDescent="0.2">
      <c r="B83" s="80"/>
      <c r="C83" s="80"/>
      <c r="D83" s="121"/>
      <c r="E83" s="80"/>
      <c r="F83" s="80"/>
      <c r="G83" s="80"/>
      <c r="H83" s="80"/>
      <c r="I83" s="80"/>
      <c r="J83" s="80"/>
      <c r="K83" s="80"/>
      <c r="L83" s="139"/>
      <c r="M83" s="136" t="s">
        <v>3</v>
      </c>
      <c r="N83" s="296">
        <f>SUM(N80:O82)</f>
        <v>44095000</v>
      </c>
      <c r="O83" s="296"/>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7">
        <f>IF(H29=0,0,IF(MAX((H29-SUM(D90:E96)),0)&gt;0,H29-SUM(D90:E96),"Ltd by high OM2,3,4 values"))</f>
        <v>0</v>
      </c>
      <c r="E89" s="298"/>
      <c r="F89" s="55">
        <f>1/TargetBCRWLBs*100</f>
        <v>5.5555555555555554</v>
      </c>
      <c r="G89" s="151" t="s">
        <v>81</v>
      </c>
      <c r="H89" s="80"/>
      <c r="I89" s="293">
        <f>IF(D89="Ltd by high OM2,3,4 values",0,D89*F89/100)</f>
        <v>0</v>
      </c>
      <c r="J89" s="293"/>
      <c r="K89" s="80"/>
      <c r="L89" s="139"/>
      <c r="M89" s="80"/>
      <c r="N89" s="154"/>
    </row>
    <row r="90" spans="1:16" x14ac:dyDescent="0.2">
      <c r="B90" s="155" t="s">
        <v>1</v>
      </c>
      <c r="C90" s="156" t="s">
        <v>84</v>
      </c>
      <c r="D90" s="292">
        <f>N60</f>
        <v>0</v>
      </c>
      <c r="E90" s="292"/>
      <c r="F90" s="52">
        <f>1/TargetMinBCR*DeprivedScalar20*100</f>
        <v>45</v>
      </c>
      <c r="G90" s="80"/>
      <c r="H90" s="80"/>
      <c r="I90" s="293">
        <f t="shared" ref="I90:I96" si="1">D90*F90/100</f>
        <v>0</v>
      </c>
      <c r="J90" s="293"/>
      <c r="K90" s="80"/>
      <c r="L90" s="80"/>
      <c r="M90" s="80"/>
      <c r="N90" s="154"/>
    </row>
    <row r="91" spans="1:16" x14ac:dyDescent="0.2">
      <c r="B91" s="157"/>
      <c r="C91" s="158" t="s">
        <v>80</v>
      </c>
      <c r="D91" s="292">
        <f>N61</f>
        <v>0</v>
      </c>
      <c r="E91" s="292"/>
      <c r="F91" s="52">
        <f>1/TargetMinBCR*DeprivedScalar40*100</f>
        <v>30.000000000000004</v>
      </c>
      <c r="G91" s="80"/>
      <c r="H91" s="80"/>
      <c r="I91" s="293">
        <f t="shared" si="1"/>
        <v>0</v>
      </c>
      <c r="J91" s="293"/>
      <c r="M91" s="139"/>
    </row>
    <row r="92" spans="1:16" x14ac:dyDescent="0.2">
      <c r="B92" s="159"/>
      <c r="C92" s="160" t="s">
        <v>88</v>
      </c>
      <c r="D92" s="292">
        <f>N62</f>
        <v>0</v>
      </c>
      <c r="E92" s="292"/>
      <c r="F92" s="52">
        <f>1/TargetMinBCR*DeprivedScalarOther*100</f>
        <v>20</v>
      </c>
      <c r="G92" s="80"/>
      <c r="H92" s="80"/>
      <c r="I92" s="293">
        <f t="shared" si="1"/>
        <v>0</v>
      </c>
      <c r="J92" s="293"/>
    </row>
    <row r="93" spans="1:16" x14ac:dyDescent="0.2">
      <c r="B93" s="155" t="s">
        <v>0</v>
      </c>
      <c r="C93" s="156" t="s">
        <v>84</v>
      </c>
      <c r="D93" s="292">
        <f>N73</f>
        <v>0</v>
      </c>
      <c r="E93" s="292"/>
      <c r="F93" s="52">
        <f>1/TargetMinBCR*DeprivedScalar20*100</f>
        <v>45</v>
      </c>
      <c r="G93" s="80"/>
      <c r="H93" s="80"/>
      <c r="I93" s="293">
        <f t="shared" si="1"/>
        <v>0</v>
      </c>
      <c r="J93" s="293"/>
    </row>
    <row r="94" spans="1:16" x14ac:dyDescent="0.2">
      <c r="B94" s="161"/>
      <c r="C94" s="158" t="s">
        <v>80</v>
      </c>
      <c r="D94" s="292">
        <f>N74</f>
        <v>0</v>
      </c>
      <c r="E94" s="292"/>
      <c r="F94" s="52">
        <f>1/TargetMinBCR*DeprivedScalar40*100</f>
        <v>30.000000000000004</v>
      </c>
      <c r="G94" s="80"/>
      <c r="H94" s="80"/>
      <c r="I94" s="293">
        <f t="shared" si="1"/>
        <v>0</v>
      </c>
      <c r="J94" s="293"/>
    </row>
    <row r="95" spans="1:16" x14ac:dyDescent="0.2">
      <c r="B95" s="159"/>
      <c r="C95" s="160" t="s">
        <v>88</v>
      </c>
      <c r="D95" s="292">
        <f>N75</f>
        <v>0</v>
      </c>
      <c r="E95" s="292"/>
      <c r="F95" s="52">
        <f>1/TargetMinBCR*DeprivedScalarOther*100</f>
        <v>20</v>
      </c>
      <c r="G95" s="80"/>
      <c r="H95" s="80"/>
      <c r="I95" s="293">
        <f t="shared" si="1"/>
        <v>0</v>
      </c>
      <c r="J95" s="293"/>
    </row>
    <row r="96" spans="1:16" x14ac:dyDescent="0.2">
      <c r="B96" s="162" t="s">
        <v>3</v>
      </c>
      <c r="C96" s="163"/>
      <c r="D96" s="292">
        <f>N83</f>
        <v>44095000</v>
      </c>
      <c r="E96" s="292"/>
      <c r="F96" s="52">
        <v>100</v>
      </c>
      <c r="G96" s="80"/>
      <c r="H96" s="80"/>
      <c r="I96" s="293">
        <f t="shared" si="1"/>
        <v>44095000</v>
      </c>
      <c r="J96" s="293"/>
      <c r="P96" s="164"/>
    </row>
    <row r="97" spans="1:22" ht="15.75" customHeight="1" x14ac:dyDescent="0.2">
      <c r="B97" s="80" t="s">
        <v>7</v>
      </c>
      <c r="C97" s="80"/>
      <c r="D97" s="299">
        <f>SUM(D89:E96)</f>
        <v>44095000</v>
      </c>
      <c r="E97" s="248"/>
      <c r="F97" s="80"/>
      <c r="G97" s="80"/>
      <c r="H97" s="80"/>
      <c r="I97" s="300">
        <f>SUM(I89:J96)</f>
        <v>44095000</v>
      </c>
      <c r="J97" s="301"/>
      <c r="K97" s="234" t="s">
        <v>213</v>
      </c>
      <c r="L97" s="234"/>
      <c r="M97" s="234"/>
      <c r="N97" s="234"/>
      <c r="O97" s="234"/>
    </row>
    <row r="98" spans="1:22" x14ac:dyDescent="0.2">
      <c r="B98" s="80"/>
      <c r="C98" s="80"/>
      <c r="D98" s="80"/>
      <c r="E98" s="80"/>
      <c r="F98" s="80"/>
      <c r="G98" s="80"/>
      <c r="H98" s="80"/>
      <c r="I98" s="80"/>
      <c r="K98" s="234"/>
      <c r="L98" s="234"/>
      <c r="M98" s="234"/>
      <c r="N98" s="234"/>
      <c r="O98" s="234"/>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2" t="s">
        <v>132</v>
      </c>
      <c r="C5" s="242"/>
      <c r="D5" s="242"/>
      <c r="E5" s="202">
        <f>'PF Calculator'!E5</f>
        <v>0</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4" t="s">
        <v>135</v>
      </c>
      <c r="N8" s="275"/>
      <c r="O8" s="276"/>
    </row>
    <row r="9" spans="1:18" x14ac:dyDescent="0.2">
      <c r="B9" s="94" t="s">
        <v>203</v>
      </c>
      <c r="J9" s="83" t="s">
        <v>146</v>
      </c>
      <c r="L9" s="80"/>
      <c r="M9" s="246" t="s">
        <v>15</v>
      </c>
      <c r="N9" s="247"/>
      <c r="O9" s="248"/>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#DIV/0!</v>
      </c>
      <c r="O14" s="47" t="s">
        <v>17</v>
      </c>
    </row>
    <row r="15" spans="1:18" ht="15" customHeight="1" x14ac:dyDescent="0.2">
      <c r="B15" s="109" t="s">
        <v>153</v>
      </c>
      <c r="C15" s="110"/>
      <c r="D15" s="110"/>
      <c r="E15" s="110"/>
      <c r="F15" s="110"/>
      <c r="G15" s="110"/>
      <c r="H15" s="53" t="e">
        <f>IF(J25="yes",I97/MAX(H37,H34),IF(J25="Yes",I97/MAX(H37,H34),0.45*I97/MAX(H37,H34)))</f>
        <v>#DIV/0!</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5" t="s">
        <v>177</v>
      </c>
      <c r="K17" s="277"/>
      <c r="L17" s="277"/>
      <c r="M17" s="277"/>
      <c r="N17" s="277"/>
      <c r="O17" s="277"/>
      <c r="Q17" s="253"/>
      <c r="R17" s="254"/>
      <c r="S17" s="254"/>
      <c r="T17" s="254"/>
      <c r="U17" s="254"/>
      <c r="V17" s="254"/>
    </row>
    <row r="18" spans="2:22" ht="15" customHeight="1" x14ac:dyDescent="0.2">
      <c r="B18" s="109"/>
      <c r="C18" s="86"/>
      <c r="D18" s="86"/>
      <c r="E18" s="86"/>
      <c r="F18" s="86"/>
      <c r="G18" s="86"/>
      <c r="H18" s="86"/>
      <c r="I18" s="139"/>
      <c r="J18" s="277"/>
      <c r="K18" s="277"/>
      <c r="L18" s="277"/>
      <c r="M18" s="277"/>
      <c r="N18" s="277"/>
      <c r="O18" s="277"/>
      <c r="Q18" s="254"/>
      <c r="R18" s="254"/>
      <c r="S18" s="254"/>
      <c r="T18" s="254"/>
      <c r="U18" s="254"/>
      <c r="V18" s="254"/>
    </row>
    <row r="19" spans="2:22" ht="15" customHeight="1" x14ac:dyDescent="0.2">
      <c r="B19" s="109" t="s">
        <v>134</v>
      </c>
      <c r="C19" s="112"/>
      <c r="D19" s="112"/>
      <c r="E19" s="112"/>
      <c r="F19" s="112"/>
      <c r="G19" s="112"/>
      <c r="H19" s="53">
        <f>IF(J25="Yes",IF(Authority="EA",I97/MAX(MAX(H37,H34)-H44,1),RawOMScore+H44/H34),IF(Authority="EA",I97*0.45/MAX(MAX(H37,H34)-H44,1),I15+H44/H34))</f>
        <v>44095000</v>
      </c>
      <c r="I19" s="107" t="s">
        <v>158</v>
      </c>
      <c r="J19" s="277"/>
      <c r="K19" s="277"/>
      <c r="L19" s="277"/>
      <c r="M19" s="277"/>
      <c r="N19" s="277"/>
      <c r="O19" s="277"/>
      <c r="Q19" s="254"/>
      <c r="R19" s="254"/>
      <c r="S19" s="254"/>
      <c r="T19" s="254"/>
      <c r="U19" s="254"/>
      <c r="V19" s="254"/>
    </row>
    <row r="20" spans="2:22" ht="15" customHeight="1" x14ac:dyDescent="0.2">
      <c r="J20" s="277"/>
      <c r="K20" s="277"/>
      <c r="L20" s="277"/>
      <c r="M20" s="277"/>
      <c r="N20" s="277"/>
      <c r="O20" s="277"/>
      <c r="Q20" s="254"/>
      <c r="R20" s="254"/>
      <c r="S20" s="254"/>
      <c r="T20" s="254"/>
      <c r="U20" s="254"/>
      <c r="V20" s="254"/>
    </row>
    <row r="21" spans="2:22" ht="15" customHeight="1" x14ac:dyDescent="0.2">
      <c r="B21" s="113" t="s">
        <v>205</v>
      </c>
      <c r="C21" s="114"/>
      <c r="D21" s="114"/>
      <c r="E21" s="114"/>
      <c r="F21" s="114"/>
      <c r="G21" s="114"/>
      <c r="H21" s="207">
        <f>IF(ROUNDUP(AdjOMScore,4)&lt;100%,"-",H34-H44)</f>
        <v>0</v>
      </c>
      <c r="I21" s="107" t="s">
        <v>159</v>
      </c>
      <c r="J21" s="277"/>
      <c r="K21" s="277"/>
      <c r="L21" s="277"/>
      <c r="M21" s="277"/>
      <c r="N21" s="277"/>
      <c r="O21" s="277"/>
      <c r="Q21" s="254"/>
      <c r="R21" s="254"/>
      <c r="S21" s="254"/>
      <c r="T21" s="254"/>
      <c r="U21" s="254"/>
      <c r="V21" s="254"/>
    </row>
    <row r="22" spans="2:22" ht="22.5" customHeight="1" x14ac:dyDescent="0.2">
      <c r="B22" s="208"/>
      <c r="C22" s="80"/>
      <c r="D22" s="80"/>
      <c r="E22" s="80"/>
      <c r="G22" s="115"/>
      <c r="H22" s="115"/>
      <c r="I22" s="104"/>
      <c r="J22" s="273"/>
      <c r="K22" s="273"/>
      <c r="L22" s="273"/>
      <c r="M22" s="273"/>
      <c r="N22" s="273"/>
      <c r="O22" s="273"/>
      <c r="Q22" s="254"/>
      <c r="R22" s="254"/>
      <c r="S22" s="254"/>
      <c r="T22" s="254"/>
      <c r="U22" s="254"/>
      <c r="V22" s="254"/>
    </row>
    <row r="23" spans="2:22" ht="6.75" customHeight="1" x14ac:dyDescent="0.2">
      <c r="B23" s="116"/>
      <c r="C23" s="116"/>
      <c r="D23" s="116"/>
      <c r="E23" s="116"/>
      <c r="F23" s="116"/>
      <c r="G23" s="116"/>
      <c r="H23" s="116"/>
      <c r="I23" s="116"/>
      <c r="J23" s="116"/>
      <c r="K23" s="116"/>
      <c r="L23" s="116"/>
      <c r="M23" s="116"/>
      <c r="N23" s="116"/>
      <c r="O23" s="100"/>
      <c r="P23" s="100"/>
      <c r="Q23" s="254"/>
      <c r="R23" s="254"/>
      <c r="S23" s="254"/>
      <c r="T23" s="254"/>
      <c r="U23" s="254"/>
      <c r="V23" s="254"/>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8" t="s">
        <v>174</v>
      </c>
      <c r="K26" s="224"/>
      <c r="L26" s="224"/>
      <c r="M26" s="224"/>
      <c r="N26" s="224"/>
      <c r="O26" s="212"/>
      <c r="P26" s="126"/>
    </row>
    <row r="27" spans="2:22" x14ac:dyDescent="0.2">
      <c r="B27" s="122" t="s">
        <v>124</v>
      </c>
      <c r="C27" s="120"/>
      <c r="D27" s="123"/>
      <c r="E27" s="80"/>
      <c r="F27" s="80"/>
      <c r="G27" s="80"/>
      <c r="H27" s="218">
        <f>INT('PF Calculator'!H27*1.25)</f>
        <v>62</v>
      </c>
      <c r="I27" s="107" t="s">
        <v>161</v>
      </c>
      <c r="J27" s="224"/>
      <c r="K27" s="224"/>
      <c r="L27" s="224"/>
      <c r="M27" s="224"/>
      <c r="N27" s="22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79" t="s">
        <v>155</v>
      </c>
      <c r="K30" s="280"/>
      <c r="L30" s="280"/>
      <c r="M30" s="280"/>
      <c r="N30" s="281"/>
    </row>
    <row r="31" spans="2:22" x14ac:dyDescent="0.2">
      <c r="B31" s="127" t="s">
        <v>151</v>
      </c>
      <c r="C31" s="120"/>
      <c r="D31" s="123"/>
      <c r="E31" s="80"/>
      <c r="F31" s="80"/>
      <c r="G31" s="80"/>
      <c r="H31" s="106"/>
      <c r="I31" s="80"/>
      <c r="J31" s="282"/>
      <c r="K31" s="283"/>
      <c r="L31" s="283"/>
      <c r="M31" s="283"/>
      <c r="N31" s="284"/>
      <c r="O31" s="83"/>
    </row>
    <row r="32" spans="2:22" x14ac:dyDescent="0.2">
      <c r="B32" s="120" t="s">
        <v>118</v>
      </c>
      <c r="C32" s="120"/>
      <c r="D32" s="123"/>
      <c r="E32" s="80"/>
      <c r="F32" s="80"/>
      <c r="G32" s="80"/>
      <c r="H32" s="209">
        <f>'PF Calculator'!H32</f>
        <v>0</v>
      </c>
      <c r="I32" s="107" t="s">
        <v>163</v>
      </c>
      <c r="J32" s="282"/>
      <c r="K32" s="283"/>
      <c r="L32" s="283"/>
      <c r="M32" s="283"/>
      <c r="N32" s="284"/>
    </row>
    <row r="33" spans="2:21" x14ac:dyDescent="0.2">
      <c r="B33" s="120" t="s">
        <v>125</v>
      </c>
      <c r="C33" s="120"/>
      <c r="D33" s="123"/>
      <c r="E33" s="80"/>
      <c r="F33" s="80"/>
      <c r="G33" s="80"/>
      <c r="H33" s="209">
        <f>'PF Calculator'!H33</f>
        <v>0</v>
      </c>
      <c r="I33" s="107" t="s">
        <v>164</v>
      </c>
      <c r="J33" s="285"/>
      <c r="K33" s="286"/>
      <c r="L33" s="286"/>
      <c r="M33" s="286"/>
      <c r="N33" s="287"/>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2" t="s">
        <v>200</v>
      </c>
      <c r="K38" s="251"/>
      <c r="L38" s="251"/>
      <c r="M38" s="251"/>
      <c r="N38" s="251"/>
      <c r="O38" s="251"/>
      <c r="P38" s="288"/>
      <c r="Q38" s="288"/>
      <c r="R38" s="288"/>
      <c r="S38" s="288"/>
      <c r="T38" s="288"/>
      <c r="U38" s="288"/>
    </row>
    <row r="39" spans="2:21" ht="30.75" customHeight="1" x14ac:dyDescent="0.2">
      <c r="B39" s="129" t="s">
        <v>152</v>
      </c>
      <c r="C39" s="120"/>
      <c r="D39" s="123"/>
      <c r="E39" s="80"/>
      <c r="F39" s="80"/>
      <c r="G39" s="80"/>
      <c r="H39" s="128"/>
      <c r="I39" s="80"/>
      <c r="J39" s="251"/>
      <c r="K39" s="251"/>
      <c r="L39" s="251"/>
      <c r="M39" s="251"/>
      <c r="N39" s="251"/>
      <c r="O39" s="251"/>
      <c r="P39" s="288"/>
      <c r="Q39" s="288"/>
      <c r="R39" s="288"/>
      <c r="S39" s="288"/>
      <c r="T39" s="288"/>
      <c r="U39" s="288"/>
    </row>
    <row r="40" spans="2:21" ht="15" customHeight="1" x14ac:dyDescent="0.2">
      <c r="B40" s="120" t="s">
        <v>119</v>
      </c>
      <c r="C40" s="120"/>
      <c r="D40" s="123"/>
      <c r="E40" s="80"/>
      <c r="F40" s="80"/>
      <c r="G40" s="80"/>
      <c r="H40" s="209">
        <f>'PF Calculator'!H40</f>
        <v>0</v>
      </c>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c r="P40" s="288"/>
      <c r="Q40" s="288"/>
      <c r="R40" s="288"/>
      <c r="S40" s="288"/>
      <c r="T40" s="288"/>
      <c r="U40" s="288"/>
    </row>
    <row r="41" spans="2:21" ht="15" customHeight="1" x14ac:dyDescent="0.2">
      <c r="B41" s="120" t="s">
        <v>120</v>
      </c>
      <c r="C41" s="120"/>
      <c r="D41" s="123"/>
      <c r="E41" s="80"/>
      <c r="F41" s="80"/>
      <c r="G41" s="80"/>
      <c r="H41" s="209">
        <f>'PF Calculator'!H41</f>
        <v>0</v>
      </c>
      <c r="I41" s="107" t="s">
        <v>169</v>
      </c>
      <c r="J41" s="251"/>
      <c r="K41" s="251"/>
      <c r="L41" s="251"/>
      <c r="M41" s="251"/>
      <c r="N41" s="251"/>
      <c r="O41" s="251"/>
      <c r="P41" s="288"/>
      <c r="Q41" s="288"/>
      <c r="R41" s="288"/>
      <c r="S41" s="288"/>
      <c r="T41" s="288"/>
      <c r="U41" s="288"/>
    </row>
    <row r="42" spans="2:21" ht="15" customHeight="1" x14ac:dyDescent="0.2">
      <c r="B42" s="120" t="s">
        <v>121</v>
      </c>
      <c r="C42" s="120"/>
      <c r="D42" s="123"/>
      <c r="E42" s="80"/>
      <c r="F42" s="80"/>
      <c r="G42" s="80"/>
      <c r="H42" s="209">
        <f>'PF Calculator'!H42</f>
        <v>0</v>
      </c>
      <c r="I42" s="107" t="s">
        <v>170</v>
      </c>
      <c r="J42" s="251"/>
      <c r="K42" s="251"/>
      <c r="L42" s="251"/>
      <c r="M42" s="251"/>
      <c r="N42" s="251"/>
      <c r="O42" s="251"/>
      <c r="P42" s="288"/>
      <c r="Q42" s="288"/>
      <c r="R42" s="288"/>
      <c r="S42" s="288"/>
      <c r="T42" s="288"/>
      <c r="U42" s="288"/>
    </row>
    <row r="43" spans="2:21" ht="15" customHeight="1" x14ac:dyDescent="0.2">
      <c r="B43" s="120" t="s">
        <v>122</v>
      </c>
      <c r="C43" s="120"/>
      <c r="D43" s="123"/>
      <c r="E43" s="80"/>
      <c r="F43" s="80"/>
      <c r="G43" s="80"/>
      <c r="H43" s="209">
        <f>'PF Calculator'!H43</f>
        <v>0</v>
      </c>
      <c r="I43" s="107" t="s">
        <v>171</v>
      </c>
      <c r="J43" s="251"/>
      <c r="K43" s="251"/>
      <c r="L43" s="251"/>
      <c r="M43" s="251"/>
      <c r="N43" s="251"/>
      <c r="O43" s="251"/>
      <c r="P43" s="288"/>
      <c r="Q43" s="288"/>
      <c r="R43" s="288"/>
      <c r="S43" s="288"/>
      <c r="T43" s="288"/>
      <c r="U43" s="288"/>
    </row>
    <row r="44" spans="2:21" x14ac:dyDescent="0.2">
      <c r="B44" s="127" t="s">
        <v>123</v>
      </c>
      <c r="C44" s="120"/>
      <c r="D44" s="123"/>
      <c r="E44" s="80"/>
      <c r="F44" s="80"/>
      <c r="G44" s="80"/>
      <c r="H44" s="44">
        <f>SUM(H40:H43)</f>
        <v>0</v>
      </c>
      <c r="I44" s="107" t="s">
        <v>172</v>
      </c>
      <c r="J44" s="251"/>
      <c r="K44" s="251"/>
      <c r="L44" s="251"/>
      <c r="M44" s="251"/>
      <c r="N44" s="251"/>
      <c r="O44" s="251"/>
    </row>
    <row r="45" spans="2:21"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21" ht="17.25" customHeight="1" x14ac:dyDescent="0.2">
      <c r="B46" s="127"/>
      <c r="C46" s="120"/>
      <c r="D46" s="123"/>
      <c r="E46" s="80"/>
      <c r="F46" s="80"/>
      <c r="G46" s="80"/>
      <c r="H46" s="80"/>
      <c r="I46" s="107"/>
      <c r="J46" s="251"/>
      <c r="K46" s="251"/>
      <c r="L46" s="251"/>
      <c r="M46" s="251"/>
      <c r="N46" s="251"/>
      <c r="O46" s="251"/>
    </row>
    <row r="47" spans="2:21" ht="17.25" customHeight="1" x14ac:dyDescent="0.2">
      <c r="B47" s="80"/>
      <c r="C47" s="80"/>
      <c r="D47" s="80"/>
      <c r="E47" s="130"/>
      <c r="F47" s="130"/>
      <c r="G47" s="130"/>
      <c r="H47" s="130"/>
      <c r="I47" s="130"/>
      <c r="J47" s="251"/>
      <c r="K47" s="251"/>
      <c r="L47" s="251"/>
      <c r="M47" s="251"/>
      <c r="N47" s="251"/>
      <c r="O47" s="251"/>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0" t="s">
        <v>54</v>
      </c>
      <c r="N50" s="250"/>
      <c r="O50" s="250"/>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9">
        <f>SUMPRODUCT($M51:$O51,$M$57:$O$57)</f>
        <v>0</v>
      </c>
      <c r="G60" s="289"/>
      <c r="H60" s="80"/>
      <c r="J60" s="290">
        <f>F60*Duration</f>
        <v>0</v>
      </c>
      <c r="K60" s="290"/>
      <c r="M60" s="136" t="s">
        <v>74</v>
      </c>
      <c r="N60" s="290">
        <f>-F60*VLOOKUP(Duration,'Discount Rates &amp; Assumptions'!$A$6:$D$105,4,FALSE)</f>
        <v>0</v>
      </c>
      <c r="O60" s="290"/>
    </row>
    <row r="61" spans="2:19" x14ac:dyDescent="0.2">
      <c r="B61" s="133" t="str">
        <f>B52</f>
        <v>21-40% most deprived areas</v>
      </c>
      <c r="C61" s="80"/>
      <c r="D61" s="80"/>
      <c r="F61" s="289">
        <f>SUMPRODUCT($M52:$O52,$M$57:$O$57)</f>
        <v>0</v>
      </c>
      <c r="G61" s="289"/>
      <c r="H61" s="80"/>
      <c r="J61" s="290">
        <f>F61*Duration</f>
        <v>0</v>
      </c>
      <c r="K61" s="290"/>
      <c r="M61" s="136" t="s">
        <v>75</v>
      </c>
      <c r="N61" s="290">
        <f>-F61*VLOOKUP(Duration,'Discount Rates &amp; Assumptions'!$A$6:$D$105,4,FALSE)</f>
        <v>0</v>
      </c>
      <c r="O61" s="290"/>
    </row>
    <row r="62" spans="2:19" x14ac:dyDescent="0.2">
      <c r="B62" s="133" t="str">
        <f>B53</f>
        <v>60% least deprived areas</v>
      </c>
      <c r="C62" s="80"/>
      <c r="D62" s="80"/>
      <c r="F62" s="289">
        <f>SUMPRODUCT($M53:$O53,$M$57:$O$57)</f>
        <v>0</v>
      </c>
      <c r="G62" s="289"/>
      <c r="H62" s="80"/>
      <c r="J62" s="290">
        <f>F62*Duration</f>
        <v>0</v>
      </c>
      <c r="K62" s="290"/>
      <c r="M62" s="136" t="s">
        <v>90</v>
      </c>
      <c r="N62" s="290">
        <f>-F62*VLOOKUP(Duration,'Discount Rates &amp; Assumptions'!$A$6:$D$105,4,FALSE)</f>
        <v>0</v>
      </c>
      <c r="O62" s="290"/>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49" t="s">
        <v>19</v>
      </c>
      <c r="G66" s="249"/>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8" t="s">
        <v>95</v>
      </c>
      <c r="J69" s="228"/>
      <c r="K69" s="228"/>
      <c r="L69" s="228"/>
      <c r="M69" s="50">
        <f>M67*VLOOKUP('Discount Rates &amp; Assumptions'!K39,'Discount Rates &amp; Assumptions'!$A$6:$D$105,3,FALSE)</f>
        <v>1183.5763061432306</v>
      </c>
      <c r="N69" s="50">
        <f>N67*VLOOKUP('Discount Rates &amp; Assumptions'!K38,'Discount Rates &amp; Assumptions'!$A$6:$D$105,3,FALSE)</f>
        <v>3015.3953065900237</v>
      </c>
    </row>
    <row r="70" spans="2:16" ht="28" x14ac:dyDescent="0.2">
      <c r="B70" s="80"/>
      <c r="C70" s="80"/>
      <c r="D70" s="142"/>
      <c r="E70" s="80"/>
      <c r="F70" s="143" t="s">
        <v>65</v>
      </c>
      <c r="G70" s="143" t="s">
        <v>64</v>
      </c>
      <c r="H70" s="80"/>
      <c r="I70" s="228"/>
      <c r="J70" s="228"/>
      <c r="K70" s="228"/>
      <c r="L70" s="228"/>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9">
        <f>-SUMPRODUCT($M$69:$N$69,F67:G67)</f>
        <v>0</v>
      </c>
      <c r="G73" s="289"/>
      <c r="H73" s="80"/>
      <c r="J73" s="290">
        <f>F73*Duration</f>
        <v>0</v>
      </c>
      <c r="K73" s="290"/>
      <c r="M73" s="136" t="s">
        <v>76</v>
      </c>
      <c r="N73" s="291">
        <f>-F73*VLOOKUP(Duration,'Discount Rates &amp; Assumptions'!$A$6:$D$105,4,FALSE)</f>
        <v>0</v>
      </c>
      <c r="O73" s="291"/>
    </row>
    <row r="74" spans="2:16" x14ac:dyDescent="0.2">
      <c r="B74" s="133" t="str">
        <f>B68</f>
        <v>21-40% most deprived areas</v>
      </c>
      <c r="C74" s="80"/>
      <c r="D74" s="80"/>
      <c r="F74" s="289">
        <f>-SUMPRODUCT($M$69:$N$69,F68:G68)</f>
        <v>0</v>
      </c>
      <c r="G74" s="289"/>
      <c r="H74" s="80"/>
      <c r="J74" s="290">
        <f>F74*Duration</f>
        <v>0</v>
      </c>
      <c r="K74" s="290"/>
      <c r="M74" s="136" t="s">
        <v>77</v>
      </c>
      <c r="N74" s="291">
        <f>-F74*VLOOKUP(Duration,'Discount Rates &amp; Assumptions'!$A$6:$D$105,4,FALSE)</f>
        <v>0</v>
      </c>
      <c r="O74" s="291"/>
    </row>
    <row r="75" spans="2:16" x14ac:dyDescent="0.2">
      <c r="B75" s="133" t="str">
        <f>B69</f>
        <v>60% least deprived areas</v>
      </c>
      <c r="C75" s="80"/>
      <c r="D75" s="80"/>
      <c r="F75" s="289">
        <f>-SUMPRODUCT($M$69:$N$69,F69:G69)</f>
        <v>0</v>
      </c>
      <c r="G75" s="289"/>
      <c r="H75" s="80"/>
      <c r="J75" s="290">
        <f>F75*Duration</f>
        <v>0</v>
      </c>
      <c r="K75" s="290"/>
      <c r="M75" s="136" t="s">
        <v>91</v>
      </c>
      <c r="N75" s="291">
        <f>-F75*VLOOKUP(Duration,'Discount Rates &amp; Assumptions'!$A$6:$D$105,4,FALSE)</f>
        <v>0</v>
      </c>
      <c r="O75" s="291"/>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0"/>
      <c r="G79" s="240"/>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4">
        <f>'Discount Rates &amp; Assumptions'!K14</f>
        <v>15000</v>
      </c>
      <c r="K80" s="294"/>
      <c r="L80" s="139"/>
      <c r="M80" s="147" t="s">
        <v>68</v>
      </c>
      <c r="N80" s="295">
        <f>J80*C80</f>
        <v>31815000</v>
      </c>
      <c r="O80" s="295"/>
      <c r="P80" s="139"/>
    </row>
    <row r="81" spans="1:16" x14ac:dyDescent="0.2">
      <c r="B81" s="139" t="s">
        <v>4</v>
      </c>
      <c r="C81" s="219">
        <f>'PF Calculator'!C82</f>
        <v>212</v>
      </c>
      <c r="D81" s="121" t="s">
        <v>11</v>
      </c>
      <c r="E81" s="100"/>
      <c r="F81" s="100"/>
      <c r="G81" s="100"/>
      <c r="H81" s="100"/>
      <c r="I81" s="80"/>
      <c r="J81" s="294">
        <f>'Discount Rates &amp; Assumptions'!K15</f>
        <v>50000</v>
      </c>
      <c r="K81" s="294"/>
      <c r="L81" s="139"/>
      <c r="M81" s="147" t="s">
        <v>4</v>
      </c>
      <c r="N81" s="295">
        <f>J81*C81</f>
        <v>10600000</v>
      </c>
      <c r="O81" s="295"/>
      <c r="P81" s="139"/>
    </row>
    <row r="82" spans="1:16" x14ac:dyDescent="0.2">
      <c r="B82" s="139" t="s">
        <v>69</v>
      </c>
      <c r="C82" s="219">
        <f>'PF Calculator'!C83</f>
        <v>21</v>
      </c>
      <c r="D82" s="121" t="s">
        <v>10</v>
      </c>
      <c r="E82" s="80"/>
      <c r="F82" s="80"/>
      <c r="G82" s="80"/>
      <c r="H82" s="80"/>
      <c r="I82" s="80"/>
      <c r="J82" s="294">
        <f>'Discount Rates &amp; Assumptions'!K16</f>
        <v>80000</v>
      </c>
      <c r="K82" s="294"/>
      <c r="L82" s="139"/>
      <c r="M82" s="147" t="s">
        <v>69</v>
      </c>
      <c r="N82" s="295">
        <f>J82*C82</f>
        <v>1680000</v>
      </c>
      <c r="O82" s="295"/>
      <c r="P82" s="139"/>
    </row>
    <row r="83" spans="1:16" x14ac:dyDescent="0.2">
      <c r="B83" s="80"/>
      <c r="C83" s="80"/>
      <c r="D83" s="121"/>
      <c r="E83" s="80"/>
      <c r="F83" s="80"/>
      <c r="G83" s="80"/>
      <c r="H83" s="80"/>
      <c r="I83" s="80"/>
      <c r="J83" s="80"/>
      <c r="K83" s="80"/>
      <c r="L83" s="139"/>
      <c r="M83" s="136" t="s">
        <v>3</v>
      </c>
      <c r="N83" s="296">
        <f>SUM(N80:O82)</f>
        <v>44095000</v>
      </c>
      <c r="O83" s="296"/>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7">
        <f>IF(H29=0,0,IF(MAX((H29-SUM(D90:E96)),0)&gt;0,H29-SUM(D90:E96),"Ltd by high OM2,3,4 values"))</f>
        <v>0</v>
      </c>
      <c r="E89" s="298"/>
      <c r="F89" s="55">
        <f>1/TargetBCRWLBs*100</f>
        <v>5.5555555555555554</v>
      </c>
      <c r="G89" s="151" t="s">
        <v>81</v>
      </c>
      <c r="H89" s="80"/>
      <c r="I89" s="293">
        <f>IF(D89="Ltd by high OM2,3,4 values",0,D89*F89/100)</f>
        <v>0</v>
      </c>
      <c r="J89" s="293"/>
      <c r="K89" s="80"/>
      <c r="L89" s="139"/>
      <c r="M89" s="80"/>
      <c r="N89" s="154"/>
    </row>
    <row r="90" spans="1:16" x14ac:dyDescent="0.2">
      <c r="B90" s="155" t="s">
        <v>1</v>
      </c>
      <c r="C90" s="156" t="s">
        <v>84</v>
      </c>
      <c r="D90" s="292">
        <f>N60</f>
        <v>0</v>
      </c>
      <c r="E90" s="292"/>
      <c r="F90" s="52">
        <f>1/TargetMinBCR*DeprivedScalar20*100</f>
        <v>45</v>
      </c>
      <c r="G90" s="80"/>
      <c r="H90" s="80"/>
      <c r="I90" s="293">
        <f t="shared" ref="I90:I96" si="1">D90*F90/100</f>
        <v>0</v>
      </c>
      <c r="J90" s="293"/>
      <c r="K90" s="80"/>
      <c r="L90" s="80"/>
      <c r="M90" s="80"/>
      <c r="N90" s="154"/>
    </row>
    <row r="91" spans="1:16" x14ac:dyDescent="0.2">
      <c r="B91" s="157"/>
      <c r="C91" s="158" t="s">
        <v>80</v>
      </c>
      <c r="D91" s="292">
        <f>N61</f>
        <v>0</v>
      </c>
      <c r="E91" s="292"/>
      <c r="F91" s="52">
        <f>1/TargetMinBCR*DeprivedScalar40*100</f>
        <v>30.000000000000004</v>
      </c>
      <c r="G91" s="80"/>
      <c r="H91" s="80"/>
      <c r="I91" s="293">
        <f t="shared" si="1"/>
        <v>0</v>
      </c>
      <c r="J91" s="293"/>
      <c r="M91" s="139"/>
    </row>
    <row r="92" spans="1:16" x14ac:dyDescent="0.2">
      <c r="B92" s="159"/>
      <c r="C92" s="160" t="s">
        <v>88</v>
      </c>
      <c r="D92" s="292">
        <f>N62</f>
        <v>0</v>
      </c>
      <c r="E92" s="292"/>
      <c r="F92" s="52">
        <f>1/TargetMinBCR*DeprivedScalarOther*100</f>
        <v>20</v>
      </c>
      <c r="G92" s="80"/>
      <c r="H92" s="80"/>
      <c r="I92" s="293">
        <f t="shared" si="1"/>
        <v>0</v>
      </c>
      <c r="J92" s="293"/>
    </row>
    <row r="93" spans="1:16" x14ac:dyDescent="0.2">
      <c r="B93" s="155" t="s">
        <v>0</v>
      </c>
      <c r="C93" s="156" t="s">
        <v>84</v>
      </c>
      <c r="D93" s="292">
        <f>N73</f>
        <v>0</v>
      </c>
      <c r="E93" s="292"/>
      <c r="F93" s="52">
        <f>1/TargetMinBCR*DeprivedScalar20*100</f>
        <v>45</v>
      </c>
      <c r="G93" s="80"/>
      <c r="H93" s="80"/>
      <c r="I93" s="293">
        <f t="shared" si="1"/>
        <v>0</v>
      </c>
      <c r="J93" s="293"/>
    </row>
    <row r="94" spans="1:16" x14ac:dyDescent="0.2">
      <c r="B94" s="161"/>
      <c r="C94" s="158" t="s">
        <v>80</v>
      </c>
      <c r="D94" s="292">
        <f>N74</f>
        <v>0</v>
      </c>
      <c r="E94" s="292"/>
      <c r="F94" s="52">
        <f>1/TargetMinBCR*DeprivedScalar40*100</f>
        <v>30.000000000000004</v>
      </c>
      <c r="G94" s="80"/>
      <c r="H94" s="80"/>
      <c r="I94" s="293">
        <f t="shared" si="1"/>
        <v>0</v>
      </c>
      <c r="J94" s="293"/>
    </row>
    <row r="95" spans="1:16" x14ac:dyDescent="0.2">
      <c r="B95" s="159"/>
      <c r="C95" s="160" t="s">
        <v>88</v>
      </c>
      <c r="D95" s="292">
        <f>N75</f>
        <v>0</v>
      </c>
      <c r="E95" s="292"/>
      <c r="F95" s="52">
        <f>1/TargetMinBCR*DeprivedScalarOther*100</f>
        <v>20</v>
      </c>
      <c r="G95" s="80"/>
      <c r="H95" s="80"/>
      <c r="I95" s="293">
        <f t="shared" si="1"/>
        <v>0</v>
      </c>
      <c r="J95" s="293"/>
    </row>
    <row r="96" spans="1:16" x14ac:dyDescent="0.2">
      <c r="B96" s="162" t="s">
        <v>3</v>
      </c>
      <c r="C96" s="163"/>
      <c r="D96" s="292">
        <f>N83</f>
        <v>44095000</v>
      </c>
      <c r="E96" s="292"/>
      <c r="F96" s="52">
        <v>100</v>
      </c>
      <c r="G96" s="80"/>
      <c r="H96" s="80"/>
      <c r="I96" s="293">
        <f t="shared" si="1"/>
        <v>44095000</v>
      </c>
      <c r="J96" s="293"/>
      <c r="P96" s="164"/>
    </row>
    <row r="97" spans="2:16" ht="15.75" customHeight="1" x14ac:dyDescent="0.2">
      <c r="B97" s="80" t="s">
        <v>7</v>
      </c>
      <c r="C97" s="80"/>
      <c r="D97" s="299">
        <f>SUM(D89:E96)</f>
        <v>44095000</v>
      </c>
      <c r="E97" s="248"/>
      <c r="F97" s="80"/>
      <c r="G97" s="80"/>
      <c r="H97" s="80"/>
      <c r="I97" s="300">
        <f>SUM(I89:J96)</f>
        <v>44095000</v>
      </c>
      <c r="J97" s="301"/>
      <c r="K97" s="234" t="s">
        <v>213</v>
      </c>
      <c r="L97" s="234"/>
      <c r="M97" s="234"/>
      <c r="N97" s="234"/>
      <c r="O97" s="234"/>
    </row>
    <row r="98" spans="2:16" x14ac:dyDescent="0.2">
      <c r="B98" s="80"/>
      <c r="C98" s="80"/>
      <c r="D98" s="80"/>
      <c r="E98" s="80"/>
      <c r="F98" s="80"/>
      <c r="G98" s="80"/>
      <c r="H98" s="80"/>
      <c r="I98" s="80"/>
      <c r="K98" s="234"/>
      <c r="L98" s="234"/>
      <c r="M98" s="234"/>
      <c r="N98" s="234"/>
      <c r="O98" s="234"/>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2" t="s">
        <v>132</v>
      </c>
      <c r="C5" s="242"/>
      <c r="D5" s="242"/>
      <c r="E5" s="202">
        <f>'PF Calculator'!E5</f>
        <v>0</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74" t="s">
        <v>135</v>
      </c>
      <c r="N8" s="275"/>
      <c r="O8" s="276"/>
    </row>
    <row r="9" spans="1:18" x14ac:dyDescent="0.2">
      <c r="B9" s="94" t="s">
        <v>203</v>
      </c>
      <c r="J9" s="83" t="s">
        <v>146</v>
      </c>
      <c r="L9" s="80"/>
      <c r="M9" s="246" t="s">
        <v>15</v>
      </c>
      <c r="N9" s="247"/>
      <c r="O9" s="248"/>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t="e">
        <f>H29/H37</f>
        <v>#DIV/0!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#DIV/0!</v>
      </c>
      <c r="O14" s="47" t="s">
        <v>17</v>
      </c>
    </row>
    <row r="15" spans="1:18" ht="15" customHeight="1" x14ac:dyDescent="0.2">
      <c r="B15" s="109" t="s">
        <v>153</v>
      </c>
      <c r="C15" s="110"/>
      <c r="D15" s="110"/>
      <c r="E15" s="110"/>
      <c r="F15" s="110"/>
      <c r="G15" s="110"/>
      <c r="H15" s="53" t="e">
        <f>IF(J25="yes",I97/MAX(H37,H34),IF(J25="Yes",I97/MAX(H37,H34),0.45*I97/MAX(H37,H34)))</f>
        <v>#DIV/0!</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55" t="s">
        <v>177</v>
      </c>
      <c r="K17" s="277"/>
      <c r="L17" s="277"/>
      <c r="M17" s="277"/>
      <c r="N17" s="277"/>
      <c r="O17" s="277"/>
      <c r="Q17" s="253"/>
      <c r="R17" s="254"/>
      <c r="S17" s="254"/>
      <c r="T17" s="254"/>
      <c r="U17" s="254"/>
      <c r="V17" s="254"/>
    </row>
    <row r="18" spans="2:22" ht="15" customHeight="1" x14ac:dyDescent="0.2">
      <c r="B18" s="109"/>
      <c r="C18" s="86"/>
      <c r="D18" s="86"/>
      <c r="E18" s="86"/>
      <c r="F18" s="86"/>
      <c r="G18" s="86"/>
      <c r="H18" s="86"/>
      <c r="I18" s="139"/>
      <c r="J18" s="277"/>
      <c r="K18" s="277"/>
      <c r="L18" s="277"/>
      <c r="M18" s="277"/>
      <c r="N18" s="277"/>
      <c r="O18" s="277"/>
      <c r="Q18" s="254"/>
      <c r="R18" s="254"/>
      <c r="S18" s="254"/>
      <c r="T18" s="254"/>
      <c r="U18" s="254"/>
      <c r="V18" s="254"/>
    </row>
    <row r="19" spans="2:22" ht="15" customHeight="1" x14ac:dyDescent="0.2">
      <c r="B19" s="109" t="s">
        <v>134</v>
      </c>
      <c r="C19" s="112"/>
      <c r="D19" s="112"/>
      <c r="E19" s="112"/>
      <c r="F19" s="112"/>
      <c r="G19" s="112"/>
      <c r="H19" s="53">
        <f>IF(J25="Yes",IF(Authority="EA",I97/MAX(MAX(H37,H34)-H44,1),RawOMScore+H44/H34),IF(Authority="EA",I97*0.45/MAX(MAX(H37,H34)-H44,1),I15+H44/H34))</f>
        <v>44095000</v>
      </c>
      <c r="I19" s="107" t="s">
        <v>158</v>
      </c>
      <c r="J19" s="277"/>
      <c r="K19" s="277"/>
      <c r="L19" s="277"/>
      <c r="M19" s="277"/>
      <c r="N19" s="277"/>
      <c r="O19" s="277"/>
      <c r="Q19" s="254"/>
      <c r="R19" s="254"/>
      <c r="S19" s="254"/>
      <c r="T19" s="254"/>
      <c r="U19" s="254"/>
      <c r="V19" s="254"/>
    </row>
    <row r="20" spans="2:22" ht="15" customHeight="1" x14ac:dyDescent="0.2">
      <c r="J20" s="277"/>
      <c r="K20" s="277"/>
      <c r="L20" s="277"/>
      <c r="M20" s="277"/>
      <c r="N20" s="277"/>
      <c r="O20" s="277"/>
      <c r="Q20" s="254"/>
      <c r="R20" s="254"/>
      <c r="S20" s="254"/>
      <c r="T20" s="254"/>
      <c r="U20" s="254"/>
      <c r="V20" s="254"/>
    </row>
    <row r="21" spans="2:22" ht="15" customHeight="1" x14ac:dyDescent="0.2">
      <c r="B21" s="113" t="s">
        <v>205</v>
      </c>
      <c r="C21" s="114"/>
      <c r="D21" s="114"/>
      <c r="E21" s="114"/>
      <c r="F21" s="114"/>
      <c r="G21" s="114"/>
      <c r="H21" s="207">
        <f>IF(ROUNDUP(AdjOMScore,4)&lt;100%,"-",H34-H44)</f>
        <v>0</v>
      </c>
      <c r="I21" s="107" t="s">
        <v>159</v>
      </c>
      <c r="J21" s="277"/>
      <c r="K21" s="277"/>
      <c r="L21" s="277"/>
      <c r="M21" s="277"/>
      <c r="N21" s="277"/>
      <c r="O21" s="277"/>
      <c r="Q21" s="254"/>
      <c r="R21" s="254"/>
      <c r="S21" s="254"/>
      <c r="T21" s="254"/>
      <c r="U21" s="254"/>
      <c r="V21" s="254"/>
    </row>
    <row r="22" spans="2:22" ht="22.5" customHeight="1" x14ac:dyDescent="0.2">
      <c r="B22" s="208"/>
      <c r="C22" s="80"/>
      <c r="D22" s="80"/>
      <c r="E22" s="80"/>
      <c r="G22" s="115"/>
      <c r="H22" s="115"/>
      <c r="I22" s="104"/>
      <c r="J22" s="273"/>
      <c r="K22" s="273"/>
      <c r="L22" s="273"/>
      <c r="M22" s="273"/>
      <c r="N22" s="273"/>
      <c r="O22" s="273"/>
      <c r="Q22" s="254"/>
      <c r="R22" s="254"/>
      <c r="S22" s="254"/>
      <c r="T22" s="254"/>
      <c r="U22" s="254"/>
      <c r="V22" s="254"/>
    </row>
    <row r="23" spans="2:22" ht="6.75" customHeight="1" x14ac:dyDescent="0.2">
      <c r="B23" s="116"/>
      <c r="C23" s="116"/>
      <c r="D23" s="116"/>
      <c r="E23" s="116"/>
      <c r="F23" s="116"/>
      <c r="G23" s="116"/>
      <c r="H23" s="116"/>
      <c r="I23" s="116"/>
      <c r="J23" s="116"/>
      <c r="K23" s="116"/>
      <c r="L23" s="116"/>
      <c r="M23" s="116"/>
      <c r="N23" s="116"/>
      <c r="O23" s="100"/>
      <c r="P23" s="100"/>
      <c r="Q23" s="254"/>
      <c r="R23" s="254"/>
      <c r="S23" s="254"/>
      <c r="T23" s="254"/>
      <c r="U23" s="254"/>
      <c r="V23" s="254"/>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78" t="s">
        <v>174</v>
      </c>
      <c r="K26" s="224"/>
      <c r="L26" s="224"/>
      <c r="M26" s="224"/>
      <c r="N26" s="224"/>
      <c r="O26" s="212"/>
      <c r="P26" s="126"/>
    </row>
    <row r="27" spans="2:22" x14ac:dyDescent="0.2">
      <c r="B27" s="122" t="s">
        <v>124</v>
      </c>
      <c r="C27" s="120"/>
      <c r="D27" s="123"/>
      <c r="E27" s="80"/>
      <c r="F27" s="80"/>
      <c r="G27" s="80"/>
      <c r="H27" s="218">
        <f>INT('PF Calculator'!H27*0.75)</f>
        <v>37</v>
      </c>
      <c r="I27" s="107" t="s">
        <v>161</v>
      </c>
      <c r="J27" s="224"/>
      <c r="K27" s="224"/>
      <c r="L27" s="224"/>
      <c r="M27" s="224"/>
      <c r="N27" s="22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0</v>
      </c>
      <c r="I29" s="107" t="s">
        <v>162</v>
      </c>
      <c r="J29" s="80"/>
      <c r="K29" s="80"/>
      <c r="L29" s="80"/>
      <c r="M29" s="80"/>
      <c r="O29" s="83"/>
    </row>
    <row r="30" spans="2:22" x14ac:dyDescent="0.2">
      <c r="B30" s="122"/>
      <c r="C30" s="120"/>
      <c r="D30" s="123"/>
      <c r="E30" s="80"/>
      <c r="F30" s="80"/>
      <c r="G30" s="80"/>
      <c r="H30" s="80"/>
      <c r="I30" s="80"/>
      <c r="J30" s="279" t="s">
        <v>155</v>
      </c>
      <c r="K30" s="280"/>
      <c r="L30" s="280"/>
      <c r="M30" s="280"/>
      <c r="N30" s="281"/>
    </row>
    <row r="31" spans="2:22" x14ac:dyDescent="0.2">
      <c r="B31" s="127" t="s">
        <v>151</v>
      </c>
      <c r="C31" s="120"/>
      <c r="D31" s="123"/>
      <c r="E31" s="80"/>
      <c r="F31" s="80"/>
      <c r="G31" s="80"/>
      <c r="H31" s="106"/>
      <c r="I31" s="80"/>
      <c r="J31" s="282"/>
      <c r="K31" s="283"/>
      <c r="L31" s="283"/>
      <c r="M31" s="283"/>
      <c r="N31" s="284"/>
      <c r="O31" s="83"/>
    </row>
    <row r="32" spans="2:22" x14ac:dyDescent="0.2">
      <c r="B32" s="120" t="s">
        <v>118</v>
      </c>
      <c r="C32" s="120"/>
      <c r="D32" s="123"/>
      <c r="E32" s="80"/>
      <c r="F32" s="80"/>
      <c r="G32" s="80"/>
      <c r="H32" s="209">
        <f>'PF Calculator'!H32</f>
        <v>0</v>
      </c>
      <c r="I32" s="107" t="s">
        <v>163</v>
      </c>
      <c r="J32" s="282"/>
      <c r="K32" s="283"/>
      <c r="L32" s="283"/>
      <c r="M32" s="283"/>
      <c r="N32" s="284"/>
    </row>
    <row r="33" spans="2:21" x14ac:dyDescent="0.2">
      <c r="B33" s="120" t="s">
        <v>125</v>
      </c>
      <c r="C33" s="120"/>
      <c r="D33" s="123"/>
      <c r="E33" s="80"/>
      <c r="F33" s="80"/>
      <c r="G33" s="80"/>
      <c r="H33" s="209">
        <f>'PF Calculator'!H33</f>
        <v>0</v>
      </c>
      <c r="I33" s="107" t="s">
        <v>164</v>
      </c>
      <c r="J33" s="285"/>
      <c r="K33" s="286"/>
      <c r="L33" s="286"/>
      <c r="M33" s="286"/>
      <c r="N33" s="287"/>
    </row>
    <row r="34" spans="2:21" x14ac:dyDescent="0.2">
      <c r="B34" s="127" t="s">
        <v>154</v>
      </c>
      <c r="C34" s="120"/>
      <c r="D34" s="123"/>
      <c r="E34" s="80"/>
      <c r="F34" s="80"/>
      <c r="G34" s="80"/>
      <c r="H34" s="54">
        <f>SUM(H32:H33)</f>
        <v>0</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0</v>
      </c>
      <c r="I36" s="107" t="s">
        <v>166</v>
      </c>
      <c r="J36" s="80"/>
      <c r="K36" s="80"/>
      <c r="L36" s="80"/>
      <c r="M36" s="80"/>
    </row>
    <row r="37" spans="2:21" x14ac:dyDescent="0.2">
      <c r="B37" s="122" t="s">
        <v>209</v>
      </c>
      <c r="C37" s="120"/>
      <c r="D37" s="123"/>
      <c r="E37" s="80"/>
      <c r="F37" s="80"/>
      <c r="G37" s="80"/>
      <c r="H37" s="45">
        <f>H36+H34</f>
        <v>0</v>
      </c>
      <c r="I37" s="107" t="s">
        <v>167</v>
      </c>
      <c r="J37" s="80"/>
      <c r="K37" s="80"/>
      <c r="L37" s="80"/>
      <c r="M37" s="80"/>
    </row>
    <row r="38" spans="2:21" ht="15" customHeight="1" x14ac:dyDescent="0.2">
      <c r="B38" s="120"/>
      <c r="C38" s="120"/>
      <c r="D38" s="123"/>
      <c r="E38" s="80"/>
      <c r="F38" s="80"/>
      <c r="G38" s="80"/>
      <c r="H38" s="128"/>
      <c r="I38" s="80"/>
      <c r="J38" s="252" t="s">
        <v>200</v>
      </c>
      <c r="K38" s="251"/>
      <c r="L38" s="251"/>
      <c r="M38" s="251"/>
      <c r="N38" s="251"/>
      <c r="O38" s="251"/>
      <c r="P38" s="288"/>
      <c r="Q38" s="288"/>
      <c r="R38" s="288"/>
      <c r="S38" s="288"/>
      <c r="T38" s="288"/>
      <c r="U38" s="288"/>
    </row>
    <row r="39" spans="2:21" ht="33" customHeight="1" x14ac:dyDescent="0.2">
      <c r="B39" s="129" t="s">
        <v>152</v>
      </c>
      <c r="C39" s="120"/>
      <c r="D39" s="123"/>
      <c r="E39" s="80"/>
      <c r="F39" s="80"/>
      <c r="G39" s="80"/>
      <c r="H39" s="128"/>
      <c r="I39" s="80"/>
      <c r="J39" s="251"/>
      <c r="K39" s="251"/>
      <c r="L39" s="251"/>
      <c r="M39" s="251"/>
      <c r="N39" s="251"/>
      <c r="O39" s="251"/>
      <c r="P39" s="288"/>
      <c r="Q39" s="288"/>
      <c r="R39" s="288"/>
      <c r="S39" s="288"/>
      <c r="T39" s="288"/>
      <c r="U39" s="288"/>
    </row>
    <row r="40" spans="2:21" ht="15" customHeight="1" x14ac:dyDescent="0.2">
      <c r="B40" s="120" t="s">
        <v>119</v>
      </c>
      <c r="C40" s="120"/>
      <c r="D40" s="123"/>
      <c r="E40" s="80"/>
      <c r="F40" s="80"/>
      <c r="G40" s="80"/>
      <c r="H40" s="209">
        <f>'PF Calculator'!H40</f>
        <v>0</v>
      </c>
      <c r="I40" s="107" t="s">
        <v>168</v>
      </c>
      <c r="J40" s="251"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51"/>
      <c r="L40" s="251"/>
      <c r="M40" s="251"/>
      <c r="N40" s="251"/>
      <c r="O40" s="251"/>
      <c r="P40" s="288"/>
      <c r="Q40" s="288"/>
      <c r="R40" s="288"/>
      <c r="S40" s="288"/>
      <c r="T40" s="288"/>
      <c r="U40" s="288"/>
    </row>
    <row r="41" spans="2:21" ht="15" customHeight="1" x14ac:dyDescent="0.2">
      <c r="B41" s="120" t="s">
        <v>120</v>
      </c>
      <c r="C41" s="120"/>
      <c r="D41" s="123"/>
      <c r="E41" s="80"/>
      <c r="F41" s="80"/>
      <c r="G41" s="80"/>
      <c r="H41" s="209">
        <f>'PF Calculator'!H41</f>
        <v>0</v>
      </c>
      <c r="I41" s="107" t="s">
        <v>169</v>
      </c>
      <c r="J41" s="251"/>
      <c r="K41" s="251"/>
      <c r="L41" s="251"/>
      <c r="M41" s="251"/>
      <c r="N41" s="251"/>
      <c r="O41" s="251"/>
      <c r="P41" s="288"/>
      <c r="Q41" s="288"/>
      <c r="R41" s="288"/>
      <c r="S41" s="288"/>
      <c r="T41" s="288"/>
      <c r="U41" s="288"/>
    </row>
    <row r="42" spans="2:21" ht="15" customHeight="1" x14ac:dyDescent="0.2">
      <c r="B42" s="120" t="s">
        <v>121</v>
      </c>
      <c r="C42" s="120"/>
      <c r="D42" s="123"/>
      <c r="E42" s="80"/>
      <c r="F42" s="80"/>
      <c r="G42" s="80"/>
      <c r="H42" s="209">
        <f>'PF Calculator'!H42</f>
        <v>0</v>
      </c>
      <c r="I42" s="107" t="s">
        <v>170</v>
      </c>
      <c r="J42" s="251"/>
      <c r="K42" s="251"/>
      <c r="L42" s="251"/>
      <c r="M42" s="251"/>
      <c r="N42" s="251"/>
      <c r="O42" s="251"/>
      <c r="P42" s="288"/>
      <c r="Q42" s="288"/>
      <c r="R42" s="288"/>
      <c r="S42" s="288"/>
      <c r="T42" s="288"/>
      <c r="U42" s="288"/>
    </row>
    <row r="43" spans="2:21" ht="15" customHeight="1" x14ac:dyDescent="0.2">
      <c r="B43" s="120" t="s">
        <v>122</v>
      </c>
      <c r="C43" s="120"/>
      <c r="D43" s="123"/>
      <c r="E43" s="80"/>
      <c r="F43" s="80"/>
      <c r="G43" s="80"/>
      <c r="H43" s="209">
        <f>'PF Calculator'!H43</f>
        <v>0</v>
      </c>
      <c r="I43" s="107" t="s">
        <v>171</v>
      </c>
      <c r="J43" s="251"/>
      <c r="K43" s="251"/>
      <c r="L43" s="251"/>
      <c r="M43" s="251"/>
      <c r="N43" s="251"/>
      <c r="O43" s="251"/>
      <c r="P43" s="288"/>
      <c r="Q43" s="288"/>
      <c r="R43" s="288"/>
      <c r="S43" s="288"/>
      <c r="T43" s="288"/>
      <c r="U43" s="288"/>
    </row>
    <row r="44" spans="2:21" x14ac:dyDescent="0.2">
      <c r="B44" s="127" t="s">
        <v>123</v>
      </c>
      <c r="C44" s="120"/>
      <c r="D44" s="123"/>
      <c r="E44" s="80"/>
      <c r="F44" s="80"/>
      <c r="G44" s="80"/>
      <c r="H44" s="44">
        <f>SUM(H40:H43)</f>
        <v>0</v>
      </c>
      <c r="I44" s="107" t="s">
        <v>172</v>
      </c>
      <c r="J44" s="251"/>
      <c r="K44" s="251"/>
      <c r="L44" s="251"/>
      <c r="M44" s="251"/>
      <c r="N44" s="251"/>
      <c r="O44" s="251"/>
    </row>
    <row r="45" spans="2:21" x14ac:dyDescent="0.2">
      <c r="B45" s="77" t="str">
        <f>IF(ISERR(H17)=TRUE,"",IF(H44&lt;H17,"WARNING: Contributions less than minimum required in cell (2)"," "))</f>
        <v xml:space="preserve"> </v>
      </c>
      <c r="C45" s="120"/>
      <c r="D45" s="80"/>
      <c r="E45" s="80"/>
      <c r="F45" s="80"/>
      <c r="G45" s="80"/>
      <c r="H45" s="80"/>
      <c r="I45" s="107"/>
      <c r="J45" s="251"/>
      <c r="K45" s="251"/>
      <c r="L45" s="251"/>
      <c r="M45" s="251"/>
      <c r="N45" s="251"/>
      <c r="O45" s="251"/>
    </row>
    <row r="46" spans="2:21" ht="21.75" customHeight="1" x14ac:dyDescent="0.2">
      <c r="B46" s="127"/>
      <c r="C46" s="120"/>
      <c r="D46" s="123"/>
      <c r="E46" s="80"/>
      <c r="F46" s="80"/>
      <c r="G46" s="80"/>
      <c r="H46" s="80"/>
      <c r="I46" s="107"/>
      <c r="J46" s="251"/>
      <c r="K46" s="251"/>
      <c r="L46" s="251"/>
      <c r="M46" s="251"/>
      <c r="N46" s="251"/>
      <c r="O46" s="251"/>
    </row>
    <row r="47" spans="2:21" ht="7.5" customHeight="1" x14ac:dyDescent="0.2">
      <c r="B47" s="80"/>
      <c r="C47" s="80"/>
      <c r="D47" s="80"/>
      <c r="E47" s="130"/>
      <c r="F47" s="130"/>
      <c r="G47" s="130"/>
      <c r="H47" s="130"/>
      <c r="I47" s="130"/>
      <c r="J47" s="251"/>
      <c r="K47" s="251"/>
      <c r="L47" s="251"/>
      <c r="M47" s="251"/>
      <c r="N47" s="251"/>
      <c r="O47" s="251"/>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0" t="s">
        <v>54</v>
      </c>
      <c r="N50" s="250"/>
      <c r="O50" s="250"/>
    </row>
    <row r="51" spans="2:19" x14ac:dyDescent="0.2">
      <c r="B51" s="133" t="s">
        <v>21</v>
      </c>
      <c r="C51" s="80"/>
      <c r="D51" s="80"/>
      <c r="E51" s="214">
        <f>'PF Calculator'!E52</f>
        <v>0</v>
      </c>
      <c r="F51" s="214">
        <f>'PF Calculator'!F52</f>
        <v>0</v>
      </c>
      <c r="G51" s="214">
        <f>'PF Calculator'!G52</f>
        <v>0</v>
      </c>
      <c r="H51" s="80"/>
      <c r="I51" s="214">
        <f>'PF Calculator'!I52</f>
        <v>0</v>
      </c>
      <c r="J51" s="214">
        <f>'PF Calculator'!J52</f>
        <v>0</v>
      </c>
      <c r="K51" s="214">
        <f>'PF Calculator'!K52</f>
        <v>0</v>
      </c>
      <c r="L51" s="80"/>
      <c r="M51" s="49">
        <f t="shared" ref="M51:O53" si="0">I51-E51</f>
        <v>0</v>
      </c>
      <c r="N51" s="49">
        <f t="shared" si="0"/>
        <v>0</v>
      </c>
      <c r="O51" s="49">
        <f t="shared" si="0"/>
        <v>0</v>
      </c>
    </row>
    <row r="52" spans="2:19" x14ac:dyDescent="0.2">
      <c r="B52" s="133" t="s">
        <v>20</v>
      </c>
      <c r="C52" s="80"/>
      <c r="D52" s="80"/>
      <c r="E52" s="214">
        <f>'PF Calculator'!E53</f>
        <v>0</v>
      </c>
      <c r="F52" s="214">
        <f>'PF Calculator'!F53</f>
        <v>0</v>
      </c>
      <c r="G52" s="214">
        <f>'PF Calculator'!G53</f>
        <v>0</v>
      </c>
      <c r="H52" s="80"/>
      <c r="I52" s="214">
        <f>'PF Calculator'!I53</f>
        <v>0</v>
      </c>
      <c r="J52" s="214">
        <f>'PF Calculator'!J53</f>
        <v>0</v>
      </c>
      <c r="K52" s="214">
        <f>'PF Calculator'!K53</f>
        <v>0</v>
      </c>
      <c r="L52" s="80"/>
      <c r="M52" s="49">
        <f t="shared" si="0"/>
        <v>0</v>
      </c>
      <c r="N52" s="49">
        <f t="shared" si="0"/>
        <v>0</v>
      </c>
      <c r="O52" s="49">
        <f t="shared" si="0"/>
        <v>0</v>
      </c>
    </row>
    <row r="53" spans="2:19" x14ac:dyDescent="0.2">
      <c r="B53" s="133" t="s">
        <v>22</v>
      </c>
      <c r="C53" s="80"/>
      <c r="D53" s="80"/>
      <c r="E53" s="214">
        <f>'PF Calculator'!E54</f>
        <v>0</v>
      </c>
      <c r="F53" s="214">
        <f>'PF Calculator'!F54</f>
        <v>0</v>
      </c>
      <c r="G53" s="214">
        <f>'PF Calculator'!G54</f>
        <v>0</v>
      </c>
      <c r="H53" s="80"/>
      <c r="I53" s="214">
        <f>'PF Calculator'!I54</f>
        <v>0</v>
      </c>
      <c r="J53" s="214">
        <f>'PF Calculator'!J54</f>
        <v>0</v>
      </c>
      <c r="K53" s="214">
        <f>'PF Calculator'!K54</f>
        <v>0</v>
      </c>
      <c r="L53" s="80"/>
      <c r="M53" s="49">
        <f t="shared" si="0"/>
        <v>0</v>
      </c>
      <c r="N53" s="49">
        <f t="shared" si="0"/>
        <v>0</v>
      </c>
      <c r="O53" s="49">
        <f t="shared" si="0"/>
        <v>0</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9">
        <f>SUMPRODUCT($M51:$O51,$M$57:$O$57)</f>
        <v>0</v>
      </c>
      <c r="G60" s="289"/>
      <c r="H60" s="80"/>
      <c r="J60" s="290">
        <f>F60*Duration</f>
        <v>0</v>
      </c>
      <c r="K60" s="290"/>
      <c r="M60" s="136" t="s">
        <v>74</v>
      </c>
      <c r="N60" s="290">
        <f>-F60*VLOOKUP(Duration,'Discount Rates &amp; Assumptions'!$A$6:$D$105,4,FALSE)</f>
        <v>0</v>
      </c>
      <c r="O60" s="290"/>
    </row>
    <row r="61" spans="2:19" x14ac:dyDescent="0.2">
      <c r="B61" s="133" t="str">
        <f>B52</f>
        <v>21-40% most deprived areas</v>
      </c>
      <c r="C61" s="80"/>
      <c r="D61" s="80"/>
      <c r="F61" s="289">
        <f>SUMPRODUCT($M52:$O52,$M$57:$O$57)</f>
        <v>0</v>
      </c>
      <c r="G61" s="289"/>
      <c r="H61" s="80"/>
      <c r="J61" s="290">
        <f>F61*Duration</f>
        <v>0</v>
      </c>
      <c r="K61" s="290"/>
      <c r="M61" s="136" t="s">
        <v>75</v>
      </c>
      <c r="N61" s="290">
        <f>-F61*VLOOKUP(Duration,'Discount Rates &amp; Assumptions'!$A$6:$D$105,4,FALSE)</f>
        <v>0</v>
      </c>
      <c r="O61" s="290"/>
    </row>
    <row r="62" spans="2:19" x14ac:dyDescent="0.2">
      <c r="B62" s="133" t="str">
        <f>B53</f>
        <v>60% least deprived areas</v>
      </c>
      <c r="C62" s="80"/>
      <c r="D62" s="80"/>
      <c r="F62" s="289">
        <f>SUMPRODUCT($M53:$O53,$M$57:$O$57)</f>
        <v>0</v>
      </c>
      <c r="G62" s="289"/>
      <c r="H62" s="80"/>
      <c r="J62" s="290">
        <f>F62*Duration</f>
        <v>0</v>
      </c>
      <c r="K62" s="290"/>
      <c r="M62" s="136" t="s">
        <v>90</v>
      </c>
      <c r="N62" s="290">
        <f>-F62*VLOOKUP(Duration,'Discount Rates &amp; Assumptions'!$A$6:$D$105,4,FALSE)</f>
        <v>0</v>
      </c>
      <c r="O62" s="290"/>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49" t="s">
        <v>19</v>
      </c>
      <c r="G66" s="249"/>
      <c r="H66" s="80"/>
      <c r="I66" s="139" t="s">
        <v>66</v>
      </c>
    </row>
    <row r="67" spans="2:16" x14ac:dyDescent="0.2">
      <c r="B67" s="133" t="s">
        <v>21</v>
      </c>
      <c r="C67" s="80"/>
      <c r="D67" s="80"/>
      <c r="E67" s="80"/>
      <c r="F67" s="214">
        <f>'PF Calculator'!F68</f>
        <v>0</v>
      </c>
      <c r="G67" s="214">
        <f>'PF Calculator'!G68</f>
        <v>0</v>
      </c>
      <c r="H67" s="80"/>
      <c r="I67" s="133" t="s">
        <v>55</v>
      </c>
      <c r="J67" s="133"/>
      <c r="K67" s="140"/>
      <c r="L67" s="133"/>
      <c r="M67" s="50">
        <f>AvCEDamages</f>
        <v>6000</v>
      </c>
      <c r="N67" s="50">
        <f>AvCEDamages</f>
        <v>6000</v>
      </c>
    </row>
    <row r="68" spans="2:16" x14ac:dyDescent="0.2">
      <c r="B68" s="133" t="s">
        <v>20</v>
      </c>
      <c r="C68" s="80"/>
      <c r="D68" s="80"/>
      <c r="E68" s="80"/>
      <c r="F68" s="214">
        <f>'PF Calculator'!F69</f>
        <v>0</v>
      </c>
      <c r="G68" s="214">
        <f>'PF Calculator'!G69</f>
        <v>0</v>
      </c>
      <c r="H68" s="80"/>
      <c r="I68" s="141" t="s">
        <v>67</v>
      </c>
      <c r="M68" s="51">
        <v>50</v>
      </c>
      <c r="N68" s="51">
        <v>20</v>
      </c>
      <c r="O68" s="133" t="s">
        <v>8</v>
      </c>
    </row>
    <row r="69" spans="2:16" ht="15" customHeight="1" x14ac:dyDescent="0.2">
      <c r="B69" s="133" t="s">
        <v>22</v>
      </c>
      <c r="C69" s="80"/>
      <c r="D69" s="80"/>
      <c r="E69" s="80"/>
      <c r="F69" s="214">
        <f>'PF Calculator'!F70</f>
        <v>0</v>
      </c>
      <c r="G69" s="214">
        <f>'PF Calculator'!G70</f>
        <v>0</v>
      </c>
      <c r="H69" s="80"/>
      <c r="I69" s="228" t="s">
        <v>95</v>
      </c>
      <c r="J69" s="228"/>
      <c r="K69" s="228"/>
      <c r="L69" s="228"/>
      <c r="M69" s="50">
        <f>M67*VLOOKUP('Discount Rates &amp; Assumptions'!K39,'Discount Rates &amp; Assumptions'!$A$6:$D$105,3,FALSE)</f>
        <v>1183.5763061432306</v>
      </c>
      <c r="N69" s="50">
        <f>N67*VLOOKUP('Discount Rates &amp; Assumptions'!K38,'Discount Rates &amp; Assumptions'!$A$6:$D$105,3,FALSE)</f>
        <v>3015.3953065900237</v>
      </c>
    </row>
    <row r="70" spans="2:16" ht="28" x14ac:dyDescent="0.2">
      <c r="B70" s="80"/>
      <c r="C70" s="80"/>
      <c r="D70" s="142"/>
      <c r="E70" s="80"/>
      <c r="F70" s="143" t="s">
        <v>65</v>
      </c>
      <c r="G70" s="143" t="s">
        <v>64</v>
      </c>
      <c r="H70" s="80"/>
      <c r="I70" s="228"/>
      <c r="J70" s="228"/>
      <c r="K70" s="228"/>
      <c r="L70" s="228"/>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9">
        <f>-SUMPRODUCT($M$69:$N$69,F67:G67)</f>
        <v>0</v>
      </c>
      <c r="G73" s="289"/>
      <c r="H73" s="80"/>
      <c r="J73" s="290">
        <f>F73*Duration</f>
        <v>0</v>
      </c>
      <c r="K73" s="290"/>
      <c r="M73" s="136" t="s">
        <v>76</v>
      </c>
      <c r="N73" s="291">
        <f>-F73*VLOOKUP(Duration,'Discount Rates &amp; Assumptions'!$A$6:$D$105,4,FALSE)</f>
        <v>0</v>
      </c>
      <c r="O73" s="291"/>
    </row>
    <row r="74" spans="2:16" x14ac:dyDescent="0.2">
      <c r="B74" s="133" t="str">
        <f>B68</f>
        <v>21-40% most deprived areas</v>
      </c>
      <c r="C74" s="80"/>
      <c r="D74" s="80"/>
      <c r="F74" s="289">
        <f>-SUMPRODUCT($M$69:$N$69,F68:G68)</f>
        <v>0</v>
      </c>
      <c r="G74" s="289"/>
      <c r="H74" s="80"/>
      <c r="J74" s="290">
        <f>F74*Duration</f>
        <v>0</v>
      </c>
      <c r="K74" s="290"/>
      <c r="M74" s="136" t="s">
        <v>77</v>
      </c>
      <c r="N74" s="291">
        <f>-F74*VLOOKUP(Duration,'Discount Rates &amp; Assumptions'!$A$6:$D$105,4,FALSE)</f>
        <v>0</v>
      </c>
      <c r="O74" s="291"/>
    </row>
    <row r="75" spans="2:16" x14ac:dyDescent="0.2">
      <c r="B75" s="133" t="str">
        <f>B69</f>
        <v>60% least deprived areas</v>
      </c>
      <c r="C75" s="80"/>
      <c r="D75" s="80"/>
      <c r="F75" s="289">
        <f>-SUMPRODUCT($M$69:$N$69,F69:G69)</f>
        <v>0</v>
      </c>
      <c r="G75" s="289"/>
      <c r="H75" s="80"/>
      <c r="J75" s="290">
        <f>F75*Duration</f>
        <v>0</v>
      </c>
      <c r="K75" s="290"/>
      <c r="M75" s="136" t="s">
        <v>91</v>
      </c>
      <c r="N75" s="291">
        <f>-F75*VLOOKUP(Duration,'Discount Rates &amp; Assumptions'!$A$6:$D$105,4,FALSE)</f>
        <v>0</v>
      </c>
      <c r="O75" s="291"/>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40"/>
      <c r="G79" s="240"/>
      <c r="H79" s="100"/>
      <c r="I79" s="139"/>
      <c r="K79" s="147" t="s">
        <v>89</v>
      </c>
      <c r="L79" s="139"/>
      <c r="M79" s="139"/>
      <c r="N79" s="139"/>
      <c r="O79" s="136" t="s">
        <v>78</v>
      </c>
      <c r="P79" s="139"/>
    </row>
    <row r="80" spans="2:16" x14ac:dyDescent="0.2">
      <c r="B80" s="139" t="s">
        <v>68</v>
      </c>
      <c r="C80" s="219">
        <f>'PF Calculator'!C81</f>
        <v>2121</v>
      </c>
      <c r="D80" s="121" t="s">
        <v>12</v>
      </c>
      <c r="E80" s="100"/>
      <c r="F80" s="100"/>
      <c r="G80" s="100"/>
      <c r="H80" s="100"/>
      <c r="I80" s="80"/>
      <c r="J80" s="294">
        <f>'Discount Rates &amp; Assumptions'!K14</f>
        <v>15000</v>
      </c>
      <c r="K80" s="294"/>
      <c r="L80" s="139"/>
      <c r="M80" s="147" t="s">
        <v>68</v>
      </c>
      <c r="N80" s="295">
        <f>J80*C80</f>
        <v>31815000</v>
      </c>
      <c r="O80" s="295"/>
      <c r="P80" s="139"/>
    </row>
    <row r="81" spans="1:16" x14ac:dyDescent="0.2">
      <c r="B81" s="139" t="s">
        <v>4</v>
      </c>
      <c r="C81" s="219">
        <f>'PF Calculator'!C82</f>
        <v>212</v>
      </c>
      <c r="D81" s="121" t="s">
        <v>11</v>
      </c>
      <c r="E81" s="100"/>
      <c r="F81" s="100"/>
      <c r="G81" s="100"/>
      <c r="H81" s="100"/>
      <c r="I81" s="80"/>
      <c r="J81" s="294">
        <f>'Discount Rates &amp; Assumptions'!K15</f>
        <v>50000</v>
      </c>
      <c r="K81" s="294"/>
      <c r="L81" s="139"/>
      <c r="M81" s="147" t="s">
        <v>4</v>
      </c>
      <c r="N81" s="295">
        <f>J81*C81</f>
        <v>10600000</v>
      </c>
      <c r="O81" s="295"/>
      <c r="P81" s="139"/>
    </row>
    <row r="82" spans="1:16" x14ac:dyDescent="0.2">
      <c r="B82" s="139" t="s">
        <v>69</v>
      </c>
      <c r="C82" s="219">
        <f>'PF Calculator'!C83</f>
        <v>21</v>
      </c>
      <c r="D82" s="121" t="s">
        <v>10</v>
      </c>
      <c r="E82" s="80"/>
      <c r="F82" s="80"/>
      <c r="G82" s="80"/>
      <c r="H82" s="80"/>
      <c r="I82" s="80"/>
      <c r="J82" s="294">
        <f>'Discount Rates &amp; Assumptions'!K16</f>
        <v>80000</v>
      </c>
      <c r="K82" s="294"/>
      <c r="L82" s="139"/>
      <c r="M82" s="147" t="s">
        <v>69</v>
      </c>
      <c r="N82" s="295">
        <f>J82*C82</f>
        <v>1680000</v>
      </c>
      <c r="O82" s="295"/>
      <c r="P82" s="139"/>
    </row>
    <row r="83" spans="1:16" x14ac:dyDescent="0.2">
      <c r="B83" s="80"/>
      <c r="C83" s="80"/>
      <c r="D83" s="121"/>
      <c r="E83" s="80"/>
      <c r="F83" s="80"/>
      <c r="G83" s="80"/>
      <c r="H83" s="80"/>
      <c r="I83" s="80"/>
      <c r="J83" s="80"/>
      <c r="K83" s="80"/>
      <c r="L83" s="139"/>
      <c r="M83" s="136" t="s">
        <v>3</v>
      </c>
      <c r="N83" s="296">
        <f>SUM(N80:O82)</f>
        <v>44095000</v>
      </c>
      <c r="O83" s="296"/>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97">
        <f>IF(H29=0,0,IF(MAX((H29-SUM(D90:E96)),0)&gt;0,H29-SUM(D90:E96),"Ltd by high OM2,3,4 values"))</f>
        <v>0</v>
      </c>
      <c r="E89" s="298"/>
      <c r="F89" s="55">
        <f>1/TargetBCRWLBs*100</f>
        <v>5.5555555555555554</v>
      </c>
      <c r="G89" s="151" t="s">
        <v>81</v>
      </c>
      <c r="H89" s="80"/>
      <c r="I89" s="293">
        <f>IF(D89="Ltd by high OM2,3,4 values",0,D89*F89/100)</f>
        <v>0</v>
      </c>
      <c r="J89" s="293"/>
      <c r="K89" s="80"/>
      <c r="L89" s="139"/>
      <c r="M89" s="80"/>
      <c r="N89" s="154"/>
    </row>
    <row r="90" spans="1:16" x14ac:dyDescent="0.2">
      <c r="B90" s="155" t="s">
        <v>1</v>
      </c>
      <c r="C90" s="156" t="s">
        <v>84</v>
      </c>
      <c r="D90" s="292">
        <f>N60</f>
        <v>0</v>
      </c>
      <c r="E90" s="292"/>
      <c r="F90" s="52">
        <f>1/TargetMinBCR*DeprivedScalar20*100</f>
        <v>45</v>
      </c>
      <c r="G90" s="80"/>
      <c r="H90" s="80"/>
      <c r="I90" s="293">
        <f t="shared" ref="I90:I96" si="1">D90*F90/100</f>
        <v>0</v>
      </c>
      <c r="J90" s="293"/>
      <c r="K90" s="80"/>
      <c r="L90" s="80"/>
      <c r="M90" s="80"/>
      <c r="N90" s="154"/>
    </row>
    <row r="91" spans="1:16" x14ac:dyDescent="0.2">
      <c r="B91" s="157"/>
      <c r="C91" s="158" t="s">
        <v>80</v>
      </c>
      <c r="D91" s="292">
        <f>N61</f>
        <v>0</v>
      </c>
      <c r="E91" s="292"/>
      <c r="F91" s="52">
        <f>1/TargetMinBCR*DeprivedScalar40*100</f>
        <v>30.000000000000004</v>
      </c>
      <c r="G91" s="80"/>
      <c r="H91" s="80"/>
      <c r="I91" s="293">
        <f t="shared" si="1"/>
        <v>0</v>
      </c>
      <c r="J91" s="293"/>
      <c r="M91" s="139"/>
    </row>
    <row r="92" spans="1:16" x14ac:dyDescent="0.2">
      <c r="B92" s="159"/>
      <c r="C92" s="160" t="s">
        <v>88</v>
      </c>
      <c r="D92" s="292">
        <f>N62</f>
        <v>0</v>
      </c>
      <c r="E92" s="292"/>
      <c r="F92" s="52">
        <f>1/TargetMinBCR*DeprivedScalarOther*100</f>
        <v>20</v>
      </c>
      <c r="G92" s="80"/>
      <c r="H92" s="80"/>
      <c r="I92" s="293">
        <f t="shared" si="1"/>
        <v>0</v>
      </c>
      <c r="J92" s="293"/>
    </row>
    <row r="93" spans="1:16" x14ac:dyDescent="0.2">
      <c r="B93" s="155" t="s">
        <v>0</v>
      </c>
      <c r="C93" s="156" t="s">
        <v>84</v>
      </c>
      <c r="D93" s="292">
        <f>N73</f>
        <v>0</v>
      </c>
      <c r="E93" s="292"/>
      <c r="F93" s="52">
        <f>1/TargetMinBCR*DeprivedScalar20*100</f>
        <v>45</v>
      </c>
      <c r="G93" s="80"/>
      <c r="H93" s="80"/>
      <c r="I93" s="293">
        <f t="shared" si="1"/>
        <v>0</v>
      </c>
      <c r="J93" s="293"/>
    </row>
    <row r="94" spans="1:16" x14ac:dyDescent="0.2">
      <c r="B94" s="161"/>
      <c r="C94" s="158" t="s">
        <v>80</v>
      </c>
      <c r="D94" s="292">
        <f>N74</f>
        <v>0</v>
      </c>
      <c r="E94" s="292"/>
      <c r="F94" s="52">
        <f>1/TargetMinBCR*DeprivedScalar40*100</f>
        <v>30.000000000000004</v>
      </c>
      <c r="G94" s="80"/>
      <c r="H94" s="80"/>
      <c r="I94" s="293">
        <f t="shared" si="1"/>
        <v>0</v>
      </c>
      <c r="J94" s="293"/>
    </row>
    <row r="95" spans="1:16" x14ac:dyDescent="0.2">
      <c r="B95" s="159"/>
      <c r="C95" s="160" t="s">
        <v>88</v>
      </c>
      <c r="D95" s="292">
        <f>N75</f>
        <v>0</v>
      </c>
      <c r="E95" s="292"/>
      <c r="F95" s="52">
        <f>1/TargetMinBCR*DeprivedScalarOther*100</f>
        <v>20</v>
      </c>
      <c r="G95" s="80"/>
      <c r="H95" s="80"/>
      <c r="I95" s="293">
        <f t="shared" si="1"/>
        <v>0</v>
      </c>
      <c r="J95" s="293"/>
    </row>
    <row r="96" spans="1:16" x14ac:dyDescent="0.2">
      <c r="B96" s="162" t="s">
        <v>3</v>
      </c>
      <c r="C96" s="163"/>
      <c r="D96" s="292">
        <f>N83</f>
        <v>44095000</v>
      </c>
      <c r="E96" s="292"/>
      <c r="F96" s="52">
        <v>100</v>
      </c>
      <c r="G96" s="80"/>
      <c r="H96" s="80"/>
      <c r="I96" s="293">
        <f t="shared" si="1"/>
        <v>44095000</v>
      </c>
      <c r="J96" s="293"/>
      <c r="P96" s="164"/>
    </row>
    <row r="97" spans="2:16" ht="15.75" customHeight="1" x14ac:dyDescent="0.2">
      <c r="B97" s="80" t="s">
        <v>7</v>
      </c>
      <c r="C97" s="80"/>
      <c r="D97" s="299">
        <f>SUM(D89:E96)</f>
        <v>44095000</v>
      </c>
      <c r="E97" s="248"/>
      <c r="F97" s="80"/>
      <c r="G97" s="80"/>
      <c r="H97" s="80"/>
      <c r="I97" s="300">
        <f>SUM(I89:J96)</f>
        <v>44095000</v>
      </c>
      <c r="J97" s="301"/>
      <c r="K97" s="234" t="s">
        <v>213</v>
      </c>
      <c r="L97" s="234"/>
      <c r="M97" s="234"/>
      <c r="N97" s="234"/>
      <c r="O97" s="234"/>
    </row>
    <row r="98" spans="2:16" x14ac:dyDescent="0.2">
      <c r="B98" s="80"/>
      <c r="C98" s="80"/>
      <c r="D98" s="80"/>
      <c r="E98" s="80"/>
      <c r="F98" s="80"/>
      <c r="G98" s="80"/>
      <c r="H98" s="80"/>
      <c r="I98" s="80"/>
      <c r="K98" s="234"/>
      <c r="L98" s="234"/>
      <c r="M98" s="234"/>
      <c r="N98" s="234"/>
      <c r="O98" s="234"/>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2018-05-15T13:05:07Z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