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hidePivotFieldList="1" defaultThemeVersion="124226"/>
  <mc:AlternateContent xmlns:mc="http://schemas.openxmlformats.org/markup-compatibility/2006">
    <mc:Choice Requires="x15">
      <x15ac:absPath xmlns:x15ac="http://schemas.microsoft.com/office/spreadsheetml/2010/11/ac" url="H:\Documents\"/>
    </mc:Choice>
  </mc:AlternateContent>
  <bookViews>
    <workbookView xWindow="-15" yWindow="-15" windowWidth="12615" windowHeight="12240" tabRatio="854"/>
  </bookViews>
  <sheets>
    <sheet name="PF Calculator" sheetId="8" r:id="rId1"/>
    <sheet name="PV Calculator" sheetId="31" r:id="rId2"/>
    <sheet name="Discount Rates &amp; Assumptions" sheetId="1" r:id="rId3"/>
    <sheet name="Version Control" sheetId="15" r:id="rId4"/>
    <sheet name="Sensitivity 1" sheetId="26" r:id="rId5"/>
    <sheet name="Sensitivity 2" sheetId="27" r:id="rId6"/>
    <sheet name="Sensitivity 3" sheetId="28" r:id="rId7"/>
    <sheet name="Sensitivity 4" sheetId="29" r:id="rId8"/>
    <sheet name="Sensitivity 5" sheetId="30" r:id="rId9"/>
  </sheets>
  <definedNames>
    <definedName name="AdjOMScore" localSheetId="4">'Sensitivity 1'!$H$19</definedName>
    <definedName name="AdjOMScore" localSheetId="5">'Sensitivity 2'!$H$19</definedName>
    <definedName name="AdjOMScore" localSheetId="6">'Sensitivity 3'!$H$19</definedName>
    <definedName name="AdjOMScore" localSheetId="7">'Sensitivity 4'!$H$19</definedName>
    <definedName name="AdjOMScore" localSheetId="8">'Sensitivity 5'!$H$19</definedName>
    <definedName name="AdjOMScore">'PF Calculator'!$H$19</definedName>
    <definedName name="Allocation" localSheetId="4">#REF!</definedName>
    <definedName name="Allocation" localSheetId="5">#REF!</definedName>
    <definedName name="Allocation" localSheetId="6">#REF!</definedName>
    <definedName name="Allocation" localSheetId="7">#REF!</definedName>
    <definedName name="Allocation" localSheetId="8">#REF!</definedName>
    <definedName name="Allocation">#REF!</definedName>
    <definedName name="Authority" localSheetId="4">'Sensitivity 1'!$H$25</definedName>
    <definedName name="Authority" localSheetId="5">'Sensitivity 2'!$H$25</definedName>
    <definedName name="Authority" localSheetId="6">'Sensitivity 3'!$H$25</definedName>
    <definedName name="Authority" localSheetId="7">'Sensitivity 4'!$H$25</definedName>
    <definedName name="Authority" localSheetId="8">'Sensitivity 5'!$H$25</definedName>
    <definedName name="Authority">'PF Calculator'!$H$25</definedName>
    <definedName name="AvCEDamages">'Discount Rates &amp; Assumptions'!$K$35</definedName>
    <definedName name="AvFloodDamages">'Discount Rates &amp; Assumptions'!$K$32</definedName>
    <definedName name="BenefitsApportioned?" localSheetId="4">'Sensitivity 1'!#REF!</definedName>
    <definedName name="BenefitsApportioned?" localSheetId="5">'Sensitivity 2'!#REF!</definedName>
    <definedName name="BenefitsApportioned?" localSheetId="6">'Sensitivity 3'!#REF!</definedName>
    <definedName name="BenefitsApportioned?" localSheetId="7">'Sensitivity 4'!#REF!</definedName>
    <definedName name="BenefitsApportioned?" localSheetId="8">'Sensitivity 5'!#REF!</definedName>
    <definedName name="BenefitsApportioned?">'PF Calculator'!#REF!</definedName>
    <definedName name="by_Funding_code" localSheetId="4">#REF!</definedName>
    <definedName name="by_Funding_code" localSheetId="5">#REF!</definedName>
    <definedName name="by_Funding_code" localSheetId="6">#REF!</definedName>
    <definedName name="by_Funding_code" localSheetId="7">#REF!</definedName>
    <definedName name="by_Funding_code" localSheetId="8">#REF!</definedName>
    <definedName name="by_Funding_code">#REF!</definedName>
    <definedName name="Construction" localSheetId="4">'Sensitivity 1'!#REF!</definedName>
    <definedName name="Construction" localSheetId="5">'Sensitivity 2'!#REF!</definedName>
    <definedName name="Construction" localSheetId="6">'Sensitivity 3'!#REF!</definedName>
    <definedName name="Construction" localSheetId="7">'Sensitivity 4'!#REF!</definedName>
    <definedName name="Construction" localSheetId="8">'Sensitivity 5'!#REF!</definedName>
    <definedName name="Construction">'PF Calculator'!#REF!</definedName>
    <definedName name="Contribution" localSheetId="4">'Sensitivity 1'!#REF!</definedName>
    <definedName name="Contribution" localSheetId="5">'Sensitivity 2'!#REF!</definedName>
    <definedName name="Contribution" localSheetId="6">'Sensitivity 3'!#REF!</definedName>
    <definedName name="Contribution" localSheetId="7">'Sensitivity 4'!#REF!</definedName>
    <definedName name="Contribution" localSheetId="8">'Sensitivity 5'!#REF!</definedName>
    <definedName name="Contribution">'PF Calculator'!#REF!</definedName>
    <definedName name="ContributionsSecured" localSheetId="4">'Sensitivity 1'!#REF!</definedName>
    <definedName name="ContributionsSecured" localSheetId="5">'Sensitivity 2'!#REF!</definedName>
    <definedName name="ContributionsSecured" localSheetId="6">'Sensitivity 3'!#REF!</definedName>
    <definedName name="ContributionsSecured" localSheetId="7">'Sensitivity 4'!#REF!</definedName>
    <definedName name="ContributionsSecured" localSheetId="8">'Sensitivity 5'!#REF!</definedName>
    <definedName name="ContributionsSecured">'PF Calculator'!#REF!</definedName>
    <definedName name="CostsForApproval" localSheetId="4">'Sensitivity 1'!#REF!</definedName>
    <definedName name="CostsForApproval" localSheetId="5">'Sensitivity 2'!#REF!</definedName>
    <definedName name="CostsForApproval" localSheetId="6">'Sensitivity 3'!#REF!</definedName>
    <definedName name="CostsForApproval" localSheetId="7">'Sensitivity 4'!#REF!</definedName>
    <definedName name="CostsForApproval" localSheetId="8">'Sensitivity 5'!#REF!</definedName>
    <definedName name="CostsForApproval">'PF Calculator'!#REF!</definedName>
    <definedName name="DeprivedAreasScalar" localSheetId="4">'Discount Rates &amp; Assumptions'!#REF!</definedName>
    <definedName name="DeprivedAreasScalar" localSheetId="5">'Discount Rates &amp; Assumptions'!#REF!</definedName>
    <definedName name="DeprivedAreasScalar" localSheetId="6">'Discount Rates &amp; Assumptions'!#REF!</definedName>
    <definedName name="DeprivedAreasScalar" localSheetId="7">'Discount Rates &amp; Assumptions'!#REF!</definedName>
    <definedName name="DeprivedAreasScalar" localSheetId="8">'Discount Rates &amp; Assumptions'!#REF!</definedName>
    <definedName name="DeprivedAreasScalar">'Discount Rates &amp; Assumptions'!#REF!</definedName>
    <definedName name="DeprivedScalar20">'Discount Rates &amp; Assumptions'!$K$9</definedName>
    <definedName name="DeprivedScalar40">'Discount Rates &amp; Assumptions'!$K$10</definedName>
    <definedName name="DeprivedScalarOther">'Discount Rates &amp; Assumptions'!$K$11</definedName>
    <definedName name="Duration" localSheetId="4">'Sensitivity 1'!$H$27</definedName>
    <definedName name="Duration" localSheetId="5">'Sensitivity 2'!$H$27</definedName>
    <definedName name="Duration" localSheetId="6">'Sensitivity 3'!$H$27</definedName>
    <definedName name="Duration" localSheetId="7">'Sensitivity 4'!$H$27</definedName>
    <definedName name="Duration" localSheetId="8">'Sensitivity 5'!$H$27</definedName>
    <definedName name="Duration">'PF Calculator'!$H$27</definedName>
    <definedName name="ExtContributionRequired" localSheetId="4">'Sensitivity 1'!#REF!</definedName>
    <definedName name="ExtContributionRequired" localSheetId="5">'Sensitivity 2'!#REF!</definedName>
    <definedName name="ExtContributionRequired" localSheetId="6">'Sensitivity 3'!#REF!</definedName>
    <definedName name="ExtContributionRequired" localSheetId="7">'Sensitivity 4'!#REF!</definedName>
    <definedName name="ExtContributionRequired" localSheetId="8">'Sensitivity 5'!#REF!</definedName>
    <definedName name="ExtContributionRequired">'PF Calculator'!#REF!</definedName>
    <definedName name="FDGIAContribution" localSheetId="4">'Sensitivity 1'!#REF!</definedName>
    <definedName name="FDGIAContribution" localSheetId="5">'Sensitivity 2'!#REF!</definedName>
    <definedName name="FDGIAContribution" localSheetId="6">'Sensitivity 3'!#REF!</definedName>
    <definedName name="FDGIAContribution" localSheetId="7">'Sensitivity 4'!#REF!</definedName>
    <definedName name="FDGIAContribution" localSheetId="8">'Sensitivity 5'!#REF!</definedName>
    <definedName name="FDGIAContribution">'PF Calculator'!#REF!</definedName>
    <definedName name="fUNDING_CODE_BY_REGION" localSheetId="4">#REF!</definedName>
    <definedName name="fUNDING_CODE_BY_REGION" localSheetId="5">#REF!</definedName>
    <definedName name="fUNDING_CODE_BY_REGION" localSheetId="6">#REF!</definedName>
    <definedName name="fUNDING_CODE_BY_REGION" localSheetId="7">#REF!</definedName>
    <definedName name="fUNDING_CODE_BY_REGION" localSheetId="8">#REF!</definedName>
    <definedName name="fUNDING_CODE_BY_REGION">#REF!</definedName>
    <definedName name="Maintenance" localSheetId="4">#REF!</definedName>
    <definedName name="Maintenance" localSheetId="5">#REF!</definedName>
    <definedName name="Maintenance" localSheetId="6">#REF!</definedName>
    <definedName name="Maintenance" localSheetId="7">#REF!</definedName>
    <definedName name="Maintenance" localSheetId="8">#REF!</definedName>
    <definedName name="Maintenance">#REF!</definedName>
    <definedName name="Maintenance_Work" localSheetId="4">#REF!</definedName>
    <definedName name="Maintenance_Work" localSheetId="5">#REF!</definedName>
    <definedName name="Maintenance_Work" localSheetId="6">#REF!</definedName>
    <definedName name="Maintenance_Work" localSheetId="7">#REF!</definedName>
    <definedName name="Maintenance_Work" localSheetId="8">#REF!</definedName>
    <definedName name="Maintenance_Work">#REF!</definedName>
    <definedName name="NPPThreshold">'Discount Rates &amp; Assumptions'!$J$42</definedName>
    <definedName name="Ops_Delivery" localSheetId="4">#REF!</definedName>
    <definedName name="Ops_Delivery" localSheetId="5">#REF!</definedName>
    <definedName name="Ops_Delivery" localSheetId="6">#REF!</definedName>
    <definedName name="Ops_Delivery" localSheetId="7">#REF!</definedName>
    <definedName name="Ops_Delivery" localSheetId="8">#REF!</definedName>
    <definedName name="Ops_Delivery">#REF!</definedName>
    <definedName name="_xlnm.Print_Area" localSheetId="2">'Discount Rates &amp; Assumptions'!$F$1:$Q$43</definedName>
    <definedName name="_xlnm.Print_Titles" localSheetId="0">'PF Calculator'!#REF!</definedName>
    <definedName name="_xlnm.Print_Titles" localSheetId="4">'Sensitivity 1'!#REF!</definedName>
    <definedName name="_xlnm.Print_Titles" localSheetId="5">'Sensitivity 2'!#REF!</definedName>
    <definedName name="_xlnm.Print_Titles" localSheetId="6">'Sensitivity 3'!#REF!</definedName>
    <definedName name="_xlnm.Print_Titles" localSheetId="7">'Sensitivity 4'!#REF!</definedName>
    <definedName name="_xlnm.Print_Titles" localSheetId="8">'Sensitivity 5'!#REF!</definedName>
    <definedName name="PVWLBs" localSheetId="4">'Sensitivity 1'!#REF!</definedName>
    <definedName name="PVWLBs" localSheetId="5">'Sensitivity 2'!#REF!</definedName>
    <definedName name="PVWLBs" localSheetId="6">'Sensitivity 3'!#REF!</definedName>
    <definedName name="PVWLBs" localSheetId="7">'Sensitivity 4'!#REF!</definedName>
    <definedName name="PVWLBs" localSheetId="8">'Sensitivity 5'!#REF!</definedName>
    <definedName name="PVWLBs">'PF Calculator'!#REF!</definedName>
    <definedName name="PVWLCs" localSheetId="4">'Sensitivity 1'!#REF!</definedName>
    <definedName name="PVWLCs" localSheetId="5">'Sensitivity 2'!#REF!</definedName>
    <definedName name="PVWLCs" localSheetId="6">'Sensitivity 3'!#REF!</definedName>
    <definedName name="PVWLCs" localSheetId="7">'Sensitivity 4'!#REF!</definedName>
    <definedName name="PVWLCs" localSheetId="8">'Sensitivity 5'!#REF!</definedName>
    <definedName name="PVWLCs">'PF Calculator'!#REF!</definedName>
    <definedName name="RawOMScore" localSheetId="4">'Sensitivity 1'!$H$15</definedName>
    <definedName name="RawOMScore" localSheetId="5">'Sensitivity 2'!$H$15</definedName>
    <definedName name="RawOMScore" localSheetId="6">'Sensitivity 3'!$H$15</definedName>
    <definedName name="RawOMScore" localSheetId="7">'Sensitivity 4'!$H$15</definedName>
    <definedName name="RawOMScore" localSheetId="8">'Sensitivity 5'!$H$15</definedName>
    <definedName name="RawOMScore">'PF Calculator'!$H$15</definedName>
    <definedName name="REV_BID_v_ALLOC" localSheetId="4">#REF!</definedName>
    <definedName name="REV_BID_v_ALLOC" localSheetId="5">#REF!</definedName>
    <definedName name="REV_BID_v_ALLOC" localSheetId="6">#REF!</definedName>
    <definedName name="REV_BID_v_ALLOC" localSheetId="7">#REF!</definedName>
    <definedName name="REV_BID_v_ALLOC" localSheetId="8">#REF!</definedName>
    <definedName name="REV_BID_v_ALLOC">#REF!</definedName>
    <definedName name="RPThreshold">'Discount Rates &amp; Assumptions'!$J$43</definedName>
    <definedName name="SL_50" localSheetId="4">#REF!</definedName>
    <definedName name="SL_50" localSheetId="5">#REF!</definedName>
    <definedName name="SL_50" localSheetId="6">#REF!</definedName>
    <definedName name="SL_50" localSheetId="7">#REF!</definedName>
    <definedName name="SL_50" localSheetId="8">#REF!</definedName>
    <definedName name="SL_50">#REF!</definedName>
    <definedName name="SLs_by_RFDC" localSheetId="4">#REF!</definedName>
    <definedName name="SLs_by_RFDC" localSheetId="5">#REF!</definedName>
    <definedName name="SLs_by_RFDC" localSheetId="6">#REF!</definedName>
    <definedName name="SLs_by_RFDC" localSheetId="7">#REF!</definedName>
    <definedName name="SLs_by_RFDC" localSheetId="8">#REF!</definedName>
    <definedName name="SLs_by_RFDC">#REF!</definedName>
    <definedName name="SUMMARY_by_SLs" localSheetId="4">#REF!</definedName>
    <definedName name="SUMMARY_by_SLs" localSheetId="5">#REF!</definedName>
    <definedName name="SUMMARY_by_SLs" localSheetId="6">#REF!</definedName>
    <definedName name="SUMMARY_by_SLs" localSheetId="7">#REF!</definedName>
    <definedName name="SUMMARY_by_SLs" localSheetId="8">#REF!</definedName>
    <definedName name="SUMMARY_by_SLs">#REF!</definedName>
    <definedName name="TargetBCRWLBs">'Discount Rates &amp; Assumptions'!$K$6</definedName>
    <definedName name="TargetMinBCR">'Discount Rates &amp; Assumptions'!$K$5</definedName>
    <definedName name="Total_Allocation" localSheetId="4">#REF!</definedName>
    <definedName name="Total_Allocation" localSheetId="5">#REF!</definedName>
    <definedName name="Total_Allocation" localSheetId="6">#REF!</definedName>
    <definedName name="Total_Allocation" localSheetId="7">#REF!</definedName>
    <definedName name="Total_Allocation" localSheetId="8">#REF!</definedName>
    <definedName name="Total_Allocation">#REF!</definedName>
    <definedName name="wages_freq_int_rec" localSheetId="4">#REF!</definedName>
    <definedName name="wages_freq_int_rec" localSheetId="5">#REF!</definedName>
    <definedName name="wages_freq_int_rec" localSheetId="6">#REF!</definedName>
    <definedName name="wages_freq_int_rec" localSheetId="7">#REF!</definedName>
    <definedName name="wages_freq_int_rec" localSheetId="8">#REF!</definedName>
    <definedName name="wages_freq_int_rec">#REF!</definedName>
  </definedNames>
  <calcPr calcId="152511"/>
</workbook>
</file>

<file path=xl/calcChain.xml><?xml version="1.0" encoding="utf-8"?>
<calcChain xmlns="http://schemas.openxmlformats.org/spreadsheetml/2006/main">
  <c r="H29" i="8" l="1"/>
  <c r="H33" i="8" l="1"/>
  <c r="F53" i="8"/>
  <c r="G53" i="8"/>
  <c r="E53" i="8" l="1"/>
  <c r="J40" i="8" l="1"/>
  <c r="H34" i="8" l="1"/>
  <c r="B112" i="31"/>
  <c r="B111" i="31"/>
  <c r="B110" i="31"/>
  <c r="B109" i="31"/>
  <c r="B108" i="31"/>
  <c r="B107" i="31"/>
  <c r="B106" i="31"/>
  <c r="B105" i="31"/>
  <c r="B104" i="31"/>
  <c r="B103" i="31"/>
  <c r="B102" i="31"/>
  <c r="B101" i="31"/>
  <c r="B100" i="31"/>
  <c r="B99" i="31"/>
  <c r="B98" i="31"/>
  <c r="B97" i="31"/>
  <c r="B96" i="31"/>
  <c r="B95" i="31"/>
  <c r="B94" i="31"/>
  <c r="B93" i="31"/>
  <c r="B92" i="31"/>
  <c r="B91" i="31"/>
  <c r="B90" i="31"/>
  <c r="B89" i="31"/>
  <c r="B88" i="31"/>
  <c r="B87" i="31"/>
  <c r="B86" i="31"/>
  <c r="B85" i="31"/>
  <c r="B84" i="31"/>
  <c r="B83" i="31"/>
  <c r="B82" i="31"/>
  <c r="B81" i="31"/>
  <c r="B80" i="31"/>
  <c r="B79" i="31"/>
  <c r="B78" i="31"/>
  <c r="B77" i="31"/>
  <c r="B76" i="31"/>
  <c r="B75" i="31"/>
  <c r="B74" i="31"/>
  <c r="B73" i="31"/>
  <c r="B72" i="31"/>
  <c r="B71" i="31"/>
  <c r="B70" i="31"/>
  <c r="B69" i="31"/>
  <c r="B68" i="31"/>
  <c r="B67" i="31"/>
  <c r="B66" i="31"/>
  <c r="B65" i="31"/>
  <c r="B64" i="31"/>
  <c r="B63" i="31"/>
  <c r="B62" i="31"/>
  <c r="B61" i="31"/>
  <c r="B60" i="31"/>
  <c r="B59" i="31"/>
  <c r="B58" i="31"/>
  <c r="B57" i="31"/>
  <c r="B56" i="31"/>
  <c r="B55" i="31"/>
  <c r="B54" i="31"/>
  <c r="B53" i="31"/>
  <c r="B52" i="31"/>
  <c r="B51" i="31"/>
  <c r="B50" i="31"/>
  <c r="B49" i="31"/>
  <c r="B48" i="31"/>
  <c r="B47" i="31"/>
  <c r="B46" i="31"/>
  <c r="B45" i="31"/>
  <c r="B44" i="31"/>
  <c r="B43" i="31"/>
  <c r="B42" i="31"/>
  <c r="B41" i="31"/>
  <c r="B40" i="31"/>
  <c r="B39" i="31"/>
  <c r="B38" i="31"/>
  <c r="B37" i="31"/>
  <c r="B36" i="31"/>
  <c r="B35" i="31"/>
  <c r="B34" i="31"/>
  <c r="B33" i="31"/>
  <c r="B32" i="31"/>
  <c r="B31" i="31"/>
  <c r="B30" i="31"/>
  <c r="B29" i="31"/>
  <c r="B28" i="31"/>
  <c r="B27" i="31"/>
  <c r="B26" i="31"/>
  <c r="B25" i="31"/>
  <c r="B24" i="31"/>
  <c r="B23" i="31"/>
  <c r="B22" i="31"/>
  <c r="B21" i="31"/>
  <c r="B20" i="31"/>
  <c r="B19" i="31"/>
  <c r="B18" i="31"/>
  <c r="B17" i="31"/>
  <c r="B16" i="31"/>
  <c r="B15" i="31"/>
  <c r="B14" i="31"/>
  <c r="B13" i="31"/>
  <c r="B12" i="31"/>
  <c r="H27" i="30"/>
  <c r="H27" i="29"/>
  <c r="H40" i="29"/>
  <c r="E5" i="30"/>
  <c r="J25" i="30"/>
  <c r="B14" i="30" s="1"/>
  <c r="H25" i="30"/>
  <c r="J25" i="29"/>
  <c r="B14" i="29" s="1"/>
  <c r="H25" i="29"/>
  <c r="J25" i="28"/>
  <c r="B14" i="28" s="1"/>
  <c r="H25" i="28"/>
  <c r="E5" i="29"/>
  <c r="F69" i="28"/>
  <c r="F68" i="28"/>
  <c r="F67" i="28"/>
  <c r="G69" i="28"/>
  <c r="G68" i="28"/>
  <c r="G67" i="28"/>
  <c r="C82" i="28"/>
  <c r="C81" i="28"/>
  <c r="C80" i="28"/>
  <c r="K53" i="28"/>
  <c r="J53" i="28"/>
  <c r="I53" i="28"/>
  <c r="K52" i="28"/>
  <c r="J52" i="28"/>
  <c r="I52" i="28"/>
  <c r="K51" i="28"/>
  <c r="J51" i="28"/>
  <c r="I51" i="28"/>
  <c r="F53" i="28"/>
  <c r="E53" i="28"/>
  <c r="F52" i="28"/>
  <c r="E52" i="28"/>
  <c r="F51" i="28"/>
  <c r="E51" i="28"/>
  <c r="G53" i="28"/>
  <c r="G52" i="28"/>
  <c r="G51" i="28"/>
  <c r="H43" i="29"/>
  <c r="H42" i="29"/>
  <c r="H41" i="29"/>
  <c r="H43" i="30"/>
  <c r="H42" i="30"/>
  <c r="H41" i="30"/>
  <c r="H40" i="30"/>
  <c r="H43" i="28"/>
  <c r="H42" i="28"/>
  <c r="H41" i="28"/>
  <c r="H40" i="28"/>
  <c r="H36" i="29"/>
  <c r="H36" i="30"/>
  <c r="H36" i="28"/>
  <c r="H33" i="29"/>
  <c r="H33" i="30"/>
  <c r="H33" i="28"/>
  <c r="H32" i="29"/>
  <c r="H32" i="30"/>
  <c r="H32" i="28"/>
  <c r="H29" i="29"/>
  <c r="H29" i="30"/>
  <c r="H29" i="28"/>
  <c r="H27" i="28"/>
  <c r="E5" i="28"/>
  <c r="C82" i="27"/>
  <c r="C81" i="27"/>
  <c r="C80" i="27"/>
  <c r="G69" i="27"/>
  <c r="F69" i="27"/>
  <c r="G68" i="27"/>
  <c r="F68" i="27"/>
  <c r="G67" i="27"/>
  <c r="F67" i="27"/>
  <c r="K53" i="27"/>
  <c r="J53" i="27"/>
  <c r="I53" i="27"/>
  <c r="K52" i="27"/>
  <c r="J52" i="27"/>
  <c r="I52" i="27"/>
  <c r="K51" i="27"/>
  <c r="J51" i="27"/>
  <c r="I51" i="27"/>
  <c r="G53" i="27"/>
  <c r="G52" i="27"/>
  <c r="G51" i="27"/>
  <c r="F53" i="27"/>
  <c r="F52" i="27"/>
  <c r="F51" i="27"/>
  <c r="E53" i="27"/>
  <c r="E52" i="27"/>
  <c r="E51" i="27"/>
  <c r="E5" i="27"/>
  <c r="H43" i="27"/>
  <c r="H42" i="27"/>
  <c r="H41" i="27"/>
  <c r="H40" i="27"/>
  <c r="H36" i="27"/>
  <c r="H33" i="27"/>
  <c r="H32" i="27"/>
  <c r="H29" i="27"/>
  <c r="H27" i="27"/>
  <c r="J25" i="27"/>
  <c r="B14" i="27" s="1"/>
  <c r="H25" i="27"/>
  <c r="F95" i="30"/>
  <c r="F94" i="30"/>
  <c r="F93" i="30"/>
  <c r="F92" i="30"/>
  <c r="F91" i="30"/>
  <c r="F90" i="30"/>
  <c r="F89" i="30"/>
  <c r="J82" i="30"/>
  <c r="N82" i="30" s="1"/>
  <c r="J81" i="30"/>
  <c r="N81" i="30" s="1"/>
  <c r="J80" i="30"/>
  <c r="N80" i="30" s="1"/>
  <c r="B75" i="30"/>
  <c r="B74" i="30"/>
  <c r="B73" i="30"/>
  <c r="N67" i="30"/>
  <c r="M67" i="30"/>
  <c r="B62" i="30"/>
  <c r="B61" i="30"/>
  <c r="B60" i="30"/>
  <c r="O53" i="30"/>
  <c r="N53" i="30"/>
  <c r="M53" i="30"/>
  <c r="O52" i="30"/>
  <c r="N52" i="30"/>
  <c r="M52" i="30"/>
  <c r="O51" i="30"/>
  <c r="N51" i="30"/>
  <c r="M51" i="30"/>
  <c r="F95" i="29"/>
  <c r="F94" i="29"/>
  <c r="F93" i="29"/>
  <c r="F92" i="29"/>
  <c r="F91" i="29"/>
  <c r="F90" i="29"/>
  <c r="F89" i="29"/>
  <c r="J82" i="29"/>
  <c r="N82" i="29" s="1"/>
  <c r="J81" i="29"/>
  <c r="N81" i="29" s="1"/>
  <c r="J80" i="29"/>
  <c r="N80" i="29" s="1"/>
  <c r="B75" i="29"/>
  <c r="B74" i="29"/>
  <c r="B73" i="29"/>
  <c r="N67" i="29"/>
  <c r="M67" i="29"/>
  <c r="B62" i="29"/>
  <c r="B61" i="29"/>
  <c r="B60" i="29"/>
  <c r="O53" i="29"/>
  <c r="N53" i="29"/>
  <c r="M53" i="29"/>
  <c r="O52" i="29"/>
  <c r="N52" i="29"/>
  <c r="M52" i="29"/>
  <c r="O51" i="29"/>
  <c r="N51" i="29"/>
  <c r="M51" i="29"/>
  <c r="F95" i="28"/>
  <c r="F94" i="28"/>
  <c r="F93" i="28"/>
  <c r="F92" i="28"/>
  <c r="F91" i="28"/>
  <c r="F90" i="28"/>
  <c r="F89" i="28"/>
  <c r="J82" i="28"/>
  <c r="J81" i="28"/>
  <c r="J80" i="28"/>
  <c r="B75" i="28"/>
  <c r="B74" i="28"/>
  <c r="B73" i="28"/>
  <c r="N67" i="28"/>
  <c r="M67" i="28"/>
  <c r="B62" i="28"/>
  <c r="B61" i="28"/>
  <c r="B60" i="28"/>
  <c r="F95" i="27"/>
  <c r="F94" i="27"/>
  <c r="F93" i="27"/>
  <c r="F92" i="27"/>
  <c r="F91" i="27"/>
  <c r="F90" i="27"/>
  <c r="F89" i="27"/>
  <c r="J82" i="27"/>
  <c r="N82" i="27" s="1"/>
  <c r="J81" i="27"/>
  <c r="J80" i="27"/>
  <c r="B75" i="27"/>
  <c r="B74" i="27"/>
  <c r="B73" i="27"/>
  <c r="N67" i="27"/>
  <c r="M67" i="27"/>
  <c r="B62" i="27"/>
  <c r="B61" i="27"/>
  <c r="B60" i="27"/>
  <c r="H29" i="26"/>
  <c r="H36" i="26"/>
  <c r="H33" i="26"/>
  <c r="H32" i="26"/>
  <c r="C82" i="26"/>
  <c r="C81" i="26"/>
  <c r="C80" i="26"/>
  <c r="G69" i="26"/>
  <c r="F69" i="26"/>
  <c r="G68" i="26"/>
  <c r="F68" i="26"/>
  <c r="G67" i="26"/>
  <c r="F67" i="26"/>
  <c r="K53" i="26"/>
  <c r="J53" i="26"/>
  <c r="I53" i="26"/>
  <c r="K52" i="26"/>
  <c r="J52" i="26"/>
  <c r="I52" i="26"/>
  <c r="K51" i="26"/>
  <c r="J51" i="26"/>
  <c r="I51" i="26"/>
  <c r="G53" i="26"/>
  <c r="G52" i="26"/>
  <c r="F53" i="26"/>
  <c r="E53" i="26"/>
  <c r="F52" i="26"/>
  <c r="E52" i="26"/>
  <c r="F51" i="26"/>
  <c r="N51" i="26" s="1"/>
  <c r="E51" i="26"/>
  <c r="G51" i="26"/>
  <c r="E5" i="26"/>
  <c r="J25" i="26"/>
  <c r="B14" i="26" s="1"/>
  <c r="H43" i="26"/>
  <c r="H42" i="26"/>
  <c r="H41" i="26"/>
  <c r="H40" i="26"/>
  <c r="H27" i="26"/>
  <c r="H25" i="26"/>
  <c r="J40" i="26" s="1"/>
  <c r="F95" i="26"/>
  <c r="F94" i="26"/>
  <c r="F93" i="26"/>
  <c r="F92" i="26"/>
  <c r="F91" i="26"/>
  <c r="F90" i="26"/>
  <c r="F89" i="26"/>
  <c r="J82" i="26"/>
  <c r="J81" i="26"/>
  <c r="J80" i="26"/>
  <c r="B75" i="26"/>
  <c r="B74" i="26"/>
  <c r="B73" i="26"/>
  <c r="N67" i="26"/>
  <c r="M67" i="26"/>
  <c r="B62" i="26"/>
  <c r="B61" i="26"/>
  <c r="B60" i="26"/>
  <c r="B14" i="8"/>
  <c r="N53" i="28" l="1"/>
  <c r="N80" i="26"/>
  <c r="N82" i="26"/>
  <c r="N80" i="28"/>
  <c r="H34" i="29"/>
  <c r="H37" i="29" s="1"/>
  <c r="N52" i="28"/>
  <c r="O51" i="26"/>
  <c r="N81" i="27"/>
  <c r="O51" i="28"/>
  <c r="N82" i="28"/>
  <c r="O53" i="28"/>
  <c r="M52" i="27"/>
  <c r="H44" i="28"/>
  <c r="N15" i="28" s="1"/>
  <c r="N83" i="29"/>
  <c r="D96" i="29" s="1"/>
  <c r="I96" i="29" s="1"/>
  <c r="N83" i="30"/>
  <c r="D96" i="30" s="1"/>
  <c r="I96" i="30" s="1"/>
  <c r="H44" i="30"/>
  <c r="N15" i="30" s="1"/>
  <c r="H44" i="29"/>
  <c r="N15" i="29" s="1"/>
  <c r="N80" i="27"/>
  <c r="H44" i="27"/>
  <c r="N15" i="27" s="1"/>
  <c r="H34" i="27"/>
  <c r="H37" i="27" s="1"/>
  <c r="N13" i="27" s="1"/>
  <c r="M53" i="27"/>
  <c r="N53" i="27"/>
  <c r="O51" i="27"/>
  <c r="O52" i="28"/>
  <c r="N51" i="28"/>
  <c r="M52" i="28"/>
  <c r="H34" i="28"/>
  <c r="H37" i="28" s="1"/>
  <c r="M51" i="28"/>
  <c r="N81" i="28"/>
  <c r="M53" i="28"/>
  <c r="H34" i="30"/>
  <c r="H37" i="30" s="1"/>
  <c r="M51" i="27"/>
  <c r="N52" i="27"/>
  <c r="O53" i="27"/>
  <c r="N51" i="27"/>
  <c r="O52" i="27"/>
  <c r="N53" i="26"/>
  <c r="H34" i="26"/>
  <c r="H37" i="26" s="1"/>
  <c r="M53" i="26"/>
  <c r="N52" i="26"/>
  <c r="M52" i="26"/>
  <c r="M51" i="26"/>
  <c r="N81" i="26"/>
  <c r="N83" i="26" s="1"/>
  <c r="D96" i="26" s="1"/>
  <c r="I96" i="26" s="1"/>
  <c r="O53" i="26"/>
  <c r="O52" i="26"/>
  <c r="C5" i="1"/>
  <c r="J82" i="8"/>
  <c r="J81" i="8"/>
  <c r="J80" i="8"/>
  <c r="N67" i="8"/>
  <c r="M67" i="8"/>
  <c r="C6" i="1" l="1"/>
  <c r="C12" i="31"/>
  <c r="F12" i="31" s="1"/>
  <c r="N83" i="27"/>
  <c r="D96" i="27" s="1"/>
  <c r="I96" i="27" s="1"/>
  <c r="N83" i="28"/>
  <c r="D96" i="28" s="1"/>
  <c r="I96" i="28" s="1"/>
  <c r="N13" i="29"/>
  <c r="N13" i="28"/>
  <c r="N13" i="30"/>
  <c r="N13" i="26"/>
  <c r="D5" i="1"/>
  <c r="D6" i="1" s="1"/>
  <c r="H44" i="8"/>
  <c r="O51" i="8"/>
  <c r="M51" i="8"/>
  <c r="N51" i="8"/>
  <c r="L20" i="1"/>
  <c r="L21" i="1"/>
  <c r="L22" i="1"/>
  <c r="L23" i="1"/>
  <c r="J26" i="1"/>
  <c r="K26" i="1"/>
  <c r="L26" i="1"/>
  <c r="M26" i="1"/>
  <c r="K27" i="1"/>
  <c r="L27" i="1"/>
  <c r="M27" i="1"/>
  <c r="L28" i="1"/>
  <c r="M28" i="1"/>
  <c r="M29" i="1"/>
  <c r="M52" i="8"/>
  <c r="N52" i="8"/>
  <c r="O52" i="8"/>
  <c r="M53" i="8"/>
  <c r="N53" i="8"/>
  <c r="O53" i="8"/>
  <c r="B60" i="8"/>
  <c r="B61" i="8"/>
  <c r="B62" i="8"/>
  <c r="B73" i="8"/>
  <c r="B74" i="8"/>
  <c r="B75" i="8"/>
  <c r="N80" i="8"/>
  <c r="N81" i="8"/>
  <c r="N82" i="8"/>
  <c r="F89" i="8"/>
  <c r="F90" i="8"/>
  <c r="F91" i="8"/>
  <c r="F92" i="8"/>
  <c r="F93" i="8"/>
  <c r="F94" i="8"/>
  <c r="F95" i="8"/>
  <c r="N57" i="30" l="1"/>
  <c r="N57" i="29"/>
  <c r="N57" i="28"/>
  <c r="N57" i="27"/>
  <c r="N57" i="26"/>
  <c r="O57" i="8"/>
  <c r="O57" i="26"/>
  <c r="O57" i="30"/>
  <c r="O57" i="28"/>
  <c r="O57" i="27"/>
  <c r="O57" i="29"/>
  <c r="M57" i="8"/>
  <c r="M57" i="30"/>
  <c r="M57" i="27"/>
  <c r="M57" i="26"/>
  <c r="M57" i="29"/>
  <c r="M57" i="28"/>
  <c r="C7" i="1"/>
  <c r="C13" i="31"/>
  <c r="F13" i="31" s="1"/>
  <c r="N15" i="8"/>
  <c r="N83" i="8"/>
  <c r="D96" i="8" s="1"/>
  <c r="I96" i="8" s="1"/>
  <c r="N57" i="8"/>
  <c r="F61" i="8" s="1"/>
  <c r="O26" i="1"/>
  <c r="F62" i="28" l="1"/>
  <c r="F61" i="28"/>
  <c r="F60" i="28"/>
  <c r="F61" i="26"/>
  <c r="F60" i="26"/>
  <c r="F62" i="26"/>
  <c r="C8" i="1"/>
  <c r="C14" i="31"/>
  <c r="F14" i="31" s="1"/>
  <c r="F62" i="27"/>
  <c r="F61" i="27"/>
  <c r="F60" i="27"/>
  <c r="D7" i="1"/>
  <c r="D8" i="1" s="1"/>
  <c r="F61" i="30"/>
  <c r="F60" i="30"/>
  <c r="F62" i="30"/>
  <c r="F61" i="29"/>
  <c r="F62" i="29"/>
  <c r="F60" i="29"/>
  <c r="F62" i="8"/>
  <c r="J61" i="8"/>
  <c r="F60" i="8"/>
  <c r="J60" i="30" l="1"/>
  <c r="J62" i="29"/>
  <c r="J61" i="30"/>
  <c r="J62" i="27"/>
  <c r="J60" i="26"/>
  <c r="J61" i="29"/>
  <c r="J61" i="26"/>
  <c r="J62" i="30"/>
  <c r="J60" i="27"/>
  <c r="C9" i="1"/>
  <c r="C15" i="31"/>
  <c r="F15" i="31" s="1"/>
  <c r="J60" i="28"/>
  <c r="J60" i="29"/>
  <c r="J61" i="27"/>
  <c r="J62" i="26"/>
  <c r="J61" i="28"/>
  <c r="J62" i="28"/>
  <c r="J62" i="8"/>
  <c r="J60" i="8"/>
  <c r="C10" i="1" l="1"/>
  <c r="C16" i="31"/>
  <c r="F16" i="31" s="1"/>
  <c r="D9" i="1"/>
  <c r="D10" i="1" l="1"/>
  <c r="C11" i="1"/>
  <c r="C17" i="31"/>
  <c r="F17" i="31" s="1"/>
  <c r="C12" i="1" l="1"/>
  <c r="C18" i="31"/>
  <c r="F18" i="31" s="1"/>
  <c r="D11" i="1"/>
  <c r="D12" i="1" l="1"/>
  <c r="C13" i="1"/>
  <c r="C19" i="31"/>
  <c r="F19" i="31" s="1"/>
  <c r="C14" i="1" l="1"/>
  <c r="C20" i="31"/>
  <c r="F20" i="31" s="1"/>
  <c r="D13" i="1"/>
  <c r="J40" i="27"/>
  <c r="D14" i="1" l="1"/>
  <c r="C15" i="1"/>
  <c r="C21" i="31"/>
  <c r="F21" i="31" s="1"/>
  <c r="J40" i="30"/>
  <c r="J40" i="29"/>
  <c r="C16" i="1" l="1"/>
  <c r="C22" i="31"/>
  <c r="F22" i="31" s="1"/>
  <c r="D15" i="1"/>
  <c r="J40" i="28"/>
  <c r="C17" i="1" l="1"/>
  <c r="C23" i="31"/>
  <c r="F23" i="31" s="1"/>
  <c r="D16" i="1"/>
  <c r="H37" i="8"/>
  <c r="N13" i="8" s="1"/>
  <c r="C18" i="1" l="1"/>
  <c r="C24" i="31"/>
  <c r="F24" i="31" s="1"/>
  <c r="D17" i="1"/>
  <c r="C19" i="1" l="1"/>
  <c r="C25" i="31"/>
  <c r="F25" i="31" s="1"/>
  <c r="D18" i="1"/>
  <c r="C20" i="1" l="1"/>
  <c r="C26" i="31"/>
  <c r="F26" i="31" s="1"/>
  <c r="D19" i="1"/>
  <c r="C21" i="1" l="1"/>
  <c r="C27" i="31"/>
  <c r="F27" i="31" s="1"/>
  <c r="D20" i="1"/>
  <c r="C22" i="1" l="1"/>
  <c r="C28" i="31"/>
  <c r="F28" i="31" s="1"/>
  <c r="D21" i="1"/>
  <c r="C23" i="1" l="1"/>
  <c r="C29" i="31"/>
  <c r="F29" i="31" s="1"/>
  <c r="D22" i="1"/>
  <c r="C24" i="1" l="1"/>
  <c r="C30" i="31"/>
  <c r="F30" i="31" s="1"/>
  <c r="D23" i="1"/>
  <c r="C25" i="1" l="1"/>
  <c r="C31" i="31"/>
  <c r="F31" i="31" s="1"/>
  <c r="D24" i="1"/>
  <c r="C26" i="1" l="1"/>
  <c r="C32" i="31"/>
  <c r="F32" i="31" s="1"/>
  <c r="N69" i="29"/>
  <c r="N69" i="28"/>
  <c r="N69" i="26"/>
  <c r="N69" i="30"/>
  <c r="N69" i="27"/>
  <c r="N69" i="8"/>
  <c r="D25" i="1"/>
  <c r="D26" i="1" s="1"/>
  <c r="C27" i="1" l="1"/>
  <c r="D27" i="1" s="1"/>
  <c r="C33" i="31"/>
  <c r="F33" i="31" s="1"/>
  <c r="C28" i="1" l="1"/>
  <c r="D28" i="1" s="1"/>
  <c r="C34" i="31"/>
  <c r="F34" i="31" s="1"/>
  <c r="C29" i="1" l="1"/>
  <c r="D29" i="1" s="1"/>
  <c r="C35" i="31"/>
  <c r="F35" i="31" s="1"/>
  <c r="C30" i="1" l="1"/>
  <c r="D30" i="1" s="1"/>
  <c r="C36" i="31"/>
  <c r="F36" i="31" s="1"/>
  <c r="C31" i="1" l="1"/>
  <c r="D31" i="1" s="1"/>
  <c r="C37" i="31"/>
  <c r="F37" i="31" s="1"/>
  <c r="C32" i="1" l="1"/>
  <c r="D32" i="1" s="1"/>
  <c r="C38" i="31"/>
  <c r="F38" i="31" s="1"/>
  <c r="C33" i="1" l="1"/>
  <c r="D33" i="1" s="1"/>
  <c r="C39" i="31"/>
  <c r="F39" i="31" s="1"/>
  <c r="C34" i="1" l="1"/>
  <c r="D34" i="1" s="1"/>
  <c r="C40" i="31"/>
  <c r="F40" i="31" s="1"/>
  <c r="C35" i="1" l="1"/>
  <c r="D35" i="1" s="1"/>
  <c r="C41" i="31"/>
  <c r="F41" i="31" s="1"/>
  <c r="C36" i="1" l="1"/>
  <c r="C42" i="31"/>
  <c r="F42" i="31" s="1"/>
  <c r="C37" i="1" l="1"/>
  <c r="C43" i="31"/>
  <c r="F43" i="31" s="1"/>
  <c r="D36" i="1"/>
  <c r="D37" i="1" s="1"/>
  <c r="C38" i="1" l="1"/>
  <c r="C44" i="31"/>
  <c r="F44" i="31" s="1"/>
  <c r="C39" i="1" l="1"/>
  <c r="C45" i="31"/>
  <c r="F45" i="31" s="1"/>
  <c r="D38" i="1"/>
  <c r="D39" i="1" s="1"/>
  <c r="C40" i="1" l="1"/>
  <c r="C46" i="31"/>
  <c r="F46" i="31" s="1"/>
  <c r="C41" i="1" l="1"/>
  <c r="C47" i="31"/>
  <c r="F47" i="31" s="1"/>
  <c r="D40" i="1"/>
  <c r="D41" i="1" s="1"/>
  <c r="C42" i="1" l="1"/>
  <c r="C48" i="31"/>
  <c r="F48" i="31" s="1"/>
  <c r="C43" i="1" l="1"/>
  <c r="C49" i="31"/>
  <c r="F49" i="31" s="1"/>
  <c r="D42" i="1"/>
  <c r="D43" i="1" s="1"/>
  <c r="C44" i="1" l="1"/>
  <c r="C50" i="31"/>
  <c r="F50" i="31" s="1"/>
  <c r="C45" i="1" l="1"/>
  <c r="C51" i="31"/>
  <c r="F51" i="31" s="1"/>
  <c r="D44" i="1"/>
  <c r="D45" i="1" s="1"/>
  <c r="C46" i="1" l="1"/>
  <c r="C52" i="31"/>
  <c r="F52" i="31" s="1"/>
  <c r="C47" i="1" l="1"/>
  <c r="C53" i="31"/>
  <c r="F53" i="31" s="1"/>
  <c r="D46" i="1"/>
  <c r="D47" i="1" s="1"/>
  <c r="C48" i="1" l="1"/>
  <c r="D48" i="1" s="1"/>
  <c r="C54" i="31"/>
  <c r="F54" i="31" s="1"/>
  <c r="D49" i="1" l="1"/>
  <c r="C49" i="1"/>
  <c r="C55" i="31"/>
  <c r="F55" i="31" s="1"/>
  <c r="D50" i="1" l="1"/>
  <c r="C50" i="1"/>
  <c r="C56" i="31"/>
  <c r="F56" i="31" s="1"/>
  <c r="D51" i="1" l="1"/>
  <c r="C51" i="1"/>
  <c r="C57" i="31"/>
  <c r="F57" i="31" s="1"/>
  <c r="C52" i="1" l="1"/>
  <c r="D52" i="1" s="1"/>
  <c r="C58" i="31"/>
  <c r="F58" i="31" s="1"/>
  <c r="D53" i="1" l="1"/>
  <c r="C53" i="1"/>
  <c r="C59" i="31"/>
  <c r="F59" i="31" s="1"/>
  <c r="D54" i="1" l="1"/>
  <c r="C54" i="1"/>
  <c r="C60" i="31"/>
  <c r="F60" i="31" s="1"/>
  <c r="D55" i="1" l="1"/>
  <c r="C55" i="1"/>
  <c r="C61" i="31"/>
  <c r="F61" i="31" s="1"/>
  <c r="D56" i="1" l="1"/>
  <c r="C56" i="1"/>
  <c r="C62" i="31"/>
  <c r="F62" i="31" s="1"/>
  <c r="M69" i="26"/>
  <c r="M69" i="28"/>
  <c r="M69" i="27"/>
  <c r="M69" i="30"/>
  <c r="M69" i="29"/>
  <c r="M69" i="8"/>
  <c r="F75" i="8" l="1"/>
  <c r="F73" i="8"/>
  <c r="F74" i="8"/>
  <c r="F75" i="29"/>
  <c r="F74" i="29"/>
  <c r="F73" i="29"/>
  <c r="F73" i="26"/>
  <c r="F75" i="26"/>
  <c r="F74" i="26"/>
  <c r="F75" i="30"/>
  <c r="F74" i="30"/>
  <c r="F73" i="30"/>
  <c r="F74" i="27"/>
  <c r="F75" i="27"/>
  <c r="F73" i="27"/>
  <c r="C57" i="1"/>
  <c r="D57" i="1" s="1"/>
  <c r="C63" i="31"/>
  <c r="F63" i="31" s="1"/>
  <c r="F75" i="28"/>
  <c r="F73" i="28"/>
  <c r="F74" i="28"/>
  <c r="J73" i="27" l="1"/>
  <c r="J73" i="26"/>
  <c r="J75" i="28"/>
  <c r="J75" i="27"/>
  <c r="J73" i="29"/>
  <c r="J73" i="8"/>
  <c r="J74" i="27"/>
  <c r="J74" i="26"/>
  <c r="J75" i="8"/>
  <c r="J74" i="28"/>
  <c r="C58" i="1"/>
  <c r="C64" i="31"/>
  <c r="F64" i="31" s="1"/>
  <c r="J73" i="30"/>
  <c r="J75" i="26"/>
  <c r="J75" i="29"/>
  <c r="J73" i="28"/>
  <c r="J74" i="30"/>
  <c r="J74" i="8"/>
  <c r="J75" i="30"/>
  <c r="J74" i="29"/>
  <c r="C59" i="1" l="1"/>
  <c r="C65" i="31"/>
  <c r="F65" i="31" s="1"/>
  <c r="D58" i="1"/>
  <c r="D59" i="1" l="1"/>
  <c r="D60" i="1"/>
  <c r="C60" i="1"/>
  <c r="C66" i="31"/>
  <c r="F66" i="31" s="1"/>
  <c r="C61" i="1" l="1"/>
  <c r="C67" i="31"/>
  <c r="F67" i="31" s="1"/>
  <c r="C62" i="1" l="1"/>
  <c r="C68" i="31"/>
  <c r="F68" i="31" s="1"/>
  <c r="D61" i="1"/>
  <c r="D62" i="1" l="1"/>
  <c r="C63" i="1"/>
  <c r="C69" i="31"/>
  <c r="F69" i="31" s="1"/>
  <c r="C64" i="1" l="1"/>
  <c r="C70" i="31"/>
  <c r="F70" i="31" s="1"/>
  <c r="D63" i="1"/>
  <c r="D64" i="1" s="1"/>
  <c r="C65" i="1" l="1"/>
  <c r="C71" i="31"/>
  <c r="F71" i="31" s="1"/>
  <c r="C66" i="1" l="1"/>
  <c r="C72" i="31"/>
  <c r="F72" i="31" s="1"/>
  <c r="D65" i="1"/>
  <c r="D66" i="1" l="1"/>
  <c r="C67" i="1"/>
  <c r="D67" i="1" s="1"/>
  <c r="C73" i="31"/>
  <c r="F73" i="31" s="1"/>
  <c r="C68" i="1" l="1"/>
  <c r="D68" i="1" s="1"/>
  <c r="C74" i="31"/>
  <c r="F74" i="31" s="1"/>
  <c r="D69" i="1" l="1"/>
  <c r="C69" i="1"/>
  <c r="C75" i="31"/>
  <c r="F75" i="31" s="1"/>
  <c r="C70" i="1" l="1"/>
  <c r="D70" i="1" s="1"/>
  <c r="C76" i="31"/>
  <c r="F76" i="31" s="1"/>
  <c r="D71" i="1" l="1"/>
  <c r="C71" i="1"/>
  <c r="C77" i="31"/>
  <c r="F77" i="31" s="1"/>
  <c r="C72" i="1" l="1"/>
  <c r="C78" i="31"/>
  <c r="F78" i="31" s="1"/>
  <c r="D72" i="1"/>
  <c r="D73" i="1" l="1"/>
  <c r="C73" i="1"/>
  <c r="C79" i="31"/>
  <c r="F79" i="31" s="1"/>
  <c r="C74" i="1" l="1"/>
  <c r="C80" i="31"/>
  <c r="F80" i="31" s="1"/>
  <c r="C75" i="1" l="1"/>
  <c r="C81" i="31"/>
  <c r="F81" i="31" s="1"/>
  <c r="D74" i="1"/>
  <c r="C76" i="1" l="1"/>
  <c r="C82" i="31"/>
  <c r="F82" i="31" s="1"/>
  <c r="D75" i="1"/>
  <c r="C77" i="1" l="1"/>
  <c r="C83" i="31"/>
  <c r="F83" i="31" s="1"/>
  <c r="D76" i="1"/>
  <c r="D77" i="1" l="1"/>
  <c r="N62" i="29"/>
  <c r="D92" i="29" s="1"/>
  <c r="I92" i="29" s="1"/>
  <c r="N61" i="29"/>
  <c r="D91" i="29" s="1"/>
  <c r="I91" i="29" s="1"/>
  <c r="N60" i="29"/>
  <c r="D90" i="29" s="1"/>
  <c r="N73" i="29"/>
  <c r="D93" i="29" s="1"/>
  <c r="I93" i="29" s="1"/>
  <c r="N74" i="29"/>
  <c r="D94" i="29" s="1"/>
  <c r="I94" i="29" s="1"/>
  <c r="N75" i="29"/>
  <c r="D95" i="29" s="1"/>
  <c r="I95" i="29" s="1"/>
  <c r="C78" i="1"/>
  <c r="C84" i="31"/>
  <c r="F84" i="31" s="1"/>
  <c r="I90" i="29" l="1"/>
  <c r="D89" i="29"/>
  <c r="C79" i="1"/>
  <c r="C85" i="31"/>
  <c r="F85" i="31" s="1"/>
  <c r="D78" i="1"/>
  <c r="D97" i="29" l="1"/>
  <c r="I89" i="29"/>
  <c r="I97" i="29" s="1"/>
  <c r="H15" i="29" s="1"/>
  <c r="D79" i="1"/>
  <c r="C80" i="1"/>
  <c r="C86" i="31"/>
  <c r="F86" i="31" s="1"/>
  <c r="I107" i="8" l="1"/>
  <c r="H19" i="29"/>
  <c r="H21" i="29" s="1"/>
  <c r="N14" i="29" s="1"/>
  <c r="H17" i="29"/>
  <c r="C81" i="1"/>
  <c r="C87" i="31"/>
  <c r="F87" i="31" s="1"/>
  <c r="D80" i="1"/>
  <c r="B45" i="29" l="1"/>
  <c r="J107" i="8"/>
  <c r="D81" i="1"/>
  <c r="N60" i="30"/>
  <c r="D90" i="30" s="1"/>
  <c r="N61" i="30"/>
  <c r="D91" i="30" s="1"/>
  <c r="I91" i="30" s="1"/>
  <c r="N62" i="30"/>
  <c r="D92" i="30" s="1"/>
  <c r="I92" i="30" s="1"/>
  <c r="N74" i="30"/>
  <c r="D94" i="30" s="1"/>
  <c r="I94" i="30" s="1"/>
  <c r="N73" i="30"/>
  <c r="D93" i="30" s="1"/>
  <c r="I93" i="30" s="1"/>
  <c r="N75" i="30"/>
  <c r="D95" i="30" s="1"/>
  <c r="I95" i="30" s="1"/>
  <c r="C82" i="1"/>
  <c r="C88" i="31"/>
  <c r="F88" i="31" s="1"/>
  <c r="C83" i="1" l="1"/>
  <c r="C89" i="31"/>
  <c r="F89" i="31" s="1"/>
  <c r="I90" i="30"/>
  <c r="D89" i="30"/>
  <c r="D82" i="1"/>
  <c r="D83" i="1" s="1"/>
  <c r="D97" i="30" l="1"/>
  <c r="I89" i="30"/>
  <c r="I97" i="30" s="1"/>
  <c r="H15" i="30" s="1"/>
  <c r="C84" i="1"/>
  <c r="C90" i="31"/>
  <c r="F90" i="31" s="1"/>
  <c r="I108" i="8" l="1"/>
  <c r="H19" i="30"/>
  <c r="H21" i="30" s="1"/>
  <c r="N14" i="30" s="1"/>
  <c r="H17" i="30"/>
  <c r="C85" i="1"/>
  <c r="C91" i="31"/>
  <c r="F91" i="31" s="1"/>
  <c r="D84" i="1"/>
  <c r="C86" i="1" l="1"/>
  <c r="C92" i="31"/>
  <c r="F92" i="31" s="1"/>
  <c r="B45" i="30"/>
  <c r="J108" i="8"/>
  <c r="D85" i="1"/>
  <c r="D86" i="1" s="1"/>
  <c r="C87" i="1" l="1"/>
  <c r="D87" i="1" s="1"/>
  <c r="C93" i="31"/>
  <c r="F93" i="31" s="1"/>
  <c r="C88" i="1" l="1"/>
  <c r="C94" i="31"/>
  <c r="F94" i="31" s="1"/>
  <c r="C89" i="1" l="1"/>
  <c r="C95" i="31"/>
  <c r="F95" i="31" s="1"/>
  <c r="D88" i="1"/>
  <c r="D89" i="1" l="1"/>
  <c r="C90" i="1"/>
  <c r="C96" i="31"/>
  <c r="F96" i="31" s="1"/>
  <c r="C91" i="1" l="1"/>
  <c r="C97" i="31"/>
  <c r="F97" i="31" s="1"/>
  <c r="D90" i="1"/>
  <c r="D91" i="1" l="1"/>
  <c r="C92" i="1"/>
  <c r="C98" i="31"/>
  <c r="F98" i="31" s="1"/>
  <c r="C93" i="1" l="1"/>
  <c r="C99" i="31"/>
  <c r="F99" i="31" s="1"/>
  <c r="D92" i="1"/>
  <c r="D93" i="1" l="1"/>
  <c r="C94" i="1"/>
  <c r="C100" i="31"/>
  <c r="F100" i="31" s="1"/>
  <c r="C95" i="1" l="1"/>
  <c r="C101" i="31"/>
  <c r="F101" i="31" s="1"/>
  <c r="D94" i="1"/>
  <c r="D95" i="1" s="1"/>
  <c r="C96" i="1" l="1"/>
  <c r="C102" i="31"/>
  <c r="F102" i="31" s="1"/>
  <c r="C97" i="1" l="1"/>
  <c r="C103" i="31"/>
  <c r="F103" i="31" s="1"/>
  <c r="D96" i="1"/>
  <c r="D97" i="1" l="1"/>
  <c r="C98" i="1"/>
  <c r="C104" i="31"/>
  <c r="F104" i="31" s="1"/>
  <c r="C99" i="1" l="1"/>
  <c r="C105" i="31"/>
  <c r="F105" i="31" s="1"/>
  <c r="D98" i="1"/>
  <c r="D99" i="1" l="1"/>
  <c r="C100" i="1"/>
  <c r="C106" i="31"/>
  <c r="F106" i="31" s="1"/>
  <c r="C101" i="1" l="1"/>
  <c r="C107" i="31"/>
  <c r="F107" i="31" s="1"/>
  <c r="D100" i="1"/>
  <c r="D101" i="1" s="1"/>
  <c r="C102" i="1" l="1"/>
  <c r="C108" i="31"/>
  <c r="F108" i="31" s="1"/>
  <c r="C103" i="1" l="1"/>
  <c r="C109" i="31"/>
  <c r="F109" i="31" s="1"/>
  <c r="D102" i="1"/>
  <c r="D103" i="1" l="1"/>
  <c r="C104" i="1"/>
  <c r="C110" i="31"/>
  <c r="F110" i="31" s="1"/>
  <c r="C105" i="1" l="1"/>
  <c r="C112" i="31" s="1"/>
  <c r="F112" i="31" s="1"/>
  <c r="C111" i="31"/>
  <c r="F111" i="31" s="1"/>
  <c r="D104" i="1"/>
  <c r="D105" i="1" l="1"/>
  <c r="N62" i="28"/>
  <c r="D92" i="28" s="1"/>
  <c r="I92" i="28" s="1"/>
  <c r="N61" i="28"/>
  <c r="D91" i="28" s="1"/>
  <c r="I91" i="28" s="1"/>
  <c r="N60" i="27"/>
  <c r="D90" i="27" s="1"/>
  <c r="N60" i="28"/>
  <c r="D90" i="28" s="1"/>
  <c r="N61" i="27"/>
  <c r="D91" i="27" s="1"/>
  <c r="I91" i="27" s="1"/>
  <c r="N61" i="8"/>
  <c r="D91" i="8" s="1"/>
  <c r="I91" i="8" s="1"/>
  <c r="N60" i="26"/>
  <c r="D90" i="26" s="1"/>
  <c r="N61" i="26"/>
  <c r="D91" i="26" s="1"/>
  <c r="I91" i="26" s="1"/>
  <c r="N62" i="8"/>
  <c r="D92" i="8" s="1"/>
  <c r="I92" i="8" s="1"/>
  <c r="N62" i="27"/>
  <c r="D92" i="27" s="1"/>
  <c r="I92" i="27" s="1"/>
  <c r="N62" i="26"/>
  <c r="D92" i="26" s="1"/>
  <c r="I92" i="26" s="1"/>
  <c r="N60" i="8"/>
  <c r="D90" i="8" s="1"/>
  <c r="N75" i="28"/>
  <c r="D95" i="28" s="1"/>
  <c r="I95" i="28" s="1"/>
  <c r="N74" i="27"/>
  <c r="D94" i="27" s="1"/>
  <c r="I94" i="27" s="1"/>
  <c r="N74" i="8"/>
  <c r="D94" i="8" s="1"/>
  <c r="I94" i="8" s="1"/>
  <c r="N73" i="26"/>
  <c r="D93" i="26" s="1"/>
  <c r="I93" i="26" s="1"/>
  <c r="N73" i="8"/>
  <c r="D93" i="8" s="1"/>
  <c r="I93" i="8" s="1"/>
  <c r="N74" i="28"/>
  <c r="D94" i="28" s="1"/>
  <c r="I94" i="28" s="1"/>
  <c r="N74" i="26"/>
  <c r="D94" i="26" s="1"/>
  <c r="I94" i="26" s="1"/>
  <c r="N73" i="27"/>
  <c r="D93" i="27" s="1"/>
  <c r="I93" i="27" s="1"/>
  <c r="N75" i="8"/>
  <c r="D95" i="8" s="1"/>
  <c r="I95" i="8" s="1"/>
  <c r="N75" i="26"/>
  <c r="D95" i="26" s="1"/>
  <c r="I95" i="26" s="1"/>
  <c r="N75" i="27"/>
  <c r="D95" i="27" s="1"/>
  <c r="I95" i="27" s="1"/>
  <c r="N73" i="28"/>
  <c r="D93" i="28" s="1"/>
  <c r="I93" i="28" s="1"/>
  <c r="F11" i="31"/>
  <c r="I90" i="8" l="1"/>
  <c r="D89" i="8"/>
  <c r="I90" i="28"/>
  <c r="D89" i="28"/>
  <c r="I90" i="26"/>
  <c r="D89" i="26"/>
  <c r="I90" i="27"/>
  <c r="D89" i="27"/>
  <c r="D97" i="27" l="1"/>
  <c r="I89" i="27"/>
  <c r="I97" i="27" s="1"/>
  <c r="H15" i="27" s="1"/>
  <c r="I89" i="28"/>
  <c r="I97" i="28" s="1"/>
  <c r="H15" i="28" s="1"/>
  <c r="D97" i="28"/>
  <c r="I89" i="26"/>
  <c r="I97" i="26" s="1"/>
  <c r="H15" i="26" s="1"/>
  <c r="D97" i="26"/>
  <c r="I89" i="8"/>
  <c r="I97" i="8" s="1"/>
  <c r="H15" i="8" s="1"/>
  <c r="D97" i="8"/>
  <c r="H17" i="8" l="1"/>
  <c r="H19" i="8"/>
  <c r="H21" i="8" s="1"/>
  <c r="N14" i="8" s="1"/>
  <c r="I103" i="8"/>
  <c r="I106" i="8"/>
  <c r="H19" i="28"/>
  <c r="H21" i="28" s="1"/>
  <c r="N14" i="28" s="1"/>
  <c r="H17" i="28"/>
  <c r="I105" i="8"/>
  <c r="H19" i="27"/>
  <c r="H21" i="27" s="1"/>
  <c r="N14" i="27" s="1"/>
  <c r="H17" i="27"/>
  <c r="I104" i="8"/>
  <c r="H17" i="26"/>
  <c r="J104" i="8" l="1"/>
  <c r="H44" i="26"/>
  <c r="B45" i="28"/>
  <c r="J106" i="8"/>
  <c r="J105" i="8"/>
  <c r="B45" i="27"/>
  <c r="B45" i="8"/>
  <c r="J103" i="8"/>
  <c r="B45" i="26" l="1"/>
  <c r="N15" i="26"/>
  <c r="H19" i="26"/>
  <c r="H21" i="26" s="1"/>
  <c r="N14" i="26" s="1"/>
</calcChain>
</file>

<file path=xl/comments1.xml><?xml version="1.0" encoding="utf-8"?>
<comments xmlns="http://schemas.openxmlformats.org/spreadsheetml/2006/main">
  <authors>
    <author>Daniel Johns</author>
  </authors>
  <commentList>
    <comment ref="B4" authorId="0" shapeId="0">
      <text>
        <r>
          <rPr>
            <b/>
            <sz val="9"/>
            <color indexed="81"/>
            <rFont val="Tahoma"/>
            <family val="2"/>
          </rPr>
          <t>EA:</t>
        </r>
        <r>
          <rPr>
            <sz val="9"/>
            <color indexed="81"/>
            <rFont val="Tahoma"/>
            <family val="2"/>
          </rPr>
          <t xml:space="preserve">
based on HM Treasury Green Book, Annex 6 - Long-term discount rates</t>
        </r>
      </text>
    </comment>
  </commentList>
</comments>
</file>

<file path=xl/sharedStrings.xml><?xml version="1.0" encoding="utf-8"?>
<sst xmlns="http://schemas.openxmlformats.org/spreadsheetml/2006/main" count="1036" uniqueCount="224">
  <si>
    <t>OM3</t>
  </si>
  <si>
    <t>OM2</t>
  </si>
  <si>
    <t>OM1</t>
  </si>
  <si>
    <t>OM4</t>
  </si>
  <si>
    <t>OM4b</t>
  </si>
  <si>
    <t>National Priority Programme threshold</t>
  </si>
  <si>
    <t>Regional Programme threshold</t>
  </si>
  <si>
    <t>Total</t>
  </si>
  <si>
    <t>years</t>
  </si>
  <si>
    <t>PV Whole-Life Benefits:</t>
  </si>
  <si>
    <t>Kilometres of protected river improved</t>
  </si>
  <si>
    <t>Hectares of net intertidal habitat created</t>
  </si>
  <si>
    <t>Hectares of net water-dependent habitat created</t>
  </si>
  <si>
    <t>Key</t>
  </si>
  <si>
    <t>Input cells</t>
  </si>
  <si>
    <t>Calculated cells</t>
  </si>
  <si>
    <t>Effective return to taxpayer:</t>
  </si>
  <si>
    <t>to 1</t>
  </si>
  <si>
    <t>Effective return to area:</t>
  </si>
  <si>
    <t>Before</t>
  </si>
  <si>
    <t>21-40% most deprived areas</t>
  </si>
  <si>
    <t>20% most deprived areas</t>
  </si>
  <si>
    <t>60% least deprived areas</t>
  </si>
  <si>
    <t>Very</t>
  </si>
  <si>
    <t>significant</t>
  </si>
  <si>
    <t>risk</t>
  </si>
  <si>
    <t>Significant risk</t>
  </si>
  <si>
    <t>Significant</t>
  </si>
  <si>
    <t>Moderate</t>
  </si>
  <si>
    <t>After</t>
  </si>
  <si>
    <t>Number of households in:</t>
  </si>
  <si>
    <t>At:</t>
  </si>
  <si>
    <t>Scalar for payment levels:</t>
  </si>
  <si>
    <t>in 21-40% most deprived areas</t>
  </si>
  <si>
    <t>in 60% least deprived areas</t>
  </si>
  <si>
    <t>in 20% most deprived areas</t>
  </si>
  <si>
    <t>Target Benefit to Cost Ratio (BCR):</t>
  </si>
  <si>
    <t>Household damages</t>
  </si>
  <si>
    <t>Other whole-life benefits</t>
  </si>
  <si>
    <t>Very significant risk</t>
  </si>
  <si>
    <t>Moderate risk</t>
  </si>
  <si>
    <t>Low risk</t>
  </si>
  <si>
    <t>1 in</t>
  </si>
  <si>
    <t>Annual household benefit from protecting against coastal erosion</t>
  </si>
  <si>
    <t>Assumed timescale for loss under a 'do nothing' scenario:</t>
  </si>
  <si>
    <t>Medium-term loss (&lt;=20 years):</t>
  </si>
  <si>
    <t>Longer-term loss (&gt;20 years):</t>
  </si>
  <si>
    <t>th year</t>
  </si>
  <si>
    <t>Assumptions used in determining payment levels</t>
  </si>
  <si>
    <t>Assumptions used for flood alleviation</t>
  </si>
  <si>
    <t>Assumptions used in programme delivery</t>
  </si>
  <si>
    <t>To:</t>
  </si>
  <si>
    <t>Moving a household from:</t>
  </si>
  <si>
    <t>Assumptions used for protection against coastal erosion</t>
  </si>
  <si>
    <t>Change due to scheme</t>
  </si>
  <si>
    <t>Annual damages avoided</t>
  </si>
  <si>
    <t>Per year</t>
  </si>
  <si>
    <t>Change in household damages, in:</t>
  </si>
  <si>
    <t>Discount rates</t>
  </si>
  <si>
    <t>Year</t>
  </si>
  <si>
    <t>Rate applied</t>
  </si>
  <si>
    <t>Index</t>
  </si>
  <si>
    <t>Cumulative</t>
  </si>
  <si>
    <t>Over lifetime of scheme</t>
  </si>
  <si>
    <t>Medium-term loss</t>
  </si>
  <si>
    <t>Long-term loss</t>
  </si>
  <si>
    <t>Damages per household avoided:</t>
  </si>
  <si>
    <t>Loss expected in</t>
  </si>
  <si>
    <t>OM4a</t>
  </si>
  <si>
    <t>OM4c</t>
  </si>
  <si>
    <t>Payments under:</t>
  </si>
  <si>
    <t>Payment rate:</t>
  </si>
  <si>
    <t>Payments for statutory environmental obligations</t>
  </si>
  <si>
    <t>Over lifetime of scheme:</t>
  </si>
  <si>
    <t>OM2 (20%)</t>
  </si>
  <si>
    <t>OM2 (21-40%)</t>
  </si>
  <si>
    <t>OM3 (20%)</t>
  </si>
  <si>
    <t>OM3 (21-40%)</t>
  </si>
  <si>
    <t>Qual. benefits (discounted):</t>
  </si>
  <si>
    <t>Qual. benefits (discounted)</t>
  </si>
  <si>
    <t>21-40%</t>
  </si>
  <si>
    <t>p in the £1</t>
  </si>
  <si>
    <t>FDGiA contribution:</t>
  </si>
  <si>
    <t>OM, deprivation:</t>
  </si>
  <si>
    <t>20% most</t>
  </si>
  <si>
    <t>per km of protected river improved</t>
  </si>
  <si>
    <t>per hectare of intertidal habitat created</t>
  </si>
  <si>
    <t>per hectare of water-dependent habitat created</t>
  </si>
  <si>
    <t>Least 60%</t>
  </si>
  <si>
    <t>Assumed benefits per unit:</t>
  </si>
  <si>
    <t>OM2 (60%)</t>
  </si>
  <si>
    <t>OM3 (60%)</t>
  </si>
  <si>
    <t>Qual. benefits:</t>
  </si>
  <si>
    <t>END OF WORKSHEET</t>
  </si>
  <si>
    <t>What this means for relative weights applied to household outcomes</t>
  </si>
  <si>
    <t>Present value of Year 1 loss (i.e. first year damages, discounted based on when loss is expected)</t>
  </si>
  <si>
    <t>Year 1 loss avoided:</t>
  </si>
  <si>
    <t>1. Scheme details</t>
  </si>
  <si>
    <t>2. Qualifying benefits under Outcome Measure 2: households better protected against flood risk</t>
  </si>
  <si>
    <t>3. Qualifying benefits under Outcome Measure 3: households better protected against coastal erosion</t>
  </si>
  <si>
    <t>4. Qualifying benefits under Outcome Measure 4: statutory environmental obligations met</t>
  </si>
  <si>
    <t>Scheme Benefit to Cost Ratio:</t>
  </si>
  <si>
    <t>5. Qualifying benefits arising from the overall scheme, for entry into the Medium-Term Plan</t>
  </si>
  <si>
    <t>Annual damages avoided, compared with a household at low risk</t>
  </si>
  <si>
    <r>
      <t>Sensitivity Testing.</t>
    </r>
    <r>
      <rPr>
        <i/>
        <sz val="12"/>
        <color indexed="8"/>
        <rFont val="Arial"/>
        <family val="2"/>
      </rPr>
      <t xml:space="preserve"> </t>
    </r>
    <r>
      <rPr>
        <i/>
        <sz val="10"/>
        <color indexed="8"/>
        <rFont val="Arial"/>
        <family val="2"/>
      </rPr>
      <t>It is important that users of this calculator appreciate the implications on funding from changes to input data which may become</t>
    </r>
  </si>
  <si>
    <t>necessary as the project develops and better information is available. Three typical tests are provided below.  Users should consider how appropriate these are to</t>
  </si>
  <si>
    <r>
      <t xml:space="preserve">Assumed likelihood of flooding </t>
    </r>
    <r>
      <rPr>
        <i/>
        <sz val="12"/>
        <color indexed="8"/>
        <rFont val="Arial"/>
        <family val="2"/>
      </rPr>
      <t>within</t>
    </r>
    <r>
      <rPr>
        <sz val="12"/>
        <color theme="1"/>
        <rFont val="Arial"/>
        <family val="2"/>
      </rPr>
      <t xml:space="preserve"> each flood risk band:</t>
    </r>
  </si>
  <si>
    <t>(&gt;=5%)</t>
  </si>
  <si>
    <t>(&lt;5% to &gt;1.3%)</t>
  </si>
  <si>
    <t>(1.3% to &gt;0.5%)</t>
  </si>
  <si>
    <t>(&lt;=0.5%)</t>
  </si>
  <si>
    <t>their project, what other tests may be appropriate and how best to use the information with all those that may be involved in the project.</t>
  </si>
  <si>
    <t>Updates and version control</t>
  </si>
  <si>
    <t>Version</t>
  </si>
  <si>
    <t>Explanation of changes from last version</t>
  </si>
  <si>
    <t>File name</t>
  </si>
  <si>
    <t>Release date</t>
  </si>
  <si>
    <t>FDGiA Calculator v2</t>
  </si>
  <si>
    <t>FDGiA Calculator v3</t>
  </si>
  <si>
    <t>** Original calculator **</t>
  </si>
  <si>
    <t>The original FDGiA calculator was issued on 27th May 2011 as file FDGiA Calculator v2.xls.  It is provided as an aid to those involved in FCRM projects and may require periodic update based upon feedback from users.  All official updates are presented here with an explanation of the changes made.</t>
  </si>
  <si>
    <t>1.  Change relating to FDGiA payment for houshold resilience measures - where household resilience measures alone are proposed for small scale application it may not be cost effective to determine bespoke present value whole life benefit(s) for the house(s) being considered.  When no benefit figure is entered into the Calculator, cell D17, this version defaults to zero against the qualifying benefits for OM1 in cell C64.  This avoids a negative figure that otherwise understates the value of the resulting FDGiA payment.  If a bespoke figure is available and entered into the calculation then it will be used in the payment calculation instead of the default.
2.  Slight error corrected in the calcualtion of Discount Rates</t>
  </si>
  <si>
    <t>PV Appraisal Costs</t>
  </si>
  <si>
    <t>PV Total Whole-Life Costs:</t>
  </si>
  <si>
    <t>PV Local Levy secured to date</t>
  </si>
  <si>
    <t>PV Public Contributions secured to date</t>
  </si>
  <si>
    <t>PV Private Contributions secured to date</t>
  </si>
  <si>
    <t>PV Funding form other Environment Agency functions/sources secured to date</t>
  </si>
  <si>
    <t>PV Total Contributions secured to date</t>
  </si>
  <si>
    <t>Duration of Benefits (years)</t>
  </si>
  <si>
    <t>PV design &amp; Construction Costs</t>
  </si>
  <si>
    <t>PV Post-Construction Costs</t>
  </si>
  <si>
    <t>Average Flood Damages per House</t>
  </si>
  <si>
    <t>k</t>
  </si>
  <si>
    <t>Risk Management Authority type of asset maintainer</t>
  </si>
  <si>
    <t>Figures in Blue to be entered onto MTP</t>
  </si>
  <si>
    <t>SUMMARY: prospect of FDGiA funding</t>
  </si>
  <si>
    <t>Raw Score</t>
  </si>
  <si>
    <t>Project Name</t>
  </si>
  <si>
    <t>Unique Project Reference</t>
  </si>
  <si>
    <t>Adjusted Partnership Funding Score (PF)</t>
  </si>
  <si>
    <t>Maximum for Outcomes delivered</t>
  </si>
  <si>
    <t>Auto populated cells</t>
  </si>
  <si>
    <t>Sensitivity 2 - Change in OM2 - 50% of households in Very Significant (Before) risk may already be in Significant Risk band</t>
  </si>
  <si>
    <t>Test 2 - Change in OM2 - 50% of households in Very Significant (Before) risk already in Significant Risk band</t>
  </si>
  <si>
    <t>Test 1 - Change in PV Whole Life Cost (25% increase)</t>
  </si>
  <si>
    <t>Test 3 - Change in OM3 - 50% of households in Medium Term loss (Before) may already be in Long Term loss</t>
  </si>
  <si>
    <t>Test 4 - Increase Duration of Benefits by 25%</t>
  </si>
  <si>
    <t>Sensitivity 4 - Increase Duration of Benefits by 25%</t>
  </si>
  <si>
    <t>Sensitivity 5 - Reduce Duration of Benefits by 25%</t>
  </si>
  <si>
    <t>Sensitivity 1 - Change in PV Whole Life Cost (25% increase)</t>
  </si>
  <si>
    <t>Sensitivity 3 - Change in OM3 - 50% of households in Medium Term loss (Before) may already be in Long Term loss</t>
  </si>
  <si>
    <t>Test 5 - Reduce Duration of Benefits by 25%</t>
  </si>
  <si>
    <t>\z\z</t>
  </si>
  <si>
    <t>2013/14</t>
  </si>
  <si>
    <t>2013_14_PF_Calculator</t>
  </si>
  <si>
    <t>1. Additiponal cells provided to give greater definition to inputs for PV Costs and PV Contributions.
2. Calculation of FDGiA contribution towards scheme refined to automatically included effects of not taking a strategic approach and capping at scheme value.
3. Graph added
4. Two additional Sensitivity Tests added for 'duration of benefits'.</t>
  </si>
  <si>
    <t xml:space="preserve">External Contribution or saving required to achieve an Adjusted Score of 100% </t>
  </si>
  <si>
    <t>PV Costs</t>
  </si>
  <si>
    <t>PV Contributions secured to date</t>
  </si>
  <si>
    <t>Raw Partnership Funding Score</t>
  </si>
  <si>
    <t>Sub Total - PV Cost for Approval (appraisal,design,construction)</t>
  </si>
  <si>
    <t>PV FDGiA towards the up-front costs of this scheme (Cost for Approval)</t>
  </si>
  <si>
    <t>Version 4 March 2013</t>
  </si>
  <si>
    <t>All costs and benefits must be on a Present Value (PV) Whole-Life basis over the Duration of Benefits period. Where Contributions are identified these should also be on a Present Values.</t>
  </si>
  <si>
    <t>(1)</t>
  </si>
  <si>
    <t>(2)</t>
  </si>
  <si>
    <t>(3)</t>
  </si>
  <si>
    <t>(4)</t>
  </si>
  <si>
    <t>(5)</t>
  </si>
  <si>
    <t>(7)</t>
  </si>
  <si>
    <t>(8)</t>
  </si>
  <si>
    <t>(9)</t>
  </si>
  <si>
    <t>(10)</t>
  </si>
  <si>
    <t>(11)</t>
  </si>
  <si>
    <t>(12)</t>
  </si>
  <si>
    <t>(13)</t>
  </si>
  <si>
    <t>(14)</t>
  </si>
  <si>
    <t>(15)</t>
  </si>
  <si>
    <t>(16)</t>
  </si>
  <si>
    <t>(17)</t>
  </si>
  <si>
    <t>(18)</t>
  </si>
  <si>
    <t>(6)</t>
  </si>
  <si>
    <t>Is evidence available that a Strategic Approach has been taken, and that double counting of benefits has been avoided ?</t>
  </si>
  <si>
    <t xml:space="preserve">FCRM Partnership Funding Calculator for FDGiA v4.0 </t>
  </si>
  <si>
    <t>1. Revised presentation of figures to clarify how much FDGiA and contributions are required given which Risk Management Authority will be maintain assets in future.
2. Graph removed for simplicity</t>
  </si>
  <si>
    <t>Cell (2) shows the minimum amount of contributions and/or reductions in scheme cost that are required to raise the Adjusted PF Score to at least 100%. Further increases on this will improve this schemes chances of an FDGiA allocation in the desired year. Savings and contributions should be entered into cells(9,10,12) and cells(14-17).</t>
  </si>
  <si>
    <t>The total value of any necessary contributions will differ whether maintenance is at the EA's expense funded through revenue FDGiA or by other means.</t>
  </si>
  <si>
    <t>All figures are in 'thousands of pounds' (£k)</t>
  </si>
  <si>
    <t>FCRM Partnership Funding Calculator for Flood Defence Grant in Aid (FDGiA)</t>
  </si>
  <si>
    <t>Cell (2) shows the minimum amount of contributions and/or reductions in scheme cost that are required to raise the Adjusted PF Score to at least 100%. Further increases on this will improve this schemes chances of an FDGiA allocation in the desired year. Planned savings and contributions should be entered into cells(9,10,12) and cells(14-17).</t>
  </si>
  <si>
    <t>Auoto populated cells</t>
  </si>
  <si>
    <t>Contribution for 100% Score
(£k)</t>
  </si>
  <si>
    <r>
      <t>Sensitivity Testing.</t>
    </r>
    <r>
      <rPr>
        <i/>
        <sz val="12"/>
        <color indexed="8"/>
        <rFont val="Arial"/>
        <family val="2"/>
      </rPr>
      <t xml:space="preserve"> </t>
    </r>
    <r>
      <rPr>
        <i/>
        <sz val="10"/>
        <color indexed="8"/>
        <rFont val="Arial"/>
        <family val="2"/>
      </rPr>
      <t>It is important that users of this calculator appreciate the implications on funding from changes to input data which may become necessary as the project develops and better information is available. Five typical tests are provided below.  Users should consider how appropriate these are to their project, what other tests may be appropriate and how best to use the information with all those that may be involved in the project.</t>
    </r>
  </si>
  <si>
    <t>As scenario above</t>
  </si>
  <si>
    <t>Discount Rate</t>
  </si>
  <si>
    <t>Present Value calculator</t>
  </si>
  <si>
    <t>Cash Sum
(£)</t>
  </si>
  <si>
    <t>Present Value of Cash Sums
(£)</t>
  </si>
  <si>
    <t>This sheet will determine the PRESENT VALUE of a future cash sum, or series of cash sums.  In particular it can help by calculating the Present Value of future Costs or Contributions needed for the PF calculator.  
It is provided as an aid only and is standalone from the calculator sheet. It is anticipated that its main use will be for finding the Present value of, say, a cash contribution provided in Year 3 or the Present Value of an annual cost of £x over a 20-year period. More complex Present Value calculations may be needed at particular times in the development of an FCRM scheme but these are better done as part of the economic appraisal.</t>
  </si>
  <si>
    <t>Total Present Value</t>
  </si>
  <si>
    <t>Enter your cash sum in column D and it's Total PESENT VALUE will be shown in cell F11</t>
  </si>
  <si>
    <t>FCRM GiA contribution:</t>
  </si>
  <si>
    <t>SUMMARY: prospect of FCRM GiA funding</t>
  </si>
  <si>
    <t>PV FCRM GiA towards the up-front costs of this scheme (Cost for Approval)</t>
  </si>
  <si>
    <t xml:space="preserve">FCRM Partnership Funding Calculator for FCRM GiA v5 </t>
  </si>
  <si>
    <t>25/03/2013 ??</t>
  </si>
  <si>
    <t>FDGiA changed to FCRM GiA on PF Calculator tab (only)</t>
  </si>
  <si>
    <t>FCRM Partnership Funding Calculator for Flood and Coastal Erosion Risk Management Grant in Aid (FCRM GiA)</t>
  </si>
  <si>
    <t>Cell (2) shows the minimum amount of contributions and/or reductions in scheme cost that are required to raise the Adjusted PF Score to at least 100%. Further increases on this will improve this scheme's chances of an FCRM GiA allocation in the desired year. Planned savings and contributions should be entered into cells(9,10,12) and cells(14-17).</t>
  </si>
  <si>
    <t>All costs and benefits must be on a Present Value (PV) Whole-Life basis over the Duration of Benefits period. Where Contributions are identified these should also be on a Present Value basis.</t>
  </si>
  <si>
    <t>FCRM Partnership Funding Calculator for FCRM GiA v6</t>
  </si>
  <si>
    <t>Slight textural changes for clarity</t>
  </si>
  <si>
    <t>The total value of any necessary contributions will depend on whether maintenance (ongoing costs) is funded through revenue FCRM GiA, or by other means.</t>
  </si>
  <si>
    <t>FCRM Partnership Funding Calculator for FCRM GiA v7</t>
  </si>
  <si>
    <t>Cell H19, PF Score, amend reference to cell I15 to H15.</t>
  </si>
  <si>
    <t>Version 7 April 2013</t>
  </si>
  <si>
    <t>LIT 8073</t>
  </si>
  <si>
    <t>Wrington</t>
  </si>
  <si>
    <t>WXC006F/000A/109A</t>
  </si>
  <si>
    <t>LA</t>
  </si>
  <si>
    <t>Yes</t>
  </si>
  <si>
    <t>model</t>
  </si>
  <si>
    <t>significant risk</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</si>
</sst>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1" formatCode="_-* #,##0_-;\-* #,##0_-;_-* &quot;-&quot;_-;_-@_-"/>
    <numFmt numFmtId="44" formatCode="_-&quot;£&quot;* #,##0.00_-;\-&quot;£&quot;* #,##0.00_-;_-&quot;£&quot;* &quot;-&quot;??_-;_-@_-"/>
    <numFmt numFmtId="43" formatCode="_-* #,##0.00_-;\-* #,##0.00_-;_-* &quot;-&quot;??_-;_-@_-"/>
    <numFmt numFmtId="164" formatCode="_-* #,##0_-;\-* #,##0_-;_-* &quot;-&quot;??_-;_-@_-"/>
    <numFmt numFmtId="165" formatCode="0.0"/>
    <numFmt numFmtId="166" formatCode="0.0000"/>
    <numFmt numFmtId="167" formatCode="_-&quot;£&quot;* #,##0_-;\-&quot;£&quot;* #,##0_-;_-&quot;£&quot;* &quot;-&quot;??_-;_-@_-"/>
    <numFmt numFmtId="168" formatCode="_-[$£-809]* #,##0_-;\-[$£-809]* #,##0_-;_-[$£-809]* &quot;-&quot;??_-;_-@_-"/>
    <numFmt numFmtId="169" formatCode="#,##0_ ;[Red]\-#,##0\ "/>
    <numFmt numFmtId="170" formatCode="#,##0_ ;\-#,##0\ "/>
    <numFmt numFmtId="171" formatCode="#,##0.000_ ;\-#,##0.000\ "/>
    <numFmt numFmtId="172" formatCode="#,##0.00_ ;\-#,##0.00\ "/>
    <numFmt numFmtId="173" formatCode="#,##0.0"/>
  </numFmts>
  <fonts count="48" x14ac:knownFonts="1">
    <font>
      <sz val="12"/>
      <color theme="1"/>
      <name val="Arial"/>
      <family val="2"/>
    </font>
    <font>
      <sz val="12"/>
      <color indexed="8"/>
      <name val="Arial"/>
      <family val="2"/>
    </font>
    <font>
      <sz val="12"/>
      <name val="Arial"/>
      <family val="2"/>
    </font>
    <font>
      <u/>
      <sz val="10"/>
      <color indexed="12"/>
      <name val="Arial"/>
      <family val="2"/>
    </font>
    <font>
      <sz val="10"/>
      <name val="Arial"/>
      <family val="2"/>
    </font>
    <font>
      <sz val="10"/>
      <color indexed="8"/>
      <name val="Arial"/>
      <family val="2"/>
    </font>
    <font>
      <sz val="9"/>
      <color indexed="81"/>
      <name val="Tahoma"/>
      <family val="2"/>
    </font>
    <font>
      <b/>
      <sz val="9"/>
      <color indexed="81"/>
      <name val="Tahoma"/>
      <family val="2"/>
    </font>
    <font>
      <sz val="11"/>
      <name val="Arial"/>
      <family val="2"/>
    </font>
    <font>
      <b/>
      <sz val="12"/>
      <name val="Arial"/>
      <family val="2"/>
    </font>
    <font>
      <sz val="9"/>
      <name val="Arial"/>
      <family val="2"/>
    </font>
    <font>
      <sz val="12"/>
      <color indexed="8"/>
      <name val="Arial"/>
      <family val="2"/>
    </font>
    <font>
      <b/>
      <sz val="12"/>
      <color indexed="8"/>
      <name val="Arial"/>
      <family val="2"/>
    </font>
    <font>
      <b/>
      <i/>
      <sz val="12"/>
      <color indexed="8"/>
      <name val="Arial"/>
      <family val="2"/>
    </font>
    <font>
      <i/>
      <sz val="12"/>
      <color indexed="8"/>
      <name val="Arial"/>
      <family val="2"/>
    </font>
    <font>
      <b/>
      <i/>
      <sz val="14"/>
      <color indexed="8"/>
      <name val="Arial"/>
      <family val="2"/>
    </font>
    <font>
      <sz val="12"/>
      <color indexed="42"/>
      <name val="Arial"/>
      <family val="2"/>
    </font>
    <font>
      <sz val="11"/>
      <color indexed="8"/>
      <name val="Arial"/>
      <family val="2"/>
    </font>
    <font>
      <i/>
      <sz val="11"/>
      <color indexed="8"/>
      <name val="Arial"/>
      <family val="2"/>
    </font>
    <font>
      <sz val="10"/>
      <color indexed="8"/>
      <name val="Arial"/>
      <family val="2"/>
    </font>
    <font>
      <sz val="8"/>
      <name val="Arial"/>
      <family val="2"/>
    </font>
    <font>
      <i/>
      <sz val="10"/>
      <color indexed="8"/>
      <name val="Arial"/>
      <family val="2"/>
    </font>
    <font>
      <b/>
      <sz val="14"/>
      <color indexed="8"/>
      <name val="Arial"/>
      <family val="2"/>
    </font>
    <font>
      <sz val="12"/>
      <color indexed="8"/>
      <name val="Arial"/>
      <family val="2"/>
    </font>
    <font>
      <sz val="12"/>
      <color theme="1"/>
      <name val="Arial"/>
      <family val="2"/>
    </font>
    <font>
      <b/>
      <sz val="12"/>
      <color theme="1"/>
      <name val="Arial"/>
      <family val="2"/>
    </font>
    <font>
      <sz val="11"/>
      <color theme="1"/>
      <name val="Arial"/>
      <family val="2"/>
    </font>
    <font>
      <sz val="11"/>
      <color indexed="42"/>
      <name val="Arial"/>
      <family val="2"/>
    </font>
    <font>
      <b/>
      <sz val="11"/>
      <color theme="1"/>
      <name val="Arial"/>
      <family val="2"/>
    </font>
    <font>
      <b/>
      <sz val="11"/>
      <color indexed="8"/>
      <name val="Arial"/>
      <family val="2"/>
    </font>
    <font>
      <b/>
      <sz val="11"/>
      <name val="Arial"/>
      <family val="2"/>
    </font>
    <font>
      <b/>
      <sz val="11"/>
      <color indexed="10"/>
      <name val="Arial"/>
      <family val="2"/>
    </font>
    <font>
      <u/>
      <sz val="11"/>
      <color indexed="8"/>
      <name val="Arial"/>
      <family val="2"/>
    </font>
    <font>
      <b/>
      <sz val="16"/>
      <name val="Arial"/>
      <family val="2"/>
    </font>
    <font>
      <sz val="16"/>
      <name val="Arial"/>
      <family val="2"/>
    </font>
    <font>
      <b/>
      <sz val="11"/>
      <color rgb="FF0066FF"/>
      <name val="Arial"/>
      <family val="2"/>
    </font>
    <font>
      <b/>
      <sz val="12"/>
      <color rgb="FF0066FF"/>
      <name val="Arial"/>
      <family val="2"/>
    </font>
    <font>
      <b/>
      <u/>
      <sz val="12"/>
      <color indexed="8"/>
      <name val="Arial"/>
      <family val="2"/>
    </font>
    <font>
      <sz val="12"/>
      <color theme="9" tint="0.39997558519241921"/>
      <name val="Arial"/>
      <family val="2"/>
    </font>
    <font>
      <sz val="18"/>
      <name val="Arial"/>
      <family val="2"/>
    </font>
    <font>
      <b/>
      <sz val="11"/>
      <color rgb="FFFF0000"/>
      <name val="Arial"/>
      <family val="2"/>
    </font>
    <font>
      <i/>
      <sz val="12"/>
      <name val="Arial"/>
      <family val="2"/>
    </font>
    <font>
      <i/>
      <sz val="12"/>
      <color theme="1"/>
      <name val="Arial"/>
      <family val="2"/>
    </font>
    <font>
      <b/>
      <u/>
      <sz val="12"/>
      <name val="Arial"/>
      <family val="2"/>
    </font>
    <font>
      <u/>
      <sz val="12"/>
      <color indexed="8"/>
      <name val="Arial"/>
      <family val="2"/>
    </font>
    <font>
      <sz val="10"/>
      <color theme="1"/>
      <name val="Arial"/>
      <family val="2"/>
    </font>
    <font>
      <b/>
      <sz val="10"/>
      <color theme="1"/>
      <name val="Arial"/>
      <family val="2"/>
    </font>
    <font>
      <b/>
      <i/>
      <sz val="10"/>
      <color theme="1"/>
      <name val="Arial"/>
      <family val="2"/>
    </font>
  </fonts>
  <fills count="9">
    <fill>
      <patternFill patternType="none"/>
    </fill>
    <fill>
      <patternFill patternType="gray125"/>
    </fill>
    <fill>
      <patternFill patternType="solid">
        <fgColor indexed="42"/>
        <bgColor indexed="64"/>
      </patternFill>
    </fill>
    <fill>
      <patternFill patternType="solid">
        <fgColor indexed="47"/>
        <bgColor indexed="64"/>
      </patternFill>
    </fill>
    <fill>
      <patternFill patternType="solid">
        <fgColor indexed="9"/>
        <bgColor indexed="64"/>
      </patternFill>
    </fill>
    <fill>
      <patternFill patternType="solid">
        <fgColor theme="9" tint="0.39997558519241921"/>
        <bgColor indexed="64"/>
      </patternFill>
    </fill>
    <fill>
      <patternFill patternType="solid">
        <fgColor rgb="FFCCFFCC"/>
        <bgColor indexed="64"/>
      </patternFill>
    </fill>
    <fill>
      <patternFill patternType="solid">
        <fgColor theme="0"/>
        <bgColor indexed="64"/>
      </patternFill>
    </fill>
    <fill>
      <patternFill patternType="solid">
        <fgColor rgb="FFFFFF00"/>
        <bgColor indexed="64"/>
      </patternFill>
    </fill>
  </fills>
  <borders count="16">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19">
    <xf numFmtId="0" fontId="0" fillId="0" borderId="0"/>
    <xf numFmtId="0" fontId="2" fillId="0" borderId="0"/>
    <xf numFmtId="43" fontId="11" fillId="0" borderId="0" applyFont="0" applyFill="0" applyBorder="0" applyAlignment="0" applyProtection="0"/>
    <xf numFmtId="43" fontId="2" fillId="0" borderId="0" applyFont="0" applyFill="0" applyBorder="0" applyAlignment="0" applyProtection="0"/>
    <xf numFmtId="43"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0" fontId="3" fillId="0" borderId="0" applyNumberFormat="0" applyFill="0" applyBorder="0" applyAlignment="0" applyProtection="0">
      <alignment vertical="top"/>
      <protection locked="0"/>
    </xf>
    <xf numFmtId="0" fontId="4" fillId="0" borderId="0"/>
    <xf numFmtId="0" fontId="24" fillId="0" borderId="0"/>
    <xf numFmtId="0" fontId="5" fillId="0" borderId="0"/>
    <xf numFmtId="9" fontId="11" fillId="0" borderId="0" applyFont="0" applyFill="0" applyBorder="0" applyAlignment="0" applyProtection="0"/>
    <xf numFmtId="9" fontId="4"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317">
    <xf numFmtId="0" fontId="0" fillId="0" borderId="0" xfId="0"/>
    <xf numFmtId="0" fontId="13" fillId="2" borderId="0" xfId="0" applyFont="1" applyFill="1"/>
    <xf numFmtId="0" fontId="0" fillId="2" borderId="0" xfId="0" applyFill="1"/>
    <xf numFmtId="0" fontId="14" fillId="2" borderId="0" xfId="0" applyFont="1" applyFill="1"/>
    <xf numFmtId="0" fontId="0" fillId="2" borderId="0" xfId="0" applyFill="1" applyBorder="1"/>
    <xf numFmtId="0" fontId="15" fillId="2" borderId="0" xfId="0" applyFont="1" applyFill="1"/>
    <xf numFmtId="0" fontId="0" fillId="2" borderId="0" xfId="0" applyFill="1" applyAlignment="1">
      <alignment horizontal="right"/>
    </xf>
    <xf numFmtId="0" fontId="14" fillId="2" borderId="0" xfId="0" applyFont="1" applyFill="1" applyAlignment="1">
      <alignment horizontal="right"/>
    </xf>
    <xf numFmtId="0" fontId="12" fillId="2" borderId="0" xfId="0" applyFont="1" applyFill="1"/>
    <xf numFmtId="0" fontId="0" fillId="2" borderId="0" xfId="0" applyFill="1" applyAlignment="1">
      <alignment horizontal="center"/>
    </xf>
    <xf numFmtId="0" fontId="17" fillId="2" borderId="0" xfId="0" applyFont="1" applyFill="1" applyAlignment="1">
      <alignment horizontal="center"/>
    </xf>
    <xf numFmtId="0" fontId="17" fillId="2" borderId="0" xfId="0" applyFont="1" applyFill="1" applyAlignment="1">
      <alignment horizontal="right"/>
    </xf>
    <xf numFmtId="0" fontId="17" fillId="2" borderId="0" xfId="0" applyFont="1" applyFill="1" applyAlignment="1">
      <alignment horizontal="center" vertical="top" wrapText="1"/>
    </xf>
    <xf numFmtId="0" fontId="14" fillId="2" borderId="0" xfId="0" applyFont="1" applyFill="1" applyAlignment="1">
      <alignment horizontal="right" vertical="top" wrapText="1"/>
    </xf>
    <xf numFmtId="0" fontId="0" fillId="3" borderId="3" xfId="0" applyFill="1" applyBorder="1"/>
    <xf numFmtId="166" fontId="0" fillId="2" borderId="0" xfId="0" applyNumberFormat="1" applyFill="1"/>
    <xf numFmtId="10" fontId="0" fillId="2" borderId="0" xfId="0" applyNumberFormat="1" applyFill="1"/>
    <xf numFmtId="10" fontId="12" fillId="2" borderId="0" xfId="0" applyNumberFormat="1" applyFont="1" applyFill="1"/>
    <xf numFmtId="166" fontId="12" fillId="2" borderId="0" xfId="0" applyNumberFormat="1" applyFont="1" applyFill="1"/>
    <xf numFmtId="0" fontId="12" fillId="2" borderId="0" xfId="0" applyFont="1" applyFill="1" applyAlignment="1">
      <alignment horizontal="center"/>
    </xf>
    <xf numFmtId="167" fontId="11" fillId="3" borderId="3" xfId="5" applyNumberFormat="1" applyFont="1" applyFill="1" applyBorder="1"/>
    <xf numFmtId="168" fontId="0" fillId="3" borderId="3" xfId="0" applyNumberFormat="1" applyFill="1" applyBorder="1"/>
    <xf numFmtId="9" fontId="0" fillId="3" borderId="3" xfId="0" applyNumberFormat="1" applyFill="1" applyBorder="1"/>
    <xf numFmtId="167" fontId="11" fillId="2" borderId="0" xfId="5" applyNumberFormat="1" applyFont="1" applyFill="1" applyBorder="1"/>
    <xf numFmtId="164" fontId="19" fillId="4" borderId="3" xfId="2" applyNumberFormat="1" applyFont="1" applyFill="1" applyBorder="1" applyProtection="1">
      <protection locked="0"/>
    </xf>
    <xf numFmtId="0" fontId="0" fillId="2" borderId="0" xfId="0" applyFill="1" applyAlignment="1">
      <alignment wrapText="1"/>
    </xf>
    <xf numFmtId="0" fontId="22" fillId="2" borderId="0" xfId="0" applyFont="1" applyFill="1" applyAlignment="1">
      <alignment vertical="top"/>
    </xf>
    <xf numFmtId="0" fontId="0" fillId="2" borderId="0" xfId="0" applyFill="1" applyAlignment="1">
      <alignment vertical="top"/>
    </xf>
    <xf numFmtId="0" fontId="12" fillId="2" borderId="3" xfId="0" applyFont="1" applyFill="1" applyBorder="1" applyAlignment="1">
      <alignment horizontal="center" vertical="top"/>
    </xf>
    <xf numFmtId="0" fontId="12" fillId="2" borderId="3" xfId="0" applyFont="1" applyFill="1" applyBorder="1" applyAlignment="1">
      <alignment wrapText="1"/>
    </xf>
    <xf numFmtId="0" fontId="5" fillId="2" borderId="3" xfId="0" applyFont="1" applyFill="1" applyBorder="1" applyAlignment="1">
      <alignment horizontal="center" vertical="top"/>
    </xf>
    <xf numFmtId="14" fontId="5" fillId="2" borderId="3" xfId="0" applyNumberFormat="1" applyFont="1" applyFill="1" applyBorder="1" applyAlignment="1">
      <alignment horizontal="center" vertical="top"/>
    </xf>
    <xf numFmtId="0" fontId="5" fillId="2" borderId="3" xfId="0" applyFont="1" applyFill="1" applyBorder="1" applyAlignment="1">
      <alignment wrapText="1"/>
    </xf>
    <xf numFmtId="0" fontId="5" fillId="2" borderId="3" xfId="0" applyFont="1" applyFill="1" applyBorder="1" applyAlignment="1">
      <alignment vertical="top" wrapText="1"/>
    </xf>
    <xf numFmtId="166" fontId="14" fillId="2" borderId="0" xfId="0" applyNumberFormat="1" applyFont="1" applyFill="1"/>
    <xf numFmtId="166" fontId="0" fillId="2" borderId="0" xfId="0" applyNumberFormat="1" applyFill="1" applyBorder="1"/>
    <xf numFmtId="166" fontId="12" fillId="2" borderId="0" xfId="0" applyNumberFormat="1" applyFont="1" applyFill="1" applyBorder="1"/>
    <xf numFmtId="167" fontId="11" fillId="3" borderId="3" xfId="5" applyNumberFormat="1" applyFont="1" applyFill="1" applyBorder="1" applyAlignment="1">
      <alignment horizontal="center"/>
    </xf>
    <xf numFmtId="0" fontId="0" fillId="2" borderId="0" xfId="0" applyFill="1" applyAlignment="1">
      <alignment horizontal="left" vertical="top" wrapText="1"/>
    </xf>
    <xf numFmtId="0" fontId="25" fillId="2" borderId="0" xfId="0" applyFont="1" applyFill="1"/>
    <xf numFmtId="0" fontId="29" fillId="2" borderId="0" xfId="0" applyFont="1" applyFill="1" applyAlignment="1">
      <alignment horizontal="left" vertical="top" wrapText="1"/>
    </xf>
    <xf numFmtId="0" fontId="30" fillId="2" borderId="0" xfId="13" applyFont="1" applyFill="1" applyBorder="1" applyAlignment="1">
      <alignment horizontal="right"/>
    </xf>
    <xf numFmtId="3" fontId="29" fillId="6" borderId="0" xfId="13" applyNumberFormat="1" applyFont="1" applyFill="1" applyBorder="1" applyAlignment="1" applyProtection="1">
      <alignment horizontal="right"/>
      <protection locked="0"/>
    </xf>
    <xf numFmtId="0" fontId="0" fillId="2" borderId="0" xfId="0" applyFont="1" applyFill="1" applyBorder="1" applyAlignment="1" applyProtection="1">
      <alignment horizontal="left"/>
      <protection locked="0"/>
    </xf>
    <xf numFmtId="0" fontId="17" fillId="6" borderId="0" xfId="13" applyFont="1" applyFill="1" applyBorder="1" applyAlignment="1" applyProtection="1">
      <protection locked="0"/>
    </xf>
    <xf numFmtId="0" fontId="36" fillId="4" borderId="3" xfId="0" applyFont="1" applyFill="1" applyBorder="1" applyAlignment="1" applyProtection="1">
      <alignment horizontal="right"/>
      <protection locked="0"/>
    </xf>
    <xf numFmtId="3" fontId="2" fillId="4" borderId="3" xfId="5" applyNumberFormat="1" applyFont="1" applyFill="1" applyBorder="1" applyAlignment="1" applyProtection="1">
      <alignment horizontal="right"/>
      <protection locked="0"/>
    </xf>
    <xf numFmtId="170" fontId="2" fillId="4" borderId="3" xfId="5" applyNumberFormat="1" applyFont="1" applyFill="1" applyBorder="1" applyAlignment="1" applyProtection="1">
      <alignment horizontal="right"/>
      <protection locked="0"/>
    </xf>
    <xf numFmtId="3" fontId="0" fillId="4" borderId="3" xfId="0" applyNumberFormat="1" applyFont="1" applyFill="1" applyBorder="1" applyAlignment="1" applyProtection="1">
      <alignment horizontal="right"/>
      <protection locked="0"/>
    </xf>
    <xf numFmtId="3" fontId="36" fillId="4" borderId="3" xfId="5" applyNumberFormat="1" applyFont="1" applyFill="1" applyBorder="1" applyAlignment="1" applyProtection="1">
      <alignment horizontal="right"/>
      <protection locked="0"/>
    </xf>
    <xf numFmtId="3" fontId="0" fillId="5" borderId="3" xfId="0" applyNumberFormat="1" applyFont="1" applyFill="1" applyBorder="1" applyAlignment="1" applyProtection="1">
      <alignment horizontal="right"/>
    </xf>
    <xf numFmtId="170" fontId="36" fillId="5" borderId="3" xfId="5" applyNumberFormat="1" applyFont="1" applyFill="1" applyBorder="1" applyAlignment="1" applyProtection="1">
      <alignment horizontal="right"/>
    </xf>
    <xf numFmtId="0" fontId="0" fillId="2" borderId="0" xfId="0" applyFill="1" applyProtection="1">
      <protection locked="0"/>
    </xf>
    <xf numFmtId="0" fontId="33" fillId="6" borderId="0" xfId="13" applyFont="1" applyFill="1" applyBorder="1" applyProtection="1">
      <protection locked="0"/>
    </xf>
    <xf numFmtId="0" fontId="27" fillId="6" borderId="0" xfId="13" applyFont="1" applyFill="1" applyBorder="1" applyProtection="1">
      <protection locked="0"/>
    </xf>
    <xf numFmtId="0" fontId="16" fillId="2" borderId="0" xfId="0" applyFont="1" applyFill="1" applyProtection="1">
      <protection locked="0"/>
    </xf>
    <xf numFmtId="0" fontId="34" fillId="6" borderId="0" xfId="13" applyFont="1" applyFill="1" applyBorder="1" applyAlignment="1" applyProtection="1">
      <alignment horizontal="left"/>
      <protection locked="0"/>
    </xf>
    <xf numFmtId="0" fontId="32" fillId="6" borderId="0" xfId="13" applyFont="1" applyFill="1" applyBorder="1" applyProtection="1">
      <protection locked="0"/>
    </xf>
    <xf numFmtId="0" fontId="0" fillId="6" borderId="5" xfId="0" applyFill="1" applyBorder="1" applyAlignment="1" applyProtection="1">
      <protection locked="0"/>
    </xf>
    <xf numFmtId="0" fontId="0" fillId="6" borderId="0" xfId="0" applyFill="1" applyBorder="1" applyAlignment="1" applyProtection="1">
      <protection locked="0"/>
    </xf>
    <xf numFmtId="0" fontId="13" fillId="2" borderId="0" xfId="0" applyFont="1" applyFill="1" applyAlignment="1" applyProtection="1">
      <alignment horizontal="right"/>
      <protection locked="0"/>
    </xf>
    <xf numFmtId="0" fontId="0" fillId="6" borderId="0" xfId="0" applyFill="1" applyBorder="1" applyAlignment="1" applyProtection="1">
      <alignment horizontal="center"/>
      <protection locked="0"/>
    </xf>
    <xf numFmtId="0" fontId="0" fillId="6" borderId="0" xfId="0" applyFill="1" applyBorder="1" applyProtection="1">
      <protection locked="0"/>
    </xf>
    <xf numFmtId="0" fontId="22" fillId="6" borderId="10" xfId="0" applyFont="1" applyFill="1" applyBorder="1" applyAlignment="1" applyProtection="1">
      <alignment vertical="top" wrapText="1"/>
      <protection locked="0"/>
    </xf>
    <xf numFmtId="0" fontId="23" fillId="6" borderId="10" xfId="0" applyFont="1" applyFill="1" applyBorder="1" applyAlignment="1" applyProtection="1">
      <protection locked="0"/>
    </xf>
    <xf numFmtId="0" fontId="0" fillId="2" borderId="0" xfId="0" applyFill="1" applyBorder="1" applyProtection="1">
      <protection locked="0"/>
    </xf>
    <xf numFmtId="0" fontId="27" fillId="6" borderId="0" xfId="13" applyFont="1" applyFill="1" applyBorder="1" applyAlignment="1" applyProtection="1">
      <protection locked="0"/>
    </xf>
    <xf numFmtId="0" fontId="0" fillId="2" borderId="0" xfId="0" quotePrefix="1" applyFill="1" applyAlignment="1" applyProtection="1">
      <alignment vertical="top" wrapText="1"/>
      <protection locked="0"/>
    </xf>
    <xf numFmtId="0" fontId="35" fillId="6" borderId="0" xfId="13" applyFont="1" applyFill="1" applyBorder="1" applyAlignment="1" applyProtection="1">
      <protection locked="0"/>
    </xf>
    <xf numFmtId="0" fontId="0" fillId="2" borderId="0" xfId="0" applyFill="1" applyAlignment="1" applyProtection="1">
      <alignment horizontal="right"/>
      <protection locked="0"/>
    </xf>
    <xf numFmtId="0" fontId="29" fillId="6" borderId="0" xfId="13" applyFont="1" applyFill="1" applyBorder="1" applyAlignment="1" applyProtection="1">
      <protection locked="0"/>
    </xf>
    <xf numFmtId="0" fontId="0" fillId="2" borderId="0" xfId="0" quotePrefix="1" applyFill="1" applyProtection="1">
      <protection locked="0"/>
    </xf>
    <xf numFmtId="0" fontId="14" fillId="2" borderId="0" xfId="0" applyFont="1" applyFill="1" applyAlignment="1" applyProtection="1">
      <alignment horizontal="right"/>
      <protection locked="0"/>
    </xf>
    <xf numFmtId="0" fontId="8" fillId="6" borderId="0" xfId="13" applyFont="1" applyFill="1" applyBorder="1" applyAlignment="1" applyProtection="1">
      <protection locked="0"/>
    </xf>
    <xf numFmtId="0" fontId="31" fillId="6" borderId="0" xfId="13" applyFont="1" applyFill="1" applyBorder="1" applyAlignment="1" applyProtection="1">
      <protection locked="0"/>
    </xf>
    <xf numFmtId="0" fontId="0" fillId="2" borderId="0" xfId="0" applyFill="1" applyAlignment="1" applyProtection="1">
      <alignment horizontal="left"/>
      <protection locked="0"/>
    </xf>
    <xf numFmtId="167" fontId="12" fillId="2" borderId="0" xfId="0" applyNumberFormat="1" applyFont="1" applyFill="1" applyBorder="1" applyAlignment="1" applyProtection="1">
      <alignment horizontal="center"/>
      <protection locked="0"/>
    </xf>
    <xf numFmtId="0" fontId="0" fillId="2" borderId="10" xfId="0" applyFill="1" applyBorder="1" applyProtection="1">
      <protection locked="0"/>
    </xf>
    <xf numFmtId="0" fontId="37" fillId="2" borderId="0" xfId="0" applyFont="1" applyFill="1" applyProtection="1">
      <protection locked="0"/>
    </xf>
    <xf numFmtId="0" fontId="26" fillId="2" borderId="0" xfId="0" applyFont="1" applyFill="1" applyProtection="1">
      <protection locked="0"/>
    </xf>
    <xf numFmtId="0" fontId="35" fillId="2" borderId="0" xfId="0" applyFont="1" applyFill="1" applyProtection="1">
      <protection locked="0"/>
    </xf>
    <xf numFmtId="0" fontId="27" fillId="2" borderId="0" xfId="0" applyFont="1" applyFill="1" applyProtection="1">
      <protection locked="0"/>
    </xf>
    <xf numFmtId="0" fontId="28" fillId="2" borderId="0" xfId="0" applyFont="1" applyFill="1" applyProtection="1">
      <protection locked="0"/>
    </xf>
    <xf numFmtId="0" fontId="0" fillId="2" borderId="0" xfId="0" applyFill="1" applyAlignment="1" applyProtection="1">
      <protection locked="0"/>
    </xf>
    <xf numFmtId="0" fontId="16" fillId="2" borderId="10" xfId="0" applyFont="1" applyFill="1" applyBorder="1" applyProtection="1">
      <protection locked="0"/>
    </xf>
    <xf numFmtId="0" fontId="0" fillId="2" borderId="0" xfId="0" applyFont="1" applyFill="1" applyProtection="1">
      <protection locked="0"/>
    </xf>
    <xf numFmtId="0" fontId="0" fillId="2" borderId="0" xfId="0" applyFont="1" applyFill="1" applyAlignment="1" applyProtection="1">
      <alignment horizontal="center"/>
      <protection locked="0"/>
    </xf>
    <xf numFmtId="0" fontId="17" fillId="2" borderId="0" xfId="0" applyFont="1" applyFill="1" applyProtection="1">
      <protection locked="0"/>
    </xf>
    <xf numFmtId="0" fontId="17" fillId="2" borderId="0" xfId="0" applyFont="1" applyFill="1" applyAlignment="1" applyProtection="1">
      <alignment horizontal="center"/>
      <protection locked="0"/>
    </xf>
    <xf numFmtId="167" fontId="0" fillId="2" borderId="0" xfId="0" applyNumberFormat="1" applyFill="1" applyProtection="1">
      <protection locked="0"/>
    </xf>
    <xf numFmtId="0" fontId="9" fillId="2" borderId="0" xfId="0" applyFont="1" applyFill="1" applyAlignment="1" applyProtection="1">
      <alignment horizontal="right"/>
      <protection locked="0"/>
    </xf>
    <xf numFmtId="167" fontId="2" fillId="2" borderId="0" xfId="5" applyNumberFormat="1" applyFont="1" applyFill="1" applyBorder="1" applyAlignment="1" applyProtection="1">
      <alignment horizontal="center"/>
      <protection locked="0"/>
    </xf>
    <xf numFmtId="167" fontId="2" fillId="2" borderId="0" xfId="5" applyNumberFormat="1" applyFont="1" applyFill="1" applyBorder="1" applyAlignment="1" applyProtection="1">
      <alignment horizontal="right"/>
      <protection locked="0"/>
    </xf>
    <xf numFmtId="0" fontId="2" fillId="2" borderId="0" xfId="0" applyFont="1" applyFill="1" applyProtection="1">
      <protection locked="0"/>
    </xf>
    <xf numFmtId="0" fontId="18" fillId="2" borderId="0" xfId="0" applyFont="1" applyFill="1" applyAlignment="1" applyProtection="1">
      <alignment horizontal="right" vertical="top"/>
      <protection locked="0"/>
    </xf>
    <xf numFmtId="0" fontId="8" fillId="2" borderId="0" xfId="0" applyFont="1" applyFill="1" applyProtection="1">
      <protection locked="0"/>
    </xf>
    <xf numFmtId="0" fontId="14" fillId="2" borderId="0" xfId="0" applyFont="1" applyFill="1" applyAlignment="1" applyProtection="1">
      <alignment horizontal="right" vertical="top"/>
      <protection locked="0"/>
    </xf>
    <xf numFmtId="0" fontId="17" fillId="2" borderId="0" xfId="0" applyFont="1" applyFill="1" applyAlignment="1" applyProtection="1">
      <alignment horizontal="center" vertical="top" wrapText="1"/>
      <protection locked="0"/>
    </xf>
    <xf numFmtId="0" fontId="17" fillId="2" borderId="10" xfId="0" applyFont="1" applyFill="1" applyBorder="1" applyAlignment="1" applyProtection="1">
      <alignment horizontal="center" vertical="top" wrapText="1"/>
      <protection locked="0"/>
    </xf>
    <xf numFmtId="0" fontId="0" fillId="2" borderId="0" xfId="0" applyFill="1" applyAlignment="1" applyProtection="1">
      <alignment horizontal="left" vertical="top" wrapText="1"/>
      <protection locked="0"/>
    </xf>
    <xf numFmtId="0" fontId="0" fillId="2" borderId="0" xfId="0" applyFont="1" applyFill="1" applyBorder="1" applyAlignment="1" applyProtection="1">
      <alignment horizontal="center"/>
      <protection locked="0"/>
    </xf>
    <xf numFmtId="0" fontId="2" fillId="2" borderId="0" xfId="0" applyFont="1" applyFill="1" applyAlignment="1" applyProtection="1">
      <alignment horizontal="right"/>
      <protection locked="0"/>
    </xf>
    <xf numFmtId="0" fontId="14" fillId="2" borderId="10" xfId="0" applyFont="1" applyFill="1" applyBorder="1" applyAlignment="1" applyProtection="1">
      <alignment horizontal="right" vertical="top"/>
      <protection locked="0"/>
    </xf>
    <xf numFmtId="0" fontId="2" fillId="2" borderId="10" xfId="0" applyFont="1" applyFill="1" applyBorder="1" applyProtection="1">
      <protection locked="0"/>
    </xf>
    <xf numFmtId="0" fontId="13" fillId="2" borderId="0" xfId="0" applyFont="1" applyFill="1" applyProtection="1">
      <protection locked="0"/>
    </xf>
    <xf numFmtId="0" fontId="0" fillId="2" borderId="2" xfId="0" applyFill="1" applyBorder="1" applyProtection="1">
      <protection locked="0"/>
    </xf>
    <xf numFmtId="0" fontId="2" fillId="2" borderId="1" xfId="0" applyFont="1" applyFill="1" applyBorder="1" applyProtection="1">
      <protection locked="0"/>
    </xf>
    <xf numFmtId="43" fontId="0" fillId="2" borderId="0" xfId="0" applyNumberFormat="1" applyFill="1" applyProtection="1">
      <protection locked="0"/>
    </xf>
    <xf numFmtId="0" fontId="0" fillId="2" borderId="4" xfId="0" applyFill="1" applyBorder="1" applyProtection="1">
      <protection locked="0"/>
    </xf>
    <xf numFmtId="9" fontId="10" fillId="2" borderId="7" xfId="0" applyNumberFormat="1" applyFont="1" applyFill="1" applyBorder="1" applyAlignment="1" applyProtection="1">
      <alignment horizontal="center"/>
      <protection locked="0"/>
    </xf>
    <xf numFmtId="0" fontId="0" fillId="2" borderId="5" xfId="0" applyFill="1" applyBorder="1" applyAlignment="1" applyProtection="1">
      <alignment horizontal="center"/>
      <protection locked="0"/>
    </xf>
    <xf numFmtId="9" fontId="10" fillId="2" borderId="8" xfId="0" applyNumberFormat="1" applyFont="1" applyFill="1" applyBorder="1" applyAlignment="1" applyProtection="1">
      <alignment horizontal="center"/>
      <protection locked="0"/>
    </xf>
    <xf numFmtId="0" fontId="0" fillId="2" borderId="6" xfId="0" applyFill="1" applyBorder="1" applyAlignment="1" applyProtection="1">
      <alignment horizontal="center"/>
      <protection locked="0"/>
    </xf>
    <xf numFmtId="0" fontId="10" fillId="2" borderId="9" xfId="0" applyFont="1" applyFill="1" applyBorder="1" applyAlignment="1" applyProtection="1">
      <alignment horizontal="center"/>
      <protection locked="0"/>
    </xf>
    <xf numFmtId="0" fontId="2" fillId="2" borderId="5" xfId="0" applyFont="1" applyFill="1" applyBorder="1" applyAlignment="1" applyProtection="1">
      <alignment horizontal="center"/>
      <protection locked="0"/>
    </xf>
    <xf numFmtId="0" fontId="13" fillId="2" borderId="10" xfId="0" applyFont="1" applyFill="1" applyBorder="1" applyProtection="1">
      <protection locked="0"/>
    </xf>
    <xf numFmtId="0" fontId="5" fillId="2" borderId="0" xfId="0" applyFont="1" applyFill="1" applyProtection="1">
      <protection locked="0"/>
    </xf>
    <xf numFmtId="0" fontId="21" fillId="2" borderId="0" xfId="0" applyFont="1" applyFill="1" applyBorder="1" applyProtection="1">
      <protection locked="0"/>
    </xf>
    <xf numFmtId="0" fontId="12" fillId="2" borderId="0" xfId="0" applyFont="1" applyFill="1" applyBorder="1" applyProtection="1">
      <protection locked="0"/>
    </xf>
    <xf numFmtId="43" fontId="36" fillId="3" borderId="2" xfId="2" applyFont="1" applyFill="1" applyBorder="1" applyProtection="1"/>
    <xf numFmtId="167" fontId="0" fillId="3" borderId="1" xfId="0" applyNumberFormat="1" applyFont="1" applyFill="1" applyBorder="1" applyAlignment="1" applyProtection="1">
      <alignment horizontal="left"/>
    </xf>
    <xf numFmtId="43" fontId="12" fillId="3" borderId="2" xfId="2" applyFont="1" applyFill="1" applyBorder="1" applyProtection="1"/>
    <xf numFmtId="169" fontId="19" fillId="3" borderId="3" xfId="2" applyNumberFormat="1" applyFont="1" applyFill="1" applyBorder="1" applyProtection="1"/>
    <xf numFmtId="171" fontId="19" fillId="3" borderId="3" xfId="5" applyNumberFormat="1" applyFont="1" applyFill="1" applyBorder="1" applyProtection="1"/>
    <xf numFmtId="167" fontId="19" fillId="3" borderId="3" xfId="5" applyNumberFormat="1" applyFont="1" applyFill="1" applyBorder="1" applyProtection="1"/>
    <xf numFmtId="164" fontId="19" fillId="3" borderId="3" xfId="2" applyNumberFormat="1" applyFont="1" applyFill="1" applyBorder="1" applyAlignment="1" applyProtection="1">
      <alignment horizontal="center"/>
    </xf>
    <xf numFmtId="165" fontId="0" fillId="3" borderId="3" xfId="0" applyNumberFormat="1" applyFill="1" applyBorder="1" applyProtection="1"/>
    <xf numFmtId="0" fontId="36" fillId="8" borderId="3" xfId="0" applyFont="1" applyFill="1" applyBorder="1" applyAlignment="1" applyProtection="1">
      <alignment horizontal="right"/>
      <protection locked="0"/>
    </xf>
    <xf numFmtId="0" fontId="2" fillId="8" borderId="2" xfId="0" applyFont="1" applyFill="1" applyBorder="1" applyAlignment="1" applyProtection="1">
      <protection locked="0"/>
    </xf>
    <xf numFmtId="3" fontId="36" fillId="8" borderId="3" xfId="5" applyNumberFormat="1" applyFont="1" applyFill="1" applyBorder="1" applyAlignment="1" applyProtection="1">
      <alignment horizontal="right"/>
      <protection locked="0"/>
    </xf>
    <xf numFmtId="164" fontId="19" fillId="8" borderId="3" xfId="2" applyNumberFormat="1" applyFont="1" applyFill="1" applyBorder="1" applyProtection="1">
      <protection locked="0"/>
    </xf>
    <xf numFmtId="172" fontId="2" fillId="4" borderId="3" xfId="2" applyNumberFormat="1" applyFont="1" applyFill="1" applyBorder="1" applyProtection="1">
      <protection locked="0"/>
    </xf>
    <xf numFmtId="0" fontId="5" fillId="2" borderId="0" xfId="0" applyFont="1" applyFill="1" applyBorder="1" applyProtection="1">
      <protection locked="0"/>
    </xf>
    <xf numFmtId="0" fontId="38" fillId="2" borderId="0" xfId="0" applyFont="1" applyFill="1" applyProtection="1">
      <protection locked="0"/>
    </xf>
    <xf numFmtId="0" fontId="8" fillId="6" borderId="0" xfId="13" applyFont="1" applyFill="1" applyBorder="1" applyAlignment="1" applyProtection="1">
      <alignment horizontal="center" vertical="center" wrapText="1"/>
      <protection locked="0"/>
    </xf>
    <xf numFmtId="172" fontId="2" fillId="8" borderId="3" xfId="2" applyNumberFormat="1" applyFont="1" applyFill="1" applyBorder="1" applyProtection="1">
      <protection locked="0"/>
    </xf>
    <xf numFmtId="1" fontId="36" fillId="8" borderId="3" xfId="0" applyNumberFormat="1" applyFont="1" applyFill="1" applyBorder="1" applyAlignment="1" applyProtection="1">
      <alignment horizontal="right"/>
      <protection locked="0"/>
    </xf>
    <xf numFmtId="9" fontId="36" fillId="3" borderId="3" xfId="11" applyNumberFormat="1" applyFont="1" applyFill="1" applyBorder="1" applyAlignment="1" applyProtection="1">
      <alignment horizontal="right"/>
    </xf>
    <xf numFmtId="0" fontId="1" fillId="8" borderId="2" xfId="0" applyFont="1" applyFill="1" applyBorder="1" applyProtection="1">
      <protection locked="0"/>
    </xf>
    <xf numFmtId="0" fontId="8" fillId="6" borderId="0" xfId="13" applyFont="1" applyFill="1" applyBorder="1" applyAlignment="1" applyProtection="1">
      <alignment horizontal="center" vertical="center" wrapText="1"/>
      <protection locked="0"/>
    </xf>
    <xf numFmtId="0" fontId="34" fillId="2" borderId="0" xfId="0" applyFont="1" applyFill="1" applyProtection="1">
      <protection locked="0"/>
    </xf>
    <xf numFmtId="0" fontId="39" fillId="2" borderId="0" xfId="0" applyFont="1" applyFill="1" applyProtection="1">
      <protection locked="0"/>
    </xf>
    <xf numFmtId="9" fontId="2" fillId="2" borderId="0" xfId="0" applyNumberFormat="1" applyFont="1" applyFill="1" applyProtection="1">
      <protection locked="0"/>
    </xf>
    <xf numFmtId="0" fontId="30" fillId="6" borderId="0" xfId="13" applyFont="1" applyFill="1" applyProtection="1">
      <protection locked="0"/>
    </xf>
    <xf numFmtId="0" fontId="40" fillId="2" borderId="0" xfId="0" applyFont="1" applyFill="1" applyProtection="1">
      <protection locked="0"/>
    </xf>
    <xf numFmtId="0" fontId="30" fillId="6" borderId="0" xfId="13" applyFont="1" applyFill="1" applyBorder="1" applyAlignment="1" applyProtection="1">
      <protection locked="0"/>
    </xf>
    <xf numFmtId="0" fontId="36" fillId="2" borderId="0" xfId="0" applyFont="1" applyFill="1" applyProtection="1">
      <protection locked="0"/>
    </xf>
    <xf numFmtId="3" fontId="25" fillId="5" borderId="3" xfId="0" applyNumberFormat="1" applyFont="1" applyFill="1" applyBorder="1" applyAlignment="1" applyProtection="1">
      <alignment horizontal="right"/>
    </xf>
    <xf numFmtId="2" fontId="2" fillId="5" borderId="3" xfId="0" applyNumberFormat="1" applyFont="1" applyFill="1" applyBorder="1" applyProtection="1"/>
    <xf numFmtId="0" fontId="2" fillId="6" borderId="0" xfId="0" applyFont="1" applyFill="1" applyProtection="1">
      <protection locked="0"/>
    </xf>
    <xf numFmtId="0" fontId="2" fillId="6" borderId="2" xfId="0" applyFont="1" applyFill="1" applyBorder="1" applyProtection="1">
      <protection locked="0"/>
    </xf>
    <xf numFmtId="0" fontId="2" fillId="6" borderId="1" xfId="0" applyFont="1" applyFill="1" applyBorder="1" applyProtection="1">
      <protection locked="0"/>
    </xf>
    <xf numFmtId="3" fontId="36" fillId="5" borderId="3" xfId="0" applyNumberFormat="1" applyFont="1" applyFill="1" applyBorder="1" applyAlignment="1" applyProtection="1">
      <alignment horizontal="right"/>
      <protection locked="0"/>
    </xf>
    <xf numFmtId="0" fontId="40" fillId="6" borderId="0" xfId="13" applyFont="1" applyFill="1" applyBorder="1" applyAlignment="1" applyProtection="1">
      <protection locked="0"/>
    </xf>
    <xf numFmtId="3" fontId="29" fillId="5" borderId="3" xfId="13" applyNumberFormat="1" applyFont="1" applyFill="1" applyBorder="1" applyAlignment="1" applyProtection="1">
      <protection locked="0"/>
    </xf>
    <xf numFmtId="0" fontId="8" fillId="6" borderId="0" xfId="13" quotePrefix="1" applyFont="1" applyFill="1" applyBorder="1" applyAlignment="1" applyProtection="1">
      <alignment horizontal="left" vertical="center"/>
      <protection locked="0"/>
    </xf>
    <xf numFmtId="0" fontId="30" fillId="2" borderId="0" xfId="0" applyFont="1" applyFill="1" applyProtection="1">
      <protection locked="0"/>
    </xf>
    <xf numFmtId="0" fontId="5" fillId="2" borderId="3" xfId="0" applyFont="1" applyFill="1" applyBorder="1" applyAlignment="1">
      <alignment horizontal="center" vertical="top" wrapText="1"/>
    </xf>
    <xf numFmtId="0" fontId="43" fillId="6" borderId="0" xfId="13" applyFont="1" applyFill="1" applyBorder="1" applyProtection="1">
      <protection locked="0"/>
    </xf>
    <xf numFmtId="0" fontId="44" fillId="6" borderId="0" xfId="13" applyFont="1" applyFill="1" applyBorder="1" applyProtection="1">
      <protection locked="0"/>
    </xf>
    <xf numFmtId="0" fontId="1" fillId="6" borderId="0" xfId="13" applyFont="1" applyFill="1" applyBorder="1" applyAlignment="1" applyProtection="1">
      <protection locked="0"/>
    </xf>
    <xf numFmtId="0" fontId="24" fillId="2" borderId="0" xfId="0" applyFont="1" applyFill="1" applyProtection="1">
      <protection locked="0"/>
    </xf>
    <xf numFmtId="0" fontId="12" fillId="6" borderId="0" xfId="13" applyFont="1" applyFill="1" applyBorder="1" applyAlignment="1" applyProtection="1">
      <protection locked="0"/>
    </xf>
    <xf numFmtId="0" fontId="36" fillId="6" borderId="0" xfId="13" applyFont="1" applyFill="1" applyProtection="1">
      <protection locked="0"/>
    </xf>
    <xf numFmtId="0" fontId="34" fillId="7" borderId="11" xfId="0" applyFont="1" applyFill="1" applyBorder="1" applyAlignment="1" applyProtection="1">
      <protection locked="0"/>
    </xf>
    <xf numFmtId="0" fontId="33" fillId="6" borderId="0" xfId="13" applyFont="1" applyFill="1" applyBorder="1" applyAlignment="1" applyProtection="1">
      <alignment horizontal="left"/>
      <protection locked="0"/>
    </xf>
    <xf numFmtId="0" fontId="34" fillId="8" borderId="2" xfId="0" applyFont="1" applyFill="1" applyBorder="1" applyAlignment="1" applyProtection="1">
      <protection locked="0"/>
    </xf>
    <xf numFmtId="0" fontId="34" fillId="8" borderId="2" xfId="0" applyFont="1" applyFill="1" applyBorder="1" applyProtection="1">
      <protection locked="0"/>
    </xf>
    <xf numFmtId="0" fontId="34" fillId="8" borderId="11" xfId="0" applyFont="1" applyFill="1" applyBorder="1" applyAlignment="1" applyProtection="1">
      <protection locked="0"/>
    </xf>
    <xf numFmtId="0" fontId="29" fillId="8" borderId="3" xfId="13" applyFont="1" applyFill="1" applyBorder="1" applyAlignment="1" applyProtection="1">
      <alignment horizontal="center" vertical="center"/>
      <protection locked="0"/>
    </xf>
    <xf numFmtId="2" fontId="19" fillId="8" borderId="3" xfId="2" applyNumberFormat="1" applyFont="1" applyFill="1" applyBorder="1" applyProtection="1">
      <protection locked="0"/>
    </xf>
    <xf numFmtId="2" fontId="2" fillId="8" borderId="3" xfId="2" applyNumberFormat="1" applyFont="1" applyFill="1" applyBorder="1" applyProtection="1">
      <protection locked="0"/>
    </xf>
    <xf numFmtId="0" fontId="45" fillId="0" borderId="0" xfId="0" applyFont="1"/>
    <xf numFmtId="173" fontId="45" fillId="0" borderId="0" xfId="0" applyNumberFormat="1" applyFont="1"/>
    <xf numFmtId="0" fontId="45" fillId="5" borderId="9" xfId="0" applyFont="1" applyFill="1" applyBorder="1"/>
    <xf numFmtId="0" fontId="45" fillId="5" borderId="5" xfId="0" applyFont="1" applyFill="1" applyBorder="1"/>
    <xf numFmtId="173" fontId="45" fillId="5" borderId="13" xfId="0" applyNumberFormat="1" applyFont="1" applyFill="1" applyBorder="1"/>
    <xf numFmtId="0" fontId="45" fillId="5" borderId="6" xfId="0" applyFont="1" applyFill="1" applyBorder="1"/>
    <xf numFmtId="173" fontId="45" fillId="5" borderId="15" xfId="0" applyNumberFormat="1" applyFont="1" applyFill="1" applyBorder="1"/>
    <xf numFmtId="0" fontId="47" fillId="5" borderId="3" xfId="0" applyFont="1" applyFill="1" applyBorder="1"/>
    <xf numFmtId="173" fontId="47" fillId="5" borderId="1" xfId="0" applyNumberFormat="1" applyFont="1" applyFill="1" applyBorder="1"/>
    <xf numFmtId="0" fontId="46" fillId="5" borderId="7" xfId="0" applyFont="1" applyFill="1" applyBorder="1" applyAlignment="1">
      <alignment horizontal="center" vertical="top"/>
    </xf>
    <xf numFmtId="166" fontId="46" fillId="5" borderId="7" xfId="0" applyNumberFormat="1" applyFont="1" applyFill="1" applyBorder="1" applyAlignment="1">
      <alignment horizontal="center" vertical="top"/>
    </xf>
    <xf numFmtId="0" fontId="46" fillId="5" borderId="7" xfId="0" applyFont="1" applyFill="1" applyBorder="1" applyAlignment="1">
      <alignment horizontal="center" vertical="top" wrapText="1"/>
    </xf>
    <xf numFmtId="0" fontId="45" fillId="5" borderId="9" xfId="0" applyFont="1" applyFill="1" applyBorder="1" applyAlignment="1">
      <alignment horizontal="center"/>
    </xf>
    <xf numFmtId="0" fontId="45" fillId="5" borderId="8" xfId="0" applyFont="1" applyFill="1" applyBorder="1" applyAlignment="1">
      <alignment horizontal="center"/>
    </xf>
    <xf numFmtId="0" fontId="45" fillId="0" borderId="0" xfId="0" applyFont="1" applyAlignment="1">
      <alignment horizontal="center"/>
    </xf>
    <xf numFmtId="166" fontId="45" fillId="0" borderId="0" xfId="0" applyNumberFormat="1" applyFont="1" applyAlignment="1">
      <alignment horizontal="center"/>
    </xf>
    <xf numFmtId="166" fontId="45" fillId="5" borderId="9" xfId="0" applyNumberFormat="1" applyFont="1" applyFill="1" applyBorder="1" applyAlignment="1">
      <alignment horizontal="center"/>
    </xf>
    <xf numFmtId="166" fontId="45" fillId="5" borderId="8" xfId="0" applyNumberFormat="1" applyFont="1" applyFill="1" applyBorder="1" applyAlignment="1">
      <alignment horizontal="center"/>
    </xf>
    <xf numFmtId="0" fontId="13" fillId="0" borderId="0" xfId="0" applyFont="1" applyFill="1" applyAlignment="1" applyProtection="1">
      <alignment horizontal="right"/>
      <protection locked="0"/>
    </xf>
    <xf numFmtId="0" fontId="0" fillId="0" borderId="0" xfId="0" applyFill="1" applyProtection="1">
      <protection locked="0"/>
    </xf>
    <xf numFmtId="0" fontId="45" fillId="0" borderId="0" xfId="0" applyFont="1" applyAlignment="1">
      <alignment horizontal="left"/>
    </xf>
    <xf numFmtId="0" fontId="9" fillId="0" borderId="0" xfId="13" applyFont="1" applyFill="1" applyBorder="1" applyAlignment="1" applyProtection="1">
      <alignment horizontal="left"/>
      <protection locked="0"/>
    </xf>
    <xf numFmtId="0" fontId="45" fillId="7" borderId="8" xfId="0" applyFont="1" applyFill="1" applyBorder="1" applyProtection="1"/>
    <xf numFmtId="0" fontId="45" fillId="7" borderId="9" xfId="0" applyFont="1" applyFill="1" applyBorder="1" applyProtection="1"/>
    <xf numFmtId="0" fontId="0" fillId="2" borderId="10" xfId="0" applyFont="1" applyFill="1" applyBorder="1" applyProtection="1">
      <protection locked="0"/>
    </xf>
    <xf numFmtId="0" fontId="0" fillId="2" borderId="0" xfId="0" applyFont="1" applyFill="1" applyBorder="1" applyProtection="1">
      <protection locked="0"/>
    </xf>
    <xf numFmtId="0" fontId="12" fillId="7" borderId="3" xfId="13" applyFont="1" applyFill="1" applyBorder="1" applyAlignment="1" applyProtection="1">
      <alignment horizontal="center" vertical="center"/>
      <protection locked="0"/>
    </xf>
    <xf numFmtId="0" fontId="2" fillId="6" borderId="0" xfId="13" quotePrefix="1" applyFont="1" applyFill="1" applyBorder="1" applyAlignment="1" applyProtection="1">
      <alignment horizontal="left" vertical="center"/>
      <protection locked="0"/>
    </xf>
    <xf numFmtId="0" fontId="2" fillId="6" borderId="0" xfId="13" applyFont="1" applyFill="1" applyBorder="1" applyAlignment="1" applyProtection="1">
      <alignment horizontal="center" vertical="center" wrapText="1"/>
      <protection locked="0"/>
    </xf>
    <xf numFmtId="0" fontId="33" fillId="6" borderId="0" xfId="13" applyFont="1" applyFill="1" applyBorder="1" applyAlignment="1" applyProtection="1">
      <alignment horizontal="left"/>
      <protection locked="0"/>
    </xf>
    <xf numFmtId="0" fontId="34" fillId="7" borderId="2" xfId="0" applyFont="1" applyFill="1" applyBorder="1" applyProtection="1">
      <protection locked="0"/>
    </xf>
    <xf numFmtId="0" fontId="34" fillId="7" borderId="2" xfId="0" applyFont="1" applyFill="1" applyBorder="1" applyAlignment="1" applyProtection="1">
      <protection locked="0"/>
    </xf>
    <xf numFmtId="167" fontId="0" fillId="3" borderId="1" xfId="0" applyNumberFormat="1" applyFont="1" applyFill="1" applyBorder="1" applyAlignment="1" applyProtection="1">
      <alignment horizontal="left"/>
      <protection locked="0"/>
    </xf>
    <xf numFmtId="0" fontId="5" fillId="3" borderId="3" xfId="0" applyFont="1" applyFill="1" applyBorder="1" applyAlignment="1" applyProtection="1">
      <alignment horizontal="center" vertical="top" wrapText="1"/>
      <protection locked="0"/>
    </xf>
    <xf numFmtId="9" fontId="5" fillId="3" borderId="3" xfId="0" applyNumberFormat="1" applyFont="1" applyFill="1" applyBorder="1" applyProtection="1">
      <protection locked="0"/>
    </xf>
    <xf numFmtId="3" fontId="5" fillId="3" borderId="3" xfId="0" applyNumberFormat="1" applyFont="1" applyFill="1" applyBorder="1" applyAlignment="1" applyProtection="1">
      <protection locked="0"/>
    </xf>
    <xf numFmtId="9" fontId="5" fillId="3" borderId="3" xfId="0" applyNumberFormat="1" applyFont="1" applyFill="1" applyBorder="1" applyAlignment="1" applyProtection="1">
      <protection locked="0"/>
    </xf>
    <xf numFmtId="41" fontId="5" fillId="3" borderId="3" xfId="0" applyNumberFormat="1" applyFont="1" applyFill="1" applyBorder="1" applyAlignment="1" applyProtection="1">
      <protection locked="0"/>
    </xf>
    <xf numFmtId="0" fontId="5" fillId="2" borderId="0" xfId="13" applyFont="1" applyFill="1" applyBorder="1" applyProtection="1">
      <protection locked="0"/>
    </xf>
    <xf numFmtId="0" fontId="8" fillId="2" borderId="0" xfId="13" applyFont="1" applyFill="1" applyBorder="1" applyProtection="1">
      <protection locked="0"/>
    </xf>
    <xf numFmtId="43" fontId="36" fillId="3" borderId="2" xfId="2" applyFont="1" applyFill="1" applyBorder="1" applyProtection="1">
      <protection hidden="1"/>
    </xf>
    <xf numFmtId="43" fontId="12" fillId="3" borderId="2" xfId="2" applyFont="1" applyFill="1" applyBorder="1" applyProtection="1">
      <protection hidden="1"/>
    </xf>
    <xf numFmtId="9" fontId="36" fillId="3" borderId="3" xfId="11" applyNumberFormat="1" applyFont="1" applyFill="1" applyBorder="1" applyAlignment="1" applyProtection="1">
      <alignment horizontal="right"/>
      <protection hidden="1"/>
    </xf>
    <xf numFmtId="3" fontId="29" fillId="5" borderId="3" xfId="13" applyNumberFormat="1" applyFont="1" applyFill="1" applyBorder="1" applyAlignment="1" applyProtection="1">
      <protection hidden="1"/>
    </xf>
    <xf numFmtId="3" fontId="36" fillId="5" borderId="3" xfId="0" applyNumberFormat="1" applyFont="1" applyFill="1" applyBorder="1" applyAlignment="1" applyProtection="1">
      <alignment horizontal="right"/>
      <protection hidden="1"/>
    </xf>
    <xf numFmtId="3" fontId="25" fillId="5" borderId="3" xfId="0" applyNumberFormat="1" applyFont="1" applyFill="1" applyBorder="1" applyAlignment="1" applyProtection="1">
      <alignment horizontal="right"/>
      <protection hidden="1"/>
    </xf>
    <xf numFmtId="170" fontId="36" fillId="5" borderId="3" xfId="5" applyNumberFormat="1" applyFont="1" applyFill="1" applyBorder="1" applyAlignment="1" applyProtection="1">
      <alignment horizontal="right"/>
      <protection hidden="1"/>
    </xf>
    <xf numFmtId="3" fontId="0" fillId="5" borderId="3" xfId="0" applyNumberFormat="1" applyFont="1" applyFill="1" applyBorder="1" applyAlignment="1" applyProtection="1">
      <alignment horizontal="right"/>
      <protection hidden="1"/>
    </xf>
    <xf numFmtId="169" fontId="19" fillId="3" borderId="3" xfId="2" applyNumberFormat="1" applyFont="1" applyFill="1" applyBorder="1" applyProtection="1">
      <protection hidden="1"/>
    </xf>
    <xf numFmtId="171" fontId="19" fillId="3" borderId="3" xfId="5" applyNumberFormat="1" applyFont="1" applyFill="1" applyBorder="1" applyProtection="1">
      <protection hidden="1"/>
    </xf>
    <xf numFmtId="167" fontId="19" fillId="3" borderId="3" xfId="5" applyNumberFormat="1" applyFont="1" applyFill="1" applyBorder="1" applyProtection="1">
      <protection hidden="1"/>
    </xf>
    <xf numFmtId="164" fontId="19" fillId="3" borderId="3" xfId="2" applyNumberFormat="1" applyFont="1" applyFill="1" applyBorder="1" applyAlignment="1" applyProtection="1">
      <alignment horizontal="center"/>
      <protection hidden="1"/>
    </xf>
    <xf numFmtId="2" fontId="2" fillId="5" borderId="3" xfId="0" applyNumberFormat="1" applyFont="1" applyFill="1" applyBorder="1" applyProtection="1">
      <protection hidden="1"/>
    </xf>
    <xf numFmtId="165" fontId="0" fillId="3" borderId="3" xfId="0" applyNumberFormat="1" applyFill="1" applyBorder="1" applyProtection="1">
      <protection hidden="1"/>
    </xf>
    <xf numFmtId="164" fontId="5" fillId="4" borderId="3" xfId="2" applyNumberFormat="1" applyFont="1" applyFill="1" applyBorder="1" applyProtection="1">
      <protection locked="0"/>
    </xf>
    <xf numFmtId="167" fontId="2" fillId="3" borderId="3" xfId="5" applyNumberFormat="1" applyFont="1" applyFill="1" applyBorder="1" applyAlignment="1" applyProtection="1">
      <alignment horizontal="center"/>
      <protection hidden="1"/>
    </xf>
    <xf numFmtId="0" fontId="0" fillId="6" borderId="0" xfId="0" applyFont="1" applyFill="1" applyAlignment="1" applyProtection="1">
      <alignment vertical="top" wrapText="1"/>
      <protection locked="0"/>
    </xf>
    <xf numFmtId="0" fontId="42" fillId="6" borderId="0" xfId="0" applyFont="1" applyFill="1" applyAlignment="1" applyProtection="1">
      <alignment vertical="top" wrapText="1"/>
      <protection locked="0"/>
    </xf>
    <xf numFmtId="0" fontId="41" fillId="2" borderId="0" xfId="0" applyFont="1" applyFill="1" applyAlignment="1" applyProtection="1">
      <alignment horizontal="left" vertical="center" wrapText="1"/>
      <protection locked="0"/>
    </xf>
    <xf numFmtId="0" fontId="41" fillId="0" borderId="0" xfId="0" applyFont="1" applyAlignment="1" applyProtection="1">
      <alignment wrapText="1"/>
      <protection locked="0"/>
    </xf>
    <xf numFmtId="0" fontId="2" fillId="2" borderId="0" xfId="0" applyFont="1" applyFill="1" applyAlignment="1" applyProtection="1">
      <alignment vertical="top" wrapText="1"/>
      <protection locked="0"/>
    </xf>
    <xf numFmtId="0" fontId="0" fillId="0" borderId="0" xfId="0" applyFont="1" applyAlignment="1" applyProtection="1">
      <alignment vertical="top" wrapText="1"/>
      <protection locked="0"/>
    </xf>
    <xf numFmtId="0" fontId="9" fillId="6" borderId="4" xfId="13" applyFont="1" applyFill="1" applyBorder="1" applyAlignment="1" applyProtection="1">
      <alignment horizontal="center" vertical="center" wrapText="1"/>
      <protection locked="0"/>
    </xf>
    <xf numFmtId="0" fontId="0" fillId="6" borderId="10" xfId="0" applyFont="1" applyFill="1" applyBorder="1" applyAlignment="1" applyProtection="1">
      <alignment horizontal="center" vertical="center" wrapText="1"/>
      <protection locked="0"/>
    </xf>
    <xf numFmtId="0" fontId="0" fillId="6" borderId="14" xfId="0" applyFont="1" applyFill="1" applyBorder="1" applyAlignment="1" applyProtection="1">
      <alignment horizontal="center" vertical="center" wrapText="1"/>
      <protection locked="0"/>
    </xf>
    <xf numFmtId="0" fontId="0" fillId="6" borderId="5" xfId="0" applyFont="1" applyFill="1" applyBorder="1" applyAlignment="1" applyProtection="1">
      <alignment horizontal="center" vertical="center" wrapText="1"/>
      <protection locked="0"/>
    </xf>
    <xf numFmtId="0" fontId="0" fillId="6" borderId="0" xfId="0" applyFont="1" applyFill="1" applyBorder="1" applyAlignment="1" applyProtection="1">
      <alignment horizontal="center" vertical="center" wrapText="1"/>
      <protection locked="0"/>
    </xf>
    <xf numFmtId="0" fontId="0" fillId="6" borderId="13" xfId="0" applyFont="1" applyFill="1" applyBorder="1" applyAlignment="1" applyProtection="1">
      <alignment horizontal="center" vertical="center" wrapText="1"/>
      <protection locked="0"/>
    </xf>
    <xf numFmtId="0" fontId="0" fillId="6" borderId="6" xfId="0" applyFont="1" applyFill="1" applyBorder="1" applyAlignment="1" applyProtection="1">
      <alignment wrapText="1"/>
      <protection locked="0"/>
    </xf>
    <xf numFmtId="0" fontId="0" fillId="6" borderId="12" xfId="0" applyFont="1" applyFill="1" applyBorder="1" applyAlignment="1" applyProtection="1">
      <alignment wrapText="1"/>
      <protection locked="0"/>
    </xf>
    <xf numFmtId="0" fontId="0" fillId="6" borderId="15" xfId="0" applyFont="1" applyFill="1" applyBorder="1" applyAlignment="1" applyProtection="1">
      <alignment wrapText="1"/>
      <protection locked="0"/>
    </xf>
    <xf numFmtId="0" fontId="1" fillId="6" borderId="0" xfId="13" applyFont="1" applyFill="1" applyBorder="1" applyAlignment="1" applyProtection="1">
      <alignment horizontal="center" vertical="center" wrapText="1"/>
      <protection locked="0"/>
    </xf>
    <xf numFmtId="0" fontId="0" fillId="0" borderId="0" xfId="0" applyFont="1" applyAlignment="1" applyProtection="1">
      <alignment wrapText="1"/>
      <protection locked="0"/>
    </xf>
    <xf numFmtId="0" fontId="0" fillId="2" borderId="0" xfId="0" applyFill="1" applyAlignment="1" applyProtection="1">
      <alignment vertical="top" wrapText="1"/>
      <protection locked="0"/>
    </xf>
    <xf numFmtId="44" fontId="9" fillId="3" borderId="3" xfId="0" applyNumberFormat="1" applyFont="1" applyFill="1" applyBorder="1" applyAlignment="1" applyProtection="1">
      <alignment horizontal="center"/>
      <protection hidden="1"/>
    </xf>
    <xf numFmtId="167" fontId="2" fillId="3" borderId="3" xfId="0" applyNumberFormat="1" applyFont="1" applyFill="1" applyBorder="1" applyAlignment="1" applyProtection="1">
      <alignment horizontal="center"/>
      <protection hidden="1"/>
    </xf>
    <xf numFmtId="44" fontId="2" fillId="3" borderId="3" xfId="5" applyFont="1" applyFill="1" applyBorder="1" applyAlignment="1" applyProtection="1">
      <alignment horizontal="center"/>
      <protection hidden="1"/>
    </xf>
    <xf numFmtId="0" fontId="33" fillId="6" borderId="0" xfId="13" applyFont="1" applyFill="1" applyBorder="1" applyAlignment="1" applyProtection="1">
      <alignment horizontal="left"/>
      <protection locked="0"/>
    </xf>
    <xf numFmtId="0" fontId="0" fillId="4" borderId="2" xfId="0" applyFill="1" applyBorder="1" applyAlignment="1" applyProtection="1">
      <alignment horizontal="center"/>
      <protection locked="0"/>
    </xf>
    <xf numFmtId="0" fontId="0" fillId="4" borderId="11" xfId="0" applyFill="1" applyBorder="1" applyAlignment="1" applyProtection="1">
      <alignment horizontal="center"/>
      <protection locked="0"/>
    </xf>
    <xf numFmtId="0" fontId="0" fillId="4" borderId="1" xfId="0" applyFill="1" applyBorder="1" applyAlignment="1" applyProtection="1">
      <alignment horizontal="center"/>
      <protection locked="0"/>
    </xf>
    <xf numFmtId="0" fontId="0" fillId="3" borderId="2" xfId="0" applyFill="1" applyBorder="1" applyAlignment="1" applyProtection="1">
      <alignment horizontal="center"/>
      <protection locked="0"/>
    </xf>
    <xf numFmtId="0" fontId="0" fillId="3" borderId="11" xfId="0" applyFill="1" applyBorder="1" applyAlignment="1" applyProtection="1">
      <alignment horizontal="center"/>
      <protection locked="0"/>
    </xf>
    <xf numFmtId="0" fontId="0" fillId="3" borderId="1" xfId="0" applyFill="1" applyBorder="1" applyAlignment="1" applyProtection="1">
      <alignment horizontal="center"/>
      <protection locked="0"/>
    </xf>
    <xf numFmtId="167" fontId="2" fillId="3" borderId="3" xfId="5" applyNumberFormat="1" applyFont="1" applyFill="1" applyBorder="1" applyAlignment="1" applyProtection="1">
      <alignment horizontal="right"/>
      <protection hidden="1"/>
    </xf>
    <xf numFmtId="0" fontId="0" fillId="2" borderId="12" xfId="0" applyFill="1" applyBorder="1" applyAlignment="1" applyProtection="1">
      <alignment horizontal="center"/>
      <protection locked="0"/>
    </xf>
    <xf numFmtId="0" fontId="0" fillId="2" borderId="12" xfId="0" applyFont="1" applyFill="1" applyBorder="1" applyAlignment="1" applyProtection="1">
      <alignment horizontal="center"/>
      <protection locked="0"/>
    </xf>
    <xf numFmtId="167" fontId="11" fillId="3" borderId="3" xfId="5" applyNumberFormat="1" applyFont="1" applyFill="1" applyBorder="1" applyAlignment="1" applyProtection="1">
      <alignment horizontal="center"/>
      <protection hidden="1"/>
    </xf>
    <xf numFmtId="167" fontId="9" fillId="3" borderId="3" xfId="5" applyNumberFormat="1" applyFont="1" applyFill="1" applyBorder="1" applyAlignment="1" applyProtection="1">
      <alignment horizontal="right"/>
      <protection hidden="1"/>
    </xf>
    <xf numFmtId="0" fontId="0" fillId="2" borderId="0" xfId="0" applyFill="1" applyBorder="1" applyAlignment="1" applyProtection="1">
      <alignment horizontal="center"/>
      <protection locked="0"/>
    </xf>
    <xf numFmtId="167" fontId="0" fillId="3" borderId="3" xfId="0" applyNumberFormat="1" applyFill="1" applyBorder="1" applyAlignment="1" applyProtection="1">
      <alignment horizontal="center"/>
      <protection hidden="1"/>
    </xf>
    <xf numFmtId="167" fontId="0" fillId="3" borderId="2" xfId="0" applyNumberFormat="1" applyFill="1" applyBorder="1" applyAlignment="1" applyProtection="1">
      <alignment horizontal="center"/>
      <protection hidden="1"/>
    </xf>
    <xf numFmtId="0" fontId="0" fillId="3" borderId="1" xfId="0" applyFill="1" applyBorder="1" applyAlignment="1" applyProtection="1">
      <alignment horizontal="center"/>
      <protection hidden="1"/>
    </xf>
    <xf numFmtId="167" fontId="12" fillId="3" borderId="2" xfId="0" applyNumberFormat="1" applyFont="1" applyFill="1" applyBorder="1" applyAlignment="1" applyProtection="1">
      <alignment horizontal="center"/>
      <protection hidden="1"/>
    </xf>
    <xf numFmtId="0" fontId="12" fillId="3" borderId="1" xfId="0" applyFont="1" applyFill="1" applyBorder="1" applyAlignment="1" applyProtection="1">
      <alignment horizontal="center"/>
      <protection hidden="1"/>
    </xf>
    <xf numFmtId="0" fontId="13" fillId="2" borderId="10" xfId="0" applyFont="1" applyFill="1" applyBorder="1" applyAlignment="1" applyProtection="1">
      <alignment wrapText="1"/>
      <protection locked="0"/>
    </xf>
    <xf numFmtId="0" fontId="0" fillId="0" borderId="10" xfId="0" applyBorder="1" applyAlignment="1" applyProtection="1">
      <alignment wrapText="1"/>
      <protection locked="0"/>
    </xf>
    <xf numFmtId="0" fontId="0" fillId="0" borderId="0" xfId="0" applyAlignment="1" applyProtection="1">
      <alignment wrapText="1"/>
      <protection locked="0"/>
    </xf>
    <xf numFmtId="0" fontId="17" fillId="2" borderId="0" xfId="0" applyFont="1" applyFill="1" applyAlignment="1" applyProtection="1">
      <alignment horizontal="left" vertical="top" wrapText="1"/>
      <protection locked="0"/>
    </xf>
    <xf numFmtId="167" fontId="2" fillId="5" borderId="3" xfId="0" applyNumberFormat="1" applyFont="1" applyFill="1" applyBorder="1" applyAlignment="1" applyProtection="1">
      <alignment horizontal="center"/>
      <protection hidden="1"/>
    </xf>
    <xf numFmtId="0" fontId="2" fillId="5" borderId="3" xfId="0" applyFont="1" applyFill="1" applyBorder="1" applyAlignment="1" applyProtection="1">
      <alignment horizontal="center"/>
      <protection hidden="1"/>
    </xf>
    <xf numFmtId="0" fontId="2" fillId="2" borderId="0" xfId="0" applyFont="1" applyFill="1" applyAlignment="1" applyProtection="1">
      <alignment horizontal="left" vertical="top" wrapText="1"/>
      <protection locked="0"/>
    </xf>
    <xf numFmtId="0" fontId="45" fillId="0" borderId="0" xfId="0" applyFont="1" applyAlignment="1">
      <alignment wrapText="1"/>
    </xf>
    <xf numFmtId="0" fontId="0" fillId="0" borderId="0" xfId="0" applyAlignment="1">
      <alignment wrapText="1"/>
    </xf>
    <xf numFmtId="0" fontId="0" fillId="4" borderId="2" xfId="0" applyFill="1" applyBorder="1" applyAlignment="1" applyProtection="1">
      <alignment horizontal="center"/>
    </xf>
    <xf numFmtId="0" fontId="0" fillId="4" borderId="11" xfId="0" applyFill="1" applyBorder="1" applyAlignment="1" applyProtection="1">
      <alignment horizontal="center"/>
    </xf>
    <xf numFmtId="0" fontId="0" fillId="4" borderId="1" xfId="0" applyFill="1" applyBorder="1" applyAlignment="1" applyProtection="1">
      <alignment horizontal="center"/>
    </xf>
    <xf numFmtId="0" fontId="0" fillId="3" borderId="2" xfId="0" applyFill="1" applyBorder="1" applyAlignment="1" applyProtection="1">
      <alignment horizontal="center"/>
    </xf>
    <xf numFmtId="0" fontId="0" fillId="3" borderId="11" xfId="0" applyFill="1" applyBorder="1" applyAlignment="1" applyProtection="1">
      <alignment horizontal="center"/>
    </xf>
    <xf numFmtId="0" fontId="0" fillId="3" borderId="1" xfId="0" applyFill="1" applyBorder="1" applyAlignment="1" applyProtection="1">
      <alignment horizontal="center"/>
    </xf>
    <xf numFmtId="173" fontId="46" fillId="5" borderId="2" xfId="0" applyNumberFormat="1" applyFont="1" applyFill="1" applyBorder="1" applyAlignment="1">
      <alignment horizontal="center" vertical="top" wrapText="1"/>
    </xf>
    <xf numFmtId="0" fontId="0" fillId="0" borderId="1" xfId="0" applyBorder="1" applyAlignment="1"/>
    <xf numFmtId="0" fontId="0" fillId="2" borderId="0" xfId="0" applyFill="1" applyAlignment="1">
      <alignment horizontal="left" vertical="top" wrapText="1"/>
    </xf>
    <xf numFmtId="0" fontId="0" fillId="2" borderId="0" xfId="0" applyFill="1" applyAlignment="1">
      <alignment wrapText="1"/>
    </xf>
    <xf numFmtId="167" fontId="2" fillId="3" borderId="3" xfId="0" applyNumberFormat="1" applyFont="1" applyFill="1" applyBorder="1" applyAlignment="1" applyProtection="1">
      <alignment horizontal="center"/>
    </xf>
    <xf numFmtId="167" fontId="0" fillId="3" borderId="3" xfId="0" applyNumberFormat="1" applyFill="1" applyBorder="1" applyAlignment="1" applyProtection="1">
      <alignment horizontal="center"/>
    </xf>
    <xf numFmtId="167" fontId="0" fillId="3" borderId="2" xfId="0" applyNumberFormat="1" applyFill="1" applyBorder="1" applyAlignment="1" applyProtection="1">
      <alignment horizontal="center"/>
    </xf>
    <xf numFmtId="167" fontId="12" fillId="3" borderId="2" xfId="0" applyNumberFormat="1" applyFont="1" applyFill="1" applyBorder="1" applyAlignment="1" applyProtection="1">
      <alignment horizontal="center"/>
    </xf>
    <xf numFmtId="0" fontId="12" fillId="3" borderId="1" xfId="0" applyFont="1" applyFill="1" applyBorder="1" applyAlignment="1" applyProtection="1">
      <alignment horizontal="center"/>
    </xf>
    <xf numFmtId="167" fontId="11" fillId="3" borderId="3" xfId="5" applyNumberFormat="1" applyFont="1" applyFill="1" applyBorder="1" applyAlignment="1" applyProtection="1">
      <alignment horizontal="center"/>
    </xf>
    <xf numFmtId="44" fontId="2" fillId="3" borderId="3" xfId="5" applyFont="1" applyFill="1" applyBorder="1" applyAlignment="1" applyProtection="1">
      <alignment horizontal="center"/>
    </xf>
    <xf numFmtId="44" fontId="9" fillId="3" borderId="3" xfId="0" applyNumberFormat="1" applyFont="1" applyFill="1" applyBorder="1" applyAlignment="1" applyProtection="1">
      <alignment horizontal="center"/>
    </xf>
    <xf numFmtId="167" fontId="2" fillId="5" borderId="3" xfId="0" applyNumberFormat="1" applyFont="1" applyFill="1" applyBorder="1" applyAlignment="1" applyProtection="1">
      <alignment horizontal="center"/>
    </xf>
    <xf numFmtId="0" fontId="2" fillId="5" borderId="3" xfId="0" applyFont="1" applyFill="1" applyBorder="1" applyAlignment="1" applyProtection="1">
      <alignment horizontal="center"/>
    </xf>
    <xf numFmtId="167" fontId="2" fillId="3" borderId="3" xfId="5" applyNumberFormat="1" applyFont="1" applyFill="1" applyBorder="1" applyAlignment="1" applyProtection="1">
      <alignment horizontal="center"/>
    </xf>
    <xf numFmtId="167" fontId="2" fillId="3" borderId="3" xfId="5" applyNumberFormat="1" applyFont="1" applyFill="1" applyBorder="1" applyAlignment="1" applyProtection="1">
      <alignment horizontal="right"/>
    </xf>
    <xf numFmtId="167" fontId="9" fillId="3" borderId="3" xfId="5" applyNumberFormat="1" applyFont="1" applyFill="1" applyBorder="1" applyAlignment="1" applyProtection="1">
      <alignment horizontal="right"/>
    </xf>
    <xf numFmtId="0" fontId="41" fillId="0" borderId="0" xfId="0" applyFont="1" applyAlignment="1">
      <alignment wrapText="1"/>
    </xf>
    <xf numFmtId="0" fontId="0" fillId="6" borderId="12" xfId="0" applyFill="1" applyBorder="1" applyAlignment="1">
      <alignment wrapText="1"/>
    </xf>
    <xf numFmtId="0" fontId="0" fillId="8" borderId="2" xfId="0" applyFill="1" applyBorder="1" applyAlignment="1" applyProtection="1">
      <alignment horizontal="center"/>
    </xf>
    <xf numFmtId="0" fontId="0" fillId="8" borderId="11" xfId="0" applyFill="1" applyBorder="1" applyAlignment="1" applyProtection="1">
      <alignment horizontal="center"/>
    </xf>
    <xf numFmtId="0" fontId="0" fillId="8" borderId="1" xfId="0" applyFill="1" applyBorder="1" applyAlignment="1" applyProtection="1">
      <alignment horizontal="center"/>
    </xf>
    <xf numFmtId="0" fontId="0" fillId="0" borderId="0" xfId="0" applyAlignment="1">
      <alignment vertical="top" wrapText="1"/>
    </xf>
    <xf numFmtId="0" fontId="17" fillId="6" borderId="0" xfId="13" applyFont="1" applyFill="1" applyBorder="1" applyAlignment="1" applyProtection="1">
      <alignment horizontal="center" vertical="center" wrapText="1"/>
      <protection locked="0"/>
    </xf>
    <xf numFmtId="0" fontId="30" fillId="6" borderId="4" xfId="13" applyFont="1" applyFill="1" applyBorder="1" applyAlignment="1" applyProtection="1">
      <alignment horizontal="center" vertical="center" wrapText="1"/>
      <protection locked="0"/>
    </xf>
    <xf numFmtId="0" fontId="0" fillId="0" borderId="10" xfId="0" applyBorder="1" applyAlignment="1" applyProtection="1">
      <alignment horizontal="center" vertical="center" wrapText="1"/>
      <protection locked="0"/>
    </xf>
    <xf numFmtId="0" fontId="0" fillId="0" borderId="14" xfId="0" applyBorder="1" applyAlignment="1" applyProtection="1">
      <alignment horizontal="center" vertical="center" wrapText="1"/>
      <protection locked="0"/>
    </xf>
    <xf numFmtId="0" fontId="0" fillId="0" borderId="5" xfId="0" applyBorder="1" applyAlignment="1" applyProtection="1">
      <alignment horizontal="center" vertical="center" wrapText="1"/>
      <protection locked="0"/>
    </xf>
    <xf numFmtId="0" fontId="0" fillId="0" borderId="0" xfId="0" applyBorder="1" applyAlignment="1" applyProtection="1">
      <alignment horizontal="center" vertical="center" wrapText="1"/>
      <protection locked="0"/>
    </xf>
    <xf numFmtId="0" fontId="0" fillId="0" borderId="13" xfId="0" applyBorder="1" applyAlignment="1" applyProtection="1">
      <alignment horizontal="center" vertical="center" wrapText="1"/>
      <protection locked="0"/>
    </xf>
    <xf numFmtId="0" fontId="0" fillId="0" borderId="6" xfId="0" applyBorder="1" applyAlignment="1">
      <alignment wrapText="1"/>
    </xf>
    <xf numFmtId="0" fontId="0" fillId="0" borderId="12" xfId="0" applyBorder="1" applyAlignment="1">
      <alignment wrapText="1"/>
    </xf>
    <xf numFmtId="0" fontId="0" fillId="0" borderId="15" xfId="0" applyBorder="1" applyAlignment="1">
      <alignment wrapText="1"/>
    </xf>
    <xf numFmtId="0" fontId="42" fillId="6" borderId="0" xfId="0" applyFont="1" applyFill="1" applyAlignment="1">
      <alignment vertical="top" wrapText="1"/>
    </xf>
    <xf numFmtId="0" fontId="0" fillId="6" borderId="0" xfId="0" applyFill="1" applyAlignment="1">
      <alignment vertical="top" wrapText="1"/>
    </xf>
  </cellXfs>
  <cellStyles count="19">
    <cellStyle name="%" xfId="1"/>
    <cellStyle name="% 2" xfId="13"/>
    <cellStyle name="Comma" xfId="2" builtinId="3"/>
    <cellStyle name="Comma 2" xfId="3"/>
    <cellStyle name="Comma 3" xfId="4"/>
    <cellStyle name="Comma 3 2" xfId="15"/>
    <cellStyle name="Comma 4" xfId="14"/>
    <cellStyle name="Currency" xfId="5" builtinId="4"/>
    <cellStyle name="Currency 2" xfId="6"/>
    <cellStyle name="Currency 2 2" xfId="17"/>
    <cellStyle name="Currency 3" xfId="16"/>
    <cellStyle name="Hyperlink 2" xfId="7"/>
    <cellStyle name="Normal" xfId="0" builtinId="0"/>
    <cellStyle name="Normal 2" xfId="8"/>
    <cellStyle name="Normal 3" xfId="9"/>
    <cellStyle name="Normal 4" xfId="10"/>
    <cellStyle name="Percent" xfId="11" builtinId="5"/>
    <cellStyle name="Percent 2" xfId="12"/>
    <cellStyle name="Percent 3" xfId="18"/>
  </cellStyles>
  <dxfs count="6">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s>
  <tableStyles count="0" defaultTableStyle="TableStyleMedium9" defaultPivotStyle="PivotStyleLight16"/>
  <colors>
    <mruColors>
      <color rgb="FFCCFFCC"/>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V119"/>
  <sheetViews>
    <sheetView tabSelected="1" topLeftCell="A40" zoomScale="55" zoomScaleNormal="55" workbookViewId="0">
      <selection activeCell="H82" sqref="H82"/>
    </sheetView>
  </sheetViews>
  <sheetFormatPr defaultColWidth="8.88671875" defaultRowHeight="15" x14ac:dyDescent="0.2"/>
  <cols>
    <col min="1" max="1" width="2" style="52" customWidth="1"/>
    <col min="2" max="2" width="16.5546875" style="55" customWidth="1"/>
    <col min="3" max="13" width="10.6640625" style="55" customWidth="1"/>
    <col min="14" max="18" width="10.6640625" style="52" customWidth="1"/>
    <col min="19" max="16384" width="8.88671875" style="52"/>
  </cols>
  <sheetData>
    <row r="2" spans="1:18" ht="20.25" x14ac:dyDescent="0.3">
      <c r="B2" s="53" t="s">
        <v>208</v>
      </c>
      <c r="C2" s="54"/>
      <c r="D2" s="54"/>
    </row>
    <row r="3" spans="1:18" ht="20.25" x14ac:dyDescent="0.3">
      <c r="B3" s="56" t="s">
        <v>216</v>
      </c>
      <c r="C3" s="54"/>
      <c r="D3" s="54"/>
    </row>
    <row r="4" spans="1:18" x14ac:dyDescent="0.2">
      <c r="B4" s="57"/>
      <c r="C4" s="44"/>
      <c r="D4" s="44"/>
    </row>
    <row r="5" spans="1:18" ht="20.25" x14ac:dyDescent="0.3">
      <c r="B5" s="249" t="s">
        <v>138</v>
      </c>
      <c r="C5" s="249"/>
      <c r="D5" s="249"/>
      <c r="E5" s="202" t="s">
        <v>218</v>
      </c>
      <c r="F5" s="164"/>
      <c r="G5" s="164"/>
      <c r="H5" s="164"/>
      <c r="I5" s="164"/>
      <c r="J5" s="164"/>
      <c r="K5" s="164"/>
      <c r="L5" s="164"/>
      <c r="M5" s="164"/>
      <c r="N5" s="164"/>
      <c r="O5" s="164"/>
      <c r="P5" s="58"/>
      <c r="Q5" s="59"/>
      <c r="R5" s="59"/>
    </row>
    <row r="6" spans="1:18" ht="20.25" x14ac:dyDescent="0.3">
      <c r="B6" s="201" t="s">
        <v>139</v>
      </c>
      <c r="C6" s="201"/>
      <c r="D6" s="201"/>
      <c r="E6" s="203" t="s">
        <v>219</v>
      </c>
      <c r="F6" s="164"/>
      <c r="G6" s="164"/>
      <c r="H6" s="164"/>
      <c r="I6" s="164"/>
      <c r="J6" s="164"/>
      <c r="K6" s="164"/>
      <c r="L6" s="164"/>
      <c r="M6" s="164"/>
      <c r="N6" s="164"/>
      <c r="O6" s="164"/>
      <c r="P6" s="58"/>
      <c r="Q6" s="59"/>
      <c r="R6" s="59"/>
    </row>
    <row r="7" spans="1:18" x14ac:dyDescent="0.2">
      <c r="B7" s="159"/>
      <c r="C7" s="160"/>
      <c r="D7" s="160"/>
    </row>
    <row r="8" spans="1:18" x14ac:dyDescent="0.2">
      <c r="B8" s="161"/>
      <c r="C8" s="160"/>
      <c r="D8" s="160"/>
      <c r="L8" s="60" t="s">
        <v>13</v>
      </c>
      <c r="M8" s="250" t="s">
        <v>14</v>
      </c>
      <c r="N8" s="251"/>
      <c r="O8" s="252"/>
    </row>
    <row r="9" spans="1:18" ht="15.75" x14ac:dyDescent="0.25">
      <c r="B9" s="162" t="s">
        <v>188</v>
      </c>
      <c r="J9" s="55" t="s">
        <v>153</v>
      </c>
      <c r="L9" s="52"/>
      <c r="M9" s="253" t="s">
        <v>15</v>
      </c>
      <c r="N9" s="254"/>
      <c r="O9" s="255"/>
    </row>
    <row r="10" spans="1:18" ht="15.75" x14ac:dyDescent="0.25">
      <c r="B10" s="163" t="s">
        <v>135</v>
      </c>
      <c r="L10" s="52"/>
      <c r="M10" s="61"/>
      <c r="N10" s="61"/>
      <c r="O10" s="61"/>
    </row>
    <row r="11" spans="1:18" s="65" customFormat="1" ht="10.9" customHeight="1" x14ac:dyDescent="0.2">
      <c r="A11" s="62"/>
      <c r="B11" s="63"/>
      <c r="C11" s="64"/>
      <c r="D11" s="64"/>
      <c r="E11" s="64"/>
      <c r="F11" s="64"/>
      <c r="G11" s="64"/>
      <c r="H11" s="64"/>
      <c r="I11" s="64"/>
      <c r="J11" s="64"/>
      <c r="K11" s="64"/>
      <c r="L11" s="64"/>
      <c r="M11" s="64"/>
      <c r="N11" s="64"/>
      <c r="O11" s="64"/>
      <c r="P11" s="62"/>
    </row>
    <row r="12" spans="1:18" ht="15" customHeight="1" x14ac:dyDescent="0.25">
      <c r="B12" s="158" t="s">
        <v>203</v>
      </c>
      <c r="C12" s="44"/>
      <c r="D12" s="44"/>
      <c r="E12" s="44"/>
      <c r="F12" s="66"/>
      <c r="G12" s="42"/>
      <c r="H12" s="52"/>
      <c r="I12" s="52"/>
      <c r="O12" s="67"/>
      <c r="P12" s="67"/>
    </row>
    <row r="13" spans="1:18" ht="15" customHeight="1" x14ac:dyDescent="0.25">
      <c r="G13" s="142"/>
      <c r="I13" s="52"/>
      <c r="J13" s="67"/>
      <c r="K13" s="52"/>
      <c r="M13" s="69" t="s">
        <v>101</v>
      </c>
      <c r="N13" s="212">
        <f>H29/H37</f>
        <v>5.3164556962025316</v>
      </c>
      <c r="O13" s="204" t="s">
        <v>17</v>
      </c>
    </row>
    <row r="14" spans="1:18" ht="15" customHeight="1" x14ac:dyDescent="0.25">
      <c r="B14" s="153" t="str">
        <f>IF(J25="No"," WARNING: 'Maximum grant rate reduced to 45% as a strategic approach not taken and benefits may be double counted"," ")</f>
        <v xml:space="preserve"> </v>
      </c>
      <c r="C14" s="44"/>
      <c r="D14" s="44"/>
      <c r="E14" s="44"/>
      <c r="F14" s="44"/>
      <c r="G14" s="44"/>
      <c r="H14" s="44"/>
      <c r="K14" s="52"/>
      <c r="L14" s="71"/>
      <c r="M14" s="72" t="s">
        <v>16</v>
      </c>
      <c r="N14" s="213">
        <f>H29/MIN(H21,H37)</f>
        <v>13.636363636363637</v>
      </c>
      <c r="O14" s="204" t="s">
        <v>17</v>
      </c>
    </row>
    <row r="15" spans="1:18" ht="15" customHeight="1" x14ac:dyDescent="0.25">
      <c r="B15" s="68" t="s">
        <v>160</v>
      </c>
      <c r="C15" s="73"/>
      <c r="D15" s="73"/>
      <c r="E15" s="73"/>
      <c r="F15" s="73"/>
      <c r="G15" s="73"/>
      <c r="H15" s="214">
        <f>IF(J25="yes",I97/MAX(H37,H34),IF(J25="Yes",I97/MAX(H37,H34),0.45*I97/MAX(H37,H34)))</f>
        <v>2660.402204046673</v>
      </c>
      <c r="I15" s="71" t="s">
        <v>165</v>
      </c>
      <c r="K15" s="52"/>
      <c r="L15" s="52"/>
      <c r="M15" s="72" t="s">
        <v>18</v>
      </c>
      <c r="N15" s="213">
        <f>IF(H44&gt;0,H29/H44,"n/a")</f>
        <v>11.602209944751381</v>
      </c>
      <c r="O15" s="204" t="s">
        <v>17</v>
      </c>
    </row>
    <row r="16" spans="1:18" ht="15" customHeight="1" x14ac:dyDescent="0.25">
      <c r="B16" s="68"/>
      <c r="C16" s="44"/>
      <c r="D16" s="44"/>
      <c r="E16" s="44"/>
      <c r="F16" s="44"/>
      <c r="G16" s="44"/>
      <c r="H16" s="44"/>
      <c r="K16" s="52"/>
      <c r="L16" s="52"/>
      <c r="M16" s="52"/>
    </row>
    <row r="17" spans="2:22" ht="15" customHeight="1" x14ac:dyDescent="0.25">
      <c r="B17" s="145" t="s">
        <v>157</v>
      </c>
      <c r="C17" s="44"/>
      <c r="D17" s="44"/>
      <c r="E17" s="44"/>
      <c r="F17" s="44"/>
      <c r="G17" s="44"/>
      <c r="H17" s="215">
        <f>IF(J25="Yes",MAX(IF(Authority="EA",MAX(H37,H34)-MIN(I97,H37),H34*(1-(RawOMScore))),0),IF(Authority="EA",MAX(H37,H34)-MIN(I97*0.45,H37),H34*(1-(I15))))</f>
        <v>0</v>
      </c>
      <c r="I17" s="71" t="s">
        <v>166</v>
      </c>
      <c r="J17" s="232" t="s">
        <v>209</v>
      </c>
      <c r="K17" s="233"/>
      <c r="L17" s="233"/>
      <c r="M17" s="233"/>
      <c r="N17" s="233"/>
      <c r="O17" s="233"/>
      <c r="Q17" s="230"/>
      <c r="R17" s="231"/>
      <c r="S17" s="231"/>
      <c r="T17" s="231"/>
      <c r="U17" s="231"/>
      <c r="V17" s="231"/>
    </row>
    <row r="18" spans="2:22" ht="15" customHeight="1" x14ac:dyDescent="0.25">
      <c r="B18" s="68"/>
      <c r="C18" s="44"/>
      <c r="D18" s="44"/>
      <c r="E18" s="44"/>
      <c r="F18" s="44"/>
      <c r="G18" s="44"/>
      <c r="H18" s="44"/>
      <c r="I18" s="93"/>
      <c r="J18" s="233"/>
      <c r="K18" s="233"/>
      <c r="L18" s="233"/>
      <c r="M18" s="233"/>
      <c r="N18" s="233"/>
      <c r="O18" s="233"/>
      <c r="Q18" s="231"/>
      <c r="R18" s="231"/>
      <c r="S18" s="231"/>
      <c r="T18" s="231"/>
      <c r="U18" s="231"/>
      <c r="V18" s="231"/>
    </row>
    <row r="19" spans="2:22" ht="15" customHeight="1" x14ac:dyDescent="0.25">
      <c r="B19" s="68" t="s">
        <v>140</v>
      </c>
      <c r="C19" s="74"/>
      <c r="D19" s="74"/>
      <c r="E19" s="74"/>
      <c r="F19" s="74"/>
      <c r="G19" s="74"/>
      <c r="H19" s="214">
        <f>IF(J25="Yes",IF(Authority="EA",I97/MAX(MAX(H37,H34)-H44,1),RawOMScore+H44/H34),IF(Authority="EA",I97*0.45/MAX(MAX(H37,H34)-H44,1),H15+H44/H34))</f>
        <v>2660.9425025541354</v>
      </c>
      <c r="I19" s="71" t="s">
        <v>167</v>
      </c>
      <c r="J19" s="233"/>
      <c r="K19" s="233"/>
      <c r="L19" s="233"/>
      <c r="M19" s="233"/>
      <c r="N19" s="233"/>
      <c r="O19" s="233"/>
      <c r="Q19" s="231"/>
      <c r="R19" s="231"/>
      <c r="S19" s="231"/>
      <c r="T19" s="231"/>
      <c r="U19" s="231"/>
      <c r="V19" s="231"/>
    </row>
    <row r="20" spans="2:22" ht="15" customHeight="1" x14ac:dyDescent="0.2">
      <c r="J20" s="233"/>
      <c r="K20" s="233"/>
      <c r="L20" s="233"/>
      <c r="M20" s="233"/>
      <c r="N20" s="233"/>
      <c r="O20" s="233"/>
      <c r="Q20" s="231"/>
      <c r="R20" s="231"/>
      <c r="S20" s="231"/>
      <c r="T20" s="231"/>
      <c r="U20" s="231"/>
      <c r="V20" s="231"/>
    </row>
    <row r="21" spans="2:22" ht="15" customHeight="1" x14ac:dyDescent="0.25">
      <c r="B21" s="146" t="s">
        <v>204</v>
      </c>
      <c r="C21" s="70"/>
      <c r="D21" s="70"/>
      <c r="E21" s="70"/>
      <c r="F21" s="70"/>
      <c r="G21" s="70"/>
      <c r="H21" s="216">
        <f>IF(ROUNDUP(AdjOMScore,4)&lt;100%,"-",H34-H44)</f>
        <v>308</v>
      </c>
      <c r="I21" s="71" t="s">
        <v>168</v>
      </c>
      <c r="J21" s="233"/>
      <c r="K21" s="233"/>
      <c r="L21" s="233"/>
      <c r="M21" s="233"/>
      <c r="N21" s="233"/>
      <c r="O21" s="233"/>
      <c r="Q21" s="231"/>
      <c r="R21" s="231"/>
      <c r="S21" s="231"/>
      <c r="T21" s="231"/>
      <c r="U21" s="231"/>
      <c r="V21" s="231"/>
    </row>
    <row r="22" spans="2:22" ht="22.5" customHeight="1" x14ac:dyDescent="0.25">
      <c r="B22" s="75"/>
      <c r="C22" s="52"/>
      <c r="D22" s="52"/>
      <c r="E22" s="52"/>
      <c r="G22" s="76"/>
      <c r="H22" s="76"/>
      <c r="I22" s="67"/>
      <c r="J22" s="241"/>
      <c r="K22" s="241"/>
      <c r="L22" s="241"/>
      <c r="M22" s="241"/>
      <c r="N22" s="241"/>
      <c r="O22" s="241"/>
      <c r="Q22" s="231"/>
      <c r="R22" s="231"/>
      <c r="S22" s="231"/>
      <c r="T22" s="231"/>
      <c r="U22" s="231"/>
      <c r="V22" s="231"/>
    </row>
    <row r="23" spans="2:22" ht="6.75" customHeight="1" x14ac:dyDescent="0.2">
      <c r="B23" s="77"/>
      <c r="C23" s="77"/>
      <c r="D23" s="77"/>
      <c r="E23" s="77"/>
      <c r="F23" s="77"/>
      <c r="G23" s="77"/>
      <c r="H23" s="77"/>
      <c r="I23" s="77"/>
      <c r="J23" s="196"/>
      <c r="K23" s="196"/>
      <c r="L23" s="196"/>
      <c r="M23" s="196"/>
      <c r="N23" s="196"/>
      <c r="O23" s="197"/>
      <c r="P23" s="65"/>
      <c r="Q23" s="231"/>
      <c r="R23" s="231"/>
      <c r="S23" s="231"/>
      <c r="T23" s="231"/>
      <c r="U23" s="231"/>
      <c r="V23" s="231"/>
    </row>
    <row r="24" spans="2:22" ht="15" customHeight="1" x14ac:dyDescent="0.25">
      <c r="B24" s="78" t="s">
        <v>97</v>
      </c>
      <c r="C24" s="79"/>
      <c r="D24" s="79"/>
      <c r="E24" s="52"/>
      <c r="F24" s="52"/>
      <c r="G24" s="52"/>
      <c r="H24" s="52"/>
      <c r="M24" s="85"/>
      <c r="N24" s="85"/>
      <c r="O24" s="85"/>
    </row>
    <row r="25" spans="2:22" ht="15.75" x14ac:dyDescent="0.25">
      <c r="B25" s="80" t="s">
        <v>134</v>
      </c>
      <c r="C25" s="79"/>
      <c r="D25" s="81"/>
      <c r="E25" s="52"/>
      <c r="F25" s="52"/>
      <c r="G25" s="52"/>
      <c r="H25" s="45" t="s">
        <v>220</v>
      </c>
      <c r="I25" s="71" t="s">
        <v>169</v>
      </c>
      <c r="J25" s="198" t="s">
        <v>221</v>
      </c>
      <c r="K25" s="199" t="s">
        <v>182</v>
      </c>
      <c r="L25" s="200"/>
      <c r="M25" s="200"/>
      <c r="N25" s="200"/>
      <c r="O25" s="200"/>
    </row>
    <row r="26" spans="2:22" ht="15.75" x14ac:dyDescent="0.25">
      <c r="B26" s="79"/>
      <c r="C26" s="79"/>
      <c r="D26" s="81"/>
      <c r="E26" s="52"/>
      <c r="F26" s="52"/>
      <c r="G26" s="52"/>
      <c r="H26" s="69"/>
      <c r="I26" s="52"/>
      <c r="J26" s="243" t="s">
        <v>183</v>
      </c>
      <c r="K26" s="244"/>
      <c r="L26" s="244"/>
      <c r="M26" s="244"/>
      <c r="N26" s="244"/>
      <c r="O26" s="200"/>
      <c r="P26" s="143"/>
    </row>
    <row r="27" spans="2:22" ht="15.75" x14ac:dyDescent="0.25">
      <c r="B27" s="80" t="s">
        <v>129</v>
      </c>
      <c r="C27" s="79"/>
      <c r="D27" s="81"/>
      <c r="E27" s="52"/>
      <c r="F27" s="52"/>
      <c r="G27" s="52"/>
      <c r="H27" s="45">
        <v>57</v>
      </c>
      <c r="I27" s="71" t="s">
        <v>170</v>
      </c>
      <c r="J27" s="244"/>
      <c r="K27" s="244"/>
      <c r="L27" s="244"/>
      <c r="M27" s="244"/>
      <c r="N27" s="244"/>
      <c r="O27" s="55"/>
    </row>
    <row r="28" spans="2:22" ht="15.75" x14ac:dyDescent="0.25">
      <c r="B28" s="80"/>
      <c r="C28" s="79"/>
      <c r="D28" s="81"/>
      <c r="E28" s="52"/>
      <c r="F28" s="52"/>
      <c r="G28" s="52"/>
      <c r="H28" s="52"/>
      <c r="I28" s="52"/>
      <c r="J28" s="85"/>
      <c r="K28" s="85"/>
      <c r="L28" s="85"/>
      <c r="M28" s="85"/>
      <c r="N28" s="85"/>
      <c r="O28" s="55"/>
    </row>
    <row r="29" spans="2:22" ht="15.75" x14ac:dyDescent="0.25">
      <c r="B29" s="80" t="s">
        <v>9</v>
      </c>
      <c r="C29" s="79"/>
      <c r="D29" s="81"/>
      <c r="E29" s="52"/>
      <c r="F29" s="52"/>
      <c r="G29" s="52"/>
      <c r="H29" s="49">
        <f>4200</f>
        <v>4200</v>
      </c>
      <c r="I29" s="71" t="s">
        <v>171</v>
      </c>
      <c r="J29" s="85"/>
      <c r="K29" s="85"/>
      <c r="L29" s="85"/>
      <c r="M29" s="85"/>
      <c r="N29" s="85"/>
      <c r="O29" s="55"/>
    </row>
    <row r="30" spans="2:22" ht="15.75" customHeight="1" x14ac:dyDescent="0.25">
      <c r="B30" s="80"/>
      <c r="C30" s="79"/>
      <c r="D30" s="81"/>
      <c r="E30" s="52"/>
      <c r="F30" s="52"/>
      <c r="G30" s="52"/>
      <c r="H30" s="52"/>
      <c r="I30" s="52"/>
      <c r="J30" s="234" t="s">
        <v>210</v>
      </c>
      <c r="K30" s="235"/>
      <c r="L30" s="235"/>
      <c r="M30" s="235"/>
      <c r="N30" s="236"/>
      <c r="O30" s="85"/>
    </row>
    <row r="31" spans="2:22" ht="15.75" x14ac:dyDescent="0.25">
      <c r="B31" s="82" t="s">
        <v>158</v>
      </c>
      <c r="C31" s="79"/>
      <c r="D31" s="81"/>
      <c r="E31" s="52"/>
      <c r="F31" s="52"/>
      <c r="G31" s="52"/>
      <c r="H31" s="69"/>
      <c r="I31" s="52"/>
      <c r="J31" s="237"/>
      <c r="K31" s="238"/>
      <c r="L31" s="238"/>
      <c r="M31" s="238"/>
      <c r="N31" s="239"/>
      <c r="O31" s="55"/>
    </row>
    <row r="32" spans="2:22" x14ac:dyDescent="0.2">
      <c r="B32" s="79" t="s">
        <v>122</v>
      </c>
      <c r="C32" s="79"/>
      <c r="D32" s="81"/>
      <c r="E32" s="52"/>
      <c r="F32" s="52"/>
      <c r="G32" s="52"/>
      <c r="H32" s="46">
        <v>50</v>
      </c>
      <c r="I32" s="71" t="s">
        <v>172</v>
      </c>
      <c r="J32" s="237"/>
      <c r="K32" s="238"/>
      <c r="L32" s="238"/>
      <c r="M32" s="238"/>
      <c r="N32" s="239"/>
      <c r="O32" s="85"/>
    </row>
    <row r="33" spans="2:21" x14ac:dyDescent="0.2">
      <c r="B33" s="79" t="s">
        <v>130</v>
      </c>
      <c r="C33" s="79"/>
      <c r="D33" s="81"/>
      <c r="E33" s="52"/>
      <c r="F33" s="52"/>
      <c r="G33" s="52"/>
      <c r="H33" s="46">
        <f>620</f>
        <v>620</v>
      </c>
      <c r="I33" s="71" t="s">
        <v>173</v>
      </c>
      <c r="J33" s="240"/>
      <c r="K33" s="241"/>
      <c r="L33" s="241"/>
      <c r="M33" s="241"/>
      <c r="N33" s="242"/>
      <c r="O33" s="85"/>
    </row>
    <row r="34" spans="2:21" ht="15.75" x14ac:dyDescent="0.25">
      <c r="B34" s="82" t="s">
        <v>161</v>
      </c>
      <c r="C34" s="79"/>
      <c r="D34" s="81"/>
      <c r="E34" s="52"/>
      <c r="F34" s="52"/>
      <c r="G34" s="52"/>
      <c r="H34" s="217">
        <f>SUM(H32:H33)</f>
        <v>670</v>
      </c>
      <c r="I34" s="71" t="s">
        <v>174</v>
      </c>
      <c r="J34" s="85"/>
      <c r="K34" s="85"/>
      <c r="L34" s="85"/>
      <c r="M34" s="85"/>
      <c r="N34" s="85"/>
      <c r="O34" s="85"/>
    </row>
    <row r="35" spans="2:21" ht="15" customHeight="1" x14ac:dyDescent="0.25">
      <c r="B35" s="82"/>
      <c r="C35" s="79"/>
      <c r="D35" s="81"/>
      <c r="E35" s="52"/>
      <c r="F35" s="52"/>
      <c r="G35" s="52"/>
      <c r="H35" s="83"/>
      <c r="I35" s="52"/>
      <c r="J35" s="85"/>
      <c r="K35" s="85"/>
      <c r="L35" s="85"/>
      <c r="M35" s="85"/>
      <c r="N35" s="85"/>
      <c r="O35" s="85"/>
    </row>
    <row r="36" spans="2:21" x14ac:dyDescent="0.2">
      <c r="B36" s="79" t="s">
        <v>131</v>
      </c>
      <c r="C36" s="79"/>
      <c r="D36" s="81"/>
      <c r="E36" s="52"/>
      <c r="F36" s="52"/>
      <c r="G36" s="52"/>
      <c r="H36" s="47">
        <v>120</v>
      </c>
      <c r="I36" s="71" t="s">
        <v>175</v>
      </c>
      <c r="J36" s="85"/>
      <c r="K36" s="85"/>
      <c r="L36" s="85"/>
      <c r="M36" s="85"/>
      <c r="N36" s="85"/>
      <c r="O36" s="85"/>
    </row>
    <row r="37" spans="2:21" ht="15.75" x14ac:dyDescent="0.25">
      <c r="B37" s="80" t="s">
        <v>123</v>
      </c>
      <c r="C37" s="79"/>
      <c r="D37" s="81"/>
      <c r="E37" s="52"/>
      <c r="F37" s="52"/>
      <c r="G37" s="52"/>
      <c r="H37" s="218">
        <f>H36+H34</f>
        <v>790</v>
      </c>
      <c r="I37" s="71" t="s">
        <v>176</v>
      </c>
      <c r="J37" s="85"/>
      <c r="K37" s="85"/>
      <c r="L37" s="85"/>
      <c r="M37" s="85"/>
      <c r="N37" s="85"/>
      <c r="O37" s="85"/>
    </row>
    <row r="38" spans="2:21" ht="30" customHeight="1" x14ac:dyDescent="0.2">
      <c r="B38" s="79"/>
      <c r="C38" s="79"/>
      <c r="D38" s="81"/>
      <c r="E38" s="52"/>
      <c r="F38" s="52"/>
      <c r="G38" s="52"/>
      <c r="H38" s="83"/>
      <c r="I38" s="52"/>
      <c r="J38" s="229" t="s">
        <v>213</v>
      </c>
      <c r="K38" s="228"/>
      <c r="L38" s="228"/>
      <c r="M38" s="228"/>
      <c r="N38" s="228"/>
      <c r="O38" s="228"/>
      <c r="P38" s="245"/>
      <c r="Q38" s="245"/>
      <c r="R38" s="245"/>
      <c r="S38" s="245"/>
      <c r="T38" s="245"/>
      <c r="U38" s="245"/>
    </row>
    <row r="39" spans="2:21" ht="15" customHeight="1" x14ac:dyDescent="0.25">
      <c r="B39" s="156" t="s">
        <v>159</v>
      </c>
      <c r="C39" s="79"/>
      <c r="D39" s="81"/>
      <c r="E39" s="52"/>
      <c r="F39" s="52"/>
      <c r="G39" s="52"/>
      <c r="H39" s="83"/>
      <c r="I39" s="52"/>
      <c r="J39" s="228"/>
      <c r="K39" s="228"/>
      <c r="L39" s="228"/>
      <c r="M39" s="228"/>
      <c r="N39" s="228"/>
      <c r="O39" s="228"/>
      <c r="P39" s="245"/>
      <c r="Q39" s="245"/>
      <c r="R39" s="245"/>
      <c r="S39" s="245"/>
      <c r="T39" s="245"/>
      <c r="U39" s="245"/>
    </row>
    <row r="40" spans="2:21" ht="15" customHeight="1" x14ac:dyDescent="0.2">
      <c r="B40" s="79" t="s">
        <v>124</v>
      </c>
      <c r="C40" s="79"/>
      <c r="D40" s="81"/>
      <c r="E40" s="52"/>
      <c r="F40" s="52"/>
      <c r="G40" s="52"/>
      <c r="H40" s="48">
        <v>80</v>
      </c>
      <c r="I40" s="71" t="s">
        <v>177</v>
      </c>
      <c r="J40" s="228" t="str">
        <f>IF(H25="EA","This scheme is to be maintained by the EA (ref cell 5). Any contributions needed (ref cell 2) are to help fund both the ongoing and up-front costs (Cost for Approval), and should be entered into cells(14-17).","This scheme is to be maintained by an RMA other than the EA (ref cell 5). Capital FCRM GiA will fund the appropriate share of the up-front costs (Costs for Approval) with any shortfall needing to be paid for via contributions identified in cells(14-17)."&amp;" Ongoing costs are a matter for local agreement by the RMA and should not be included in cells(14-17)."&amp;" It is recommended that the RMA takes the opportunities created during scheme development to secure funding of the future ongoing costs which can be presented in the Grant application business case.")</f>
        <v>This scheme is to be maintained by an RMA other than the EA (ref cell 5). Capital FCRM GiA will fund the appropriate share of the up-front costs (Costs for Approval) with any shortfall needing to be paid for via contributions identified in cells(14-17). Ongoing costs are a matter for local agreement by the RMA and should not be included in cells(14-17). It is recommended that the RMA takes the opportunities created during scheme development to secure funding of the future ongoing costs which can be presented in the Grant application business case.</v>
      </c>
      <c r="K40" s="228"/>
      <c r="L40" s="228"/>
      <c r="M40" s="228"/>
      <c r="N40" s="228"/>
      <c r="O40" s="228"/>
      <c r="P40" s="245"/>
      <c r="Q40" s="245"/>
      <c r="R40" s="245"/>
      <c r="S40" s="245"/>
      <c r="T40" s="245"/>
      <c r="U40" s="245"/>
    </row>
    <row r="41" spans="2:21" ht="15" customHeight="1" x14ac:dyDescent="0.2">
      <c r="B41" s="79" t="s">
        <v>125</v>
      </c>
      <c r="C41" s="79"/>
      <c r="D41" s="81"/>
      <c r="E41" s="52"/>
      <c r="F41" s="52"/>
      <c r="G41" s="52"/>
      <c r="H41" s="46">
        <v>100</v>
      </c>
      <c r="I41" s="71" t="s">
        <v>178</v>
      </c>
      <c r="J41" s="228"/>
      <c r="K41" s="228"/>
      <c r="L41" s="228"/>
      <c r="M41" s="228"/>
      <c r="N41" s="228"/>
      <c r="O41" s="228"/>
      <c r="P41" s="245"/>
      <c r="Q41" s="245"/>
      <c r="R41" s="245"/>
      <c r="S41" s="245"/>
      <c r="T41" s="245"/>
      <c r="U41" s="245"/>
    </row>
    <row r="42" spans="2:21" ht="15" customHeight="1" x14ac:dyDescent="0.2">
      <c r="B42" s="79" t="s">
        <v>126</v>
      </c>
      <c r="C42" s="79"/>
      <c r="D42" s="81"/>
      <c r="E42" s="52"/>
      <c r="F42" s="52"/>
      <c r="G42" s="52"/>
      <c r="H42" s="48">
        <v>182</v>
      </c>
      <c r="I42" s="71" t="s">
        <v>179</v>
      </c>
      <c r="J42" s="228"/>
      <c r="K42" s="228"/>
      <c r="L42" s="228"/>
      <c r="M42" s="228"/>
      <c r="N42" s="228"/>
      <c r="O42" s="228"/>
      <c r="P42" s="245"/>
      <c r="Q42" s="245"/>
      <c r="R42" s="245"/>
      <c r="S42" s="245"/>
      <c r="T42" s="245"/>
      <c r="U42" s="245"/>
    </row>
    <row r="43" spans="2:21" ht="15" customHeight="1" x14ac:dyDescent="0.2">
      <c r="B43" s="79" t="s">
        <v>127</v>
      </c>
      <c r="C43" s="79"/>
      <c r="D43" s="81"/>
      <c r="E43" s="52"/>
      <c r="F43" s="52"/>
      <c r="G43" s="52"/>
      <c r="H43" s="48"/>
      <c r="I43" s="71" t="s">
        <v>180</v>
      </c>
      <c r="J43" s="228"/>
      <c r="K43" s="228"/>
      <c r="L43" s="228"/>
      <c r="M43" s="228"/>
      <c r="N43" s="228"/>
      <c r="O43" s="228"/>
      <c r="P43" s="245"/>
      <c r="Q43" s="245"/>
      <c r="R43" s="245"/>
      <c r="S43" s="245"/>
      <c r="T43" s="245"/>
      <c r="U43" s="245"/>
    </row>
    <row r="44" spans="2:21" ht="15.75" x14ac:dyDescent="0.25">
      <c r="B44" s="82" t="s">
        <v>128</v>
      </c>
      <c r="C44" s="79"/>
      <c r="D44" s="81"/>
      <c r="E44" s="52"/>
      <c r="F44" s="52"/>
      <c r="G44" s="52"/>
      <c r="H44" s="219">
        <f>SUM(H40:H43)</f>
        <v>362</v>
      </c>
      <c r="I44" s="71" t="s">
        <v>181</v>
      </c>
      <c r="J44" s="228"/>
      <c r="K44" s="228"/>
      <c r="L44" s="228"/>
      <c r="M44" s="228"/>
      <c r="N44" s="228"/>
      <c r="O44" s="228"/>
    </row>
    <row r="45" spans="2:21" ht="15.75" x14ac:dyDescent="0.25">
      <c r="B45" s="144" t="str">
        <f>IF(H44&lt;H17,"WARNING: Contributions less than minimum required in cell (2)"," ")</f>
        <v xml:space="preserve"> </v>
      </c>
      <c r="C45" s="79"/>
      <c r="D45" s="52"/>
      <c r="E45" s="52"/>
      <c r="F45" s="52"/>
      <c r="G45" s="52"/>
      <c r="H45" s="52"/>
      <c r="I45" s="71"/>
      <c r="J45" s="228"/>
      <c r="K45" s="228"/>
      <c r="L45" s="228"/>
      <c r="M45" s="228"/>
      <c r="N45" s="228"/>
      <c r="O45" s="228"/>
    </row>
    <row r="46" spans="2:21" ht="15.75" x14ac:dyDescent="0.25">
      <c r="B46" s="82"/>
      <c r="C46" s="79"/>
      <c r="D46" s="81"/>
      <c r="E46" s="52"/>
      <c r="F46" s="52"/>
      <c r="G46" s="52"/>
      <c r="H46" s="52"/>
      <c r="I46" s="71"/>
      <c r="J46" s="228"/>
      <c r="K46" s="228"/>
      <c r="L46" s="228"/>
      <c r="M46" s="228"/>
      <c r="N46" s="228"/>
      <c r="O46" s="228"/>
    </row>
    <row r="47" spans="2:21" ht="7.5" customHeight="1" x14ac:dyDescent="0.2">
      <c r="B47" s="52"/>
      <c r="C47" s="52"/>
      <c r="D47" s="52"/>
      <c r="E47" s="43"/>
      <c r="F47" s="43"/>
      <c r="G47" s="43"/>
      <c r="H47" s="43"/>
      <c r="I47" s="43"/>
      <c r="J47" s="43"/>
    </row>
    <row r="48" spans="2:21" ht="7.5" customHeight="1" x14ac:dyDescent="0.2">
      <c r="B48" s="77"/>
      <c r="C48" s="77"/>
      <c r="D48" s="77"/>
      <c r="E48" s="77"/>
      <c r="F48" s="77"/>
      <c r="G48" s="77"/>
      <c r="H48" s="77"/>
      <c r="I48" s="77"/>
      <c r="J48" s="77"/>
      <c r="K48" s="84"/>
      <c r="L48" s="84"/>
      <c r="M48" s="84"/>
      <c r="N48" s="77"/>
      <c r="O48" s="77"/>
    </row>
    <row r="49" spans="2:19" ht="15.75" x14ac:dyDescent="0.25">
      <c r="B49" s="78" t="s">
        <v>98</v>
      </c>
      <c r="C49" s="52"/>
      <c r="D49" s="52"/>
      <c r="E49" s="52"/>
      <c r="F49" s="52"/>
      <c r="G49" s="52"/>
      <c r="H49" s="52"/>
      <c r="I49" s="52"/>
      <c r="J49" s="52"/>
      <c r="K49" s="52"/>
      <c r="L49" s="52"/>
      <c r="M49" s="52"/>
    </row>
    <row r="50" spans="2:19" x14ac:dyDescent="0.2">
      <c r="B50" s="85" t="s">
        <v>30</v>
      </c>
      <c r="C50" s="52"/>
      <c r="D50" s="52"/>
      <c r="F50" s="86" t="s">
        <v>19</v>
      </c>
      <c r="G50" s="52"/>
      <c r="H50" s="52"/>
      <c r="J50" s="86" t="s">
        <v>29</v>
      </c>
      <c r="K50" s="52"/>
      <c r="L50" s="52"/>
      <c r="M50" s="258" t="s">
        <v>54</v>
      </c>
      <c r="N50" s="258"/>
      <c r="O50" s="258"/>
    </row>
    <row r="51" spans="2:19" x14ac:dyDescent="0.2">
      <c r="B51" s="87" t="s">
        <v>21</v>
      </c>
      <c r="C51" s="52"/>
      <c r="D51" s="52"/>
      <c r="E51" s="24"/>
      <c r="F51" s="24"/>
      <c r="G51" s="24"/>
      <c r="H51" s="52"/>
      <c r="I51" s="24"/>
      <c r="J51" s="24"/>
      <c r="K51" s="24"/>
      <c r="L51" s="52"/>
      <c r="M51" s="220">
        <f t="shared" ref="M51:O53" si="0">I51-E51</f>
        <v>0</v>
      </c>
      <c r="N51" s="220">
        <f t="shared" si="0"/>
        <v>0</v>
      </c>
      <c r="O51" s="220">
        <f t="shared" si="0"/>
        <v>0</v>
      </c>
    </row>
    <row r="52" spans="2:19" x14ac:dyDescent="0.2">
      <c r="B52" s="87" t="s">
        <v>20</v>
      </c>
      <c r="C52" s="52"/>
      <c r="D52" s="52"/>
      <c r="E52" s="24"/>
      <c r="F52" s="24"/>
      <c r="G52" s="24"/>
      <c r="H52" s="52"/>
      <c r="I52" s="24"/>
      <c r="J52" s="24"/>
      <c r="K52" s="24"/>
      <c r="L52" s="52"/>
      <c r="M52" s="220">
        <f t="shared" si="0"/>
        <v>0</v>
      </c>
      <c r="N52" s="220">
        <f t="shared" si="0"/>
        <v>0</v>
      </c>
      <c r="O52" s="220">
        <f t="shared" si="0"/>
        <v>0</v>
      </c>
    </row>
    <row r="53" spans="2:19" x14ac:dyDescent="0.2">
      <c r="B53" s="87" t="s">
        <v>22</v>
      </c>
      <c r="C53" s="52"/>
      <c r="D53" s="52"/>
      <c r="E53" s="24">
        <f>E57-F57</f>
        <v>26</v>
      </c>
      <c r="F53" s="24">
        <f>F57-G57</f>
        <v>42</v>
      </c>
      <c r="G53" s="24">
        <f>G57</f>
        <v>11</v>
      </c>
      <c r="H53" s="52"/>
      <c r="I53" s="24">
        <v>13</v>
      </c>
      <c r="J53" s="226">
        <v>0</v>
      </c>
      <c r="K53" s="24">
        <v>0</v>
      </c>
      <c r="L53" s="52"/>
      <c r="M53" s="220">
        <f t="shared" si="0"/>
        <v>-13</v>
      </c>
      <c r="N53" s="220">
        <f t="shared" si="0"/>
        <v>-42</v>
      </c>
      <c r="O53" s="220">
        <f t="shared" si="0"/>
        <v>-11</v>
      </c>
      <c r="Q53" s="88"/>
      <c r="R53" s="88"/>
      <c r="S53" s="88"/>
    </row>
    <row r="54" spans="2:19" x14ac:dyDescent="0.2">
      <c r="B54" s="52"/>
      <c r="C54" s="52"/>
      <c r="D54" s="72" t="s">
        <v>31</v>
      </c>
      <c r="E54" s="88" t="s">
        <v>28</v>
      </c>
      <c r="F54" s="88" t="s">
        <v>27</v>
      </c>
      <c r="G54" s="88" t="s">
        <v>23</v>
      </c>
      <c r="H54" s="52"/>
      <c r="I54" s="88" t="s">
        <v>28</v>
      </c>
      <c r="J54" s="88" t="s">
        <v>27</v>
      </c>
      <c r="K54" s="88" t="s">
        <v>23</v>
      </c>
      <c r="L54" s="52"/>
      <c r="M54" s="88" t="s">
        <v>28</v>
      </c>
      <c r="N54" s="88" t="s">
        <v>27</v>
      </c>
      <c r="O54" s="88" t="s">
        <v>23</v>
      </c>
      <c r="Q54" s="88"/>
      <c r="R54" s="88"/>
      <c r="S54" s="88"/>
    </row>
    <row r="55" spans="2:19" x14ac:dyDescent="0.2">
      <c r="B55" s="52"/>
      <c r="C55" s="52"/>
      <c r="D55" s="52"/>
      <c r="E55" s="88" t="s">
        <v>25</v>
      </c>
      <c r="F55" s="88" t="s">
        <v>25</v>
      </c>
      <c r="G55" s="88" t="s">
        <v>223</v>
      </c>
      <c r="H55" s="52"/>
      <c r="I55" s="88" t="s">
        <v>25</v>
      </c>
      <c r="J55" s="88" t="s">
        <v>25</v>
      </c>
      <c r="K55" s="88" t="s">
        <v>24</v>
      </c>
      <c r="L55" s="52"/>
      <c r="M55" s="88" t="s">
        <v>25</v>
      </c>
      <c r="N55" s="88" t="s">
        <v>25</v>
      </c>
      <c r="O55" s="88" t="s">
        <v>24</v>
      </c>
    </row>
    <row r="56" spans="2:19" x14ac:dyDescent="0.2">
      <c r="B56" s="52"/>
      <c r="C56" s="52"/>
      <c r="D56" s="52"/>
      <c r="E56" s="88" t="s">
        <v>222</v>
      </c>
      <c r="F56" s="88">
        <v>2012</v>
      </c>
      <c r="G56" s="88" t="s">
        <v>222</v>
      </c>
      <c r="H56" s="52"/>
      <c r="I56" s="88"/>
      <c r="J56" s="88"/>
      <c r="K56" s="88" t="s">
        <v>25</v>
      </c>
      <c r="L56" s="52"/>
      <c r="M56" s="88"/>
      <c r="N56" s="88"/>
      <c r="O56" s="88" t="s">
        <v>25</v>
      </c>
    </row>
    <row r="57" spans="2:19" x14ac:dyDescent="0.2">
      <c r="B57" s="52"/>
      <c r="C57" s="52"/>
      <c r="D57" s="52"/>
      <c r="E57" s="88">
        <v>79</v>
      </c>
      <c r="F57" s="88">
        <v>53</v>
      </c>
      <c r="G57" s="88">
        <v>11</v>
      </c>
      <c r="H57" s="52"/>
      <c r="I57" s="88"/>
      <c r="J57" s="88"/>
      <c r="K57" s="52"/>
      <c r="L57" s="69" t="s">
        <v>103</v>
      </c>
      <c r="M57" s="221">
        <f>'Discount Rates &amp; Assumptions'!M28*AvFloodDamages/200</f>
        <v>0.15</v>
      </c>
      <c r="N57" s="221">
        <f>'Discount Rates &amp; Assumptions'!M27*AvFloodDamages/200</f>
        <v>0.6</v>
      </c>
      <c r="O57" s="221">
        <f>'Discount Rates &amp; Assumptions'!M26*AvFloodDamages/200</f>
        <v>1.3500000000000003</v>
      </c>
      <c r="P57" s="89"/>
      <c r="Q57" s="89"/>
      <c r="R57" s="89"/>
    </row>
    <row r="58" spans="2:19" x14ac:dyDescent="0.2">
      <c r="B58" s="52"/>
      <c r="C58" s="52"/>
      <c r="D58" s="52"/>
      <c r="E58" s="52"/>
      <c r="F58" s="52"/>
      <c r="G58" s="52"/>
      <c r="H58" s="52"/>
      <c r="I58" s="52"/>
      <c r="J58" s="52"/>
      <c r="K58" s="52"/>
      <c r="L58" s="52"/>
      <c r="M58" s="52"/>
    </row>
    <row r="59" spans="2:19" ht="15.75" x14ac:dyDescent="0.25">
      <c r="B59" s="52" t="s">
        <v>57</v>
      </c>
      <c r="C59" s="52"/>
      <c r="D59" s="52"/>
      <c r="E59" s="52"/>
      <c r="F59" s="52"/>
      <c r="G59" s="52" t="s">
        <v>56</v>
      </c>
      <c r="H59" s="52"/>
      <c r="K59" s="69" t="s">
        <v>63</v>
      </c>
      <c r="O59" s="90" t="s">
        <v>79</v>
      </c>
    </row>
    <row r="60" spans="2:19" ht="15.75" x14ac:dyDescent="0.25">
      <c r="B60" s="87" t="str">
        <f>B51</f>
        <v>20% most deprived areas</v>
      </c>
      <c r="C60" s="52"/>
      <c r="D60" s="52"/>
      <c r="F60" s="227">
        <f>SUMPRODUCT($M51:$O51,$M$57:$O$57)</f>
        <v>0</v>
      </c>
      <c r="G60" s="227"/>
      <c r="H60" s="52"/>
      <c r="J60" s="256">
        <f>F60*Duration</f>
        <v>0</v>
      </c>
      <c r="K60" s="256"/>
      <c r="M60" s="90" t="s">
        <v>74</v>
      </c>
      <c r="N60" s="256">
        <f>-F60*VLOOKUP(Duration,'Discount Rates &amp; Assumptions'!$A$6:$D$105,4,FALSE)</f>
        <v>0</v>
      </c>
      <c r="O60" s="256"/>
    </row>
    <row r="61" spans="2:19" ht="15.75" x14ac:dyDescent="0.25">
      <c r="B61" s="87" t="str">
        <f>B52</f>
        <v>21-40% most deprived areas</v>
      </c>
      <c r="C61" s="52"/>
      <c r="D61" s="52"/>
      <c r="F61" s="227">
        <f>SUMPRODUCT($M52:$O52,$M$57:$O$57)</f>
        <v>0</v>
      </c>
      <c r="G61" s="227"/>
      <c r="H61" s="52"/>
      <c r="J61" s="256">
        <f>F61*Duration</f>
        <v>0</v>
      </c>
      <c r="K61" s="256"/>
      <c r="M61" s="90" t="s">
        <v>75</v>
      </c>
      <c r="N61" s="256">
        <f>-F61*VLOOKUP(Duration,'Discount Rates &amp; Assumptions'!$A$6:$D$105,4,FALSE)</f>
        <v>0</v>
      </c>
      <c r="O61" s="256"/>
    </row>
    <row r="62" spans="2:19" ht="15.75" x14ac:dyDescent="0.25">
      <c r="B62" s="87" t="str">
        <f>B53</f>
        <v>60% least deprived areas</v>
      </c>
      <c r="C62" s="52"/>
      <c r="D62" s="52"/>
      <c r="F62" s="227">
        <f>SUMPRODUCT($M53:$O53,$M$57:$O$57)</f>
        <v>-42</v>
      </c>
      <c r="G62" s="227"/>
      <c r="H62" s="52"/>
      <c r="J62" s="256">
        <f>F62*Duration</f>
        <v>-2394</v>
      </c>
      <c r="K62" s="256"/>
      <c r="M62" s="90" t="s">
        <v>90</v>
      </c>
      <c r="N62" s="256">
        <f>-F62*VLOOKUP(Duration,'Discount Rates &amp; Assumptions'!$A$6:$D$105,4,FALSE)</f>
        <v>1088.7059843582865</v>
      </c>
      <c r="O62" s="256"/>
    </row>
    <row r="63" spans="2:19" ht="7.5" customHeight="1" x14ac:dyDescent="0.25">
      <c r="B63" s="87"/>
      <c r="C63" s="52"/>
      <c r="D63" s="52"/>
      <c r="F63" s="91"/>
      <c r="G63" s="91"/>
      <c r="H63" s="52"/>
      <c r="J63" s="92"/>
      <c r="K63" s="92"/>
      <c r="M63" s="90"/>
    </row>
    <row r="64" spans="2:19" ht="7.5" customHeight="1" x14ac:dyDescent="0.2">
      <c r="B64" s="84"/>
      <c r="C64" s="84"/>
      <c r="D64" s="84"/>
      <c r="E64" s="84"/>
      <c r="F64" s="84"/>
      <c r="G64" s="84"/>
      <c r="H64" s="77"/>
      <c r="I64" s="77"/>
      <c r="J64" s="77"/>
      <c r="K64" s="77"/>
      <c r="L64" s="77"/>
      <c r="M64" s="84"/>
      <c r="N64" s="77"/>
      <c r="O64" s="77"/>
    </row>
    <row r="65" spans="2:16" ht="15.75" x14ac:dyDescent="0.25">
      <c r="B65" s="78" t="s">
        <v>99</v>
      </c>
      <c r="H65" s="52"/>
      <c r="I65" s="52"/>
      <c r="J65" s="52"/>
      <c r="K65" s="52"/>
      <c r="L65" s="52"/>
    </row>
    <row r="66" spans="2:16" x14ac:dyDescent="0.2">
      <c r="B66" s="85" t="s">
        <v>30</v>
      </c>
      <c r="C66" s="52"/>
      <c r="D66" s="52"/>
      <c r="E66" s="86"/>
      <c r="F66" s="257" t="s">
        <v>19</v>
      </c>
      <c r="G66" s="257"/>
      <c r="H66" s="52"/>
      <c r="I66" s="93" t="s">
        <v>66</v>
      </c>
    </row>
    <row r="67" spans="2:16" x14ac:dyDescent="0.2">
      <c r="B67" s="87" t="s">
        <v>21</v>
      </c>
      <c r="C67" s="52"/>
      <c r="D67" s="52"/>
      <c r="E67" s="52"/>
      <c r="F67" s="24">
        <v>0</v>
      </c>
      <c r="G67" s="24">
        <v>0</v>
      </c>
      <c r="H67" s="52"/>
      <c r="I67" s="87" t="s">
        <v>55</v>
      </c>
      <c r="J67" s="87"/>
      <c r="K67" s="94"/>
      <c r="L67" s="87"/>
      <c r="M67" s="222">
        <f>AvCEDamages/1000</f>
        <v>6</v>
      </c>
      <c r="N67" s="222">
        <f>AvCEDamages/1000</f>
        <v>6</v>
      </c>
    </row>
    <row r="68" spans="2:16" x14ac:dyDescent="0.2">
      <c r="B68" s="87" t="s">
        <v>20</v>
      </c>
      <c r="C68" s="52"/>
      <c r="D68" s="52"/>
      <c r="E68" s="52"/>
      <c r="F68" s="24">
        <v>0</v>
      </c>
      <c r="G68" s="24">
        <v>0</v>
      </c>
      <c r="H68" s="52"/>
      <c r="I68" s="95" t="s">
        <v>67</v>
      </c>
      <c r="M68" s="223">
        <v>50</v>
      </c>
      <c r="N68" s="223">
        <v>20</v>
      </c>
      <c r="O68" s="87" t="s">
        <v>8</v>
      </c>
    </row>
    <row r="69" spans="2:16" ht="15" customHeight="1" x14ac:dyDescent="0.2">
      <c r="B69" s="87" t="s">
        <v>22</v>
      </c>
      <c r="C69" s="52"/>
      <c r="D69" s="52"/>
      <c r="E69" s="52"/>
      <c r="F69" s="24">
        <v>0</v>
      </c>
      <c r="G69" s="24">
        <v>0</v>
      </c>
      <c r="H69" s="52"/>
      <c r="I69" s="270" t="s">
        <v>95</v>
      </c>
      <c r="J69" s="270"/>
      <c r="K69" s="270"/>
      <c r="L69" s="270"/>
      <c r="M69" s="222">
        <f>M67*VLOOKUP('Discount Rates &amp; Assumptions'!K39,'Discount Rates &amp; Assumptions'!$A$6:$D$105,3,FALSE)</f>
        <v>1.1835763061432307</v>
      </c>
      <c r="N69" s="222">
        <f>N67*VLOOKUP('Discount Rates &amp; Assumptions'!K38,'Discount Rates &amp; Assumptions'!$A$6:$D$105,3,FALSE)</f>
        <v>3.0153953065900234</v>
      </c>
    </row>
    <row r="70" spans="2:16" ht="28.5" x14ac:dyDescent="0.2">
      <c r="B70" s="52"/>
      <c r="C70" s="52"/>
      <c r="D70" s="96"/>
      <c r="E70" s="52"/>
      <c r="F70" s="97" t="s">
        <v>65</v>
      </c>
      <c r="G70" s="97" t="s">
        <v>64</v>
      </c>
      <c r="H70" s="52"/>
      <c r="I70" s="270"/>
      <c r="J70" s="270"/>
      <c r="K70" s="270"/>
      <c r="L70" s="270"/>
      <c r="M70" s="98" t="s">
        <v>65</v>
      </c>
      <c r="N70" s="98" t="s">
        <v>64</v>
      </c>
    </row>
    <row r="71" spans="2:16" x14ac:dyDescent="0.2">
      <c r="B71" s="99"/>
      <c r="C71" s="99"/>
      <c r="D71" s="99"/>
      <c r="E71" s="99"/>
      <c r="F71" s="88"/>
      <c r="G71" s="52"/>
      <c r="H71" s="52"/>
      <c r="I71" s="52"/>
      <c r="J71" s="52"/>
      <c r="K71" s="52"/>
      <c r="L71" s="52"/>
      <c r="M71" s="52"/>
    </row>
    <row r="72" spans="2:16" ht="15.75" x14ac:dyDescent="0.25">
      <c r="B72" s="52" t="s">
        <v>57</v>
      </c>
      <c r="C72" s="52"/>
      <c r="D72" s="52"/>
      <c r="E72" s="52"/>
      <c r="F72" s="52"/>
      <c r="G72" s="69" t="s">
        <v>96</v>
      </c>
      <c r="H72" s="52"/>
      <c r="K72" s="69" t="s">
        <v>73</v>
      </c>
      <c r="O72" s="90" t="s">
        <v>78</v>
      </c>
    </row>
    <row r="73" spans="2:16" ht="15.75" x14ac:dyDescent="0.25">
      <c r="B73" s="87" t="str">
        <f>B67</f>
        <v>20% most deprived areas</v>
      </c>
      <c r="C73" s="52"/>
      <c r="D73" s="52"/>
      <c r="F73" s="227">
        <f>-SUMPRODUCT($M$69:$N$69,F67:G67)</f>
        <v>0</v>
      </c>
      <c r="G73" s="227"/>
      <c r="H73" s="52"/>
      <c r="J73" s="256">
        <f>F73*Duration</f>
        <v>0</v>
      </c>
      <c r="K73" s="256"/>
      <c r="M73" s="90" t="s">
        <v>76</v>
      </c>
      <c r="N73" s="260">
        <f>-F73*VLOOKUP(Duration,'Discount Rates &amp; Assumptions'!$A$6:$D$105,4,FALSE)</f>
        <v>0</v>
      </c>
      <c r="O73" s="260"/>
    </row>
    <row r="74" spans="2:16" ht="15.75" x14ac:dyDescent="0.25">
      <c r="B74" s="87" t="str">
        <f>B68</f>
        <v>21-40% most deprived areas</v>
      </c>
      <c r="C74" s="52"/>
      <c r="D74" s="52"/>
      <c r="F74" s="227">
        <f>-SUMPRODUCT($M$69:$N$69,F68:G68)</f>
        <v>0</v>
      </c>
      <c r="G74" s="227"/>
      <c r="H74" s="52"/>
      <c r="J74" s="256">
        <f>F74*Duration</f>
        <v>0</v>
      </c>
      <c r="K74" s="256"/>
      <c r="M74" s="90" t="s">
        <v>77</v>
      </c>
      <c r="N74" s="260">
        <f>-F74*VLOOKUP(Duration,'Discount Rates &amp; Assumptions'!$A$6:$D$105,4,FALSE)</f>
        <v>0</v>
      </c>
      <c r="O74" s="260"/>
    </row>
    <row r="75" spans="2:16" ht="15.75" x14ac:dyDescent="0.25">
      <c r="B75" s="87" t="str">
        <f>B69</f>
        <v>60% least deprived areas</v>
      </c>
      <c r="C75" s="52"/>
      <c r="D75" s="52"/>
      <c r="F75" s="227">
        <f>-SUMPRODUCT($M$69:$N$69,F69:G69)</f>
        <v>0</v>
      </c>
      <c r="G75" s="227"/>
      <c r="H75" s="52"/>
      <c r="J75" s="256">
        <f>F75*Duration</f>
        <v>0</v>
      </c>
      <c r="K75" s="256"/>
      <c r="M75" s="90" t="s">
        <v>91</v>
      </c>
      <c r="N75" s="260">
        <f>-F75*VLOOKUP(Duration,'Discount Rates &amp; Assumptions'!$A$6:$D$105,4,FALSE)</f>
        <v>0</v>
      </c>
      <c r="O75" s="260"/>
    </row>
    <row r="76" spans="2:16" ht="7.5" customHeight="1" x14ac:dyDescent="0.2">
      <c r="H76" s="52"/>
      <c r="I76" s="52"/>
      <c r="J76" s="52"/>
      <c r="K76" s="52"/>
      <c r="L76" s="52"/>
    </row>
    <row r="77" spans="2:16" ht="7.5" customHeight="1" x14ac:dyDescent="0.2">
      <c r="B77" s="84"/>
      <c r="C77" s="84"/>
      <c r="D77" s="84"/>
      <c r="E77" s="84"/>
      <c r="F77" s="84"/>
      <c r="G77" s="84"/>
      <c r="H77" s="77"/>
      <c r="I77" s="77"/>
      <c r="J77" s="77"/>
      <c r="K77" s="77"/>
      <c r="L77" s="77"/>
      <c r="M77" s="84"/>
      <c r="N77" s="77"/>
      <c r="O77" s="77"/>
    </row>
    <row r="78" spans="2:16" ht="15.75" x14ac:dyDescent="0.25">
      <c r="B78" s="78" t="s">
        <v>100</v>
      </c>
      <c r="H78" s="52"/>
      <c r="I78" s="52"/>
      <c r="J78" s="52"/>
      <c r="K78" s="52"/>
      <c r="L78" s="52"/>
    </row>
    <row r="79" spans="2:16" ht="15.75" x14ac:dyDescent="0.25">
      <c r="B79" s="52" t="s">
        <v>70</v>
      </c>
      <c r="C79" s="52"/>
      <c r="D79" s="52"/>
      <c r="E79" s="100"/>
      <c r="F79" s="261"/>
      <c r="G79" s="261"/>
      <c r="H79" s="65"/>
      <c r="I79" s="93"/>
      <c r="K79" s="101" t="s">
        <v>89</v>
      </c>
      <c r="L79" s="93"/>
      <c r="M79" s="93"/>
      <c r="N79" s="93"/>
      <c r="O79" s="90" t="s">
        <v>78</v>
      </c>
      <c r="P79" s="93"/>
    </row>
    <row r="80" spans="2:16" x14ac:dyDescent="0.2">
      <c r="B80" s="93" t="s">
        <v>68</v>
      </c>
      <c r="C80" s="131">
        <v>100</v>
      </c>
      <c r="D80" s="85" t="s">
        <v>12</v>
      </c>
      <c r="E80" s="65"/>
      <c r="F80" s="65"/>
      <c r="G80" s="65"/>
      <c r="H80" s="65"/>
      <c r="I80" s="52"/>
      <c r="J80" s="259">
        <f>'Discount Rates &amp; Assumptions'!K14/1000</f>
        <v>15</v>
      </c>
      <c r="K80" s="259"/>
      <c r="L80" s="93"/>
      <c r="M80" s="101" t="s">
        <v>68</v>
      </c>
      <c r="N80" s="248">
        <f>J80*C80</f>
        <v>1500</v>
      </c>
      <c r="O80" s="248"/>
      <c r="P80" s="93"/>
    </row>
    <row r="81" spans="1:16" x14ac:dyDescent="0.2">
      <c r="B81" s="93" t="s">
        <v>4</v>
      </c>
      <c r="C81" s="131">
        <v>10000</v>
      </c>
      <c r="D81" s="85" t="s">
        <v>11</v>
      </c>
      <c r="E81" s="65"/>
      <c r="F81" s="65"/>
      <c r="G81" s="65"/>
      <c r="H81" s="65"/>
      <c r="I81" s="52"/>
      <c r="J81" s="259">
        <f>'Discount Rates &amp; Assumptions'!K15/1000</f>
        <v>50</v>
      </c>
      <c r="K81" s="259"/>
      <c r="L81" s="93"/>
      <c r="M81" s="101" t="s">
        <v>4</v>
      </c>
      <c r="N81" s="248">
        <f>J81*C81</f>
        <v>500000</v>
      </c>
      <c r="O81" s="248"/>
      <c r="P81" s="93"/>
    </row>
    <row r="82" spans="1:16" x14ac:dyDescent="0.2">
      <c r="B82" s="93" t="s">
        <v>69</v>
      </c>
      <c r="C82" s="131">
        <v>20000</v>
      </c>
      <c r="D82" s="85" t="s">
        <v>10</v>
      </c>
      <c r="E82" s="52"/>
      <c r="F82" s="52"/>
      <c r="G82" s="52"/>
      <c r="H82" s="52"/>
      <c r="I82" s="52"/>
      <c r="J82" s="259">
        <f>'Discount Rates &amp; Assumptions'!K16/1000</f>
        <v>80</v>
      </c>
      <c r="K82" s="259"/>
      <c r="L82" s="93"/>
      <c r="M82" s="101" t="s">
        <v>69</v>
      </c>
      <c r="N82" s="248">
        <f>J82*C82</f>
        <v>1600000</v>
      </c>
      <c r="O82" s="248"/>
      <c r="P82" s="93"/>
    </row>
    <row r="83" spans="1:16" ht="15.75" x14ac:dyDescent="0.25">
      <c r="B83" s="52"/>
      <c r="C83" s="52"/>
      <c r="D83" s="85"/>
      <c r="E83" s="52"/>
      <c r="F83" s="52"/>
      <c r="G83" s="52"/>
      <c r="H83" s="52"/>
      <c r="I83" s="52"/>
      <c r="J83" s="52"/>
      <c r="K83" s="52"/>
      <c r="L83" s="93"/>
      <c r="M83" s="90" t="s">
        <v>3</v>
      </c>
      <c r="N83" s="246">
        <f>SUM(N80:O82)</f>
        <v>2101500</v>
      </c>
      <c r="O83" s="246"/>
      <c r="P83" s="93"/>
    </row>
    <row r="84" spans="1:16" ht="7.5" customHeight="1" x14ac:dyDescent="0.25">
      <c r="B84" s="52"/>
      <c r="C84" s="52"/>
      <c r="D84" s="96"/>
      <c r="E84" s="52"/>
      <c r="F84" s="52"/>
      <c r="G84" s="52"/>
      <c r="H84" s="52"/>
      <c r="I84" s="52"/>
      <c r="J84" s="52"/>
      <c r="K84" s="52"/>
      <c r="L84" s="93"/>
      <c r="M84" s="90"/>
      <c r="N84" s="93"/>
    </row>
    <row r="85" spans="1:16" ht="7.5" customHeight="1" x14ac:dyDescent="0.2">
      <c r="B85" s="77"/>
      <c r="C85" s="77"/>
      <c r="D85" s="102"/>
      <c r="E85" s="77"/>
      <c r="F85" s="77"/>
      <c r="G85" s="77"/>
      <c r="H85" s="77"/>
      <c r="I85" s="77"/>
      <c r="J85" s="77"/>
      <c r="K85" s="77"/>
      <c r="L85" s="103"/>
      <c r="M85" s="77"/>
      <c r="N85" s="77"/>
      <c r="O85" s="77"/>
    </row>
    <row r="86" spans="1:16" ht="15.75" x14ac:dyDescent="0.25">
      <c r="B86" s="78" t="s">
        <v>102</v>
      </c>
      <c r="C86" s="52"/>
      <c r="E86" s="52"/>
      <c r="F86" s="52"/>
      <c r="G86" s="52"/>
      <c r="H86" s="52"/>
      <c r="I86" s="52"/>
      <c r="J86" s="52"/>
      <c r="K86" s="52"/>
      <c r="L86" s="52"/>
      <c r="M86" s="52"/>
    </row>
    <row r="87" spans="1:16" x14ac:dyDescent="0.2">
      <c r="B87" s="104"/>
      <c r="C87" s="52"/>
      <c r="E87" s="52"/>
      <c r="F87" s="52"/>
      <c r="G87" s="52"/>
      <c r="H87" s="52"/>
      <c r="I87" s="52"/>
      <c r="J87" s="52"/>
      <c r="K87" s="52"/>
      <c r="L87" s="52"/>
      <c r="M87" s="52"/>
    </row>
    <row r="88" spans="1:16" x14ac:dyDescent="0.2">
      <c r="B88" s="93" t="s">
        <v>83</v>
      </c>
      <c r="C88" s="93"/>
      <c r="D88" s="93" t="s">
        <v>92</v>
      </c>
      <c r="F88" s="85" t="s">
        <v>71</v>
      </c>
      <c r="G88" s="85"/>
      <c r="H88" s="85"/>
      <c r="I88" s="85" t="s">
        <v>202</v>
      </c>
      <c r="J88" s="85"/>
      <c r="K88" s="52"/>
      <c r="L88" s="52"/>
      <c r="M88" s="52"/>
    </row>
    <row r="89" spans="1:16" x14ac:dyDescent="0.2">
      <c r="A89" s="149"/>
      <c r="B89" s="150" t="s">
        <v>2</v>
      </c>
      <c r="C89" s="151"/>
      <c r="D89" s="271" t="str">
        <f>IF(H29=0,0,IF(MAX((H29-SUM(D90:E96)),0)&gt;0,H29-SUM(D90:E96),"Ltd by high OM2,3,4 values"))</f>
        <v>Ltd by high OM2,3,4 values</v>
      </c>
      <c r="E89" s="272"/>
      <c r="F89" s="224">
        <f>1/TargetBCRWLBs*100</f>
        <v>5.5555555555555554</v>
      </c>
      <c r="G89" s="149" t="s">
        <v>81</v>
      </c>
      <c r="H89" s="52"/>
      <c r="I89" s="262">
        <f>IF(D89="Ltd by high OM2,3,4 values",0,D89*F89/100)</f>
        <v>0</v>
      </c>
      <c r="J89" s="262"/>
      <c r="K89" s="52"/>
      <c r="L89" s="93"/>
      <c r="M89" s="52"/>
      <c r="N89" s="107"/>
    </row>
    <row r="90" spans="1:16" x14ac:dyDescent="0.2">
      <c r="B90" s="108" t="s">
        <v>1</v>
      </c>
      <c r="C90" s="109" t="s">
        <v>84</v>
      </c>
      <c r="D90" s="247">
        <f>N60</f>
        <v>0</v>
      </c>
      <c r="E90" s="247"/>
      <c r="F90" s="225">
        <f>1/TargetMinBCR*DeprivedScalar20*100</f>
        <v>45</v>
      </c>
      <c r="G90" s="52"/>
      <c r="H90" s="52"/>
      <c r="I90" s="262">
        <f t="shared" ref="I90:I96" si="1">D90*F90/100</f>
        <v>0</v>
      </c>
      <c r="J90" s="262"/>
      <c r="K90" s="52"/>
      <c r="L90" s="52"/>
      <c r="M90" s="52"/>
      <c r="N90" s="107"/>
    </row>
    <row r="91" spans="1:16" x14ac:dyDescent="0.2">
      <c r="B91" s="110"/>
      <c r="C91" s="111" t="s">
        <v>80</v>
      </c>
      <c r="D91" s="247">
        <f>N61</f>
        <v>0</v>
      </c>
      <c r="E91" s="247"/>
      <c r="F91" s="225">
        <f>1/TargetMinBCR*DeprivedScalar40*100</f>
        <v>30.000000000000004</v>
      </c>
      <c r="G91" s="52"/>
      <c r="H91" s="52"/>
      <c r="I91" s="262">
        <f t="shared" si="1"/>
        <v>0</v>
      </c>
      <c r="J91" s="262"/>
      <c r="M91" s="93"/>
    </row>
    <row r="92" spans="1:16" x14ac:dyDescent="0.2">
      <c r="B92" s="112"/>
      <c r="C92" s="113" t="s">
        <v>88</v>
      </c>
      <c r="D92" s="247">
        <f>N62</f>
        <v>1088.7059843582865</v>
      </c>
      <c r="E92" s="247"/>
      <c r="F92" s="225">
        <f>1/TargetMinBCR*DeprivedScalarOther*100</f>
        <v>20</v>
      </c>
      <c r="G92" s="52"/>
      <c r="H92" s="52"/>
      <c r="I92" s="262">
        <f t="shared" si="1"/>
        <v>217.74119687165731</v>
      </c>
      <c r="J92" s="262"/>
    </row>
    <row r="93" spans="1:16" x14ac:dyDescent="0.2">
      <c r="B93" s="108" t="s">
        <v>0</v>
      </c>
      <c r="C93" s="109" t="s">
        <v>84</v>
      </c>
      <c r="D93" s="247">
        <f>N73</f>
        <v>0</v>
      </c>
      <c r="E93" s="247"/>
      <c r="F93" s="225">
        <f>1/TargetMinBCR*DeprivedScalar20*100</f>
        <v>45</v>
      </c>
      <c r="G93" s="52"/>
      <c r="H93" s="52"/>
      <c r="I93" s="262">
        <f t="shared" si="1"/>
        <v>0</v>
      </c>
      <c r="J93" s="262"/>
    </row>
    <row r="94" spans="1:16" x14ac:dyDescent="0.2">
      <c r="B94" s="114"/>
      <c r="C94" s="111" t="s">
        <v>80</v>
      </c>
      <c r="D94" s="247">
        <f>N74</f>
        <v>0</v>
      </c>
      <c r="E94" s="247"/>
      <c r="F94" s="225">
        <f>1/TargetMinBCR*DeprivedScalar40*100</f>
        <v>30.000000000000004</v>
      </c>
      <c r="G94" s="52"/>
      <c r="H94" s="52"/>
      <c r="I94" s="262">
        <f t="shared" si="1"/>
        <v>0</v>
      </c>
      <c r="J94" s="262"/>
    </row>
    <row r="95" spans="1:16" x14ac:dyDescent="0.2">
      <c r="B95" s="112"/>
      <c r="C95" s="113" t="s">
        <v>88</v>
      </c>
      <c r="D95" s="247">
        <f>N75</f>
        <v>0</v>
      </c>
      <c r="E95" s="247"/>
      <c r="F95" s="225">
        <f>1/TargetMinBCR*DeprivedScalarOther*100</f>
        <v>20</v>
      </c>
      <c r="G95" s="52"/>
      <c r="H95" s="52"/>
      <c r="I95" s="262">
        <f t="shared" si="1"/>
        <v>0</v>
      </c>
      <c r="J95" s="262"/>
    </row>
    <row r="96" spans="1:16" x14ac:dyDescent="0.2">
      <c r="B96" s="105" t="s">
        <v>3</v>
      </c>
      <c r="C96" s="106"/>
      <c r="D96" s="247">
        <f>N83</f>
        <v>2101500</v>
      </c>
      <c r="E96" s="247"/>
      <c r="F96" s="225">
        <v>100</v>
      </c>
      <c r="G96" s="52"/>
      <c r="H96" s="52"/>
      <c r="I96" s="262">
        <f t="shared" si="1"/>
        <v>2101500</v>
      </c>
      <c r="J96" s="262"/>
      <c r="P96" s="133"/>
    </row>
    <row r="97" spans="2:16" ht="15.75" x14ac:dyDescent="0.25">
      <c r="B97" s="52" t="s">
        <v>7</v>
      </c>
      <c r="C97" s="52"/>
      <c r="D97" s="263">
        <f>SUM(D89:E96)</f>
        <v>2102588.7059843582</v>
      </c>
      <c r="E97" s="264"/>
      <c r="F97" s="52"/>
      <c r="G97" s="52"/>
      <c r="H97" s="52"/>
      <c r="I97" s="265">
        <f>SUM(I89:J96)</f>
        <v>2101717.7411968717</v>
      </c>
      <c r="J97" s="266"/>
      <c r="K97" s="273" t="s">
        <v>141</v>
      </c>
      <c r="L97" s="273"/>
      <c r="M97" s="273"/>
      <c r="N97" s="273"/>
      <c r="O97" s="273"/>
    </row>
    <row r="98" spans="2:16" x14ac:dyDescent="0.2">
      <c r="B98" s="52"/>
      <c r="C98" s="52"/>
      <c r="D98" s="52"/>
      <c r="E98" s="52"/>
      <c r="F98" s="52"/>
      <c r="G98" s="52"/>
      <c r="H98" s="52"/>
      <c r="I98" s="52"/>
      <c r="K98" s="273"/>
      <c r="L98" s="273"/>
      <c r="M98" s="273"/>
      <c r="N98" s="273"/>
      <c r="O98" s="273"/>
    </row>
    <row r="99" spans="2:16" s="93" customFormat="1" x14ac:dyDescent="0.2">
      <c r="B99" s="267" t="s">
        <v>193</v>
      </c>
      <c r="C99" s="268"/>
      <c r="D99" s="268"/>
      <c r="E99" s="268"/>
      <c r="F99" s="268"/>
      <c r="G99" s="268"/>
      <c r="H99" s="268"/>
      <c r="I99" s="268"/>
      <c r="J99" s="268"/>
      <c r="K99" s="268"/>
      <c r="L99" s="268"/>
      <c r="M99" s="268"/>
      <c r="N99" s="268"/>
      <c r="O99" s="268"/>
      <c r="P99" s="55"/>
    </row>
    <row r="100" spans="2:16" s="116" customFormat="1" ht="12.75" x14ac:dyDescent="0.2">
      <c r="B100" s="269"/>
      <c r="C100" s="269"/>
      <c r="D100" s="269"/>
      <c r="E100" s="269"/>
      <c r="F100" s="269"/>
      <c r="G100" s="269"/>
      <c r="H100" s="269"/>
      <c r="I100" s="269"/>
      <c r="J100" s="269"/>
      <c r="K100" s="269"/>
      <c r="L100" s="269"/>
      <c r="M100" s="269"/>
      <c r="N100" s="269"/>
      <c r="O100" s="269"/>
    </row>
    <row r="101" spans="2:16" s="116" customFormat="1" ht="12.75" x14ac:dyDescent="0.2">
      <c r="B101" s="117"/>
    </row>
    <row r="102" spans="2:16" s="116" customFormat="1" ht="42.75" customHeight="1" x14ac:dyDescent="0.2">
      <c r="B102" s="117"/>
      <c r="I102" s="205" t="s">
        <v>137</v>
      </c>
      <c r="J102" s="205" t="s">
        <v>192</v>
      </c>
    </row>
    <row r="103" spans="2:16" s="116" customFormat="1" ht="12.75" x14ac:dyDescent="0.2">
      <c r="B103" s="132" t="s">
        <v>194</v>
      </c>
      <c r="I103" s="206">
        <f>RawOMScore</f>
        <v>2660.402204046673</v>
      </c>
      <c r="J103" s="207">
        <f>H17</f>
        <v>0</v>
      </c>
    </row>
    <row r="104" spans="2:16" x14ac:dyDescent="0.2">
      <c r="B104" s="116" t="s">
        <v>150</v>
      </c>
      <c r="C104" s="116"/>
      <c r="D104" s="116"/>
      <c r="E104" s="116"/>
      <c r="F104" s="116"/>
      <c r="G104" s="116"/>
      <c r="H104" s="116"/>
      <c r="I104" s="206">
        <f>'Sensitivity 1'!RawOMScore</f>
        <v>2128.3217632373385</v>
      </c>
      <c r="J104" s="207">
        <f>'Sensitivity 1'!H17</f>
        <v>0</v>
      </c>
      <c r="M104" s="52"/>
    </row>
    <row r="105" spans="2:16" x14ac:dyDescent="0.2">
      <c r="B105" s="116" t="s">
        <v>143</v>
      </c>
      <c r="C105" s="116"/>
      <c r="D105" s="116"/>
      <c r="E105" s="116"/>
      <c r="F105" s="116"/>
      <c r="G105" s="116"/>
      <c r="H105" s="116"/>
      <c r="I105" s="208">
        <f>'Sensitivity 2'!RawOMScore</f>
        <v>2660.3751340515828</v>
      </c>
      <c r="J105" s="209">
        <f>'Sensitivity 2'!H17</f>
        <v>0</v>
      </c>
      <c r="M105" s="52"/>
    </row>
    <row r="106" spans="2:16" x14ac:dyDescent="0.2">
      <c r="B106" s="116" t="s">
        <v>151</v>
      </c>
      <c r="C106" s="116"/>
      <c r="D106" s="116"/>
      <c r="E106" s="116"/>
      <c r="F106" s="116"/>
      <c r="G106" s="116"/>
      <c r="H106" s="116"/>
      <c r="I106" s="208">
        <f>'Sensitivity 3'!RawOMScore</f>
        <v>2660.402204046673</v>
      </c>
      <c r="J106" s="209">
        <f>'Sensitivity 3'!H17</f>
        <v>0</v>
      </c>
      <c r="M106" s="52"/>
    </row>
    <row r="107" spans="2:16" x14ac:dyDescent="0.2">
      <c r="B107" s="210" t="s">
        <v>148</v>
      </c>
      <c r="C107" s="211"/>
      <c r="D107" s="211"/>
      <c r="E107" s="211"/>
      <c r="F107" s="116"/>
      <c r="G107" s="116"/>
      <c r="H107" s="116"/>
      <c r="I107" s="208">
        <f>'Sensitivity 4'!RawOMScore</f>
        <v>1.994285892961551</v>
      </c>
      <c r="J107" s="209">
        <f>'Sensitivity 4'!H17</f>
        <v>0</v>
      </c>
      <c r="M107" s="52"/>
    </row>
    <row r="108" spans="2:16" x14ac:dyDescent="0.2">
      <c r="B108" s="210" t="s">
        <v>149</v>
      </c>
      <c r="C108" s="211"/>
      <c r="D108" s="211"/>
      <c r="E108" s="211"/>
      <c r="F108" s="116"/>
      <c r="G108" s="116"/>
      <c r="H108" s="116"/>
      <c r="I108" s="208">
        <f>'Sensitivity 5'!RawOMScore</f>
        <v>1.7604929546831189</v>
      </c>
      <c r="J108" s="209">
        <f>'Sensitivity 5'!H17</f>
        <v>0</v>
      </c>
      <c r="M108" s="52"/>
    </row>
    <row r="109" spans="2:16" x14ac:dyDescent="0.2">
      <c r="B109" s="116"/>
      <c r="C109" s="116"/>
      <c r="D109" s="116"/>
      <c r="E109" s="116"/>
      <c r="F109" s="116"/>
      <c r="G109" s="116"/>
      <c r="H109" s="116"/>
      <c r="I109" s="116"/>
      <c r="J109" s="116"/>
      <c r="K109" s="116"/>
    </row>
    <row r="110" spans="2:16" ht="15.75" x14ac:dyDescent="0.25">
      <c r="B110" s="118" t="s">
        <v>93</v>
      </c>
      <c r="C110" s="52"/>
      <c r="D110" s="52"/>
      <c r="E110" s="52"/>
      <c r="F110" s="52"/>
      <c r="G110" s="52"/>
      <c r="H110" s="52"/>
      <c r="I110" s="52"/>
      <c r="J110" s="52"/>
      <c r="K110" s="52"/>
      <c r="L110" s="52"/>
      <c r="M110" s="52"/>
    </row>
    <row r="112" spans="2:16" s="93" customFormat="1" ht="23.25" x14ac:dyDescent="0.35">
      <c r="B112" s="141" t="s">
        <v>217</v>
      </c>
      <c r="C112" s="140"/>
    </row>
    <row r="113" s="93" customFormat="1" x14ac:dyDescent="0.2"/>
    <row r="114" s="93" customFormat="1" x14ac:dyDescent="0.2"/>
    <row r="115" s="93" customFormat="1" x14ac:dyDescent="0.2"/>
    <row r="116" s="93" customFormat="1" x14ac:dyDescent="0.2"/>
    <row r="117" s="93" customFormat="1" x14ac:dyDescent="0.2"/>
    <row r="118" s="93" customFormat="1" x14ac:dyDescent="0.2"/>
    <row r="119" s="93" customFormat="1" x14ac:dyDescent="0.2"/>
  </sheetData>
  <sheetProtection password="A377" sheet="1" objects="1" scenarios="1"/>
  <mergeCells count="60">
    <mergeCell ref="B99:O100"/>
    <mergeCell ref="N73:O73"/>
    <mergeCell ref="F62:G62"/>
    <mergeCell ref="J62:K62"/>
    <mergeCell ref="I69:L70"/>
    <mergeCell ref="J81:K81"/>
    <mergeCell ref="J82:K82"/>
    <mergeCell ref="I90:J90"/>
    <mergeCell ref="I89:J89"/>
    <mergeCell ref="J73:K73"/>
    <mergeCell ref="D89:E89"/>
    <mergeCell ref="D92:E92"/>
    <mergeCell ref="D91:E91"/>
    <mergeCell ref="I91:J91"/>
    <mergeCell ref="I92:J92"/>
    <mergeCell ref="K97:O98"/>
    <mergeCell ref="I93:J93"/>
    <mergeCell ref="D97:E97"/>
    <mergeCell ref="I97:J97"/>
    <mergeCell ref="D93:E93"/>
    <mergeCell ref="D96:E96"/>
    <mergeCell ref="I94:J94"/>
    <mergeCell ref="I96:J96"/>
    <mergeCell ref="I95:J95"/>
    <mergeCell ref="D94:E94"/>
    <mergeCell ref="D95:E95"/>
    <mergeCell ref="N80:O80"/>
    <mergeCell ref="J74:K74"/>
    <mergeCell ref="J80:K80"/>
    <mergeCell ref="F75:G75"/>
    <mergeCell ref="J75:K75"/>
    <mergeCell ref="N75:O75"/>
    <mergeCell ref="F79:G79"/>
    <mergeCell ref="F74:G74"/>
    <mergeCell ref="N74:O74"/>
    <mergeCell ref="N83:O83"/>
    <mergeCell ref="D90:E90"/>
    <mergeCell ref="N81:O81"/>
    <mergeCell ref="N82:O82"/>
    <mergeCell ref="B5:D5"/>
    <mergeCell ref="M8:O8"/>
    <mergeCell ref="M9:O9"/>
    <mergeCell ref="N60:O60"/>
    <mergeCell ref="F66:G66"/>
    <mergeCell ref="F60:G60"/>
    <mergeCell ref="F61:G61"/>
    <mergeCell ref="M50:O50"/>
    <mergeCell ref="J60:K60"/>
    <mergeCell ref="N61:O61"/>
    <mergeCell ref="N62:O62"/>
    <mergeCell ref="J61:K61"/>
    <mergeCell ref="F73:G73"/>
    <mergeCell ref="J40:O46"/>
    <mergeCell ref="J38:O39"/>
    <mergeCell ref="Q17:V23"/>
    <mergeCell ref="J17:O21"/>
    <mergeCell ref="J30:N33"/>
    <mergeCell ref="J26:N27"/>
    <mergeCell ref="P38:U43"/>
    <mergeCell ref="J22:O22"/>
  </mergeCells>
  <phoneticPr fontId="20" type="noConversion"/>
  <conditionalFormatting sqref="B10 P26 Q17">
    <cfRule type="expression" dxfId="5" priority="26" stopIfTrue="1">
      <formula>LEFT($P$26,6)="ERROR!"</formula>
    </cfRule>
  </conditionalFormatting>
  <dataValidations count="3">
    <dataValidation type="list" allowBlank="1" showInputMessage="1" showErrorMessage="1" sqref="E47">
      <formula1>#REF!</formula1>
    </dataValidation>
    <dataValidation type="list" allowBlank="1" showInputMessage="1" showErrorMessage="1" sqref="J25">
      <formula1>"Yes,No"</formula1>
    </dataValidation>
    <dataValidation type="list" allowBlank="1" showInputMessage="1" showErrorMessage="1" sqref="H25">
      <formula1>"EA,LA,IDB,HA,WC"</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12"/>
  <sheetViews>
    <sheetView workbookViewId="0">
      <pane ySplit="11" topLeftCell="A12" activePane="bottomLeft" state="frozen"/>
      <selection pane="bottomLeft" activeCell="B21" sqref="B21"/>
    </sheetView>
  </sheetViews>
  <sheetFormatPr defaultRowHeight="12.75" x14ac:dyDescent="0.2"/>
  <cols>
    <col min="1" max="1" width="2.44140625" style="172" customWidth="1"/>
    <col min="2" max="2" width="8.88671875" style="186"/>
    <col min="3" max="3" width="12" style="187" customWidth="1"/>
    <col min="4" max="4" width="8.88671875" style="172"/>
    <col min="5" max="5" width="14.44140625" style="173" customWidth="1"/>
    <col min="6" max="6" width="8.109375" style="172" customWidth="1"/>
    <col min="7" max="16384" width="8.88671875" style="172"/>
  </cols>
  <sheetData>
    <row r="2" spans="1:12" ht="15.75" x14ac:dyDescent="0.25">
      <c r="B2" s="193" t="s">
        <v>196</v>
      </c>
    </row>
    <row r="4" spans="1:12" ht="81" customHeight="1" x14ac:dyDescent="0.2">
      <c r="B4" s="274" t="s">
        <v>199</v>
      </c>
      <c r="C4" s="275"/>
      <c r="D4" s="275"/>
      <c r="E4" s="275"/>
      <c r="F4" s="275"/>
      <c r="G4" s="275"/>
      <c r="H4" s="275"/>
      <c r="I4" s="275"/>
      <c r="J4" s="275"/>
      <c r="K4" s="275"/>
      <c r="L4" s="275"/>
    </row>
    <row r="7" spans="1:12" x14ac:dyDescent="0.2">
      <c r="A7" s="192"/>
      <c r="B7" s="192" t="s">
        <v>201</v>
      </c>
    </row>
    <row r="10" spans="1:12" ht="25.5" customHeight="1" x14ac:dyDescent="0.2">
      <c r="B10" s="181" t="s">
        <v>59</v>
      </c>
      <c r="C10" s="182" t="s">
        <v>195</v>
      </c>
      <c r="D10" s="183" t="s">
        <v>197</v>
      </c>
      <c r="E10" s="282" t="s">
        <v>198</v>
      </c>
      <c r="F10" s="283"/>
      <c r="G10" s="190" t="s">
        <v>13</v>
      </c>
      <c r="H10" s="276" t="s">
        <v>14</v>
      </c>
      <c r="I10" s="277"/>
      <c r="J10" s="278"/>
    </row>
    <row r="11" spans="1:12" ht="12.75" customHeight="1" x14ac:dyDescent="0.2">
      <c r="B11" s="184"/>
      <c r="C11" s="188"/>
      <c r="D11" s="174"/>
      <c r="E11" s="179" t="s">
        <v>200</v>
      </c>
      <c r="F11" s="180">
        <f>SUM(F12:F112)</f>
        <v>0</v>
      </c>
      <c r="G11" s="191"/>
      <c r="H11" s="279" t="s">
        <v>15</v>
      </c>
      <c r="I11" s="280"/>
      <c r="J11" s="281"/>
    </row>
    <row r="12" spans="1:12" x14ac:dyDescent="0.2">
      <c r="B12" s="185">
        <f>'Discount Rates &amp; Assumptions'!A5</f>
        <v>0</v>
      </c>
      <c r="C12" s="189">
        <f>'Discount Rates &amp; Assumptions'!C5</f>
        <v>1</v>
      </c>
      <c r="D12" s="194"/>
      <c r="E12" s="175"/>
      <c r="F12" s="176">
        <f t="shared" ref="F12:F43" si="0">D12*C12</f>
        <v>0</v>
      </c>
    </row>
    <row r="13" spans="1:12" x14ac:dyDescent="0.2">
      <c r="B13" s="185">
        <f>'Discount Rates &amp; Assumptions'!A6</f>
        <v>1</v>
      </c>
      <c r="C13" s="189">
        <f>'Discount Rates &amp; Assumptions'!C6</f>
        <v>0.96618357487922713</v>
      </c>
      <c r="D13" s="194"/>
      <c r="E13" s="175"/>
      <c r="F13" s="176">
        <f t="shared" si="0"/>
        <v>0</v>
      </c>
    </row>
    <row r="14" spans="1:12" ht="12.75" customHeight="1" x14ac:dyDescent="0.2">
      <c r="B14" s="185">
        <f>'Discount Rates &amp; Assumptions'!A7</f>
        <v>2</v>
      </c>
      <c r="C14" s="189">
        <f>'Discount Rates &amp; Assumptions'!C7</f>
        <v>0.93351070036640305</v>
      </c>
      <c r="D14" s="194"/>
      <c r="E14" s="175"/>
      <c r="F14" s="176">
        <f t="shared" si="0"/>
        <v>0</v>
      </c>
    </row>
    <row r="15" spans="1:12" ht="12.75" customHeight="1" x14ac:dyDescent="0.2">
      <c r="B15" s="185">
        <f>'Discount Rates &amp; Assumptions'!A8</f>
        <v>3</v>
      </c>
      <c r="C15" s="189">
        <f>'Discount Rates &amp; Assumptions'!C8</f>
        <v>0.90194270566802237</v>
      </c>
      <c r="D15" s="194"/>
      <c r="E15" s="175"/>
      <c r="F15" s="176">
        <f t="shared" si="0"/>
        <v>0</v>
      </c>
    </row>
    <row r="16" spans="1:12" ht="12.75" customHeight="1" x14ac:dyDescent="0.2">
      <c r="B16" s="185">
        <f>'Discount Rates &amp; Assumptions'!A9</f>
        <v>4</v>
      </c>
      <c r="C16" s="189">
        <f>'Discount Rates &amp; Assumptions'!C9</f>
        <v>0.87144222769857238</v>
      </c>
      <c r="D16" s="194"/>
      <c r="E16" s="175"/>
      <c r="F16" s="176">
        <f t="shared" si="0"/>
        <v>0</v>
      </c>
    </row>
    <row r="17" spans="2:6" ht="12.75" customHeight="1" x14ac:dyDescent="0.2">
      <c r="B17" s="185">
        <f>'Discount Rates &amp; Assumptions'!A10</f>
        <v>5</v>
      </c>
      <c r="C17" s="189">
        <f>'Discount Rates &amp; Assumptions'!C10</f>
        <v>0.84197316685852408</v>
      </c>
      <c r="D17" s="194"/>
      <c r="E17" s="175"/>
      <c r="F17" s="176">
        <f t="shared" si="0"/>
        <v>0</v>
      </c>
    </row>
    <row r="18" spans="2:6" ht="12.75" customHeight="1" x14ac:dyDescent="0.2">
      <c r="B18" s="185">
        <f>'Discount Rates &amp; Assumptions'!A11</f>
        <v>6</v>
      </c>
      <c r="C18" s="189">
        <f>'Discount Rates &amp; Assumptions'!C11</f>
        <v>0.81350064430775282</v>
      </c>
      <c r="D18" s="194"/>
      <c r="E18" s="175"/>
      <c r="F18" s="176">
        <f t="shared" si="0"/>
        <v>0</v>
      </c>
    </row>
    <row r="19" spans="2:6" ht="12.75" customHeight="1" x14ac:dyDescent="0.2">
      <c r="B19" s="185">
        <f>'Discount Rates &amp; Assumptions'!A12</f>
        <v>7</v>
      </c>
      <c r="C19" s="189">
        <f>'Discount Rates &amp; Assumptions'!C12</f>
        <v>0.78599096068381924</v>
      </c>
      <c r="D19" s="194"/>
      <c r="E19" s="175"/>
      <c r="F19" s="176">
        <f t="shared" si="0"/>
        <v>0</v>
      </c>
    </row>
    <row r="20" spans="2:6" ht="12.75" customHeight="1" x14ac:dyDescent="0.2">
      <c r="B20" s="185">
        <f>'Discount Rates &amp; Assumptions'!A13</f>
        <v>8</v>
      </c>
      <c r="C20" s="189">
        <f>'Discount Rates &amp; Assumptions'!C13</f>
        <v>0.75941155621625056</v>
      </c>
      <c r="D20" s="194"/>
      <c r="E20" s="175"/>
      <c r="F20" s="176">
        <f t="shared" si="0"/>
        <v>0</v>
      </c>
    </row>
    <row r="21" spans="2:6" ht="12.75" customHeight="1" x14ac:dyDescent="0.2">
      <c r="B21" s="185">
        <f>'Discount Rates &amp; Assumptions'!A14</f>
        <v>9</v>
      </c>
      <c r="C21" s="189">
        <f>'Discount Rates &amp; Assumptions'!C14</f>
        <v>0.73373097218961414</v>
      </c>
      <c r="D21" s="194"/>
      <c r="E21" s="175"/>
      <c r="F21" s="176">
        <f t="shared" si="0"/>
        <v>0</v>
      </c>
    </row>
    <row r="22" spans="2:6" ht="12.75" customHeight="1" x14ac:dyDescent="0.2">
      <c r="B22" s="185">
        <f>'Discount Rates &amp; Assumptions'!A15</f>
        <v>10</v>
      </c>
      <c r="C22" s="189">
        <f>'Discount Rates &amp; Assumptions'!C15</f>
        <v>0.70891881370977217</v>
      </c>
      <c r="D22" s="194"/>
      <c r="E22" s="175"/>
      <c r="F22" s="176">
        <f t="shared" si="0"/>
        <v>0</v>
      </c>
    </row>
    <row r="23" spans="2:6" ht="12.75" customHeight="1" x14ac:dyDescent="0.2">
      <c r="B23" s="185">
        <f>'Discount Rates &amp; Assumptions'!A16</f>
        <v>11</v>
      </c>
      <c r="C23" s="189">
        <f>'Discount Rates &amp; Assumptions'!C16</f>
        <v>0.68494571372924851</v>
      </c>
      <c r="D23" s="194"/>
      <c r="E23" s="175"/>
      <c r="F23" s="176">
        <f t="shared" si="0"/>
        <v>0</v>
      </c>
    </row>
    <row r="24" spans="2:6" ht="12.75" customHeight="1" x14ac:dyDescent="0.2">
      <c r="B24" s="185">
        <f>'Discount Rates &amp; Assumptions'!A17</f>
        <v>12</v>
      </c>
      <c r="C24" s="189">
        <f>'Discount Rates &amp; Assumptions'!C17</f>
        <v>0.66178329828912907</v>
      </c>
      <c r="D24" s="194"/>
      <c r="E24" s="175"/>
      <c r="F24" s="176">
        <f t="shared" si="0"/>
        <v>0</v>
      </c>
    </row>
    <row r="25" spans="2:6" ht="12.75" customHeight="1" x14ac:dyDescent="0.2">
      <c r="B25" s="185">
        <f>'Discount Rates &amp; Assumptions'!A18</f>
        <v>13</v>
      </c>
      <c r="C25" s="189">
        <f>'Discount Rates &amp; Assumptions'!C18</f>
        <v>0.63940415293635666</v>
      </c>
      <c r="D25" s="194"/>
      <c r="E25" s="175"/>
      <c r="F25" s="176">
        <f t="shared" si="0"/>
        <v>0</v>
      </c>
    </row>
    <row r="26" spans="2:6" ht="12.75" customHeight="1" x14ac:dyDescent="0.2">
      <c r="B26" s="185">
        <f>'Discount Rates &amp; Assumptions'!A19</f>
        <v>14</v>
      </c>
      <c r="C26" s="189">
        <f>'Discount Rates &amp; Assumptions'!C19</f>
        <v>0.61778179027667313</v>
      </c>
      <c r="D26" s="194"/>
      <c r="E26" s="175"/>
      <c r="F26" s="176">
        <f t="shared" si="0"/>
        <v>0</v>
      </c>
    </row>
    <row r="27" spans="2:6" ht="12.75" customHeight="1" x14ac:dyDescent="0.2">
      <c r="B27" s="185">
        <f>'Discount Rates &amp; Assumptions'!A20</f>
        <v>15</v>
      </c>
      <c r="C27" s="189">
        <f>'Discount Rates &amp; Assumptions'!C20</f>
        <v>0.59689061862480497</v>
      </c>
      <c r="D27" s="194"/>
      <c r="E27" s="175"/>
      <c r="F27" s="176">
        <f t="shared" si="0"/>
        <v>0</v>
      </c>
    </row>
    <row r="28" spans="2:6" ht="12.75" customHeight="1" x14ac:dyDescent="0.2">
      <c r="B28" s="185">
        <f>'Discount Rates &amp; Assumptions'!A21</f>
        <v>16</v>
      </c>
      <c r="C28" s="189">
        <f>'Discount Rates &amp; Assumptions'!C21</f>
        <v>0.57670591171478747</v>
      </c>
      <c r="D28" s="194"/>
      <c r="E28" s="175"/>
      <c r="F28" s="176">
        <f t="shared" si="0"/>
        <v>0</v>
      </c>
    </row>
    <row r="29" spans="2:6" ht="12.75" customHeight="1" x14ac:dyDescent="0.2">
      <c r="B29" s="185">
        <f>'Discount Rates &amp; Assumptions'!A22</f>
        <v>17</v>
      </c>
      <c r="C29" s="189">
        <f>'Discount Rates &amp; Assumptions'!C22</f>
        <v>0.55720377943457733</v>
      </c>
      <c r="D29" s="194"/>
      <c r="E29" s="175"/>
      <c r="F29" s="176">
        <f t="shared" si="0"/>
        <v>0</v>
      </c>
    </row>
    <row r="30" spans="2:6" ht="12.75" customHeight="1" x14ac:dyDescent="0.2">
      <c r="B30" s="185">
        <f>'Discount Rates &amp; Assumptions'!A23</f>
        <v>18</v>
      </c>
      <c r="C30" s="189">
        <f>'Discount Rates &amp; Assumptions'!C23</f>
        <v>0.53836113955031628</v>
      </c>
      <c r="D30" s="194"/>
      <c r="E30" s="175"/>
      <c r="F30" s="176">
        <f t="shared" si="0"/>
        <v>0</v>
      </c>
    </row>
    <row r="31" spans="2:6" ht="12.75" customHeight="1" x14ac:dyDescent="0.2">
      <c r="B31" s="185">
        <f>'Discount Rates &amp; Assumptions'!A24</f>
        <v>19</v>
      </c>
      <c r="C31" s="189">
        <f>'Discount Rates &amp; Assumptions'!C24</f>
        <v>0.520155690386779</v>
      </c>
      <c r="D31" s="194"/>
      <c r="E31" s="175"/>
      <c r="F31" s="176">
        <f t="shared" si="0"/>
        <v>0</v>
      </c>
    </row>
    <row r="32" spans="2:6" ht="12.75" customHeight="1" x14ac:dyDescent="0.2">
      <c r="B32" s="185">
        <f>'Discount Rates &amp; Assumptions'!A25</f>
        <v>20</v>
      </c>
      <c r="C32" s="189">
        <f>'Discount Rates &amp; Assumptions'!C25</f>
        <v>0.50256588443167061</v>
      </c>
      <c r="D32" s="194"/>
      <c r="E32" s="175"/>
      <c r="F32" s="176">
        <f t="shared" si="0"/>
        <v>0</v>
      </c>
    </row>
    <row r="33" spans="2:6" ht="12.75" customHeight="1" x14ac:dyDescent="0.2">
      <c r="B33" s="185">
        <f>'Discount Rates &amp; Assumptions'!A26</f>
        <v>21</v>
      </c>
      <c r="C33" s="189">
        <f>'Discount Rates &amp; Assumptions'!C26</f>
        <v>0.48557090283253201</v>
      </c>
      <c r="D33" s="194"/>
      <c r="E33" s="175"/>
      <c r="F33" s="176">
        <f t="shared" si="0"/>
        <v>0</v>
      </c>
    </row>
    <row r="34" spans="2:6" ht="12.75" customHeight="1" x14ac:dyDescent="0.2">
      <c r="B34" s="185">
        <f>'Discount Rates &amp; Assumptions'!A27</f>
        <v>22</v>
      </c>
      <c r="C34" s="189">
        <f>'Discount Rates &amp; Assumptions'!C27</f>
        <v>0.46915063075606961</v>
      </c>
      <c r="D34" s="194"/>
      <c r="E34" s="175"/>
      <c r="F34" s="176">
        <f t="shared" si="0"/>
        <v>0</v>
      </c>
    </row>
    <row r="35" spans="2:6" ht="12.75" customHeight="1" x14ac:dyDescent="0.2">
      <c r="B35" s="185">
        <f>'Discount Rates &amp; Assumptions'!A28</f>
        <v>23</v>
      </c>
      <c r="C35" s="189">
        <f>'Discount Rates &amp; Assumptions'!C28</f>
        <v>0.45328563358074364</v>
      </c>
      <c r="D35" s="194"/>
      <c r="E35" s="175"/>
      <c r="F35" s="176">
        <f t="shared" si="0"/>
        <v>0</v>
      </c>
    </row>
    <row r="36" spans="2:6" ht="12.75" customHeight="1" x14ac:dyDescent="0.2">
      <c r="B36" s="185">
        <f>'Discount Rates &amp; Assumptions'!A29</f>
        <v>24</v>
      </c>
      <c r="C36" s="189">
        <f>'Discount Rates &amp; Assumptions'!C29</f>
        <v>0.43795713389443836</v>
      </c>
      <c r="D36" s="194"/>
      <c r="E36" s="175"/>
      <c r="F36" s="176">
        <f t="shared" si="0"/>
        <v>0</v>
      </c>
    </row>
    <row r="37" spans="2:6" ht="12.75" customHeight="1" x14ac:dyDescent="0.2">
      <c r="B37" s="185">
        <f>'Discount Rates &amp; Assumptions'!A30</f>
        <v>25</v>
      </c>
      <c r="C37" s="189">
        <f>'Discount Rates &amp; Assumptions'!C30</f>
        <v>0.42314698926998878</v>
      </c>
      <c r="D37" s="194"/>
      <c r="E37" s="175"/>
      <c r="F37" s="176">
        <f t="shared" si="0"/>
        <v>0</v>
      </c>
    </row>
    <row r="38" spans="2:6" ht="12.75" customHeight="1" x14ac:dyDescent="0.2">
      <c r="B38" s="185">
        <f>'Discount Rates &amp; Assumptions'!A31</f>
        <v>26</v>
      </c>
      <c r="C38" s="189">
        <f>'Discount Rates &amp; Assumptions'!C31</f>
        <v>0.40883767079225974</v>
      </c>
      <c r="D38" s="194"/>
      <c r="E38" s="175"/>
      <c r="F38" s="176">
        <f t="shared" si="0"/>
        <v>0</v>
      </c>
    </row>
    <row r="39" spans="2:6" ht="12.75" customHeight="1" x14ac:dyDescent="0.2">
      <c r="B39" s="185">
        <f>'Discount Rates &amp; Assumptions'!A32</f>
        <v>27</v>
      </c>
      <c r="C39" s="189">
        <f>'Discount Rates &amp; Assumptions'!C32</f>
        <v>0.39501224231136212</v>
      </c>
      <c r="D39" s="194"/>
      <c r="E39" s="175"/>
      <c r="F39" s="176">
        <f t="shared" si="0"/>
        <v>0</v>
      </c>
    </row>
    <row r="40" spans="2:6" ht="12.75" customHeight="1" x14ac:dyDescent="0.2">
      <c r="B40" s="185">
        <f>'Discount Rates &amp; Assumptions'!A33</f>
        <v>28</v>
      </c>
      <c r="C40" s="189">
        <f>'Discount Rates &amp; Assumptions'!C33</f>
        <v>0.38165434039745133</v>
      </c>
      <c r="D40" s="194"/>
      <c r="E40" s="175"/>
      <c r="F40" s="176">
        <f t="shared" si="0"/>
        <v>0</v>
      </c>
    </row>
    <row r="41" spans="2:6" ht="12.75" customHeight="1" x14ac:dyDescent="0.2">
      <c r="B41" s="185">
        <f>'Discount Rates &amp; Assumptions'!A34</f>
        <v>29</v>
      </c>
      <c r="C41" s="189">
        <f>'Discount Rates &amp; Assumptions'!C34</f>
        <v>0.36874815497338298</v>
      </c>
      <c r="D41" s="194"/>
      <c r="E41" s="175"/>
      <c r="F41" s="176">
        <f t="shared" si="0"/>
        <v>0</v>
      </c>
    </row>
    <row r="42" spans="2:6" ht="12.75" customHeight="1" x14ac:dyDescent="0.2">
      <c r="B42" s="185">
        <f>'Discount Rates &amp; Assumptions'!A35</f>
        <v>30</v>
      </c>
      <c r="C42" s="189">
        <f>'Discount Rates &amp; Assumptions'!C35</f>
        <v>0.35627841060230242</v>
      </c>
      <c r="D42" s="194"/>
      <c r="E42" s="175"/>
      <c r="F42" s="176">
        <f t="shared" si="0"/>
        <v>0</v>
      </c>
    </row>
    <row r="43" spans="2:6" ht="12.75" customHeight="1" x14ac:dyDescent="0.2">
      <c r="B43" s="185">
        <f>'Discount Rates &amp; Assumptions'!A36</f>
        <v>31</v>
      </c>
      <c r="C43" s="189">
        <f>'Discount Rates &amp; Assumptions'!C36</f>
        <v>0.34590136951679845</v>
      </c>
      <c r="D43" s="194"/>
      <c r="E43" s="175"/>
      <c r="F43" s="176">
        <f t="shared" si="0"/>
        <v>0</v>
      </c>
    </row>
    <row r="44" spans="2:6" ht="12.75" customHeight="1" x14ac:dyDescent="0.2">
      <c r="B44" s="185">
        <f>'Discount Rates &amp; Assumptions'!A37</f>
        <v>32</v>
      </c>
      <c r="C44" s="189">
        <f>'Discount Rates &amp; Assumptions'!C37</f>
        <v>0.33582657234640628</v>
      </c>
      <c r="D44" s="194"/>
      <c r="E44" s="175"/>
      <c r="F44" s="176">
        <f t="shared" ref="F44:F75" si="1">D44*C44</f>
        <v>0</v>
      </c>
    </row>
    <row r="45" spans="2:6" ht="12.75" customHeight="1" x14ac:dyDescent="0.2">
      <c r="B45" s="185">
        <f>'Discount Rates &amp; Assumptions'!A38</f>
        <v>33</v>
      </c>
      <c r="C45" s="189">
        <f>'Discount Rates &amp; Assumptions'!C38</f>
        <v>0.32604521587029733</v>
      </c>
      <c r="D45" s="194"/>
      <c r="E45" s="175"/>
      <c r="F45" s="176">
        <f t="shared" si="1"/>
        <v>0</v>
      </c>
    </row>
    <row r="46" spans="2:6" ht="12.75" customHeight="1" x14ac:dyDescent="0.2">
      <c r="B46" s="185">
        <f>'Discount Rates &amp; Assumptions'!A39</f>
        <v>34</v>
      </c>
      <c r="C46" s="189">
        <f>'Discount Rates &amp; Assumptions'!C39</f>
        <v>0.31654875327213333</v>
      </c>
      <c r="D46" s="194"/>
      <c r="E46" s="175"/>
      <c r="F46" s="176">
        <f t="shared" si="1"/>
        <v>0</v>
      </c>
    </row>
    <row r="47" spans="2:6" ht="12.75" customHeight="1" x14ac:dyDescent="0.2">
      <c r="B47" s="185">
        <f>'Discount Rates &amp; Assumptions'!A40</f>
        <v>35</v>
      </c>
      <c r="C47" s="189">
        <f>'Discount Rates &amp; Assumptions'!C40</f>
        <v>0.30732888667197411</v>
      </c>
      <c r="D47" s="194"/>
      <c r="E47" s="175"/>
      <c r="F47" s="176">
        <f t="shared" si="1"/>
        <v>0</v>
      </c>
    </row>
    <row r="48" spans="2:6" ht="12.75" customHeight="1" x14ac:dyDescent="0.2">
      <c r="B48" s="185">
        <f>'Discount Rates &amp; Assumptions'!A41</f>
        <v>36</v>
      </c>
      <c r="C48" s="189">
        <f>'Discount Rates &amp; Assumptions'!C41</f>
        <v>0.29837755987570302</v>
      </c>
      <c r="D48" s="194"/>
      <c r="E48" s="175"/>
      <c r="F48" s="176">
        <f t="shared" si="1"/>
        <v>0</v>
      </c>
    </row>
    <row r="49" spans="2:6" ht="12.75" customHeight="1" x14ac:dyDescent="0.2">
      <c r="B49" s="185">
        <f>'Discount Rates &amp; Assumptions'!A42</f>
        <v>37</v>
      </c>
      <c r="C49" s="189">
        <f>'Discount Rates &amp; Assumptions'!C42</f>
        <v>0.28968695133563399</v>
      </c>
      <c r="D49" s="194"/>
      <c r="E49" s="175"/>
      <c r="F49" s="176">
        <f t="shared" si="1"/>
        <v>0</v>
      </c>
    </row>
    <row r="50" spans="2:6" ht="12.75" customHeight="1" x14ac:dyDescent="0.2">
      <c r="B50" s="185">
        <f>'Discount Rates &amp; Assumptions'!A43</f>
        <v>38</v>
      </c>
      <c r="C50" s="189">
        <f>'Discount Rates &amp; Assumptions'!C43</f>
        <v>0.28124946731614953</v>
      </c>
      <c r="D50" s="194"/>
      <c r="E50" s="175"/>
      <c r="F50" s="176">
        <f t="shared" si="1"/>
        <v>0</v>
      </c>
    </row>
    <row r="51" spans="2:6" ht="12.75" customHeight="1" x14ac:dyDescent="0.2">
      <c r="B51" s="185">
        <f>'Discount Rates &amp; Assumptions'!A44</f>
        <v>39</v>
      </c>
      <c r="C51" s="189">
        <f>'Discount Rates &amp; Assumptions'!C44</f>
        <v>0.2730577352583976</v>
      </c>
      <c r="D51" s="194"/>
      <c r="E51" s="175"/>
      <c r="F51" s="176">
        <f t="shared" si="1"/>
        <v>0</v>
      </c>
    </row>
    <row r="52" spans="2:6" ht="12.75" customHeight="1" x14ac:dyDescent="0.2">
      <c r="B52" s="185">
        <f>'Discount Rates &amp; Assumptions'!A45</f>
        <v>40</v>
      </c>
      <c r="C52" s="189">
        <f>'Discount Rates &amp; Assumptions'!C45</f>
        <v>0.26510459733825009</v>
      </c>
      <c r="D52" s="194"/>
      <c r="E52" s="175"/>
      <c r="F52" s="176">
        <f t="shared" si="1"/>
        <v>0</v>
      </c>
    </row>
    <row r="53" spans="2:6" ht="12.75" customHeight="1" x14ac:dyDescent="0.2">
      <c r="B53" s="185">
        <f>'Discount Rates &amp; Assumptions'!A46</f>
        <v>41</v>
      </c>
      <c r="C53" s="189">
        <f>'Discount Rates &amp; Assumptions'!C46</f>
        <v>0.25738310421189331</v>
      </c>
      <c r="D53" s="194"/>
      <c r="E53" s="175"/>
      <c r="F53" s="176">
        <f t="shared" si="1"/>
        <v>0</v>
      </c>
    </row>
    <row r="54" spans="2:6" ht="12.75" customHeight="1" x14ac:dyDescent="0.2">
      <c r="B54" s="185">
        <f>'Discount Rates &amp; Assumptions'!A47</f>
        <v>42</v>
      </c>
      <c r="C54" s="189">
        <f>'Discount Rates &amp; Assumptions'!C47</f>
        <v>0.24988650894358574</v>
      </c>
      <c r="D54" s="194"/>
      <c r="E54" s="175"/>
      <c r="F54" s="176">
        <f t="shared" si="1"/>
        <v>0</v>
      </c>
    </row>
    <row r="55" spans="2:6" ht="12.75" customHeight="1" x14ac:dyDescent="0.2">
      <c r="B55" s="185">
        <f>'Discount Rates &amp; Assumptions'!A48</f>
        <v>43</v>
      </c>
      <c r="C55" s="189">
        <f>'Discount Rates &amp; Assumptions'!C48</f>
        <v>0.24260826111027742</v>
      </c>
      <c r="D55" s="194"/>
      <c r="E55" s="175"/>
      <c r="F55" s="176">
        <f t="shared" si="1"/>
        <v>0</v>
      </c>
    </row>
    <row r="56" spans="2:6" ht="12.75" customHeight="1" x14ac:dyDescent="0.2">
      <c r="B56" s="185">
        <f>'Discount Rates &amp; Assumptions'!A49</f>
        <v>44</v>
      </c>
      <c r="C56" s="189">
        <f>'Discount Rates &amp; Assumptions'!C49</f>
        <v>0.23554200107793924</v>
      </c>
      <c r="D56" s="194"/>
      <c r="E56" s="175"/>
      <c r="F56" s="176">
        <f t="shared" si="1"/>
        <v>0</v>
      </c>
    </row>
    <row r="57" spans="2:6" ht="12.75" customHeight="1" x14ac:dyDescent="0.2">
      <c r="B57" s="185">
        <f>'Discount Rates &amp; Assumptions'!A50</f>
        <v>45</v>
      </c>
      <c r="C57" s="189">
        <f>'Discount Rates &amp; Assumptions'!C50</f>
        <v>0.2286815544446012</v>
      </c>
      <c r="D57" s="194"/>
      <c r="E57" s="175"/>
      <c r="F57" s="176">
        <f t="shared" si="1"/>
        <v>0</v>
      </c>
    </row>
    <row r="58" spans="2:6" ht="12.75" customHeight="1" x14ac:dyDescent="0.2">
      <c r="B58" s="185">
        <f>'Discount Rates &amp; Assumptions'!A51</f>
        <v>46</v>
      </c>
      <c r="C58" s="189">
        <f>'Discount Rates &amp; Assumptions'!C51</f>
        <v>0.22202092664524387</v>
      </c>
      <c r="D58" s="194"/>
      <c r="E58" s="175"/>
      <c r="F58" s="176">
        <f t="shared" si="1"/>
        <v>0</v>
      </c>
    </row>
    <row r="59" spans="2:6" ht="12.75" customHeight="1" x14ac:dyDescent="0.2">
      <c r="B59" s="185">
        <f>'Discount Rates &amp; Assumptions'!A52</f>
        <v>47</v>
      </c>
      <c r="C59" s="189">
        <f>'Discount Rates &amp; Assumptions'!C52</f>
        <v>0.215554297713829</v>
      </c>
      <c r="D59" s="194"/>
      <c r="E59" s="175"/>
      <c r="F59" s="176">
        <f t="shared" si="1"/>
        <v>0</v>
      </c>
    </row>
    <row r="60" spans="2:6" ht="12.75" customHeight="1" x14ac:dyDescent="0.2">
      <c r="B60" s="185">
        <f>'Discount Rates &amp; Assumptions'!A53</f>
        <v>48</v>
      </c>
      <c r="C60" s="189">
        <f>'Discount Rates &amp; Assumptions'!C53</f>
        <v>0.20927601719789224</v>
      </c>
      <c r="D60" s="194"/>
      <c r="E60" s="175"/>
      <c r="F60" s="176">
        <f t="shared" si="1"/>
        <v>0</v>
      </c>
    </row>
    <row r="61" spans="2:6" ht="12.75" customHeight="1" x14ac:dyDescent="0.2">
      <c r="B61" s="185">
        <f>'Discount Rates &amp; Assumptions'!A54</f>
        <v>49</v>
      </c>
      <c r="C61" s="189">
        <f>'Discount Rates &amp; Assumptions'!C54</f>
        <v>0.20318059922125459</v>
      </c>
      <c r="D61" s="194"/>
      <c r="E61" s="175"/>
      <c r="F61" s="176">
        <f t="shared" si="1"/>
        <v>0</v>
      </c>
    </row>
    <row r="62" spans="2:6" ht="12.75" customHeight="1" x14ac:dyDescent="0.2">
      <c r="B62" s="185">
        <f>'Discount Rates &amp; Assumptions'!A55</f>
        <v>50</v>
      </c>
      <c r="C62" s="189">
        <f>'Discount Rates &amp; Assumptions'!C55</f>
        <v>0.19726271769053844</v>
      </c>
      <c r="D62" s="194"/>
      <c r="E62" s="175"/>
      <c r="F62" s="176">
        <f t="shared" si="1"/>
        <v>0</v>
      </c>
    </row>
    <row r="63" spans="2:6" ht="12.75" customHeight="1" x14ac:dyDescent="0.2">
      <c r="B63" s="185">
        <f>'Discount Rates &amp; Assumptions'!A56</f>
        <v>51</v>
      </c>
      <c r="C63" s="189">
        <f>'Discount Rates &amp; Assumptions'!C56</f>
        <v>0.19151720164129946</v>
      </c>
      <c r="D63" s="194"/>
      <c r="E63" s="175"/>
      <c r="F63" s="176">
        <f t="shared" si="1"/>
        <v>0</v>
      </c>
    </row>
    <row r="64" spans="2:6" ht="12.75" customHeight="1" x14ac:dyDescent="0.2">
      <c r="B64" s="185">
        <f>'Discount Rates &amp; Assumptions'!A57</f>
        <v>52</v>
      </c>
      <c r="C64" s="189">
        <f>'Discount Rates &amp; Assumptions'!C57</f>
        <v>0.18593903071970821</v>
      </c>
      <c r="D64" s="194"/>
      <c r="E64" s="175"/>
      <c r="F64" s="176">
        <f t="shared" si="1"/>
        <v>0</v>
      </c>
    </row>
    <row r="65" spans="2:6" ht="12.75" customHeight="1" x14ac:dyDescent="0.2">
      <c r="B65" s="185">
        <f>'Discount Rates &amp; Assumptions'!A58</f>
        <v>53</v>
      </c>
      <c r="C65" s="189">
        <f>'Discount Rates &amp; Assumptions'!C58</f>
        <v>0.18052333079583321</v>
      </c>
      <c r="D65" s="194"/>
      <c r="E65" s="175"/>
      <c r="F65" s="176">
        <f t="shared" si="1"/>
        <v>0</v>
      </c>
    </row>
    <row r="66" spans="2:6" ht="12.75" customHeight="1" x14ac:dyDescent="0.2">
      <c r="B66" s="185">
        <f>'Discount Rates &amp; Assumptions'!A59</f>
        <v>54</v>
      </c>
      <c r="C66" s="189">
        <f>'Discount Rates &amp; Assumptions'!C59</f>
        <v>0.17526536970469245</v>
      </c>
      <c r="D66" s="194"/>
      <c r="E66" s="175"/>
      <c r="F66" s="176">
        <f t="shared" si="1"/>
        <v>0</v>
      </c>
    </row>
    <row r="67" spans="2:6" ht="12.75" customHeight="1" x14ac:dyDescent="0.2">
      <c r="B67" s="185">
        <f>'Discount Rates &amp; Assumptions'!A60</f>
        <v>55</v>
      </c>
      <c r="C67" s="189">
        <f>'Discount Rates &amp; Assumptions'!C60</f>
        <v>0.17016055311135189</v>
      </c>
      <c r="D67" s="194"/>
      <c r="E67" s="175"/>
      <c r="F67" s="176">
        <f t="shared" si="1"/>
        <v>0</v>
      </c>
    </row>
    <row r="68" spans="2:6" ht="12.75" customHeight="1" x14ac:dyDescent="0.2">
      <c r="B68" s="185">
        <f>'Discount Rates &amp; Assumptions'!A61</f>
        <v>56</v>
      </c>
      <c r="C68" s="189">
        <f>'Discount Rates &amp; Assumptions'!C61</f>
        <v>0.16520442049645814</v>
      </c>
      <c r="D68" s="194"/>
      <c r="E68" s="175"/>
      <c r="F68" s="176">
        <f t="shared" si="1"/>
        <v>0</v>
      </c>
    </row>
    <row r="69" spans="2:6" ht="12.75" customHeight="1" x14ac:dyDescent="0.2">
      <c r="B69" s="185">
        <f>'Discount Rates &amp; Assumptions'!A62</f>
        <v>57</v>
      </c>
      <c r="C69" s="189">
        <f>'Discount Rates &amp; Assumptions'!C62</f>
        <v>0.16039264125869723</v>
      </c>
      <c r="D69" s="194"/>
      <c r="E69" s="175"/>
      <c r="F69" s="176">
        <f t="shared" si="1"/>
        <v>0</v>
      </c>
    </row>
    <row r="70" spans="2:6" ht="12.75" customHeight="1" x14ac:dyDescent="0.2">
      <c r="B70" s="185">
        <f>'Discount Rates &amp; Assumptions'!A63</f>
        <v>58</v>
      </c>
      <c r="C70" s="189">
        <f>'Discount Rates &amp; Assumptions'!C63</f>
        <v>0.15572101093077401</v>
      </c>
      <c r="D70" s="194"/>
      <c r="E70" s="175"/>
      <c r="F70" s="176">
        <f t="shared" si="1"/>
        <v>0</v>
      </c>
    </row>
    <row r="71" spans="2:6" ht="12.75" customHeight="1" x14ac:dyDescent="0.2">
      <c r="B71" s="185">
        <f>'Discount Rates &amp; Assumptions'!A64</f>
        <v>59</v>
      </c>
      <c r="C71" s="189">
        <f>'Discount Rates &amp; Assumptions'!C64</f>
        <v>0.15118544750560584</v>
      </c>
      <c r="D71" s="194"/>
      <c r="E71" s="175"/>
      <c r="F71" s="176">
        <f t="shared" si="1"/>
        <v>0</v>
      </c>
    </row>
    <row r="72" spans="2:6" ht="12.75" customHeight="1" x14ac:dyDescent="0.2">
      <c r="B72" s="185">
        <f>'Discount Rates &amp; Assumptions'!A65</f>
        <v>60</v>
      </c>
      <c r="C72" s="189">
        <f>'Discount Rates &amp; Assumptions'!C65</f>
        <v>0.14678198786952024</v>
      </c>
      <c r="D72" s="194"/>
      <c r="E72" s="175"/>
      <c r="F72" s="176">
        <f t="shared" si="1"/>
        <v>0</v>
      </c>
    </row>
    <row r="73" spans="2:6" ht="12.75" customHeight="1" x14ac:dyDescent="0.2">
      <c r="B73" s="185">
        <f>'Discount Rates &amp; Assumptions'!A66</f>
        <v>61</v>
      </c>
      <c r="C73" s="189">
        <f>'Discount Rates &amp; Assumptions'!C66</f>
        <v>0.14250678433934003</v>
      </c>
      <c r="D73" s="194"/>
      <c r="E73" s="175"/>
      <c r="F73" s="176">
        <f t="shared" si="1"/>
        <v>0</v>
      </c>
    </row>
    <row r="74" spans="2:6" ht="12.75" customHeight="1" x14ac:dyDescent="0.2">
      <c r="B74" s="185">
        <f>'Discount Rates &amp; Assumptions'!A67</f>
        <v>62</v>
      </c>
      <c r="C74" s="189">
        <f>'Discount Rates &amp; Assumptions'!C67</f>
        <v>0.13835610130033013</v>
      </c>
      <c r="D74" s="194"/>
      <c r="E74" s="175"/>
      <c r="F74" s="176">
        <f t="shared" si="1"/>
        <v>0</v>
      </c>
    </row>
    <row r="75" spans="2:6" ht="12.75" customHeight="1" x14ac:dyDescent="0.2">
      <c r="B75" s="185">
        <f>'Discount Rates &amp; Assumptions'!A68</f>
        <v>63</v>
      </c>
      <c r="C75" s="189">
        <f>'Discount Rates &amp; Assumptions'!C68</f>
        <v>0.13432631194206809</v>
      </c>
      <c r="D75" s="194"/>
      <c r="E75" s="175"/>
      <c r="F75" s="176">
        <f t="shared" si="1"/>
        <v>0</v>
      </c>
    </row>
    <row r="76" spans="2:6" ht="12.75" customHeight="1" x14ac:dyDescent="0.2">
      <c r="B76" s="185">
        <f>'Discount Rates &amp; Assumptions'!A69</f>
        <v>64</v>
      </c>
      <c r="C76" s="189">
        <f>'Discount Rates &amp; Assumptions'!C69</f>
        <v>0.1304138950893865</v>
      </c>
      <c r="D76" s="194"/>
      <c r="E76" s="175"/>
      <c r="F76" s="176">
        <f t="shared" ref="F76:F112" si="2">D76*C76</f>
        <v>0</v>
      </c>
    </row>
    <row r="77" spans="2:6" ht="12.75" customHeight="1" x14ac:dyDescent="0.2">
      <c r="B77" s="185">
        <f>'Discount Rates &amp; Assumptions'!A70</f>
        <v>65</v>
      </c>
      <c r="C77" s="189">
        <f>'Discount Rates &amp; Assumptions'!C70</f>
        <v>0.12661543212561796</v>
      </c>
      <c r="D77" s="194"/>
      <c r="E77" s="175"/>
      <c r="F77" s="176">
        <f t="shared" si="2"/>
        <v>0</v>
      </c>
    </row>
    <row r="78" spans="2:6" ht="12.75" customHeight="1" x14ac:dyDescent="0.2">
      <c r="B78" s="185">
        <f>'Discount Rates &amp; Assumptions'!A71</f>
        <v>66</v>
      </c>
      <c r="C78" s="189">
        <f>'Discount Rates &amp; Assumptions'!C71</f>
        <v>0.12292760400545433</v>
      </c>
      <c r="D78" s="194"/>
      <c r="E78" s="175"/>
      <c r="F78" s="176">
        <f t="shared" si="2"/>
        <v>0</v>
      </c>
    </row>
    <row r="79" spans="2:6" ht="12.75" customHeight="1" x14ac:dyDescent="0.2">
      <c r="B79" s="185">
        <f>'Discount Rates &amp; Assumptions'!A72</f>
        <v>67</v>
      </c>
      <c r="C79" s="189">
        <f>'Discount Rates &amp; Assumptions'!C72</f>
        <v>0.11934718835481002</v>
      </c>
      <c r="D79" s="194"/>
      <c r="E79" s="175"/>
      <c r="F79" s="176">
        <f t="shared" si="2"/>
        <v>0</v>
      </c>
    </row>
    <row r="80" spans="2:6" ht="12.75" customHeight="1" x14ac:dyDescent="0.2">
      <c r="B80" s="185">
        <f>'Discount Rates &amp; Assumptions'!A73</f>
        <v>68</v>
      </c>
      <c r="C80" s="189">
        <f>'Discount Rates &amp; Assumptions'!C73</f>
        <v>0.11587105665515536</v>
      </c>
      <c r="D80" s="194"/>
      <c r="E80" s="175"/>
      <c r="F80" s="176">
        <f t="shared" si="2"/>
        <v>0</v>
      </c>
    </row>
    <row r="81" spans="2:6" ht="12.75" customHeight="1" x14ac:dyDescent="0.2">
      <c r="B81" s="185">
        <f>'Discount Rates &amp; Assumptions'!A74</f>
        <v>69</v>
      </c>
      <c r="C81" s="189">
        <f>'Discount Rates &amp; Assumptions'!C74</f>
        <v>0.11249617150985958</v>
      </c>
      <c r="D81" s="194"/>
      <c r="E81" s="175"/>
      <c r="F81" s="176">
        <f t="shared" si="2"/>
        <v>0</v>
      </c>
    </row>
    <row r="82" spans="2:6" ht="12.75" customHeight="1" x14ac:dyDescent="0.2">
      <c r="B82" s="185">
        <f>'Discount Rates &amp; Assumptions'!A75</f>
        <v>70</v>
      </c>
      <c r="C82" s="189">
        <f>'Discount Rates &amp; Assumptions'!C75</f>
        <v>0.10921958399015493</v>
      </c>
      <c r="D82" s="194"/>
      <c r="E82" s="175"/>
      <c r="F82" s="176">
        <f t="shared" si="2"/>
        <v>0</v>
      </c>
    </row>
    <row r="83" spans="2:6" ht="12.75" customHeight="1" x14ac:dyDescent="0.2">
      <c r="B83" s="185">
        <f>'Discount Rates &amp; Assumptions'!A76</f>
        <v>71</v>
      </c>
      <c r="C83" s="189">
        <f>'Discount Rates &amp; Assumptions'!C76</f>
        <v>0.10603843105840284</v>
      </c>
      <c r="D83" s="194"/>
      <c r="E83" s="175"/>
      <c r="F83" s="176">
        <f t="shared" si="2"/>
        <v>0</v>
      </c>
    </row>
    <row r="84" spans="2:6" ht="12.75" customHeight="1" x14ac:dyDescent="0.2">
      <c r="B84" s="185">
        <f>'Discount Rates &amp; Assumptions'!A77</f>
        <v>72</v>
      </c>
      <c r="C84" s="189">
        <f>'Discount Rates &amp; Assumptions'!C77</f>
        <v>0.10294993306641052</v>
      </c>
      <c r="D84" s="194"/>
      <c r="E84" s="175"/>
      <c r="F84" s="176">
        <f t="shared" si="2"/>
        <v>0</v>
      </c>
    </row>
    <row r="85" spans="2:6" ht="12.75" customHeight="1" x14ac:dyDescent="0.2">
      <c r="B85" s="185">
        <f>'Discount Rates &amp; Assumptions'!A78</f>
        <v>73</v>
      </c>
      <c r="C85" s="189">
        <f>'Discount Rates &amp; Assumptions'!C78</f>
        <v>9.9951391326612155E-2</v>
      </c>
      <c r="D85" s="194"/>
      <c r="E85" s="175"/>
      <c r="F85" s="176">
        <f t="shared" si="2"/>
        <v>0</v>
      </c>
    </row>
    <row r="86" spans="2:6" ht="12.75" customHeight="1" x14ac:dyDescent="0.2">
      <c r="B86" s="185">
        <f>'Discount Rates &amp; Assumptions'!A79</f>
        <v>74</v>
      </c>
      <c r="C86" s="189">
        <f>'Discount Rates &amp; Assumptions'!C79</f>
        <v>9.7040185753992383E-2</v>
      </c>
      <c r="D86" s="194"/>
      <c r="E86" s="175"/>
      <c r="F86" s="176">
        <f t="shared" si="2"/>
        <v>0</v>
      </c>
    </row>
    <row r="87" spans="2:6" ht="12.75" customHeight="1" x14ac:dyDescent="0.2">
      <c r="B87" s="185">
        <f>'Discount Rates &amp; Assumptions'!A80</f>
        <v>75</v>
      </c>
      <c r="C87" s="189">
        <f>'Discount Rates &amp; Assumptions'!C80</f>
        <v>9.4213772576691626E-2</v>
      </c>
      <c r="D87" s="194"/>
      <c r="E87" s="175"/>
      <c r="F87" s="176">
        <f t="shared" si="2"/>
        <v>0</v>
      </c>
    </row>
    <row r="88" spans="2:6" ht="12.75" customHeight="1" x14ac:dyDescent="0.2">
      <c r="B88" s="185">
        <f>'Discount Rates &amp; Assumptions'!A81</f>
        <v>76</v>
      </c>
      <c r="C88" s="189">
        <f>'Discount Rates &amp; Assumptions'!C81</f>
        <v>9.1915875684577208E-2</v>
      </c>
      <c r="D88" s="194"/>
      <c r="E88" s="175"/>
      <c r="F88" s="176">
        <f t="shared" si="2"/>
        <v>0</v>
      </c>
    </row>
    <row r="89" spans="2:6" ht="12.75" customHeight="1" x14ac:dyDescent="0.2">
      <c r="B89" s="185">
        <f>'Discount Rates &amp; Assumptions'!A82</f>
        <v>77</v>
      </c>
      <c r="C89" s="189">
        <f>'Discount Rates &amp; Assumptions'!C82</f>
        <v>8.9674025058124107E-2</v>
      </c>
      <c r="D89" s="194"/>
      <c r="E89" s="175"/>
      <c r="F89" s="176">
        <f t="shared" si="2"/>
        <v>0</v>
      </c>
    </row>
    <row r="90" spans="2:6" ht="12.75" customHeight="1" x14ac:dyDescent="0.2">
      <c r="B90" s="185">
        <f>'Discount Rates &amp; Assumptions'!A83</f>
        <v>78</v>
      </c>
      <c r="C90" s="189">
        <f>'Discount Rates &amp; Assumptions'!C83</f>
        <v>8.7486853715243035E-2</v>
      </c>
      <c r="D90" s="194"/>
      <c r="E90" s="175"/>
      <c r="F90" s="176">
        <f t="shared" si="2"/>
        <v>0</v>
      </c>
    </row>
    <row r="91" spans="2:6" ht="12.75" customHeight="1" x14ac:dyDescent="0.2">
      <c r="B91" s="185">
        <f>'Discount Rates &amp; Assumptions'!A84</f>
        <v>79</v>
      </c>
      <c r="C91" s="189">
        <f>'Discount Rates &amp; Assumptions'!C84</f>
        <v>8.5353028014871254E-2</v>
      </c>
      <c r="D91" s="194"/>
      <c r="E91" s="175"/>
      <c r="F91" s="176">
        <f t="shared" si="2"/>
        <v>0</v>
      </c>
    </row>
    <row r="92" spans="2:6" ht="12.75" customHeight="1" x14ac:dyDescent="0.2">
      <c r="B92" s="185">
        <f>'Discount Rates &amp; Assumptions'!A85</f>
        <v>80</v>
      </c>
      <c r="C92" s="189">
        <f>'Discount Rates &amp; Assumptions'!C85</f>
        <v>8.3271246843776847E-2</v>
      </c>
      <c r="D92" s="194"/>
      <c r="E92" s="175"/>
      <c r="F92" s="176">
        <f t="shared" si="2"/>
        <v>0</v>
      </c>
    </row>
    <row r="93" spans="2:6" ht="12.75" customHeight="1" x14ac:dyDescent="0.2">
      <c r="B93" s="185">
        <f>'Discount Rates &amp; Assumptions'!A86</f>
        <v>81</v>
      </c>
      <c r="C93" s="189">
        <f>'Discount Rates &amp; Assumptions'!C86</f>
        <v>8.1240240823196933E-2</v>
      </c>
      <c r="D93" s="194"/>
      <c r="E93" s="175"/>
      <c r="F93" s="176">
        <f t="shared" si="2"/>
        <v>0</v>
      </c>
    </row>
    <row r="94" spans="2:6" ht="12.75" customHeight="1" x14ac:dyDescent="0.2">
      <c r="B94" s="185">
        <f>'Discount Rates &amp; Assumptions'!A87</f>
        <v>82</v>
      </c>
      <c r="C94" s="189">
        <f>'Discount Rates &amp; Assumptions'!C87</f>
        <v>7.9258771534826286E-2</v>
      </c>
      <c r="D94" s="194"/>
      <c r="E94" s="175"/>
      <c r="F94" s="176">
        <f t="shared" si="2"/>
        <v>0</v>
      </c>
    </row>
    <row r="95" spans="2:6" ht="12.75" customHeight="1" x14ac:dyDescent="0.2">
      <c r="B95" s="185">
        <f>'Discount Rates &amp; Assumptions'!A88</f>
        <v>83</v>
      </c>
      <c r="C95" s="189">
        <f>'Discount Rates &amp; Assumptions'!C88</f>
        <v>7.7325630765684189E-2</v>
      </c>
      <c r="D95" s="194"/>
      <c r="E95" s="175"/>
      <c r="F95" s="176">
        <f t="shared" si="2"/>
        <v>0</v>
      </c>
    </row>
    <row r="96" spans="2:6" ht="12.75" customHeight="1" x14ac:dyDescent="0.2">
      <c r="B96" s="185">
        <f>'Discount Rates &amp; Assumptions'!A89</f>
        <v>84</v>
      </c>
      <c r="C96" s="189">
        <f>'Discount Rates &amp; Assumptions'!C89</f>
        <v>7.5439639771399211E-2</v>
      </c>
      <c r="D96" s="194"/>
      <c r="E96" s="175"/>
      <c r="F96" s="176">
        <f t="shared" si="2"/>
        <v>0</v>
      </c>
    </row>
    <row r="97" spans="2:6" ht="12.75" customHeight="1" x14ac:dyDescent="0.2">
      <c r="B97" s="185">
        <f>'Discount Rates &amp; Assumptions'!A90</f>
        <v>85</v>
      </c>
      <c r="C97" s="189">
        <f>'Discount Rates &amp; Assumptions'!C90</f>
        <v>7.3599648557462649E-2</v>
      </c>
      <c r="D97" s="194"/>
      <c r="E97" s="175"/>
      <c r="F97" s="176">
        <f t="shared" si="2"/>
        <v>0</v>
      </c>
    </row>
    <row r="98" spans="2:6" ht="12.75" customHeight="1" x14ac:dyDescent="0.2">
      <c r="B98" s="185">
        <f>'Discount Rates &amp; Assumptions'!A91</f>
        <v>86</v>
      </c>
      <c r="C98" s="189">
        <f>'Discount Rates &amp; Assumptions'!C91</f>
        <v>7.1804535178012344E-2</v>
      </c>
      <c r="D98" s="194"/>
      <c r="E98" s="175"/>
      <c r="F98" s="176">
        <f t="shared" si="2"/>
        <v>0</v>
      </c>
    </row>
    <row r="99" spans="2:6" ht="12.75" customHeight="1" x14ac:dyDescent="0.2">
      <c r="B99" s="185">
        <f>'Discount Rates &amp; Assumptions'!A92</f>
        <v>87</v>
      </c>
      <c r="C99" s="189">
        <f>'Discount Rates &amp; Assumptions'!C92</f>
        <v>7.0053205051719372E-2</v>
      </c>
      <c r="D99" s="194"/>
      <c r="E99" s="175"/>
      <c r="F99" s="176">
        <f t="shared" si="2"/>
        <v>0</v>
      </c>
    </row>
    <row r="100" spans="2:6" ht="12.75" customHeight="1" x14ac:dyDescent="0.2">
      <c r="B100" s="185">
        <f>'Discount Rates &amp; Assumptions'!A93</f>
        <v>88</v>
      </c>
      <c r="C100" s="189">
        <f>'Discount Rates &amp; Assumptions'!C93</f>
        <v>6.8344590294360366E-2</v>
      </c>
      <c r="D100" s="194"/>
      <c r="E100" s="175"/>
      <c r="F100" s="176">
        <f t="shared" si="2"/>
        <v>0</v>
      </c>
    </row>
    <row r="101" spans="2:6" ht="12.75" customHeight="1" x14ac:dyDescent="0.2">
      <c r="B101" s="185">
        <f>'Discount Rates &amp; Assumptions'!A94</f>
        <v>89</v>
      </c>
      <c r="C101" s="189">
        <f>'Discount Rates &amp; Assumptions'!C94</f>
        <v>6.6677649067668654E-2</v>
      </c>
      <c r="D101" s="194"/>
      <c r="E101" s="175"/>
      <c r="F101" s="176">
        <f t="shared" si="2"/>
        <v>0</v>
      </c>
    </row>
    <row r="102" spans="2:6" ht="12.75" customHeight="1" x14ac:dyDescent="0.2">
      <c r="B102" s="185">
        <f>'Discount Rates &amp; Assumptions'!A95</f>
        <v>90</v>
      </c>
      <c r="C102" s="189">
        <f>'Discount Rates &amp; Assumptions'!C95</f>
        <v>6.5051364944066992E-2</v>
      </c>
      <c r="D102" s="194"/>
      <c r="E102" s="175"/>
      <c r="F102" s="176">
        <f t="shared" si="2"/>
        <v>0</v>
      </c>
    </row>
    <row r="103" spans="2:6" ht="12.75" customHeight="1" x14ac:dyDescent="0.2">
      <c r="B103" s="185">
        <f>'Discount Rates &amp; Assumptions'!A96</f>
        <v>91</v>
      </c>
      <c r="C103" s="189">
        <f>'Discount Rates &amp; Assumptions'!C96</f>
        <v>6.3464746286894635E-2</v>
      </c>
      <c r="D103" s="194"/>
      <c r="E103" s="175"/>
      <c r="F103" s="176">
        <f t="shared" si="2"/>
        <v>0</v>
      </c>
    </row>
    <row r="104" spans="2:6" ht="12.75" customHeight="1" x14ac:dyDescent="0.2">
      <c r="B104" s="185">
        <f>'Discount Rates &amp; Assumptions'!A97</f>
        <v>92</v>
      </c>
      <c r="C104" s="189">
        <f>'Discount Rates &amp; Assumptions'!C97</f>
        <v>6.1916825645750871E-2</v>
      </c>
      <c r="D104" s="194"/>
      <c r="E104" s="175"/>
      <c r="F104" s="176">
        <f t="shared" si="2"/>
        <v>0</v>
      </c>
    </row>
    <row r="105" spans="2:6" ht="12.75" customHeight="1" x14ac:dyDescent="0.2">
      <c r="B105" s="185">
        <f>'Discount Rates &amp; Assumptions'!A98</f>
        <v>93</v>
      </c>
      <c r="C105" s="189">
        <f>'Discount Rates &amp; Assumptions'!C98</f>
        <v>6.0406659166586218E-2</v>
      </c>
      <c r="D105" s="194"/>
      <c r="E105" s="175"/>
      <c r="F105" s="176">
        <f t="shared" si="2"/>
        <v>0</v>
      </c>
    </row>
    <row r="106" spans="2:6" ht="12.75" customHeight="1" x14ac:dyDescent="0.2">
      <c r="B106" s="185">
        <f>'Discount Rates &amp; Assumptions'!A99</f>
        <v>94</v>
      </c>
      <c r="C106" s="189">
        <f>'Discount Rates &amp; Assumptions'!C99</f>
        <v>5.8933326016181682E-2</v>
      </c>
      <c r="D106" s="194"/>
      <c r="E106" s="175"/>
      <c r="F106" s="176">
        <f t="shared" si="2"/>
        <v>0</v>
      </c>
    </row>
    <row r="107" spans="2:6" ht="12.75" customHeight="1" x14ac:dyDescent="0.2">
      <c r="B107" s="185">
        <f>'Discount Rates &amp; Assumptions'!A100</f>
        <v>95</v>
      </c>
      <c r="C107" s="189">
        <f>'Discount Rates &amp; Assumptions'!C100</f>
        <v>5.7495927820665059E-2</v>
      </c>
      <c r="D107" s="194"/>
      <c r="E107" s="175"/>
      <c r="F107" s="176">
        <f t="shared" si="2"/>
        <v>0</v>
      </c>
    </row>
    <row r="108" spans="2:6" ht="12.75" customHeight="1" x14ac:dyDescent="0.2">
      <c r="B108" s="185">
        <f>'Discount Rates &amp; Assumptions'!A101</f>
        <v>96</v>
      </c>
      <c r="C108" s="189">
        <f>'Discount Rates &amp; Assumptions'!C101</f>
        <v>5.6093588117722012E-2</v>
      </c>
      <c r="D108" s="194"/>
      <c r="E108" s="175"/>
      <c r="F108" s="176">
        <f t="shared" si="2"/>
        <v>0</v>
      </c>
    </row>
    <row r="109" spans="2:6" ht="12.75" customHeight="1" x14ac:dyDescent="0.2">
      <c r="B109" s="185">
        <f>'Discount Rates &amp; Assumptions'!A102</f>
        <v>97</v>
      </c>
      <c r="C109" s="189">
        <f>'Discount Rates &amp; Assumptions'!C102</f>
        <v>5.4725451822167821E-2</v>
      </c>
      <c r="D109" s="194"/>
      <c r="E109" s="175"/>
      <c r="F109" s="176">
        <f t="shared" si="2"/>
        <v>0</v>
      </c>
    </row>
    <row r="110" spans="2:6" ht="12.75" customHeight="1" x14ac:dyDescent="0.2">
      <c r="B110" s="185">
        <f>'Discount Rates &amp; Assumptions'!A103</f>
        <v>98</v>
      </c>
      <c r="C110" s="189">
        <f>'Discount Rates &amp; Assumptions'!C103</f>
        <v>5.3390684704553978E-2</v>
      </c>
      <c r="D110" s="194"/>
      <c r="E110" s="175"/>
      <c r="F110" s="176">
        <f t="shared" si="2"/>
        <v>0</v>
      </c>
    </row>
    <row r="111" spans="2:6" ht="12.75" customHeight="1" x14ac:dyDescent="0.2">
      <c r="B111" s="185">
        <f>'Discount Rates &amp; Assumptions'!A104</f>
        <v>99</v>
      </c>
      <c r="C111" s="189">
        <f>'Discount Rates &amp; Assumptions'!C104</f>
        <v>5.2088472882491688E-2</v>
      </c>
      <c r="D111" s="194"/>
      <c r="E111" s="175"/>
      <c r="F111" s="176">
        <f t="shared" si="2"/>
        <v>0</v>
      </c>
    </row>
    <row r="112" spans="2:6" ht="12.75" customHeight="1" x14ac:dyDescent="0.2">
      <c r="B112" s="184">
        <f>'Discount Rates &amp; Assumptions'!A105</f>
        <v>100</v>
      </c>
      <c r="C112" s="188">
        <f>'Discount Rates &amp; Assumptions'!C105</f>
        <v>5.0818022324382137E-2</v>
      </c>
      <c r="D112" s="195"/>
      <c r="E112" s="177"/>
      <c r="F112" s="178">
        <f t="shared" si="2"/>
        <v>0</v>
      </c>
    </row>
  </sheetData>
  <protectedRanges>
    <protectedRange password="A377" sqref="D12:D112" name="Cash Sum"/>
  </protectedRanges>
  <mergeCells count="4">
    <mergeCell ref="B4:L4"/>
    <mergeCell ref="H10:J10"/>
    <mergeCell ref="H11:J11"/>
    <mergeCell ref="E10:F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Q107"/>
  <sheetViews>
    <sheetView zoomScale="55" zoomScaleNormal="55" workbookViewId="0">
      <selection activeCell="E5" sqref="E5"/>
    </sheetView>
  </sheetViews>
  <sheetFormatPr defaultColWidth="8.88671875" defaultRowHeight="15" x14ac:dyDescent="0.2"/>
  <cols>
    <col min="1" max="1" width="8.88671875" style="2"/>
    <col min="2" max="2" width="10.88671875" style="2" bestFit="1" customWidth="1"/>
    <col min="3" max="3" width="11.5546875" style="15" customWidth="1"/>
    <col min="4" max="4" width="9.88671875" style="2" customWidth="1"/>
    <col min="5" max="5" width="8.88671875" style="2"/>
    <col min="6" max="6" width="14.33203125" style="2" customWidth="1"/>
    <col min="7" max="7" width="13.5546875" style="2" customWidth="1"/>
    <col min="8" max="8" width="8.77734375" style="2" customWidth="1"/>
    <col min="9" max="9" width="10.21875" style="2" customWidth="1"/>
    <col min="10" max="10" width="12.77734375" style="2" customWidth="1"/>
    <col min="11" max="11" width="8.77734375" style="2" customWidth="1"/>
    <col min="12" max="12" width="8.88671875" style="2"/>
    <col min="13" max="13" width="10" style="2" bestFit="1" customWidth="1"/>
    <col min="14" max="16384" width="8.88671875" style="2"/>
  </cols>
  <sheetData>
    <row r="1" spans="1:13" ht="18.75" x14ac:dyDescent="0.3">
      <c r="A1" s="5"/>
      <c r="F1" s="5"/>
    </row>
    <row r="3" spans="1:13" ht="15.75" x14ac:dyDescent="0.25">
      <c r="A3" s="8" t="s">
        <v>58</v>
      </c>
      <c r="F3" s="8" t="s">
        <v>48</v>
      </c>
    </row>
    <row r="4" spans="1:13" x14ac:dyDescent="0.2">
      <c r="A4" s="3" t="s">
        <v>59</v>
      </c>
      <c r="B4" s="3" t="s">
        <v>60</v>
      </c>
      <c r="C4" s="34" t="s">
        <v>61</v>
      </c>
      <c r="D4" s="3" t="s">
        <v>62</v>
      </c>
      <c r="F4" s="2" t="s">
        <v>36</v>
      </c>
    </row>
    <row r="5" spans="1:13" x14ac:dyDescent="0.2">
      <c r="A5" s="9">
        <v>0</v>
      </c>
      <c r="B5" s="16">
        <v>3.5000000000000003E-2</v>
      </c>
      <c r="C5" s="35">
        <f>1/((1+B5)^A5)</f>
        <v>1</v>
      </c>
      <c r="D5" s="15">
        <f>C5</f>
        <v>1</v>
      </c>
      <c r="H5" s="2" t="s">
        <v>37</v>
      </c>
      <c r="K5" s="14">
        <v>5</v>
      </c>
    </row>
    <row r="6" spans="1:13" x14ac:dyDescent="0.2">
      <c r="A6" s="9">
        <v>1</v>
      </c>
      <c r="B6" s="16">
        <v>3.5000000000000003E-2</v>
      </c>
      <c r="C6" s="35">
        <f t="shared" ref="C6:C37" si="0">C5/(1+B6)</f>
        <v>0.96618357487922713</v>
      </c>
      <c r="D6" s="15">
        <f t="shared" ref="D6:D37" si="1">D5+C6</f>
        <v>1.9661835748792271</v>
      </c>
      <c r="H6" s="2" t="s">
        <v>38</v>
      </c>
      <c r="K6" s="14">
        <v>18</v>
      </c>
    </row>
    <row r="7" spans="1:13" x14ac:dyDescent="0.2">
      <c r="A7" s="9">
        <v>2</v>
      </c>
      <c r="B7" s="16">
        <v>3.5000000000000003E-2</v>
      </c>
      <c r="C7" s="35">
        <f t="shared" si="0"/>
        <v>0.93351070036640305</v>
      </c>
      <c r="D7" s="15">
        <f t="shared" si="1"/>
        <v>2.8996942752456301</v>
      </c>
    </row>
    <row r="8" spans="1:13" x14ac:dyDescent="0.2">
      <c r="A8" s="9">
        <v>3</v>
      </c>
      <c r="B8" s="16">
        <v>3.5000000000000003E-2</v>
      </c>
      <c r="C8" s="35">
        <f t="shared" si="0"/>
        <v>0.90194270566802237</v>
      </c>
      <c r="D8" s="15">
        <f t="shared" si="1"/>
        <v>3.8016369809136523</v>
      </c>
      <c r="F8" s="2" t="s">
        <v>32</v>
      </c>
    </row>
    <row r="9" spans="1:13" x14ac:dyDescent="0.2">
      <c r="A9" s="9">
        <v>4</v>
      </c>
      <c r="B9" s="16">
        <v>3.5000000000000003E-2</v>
      </c>
      <c r="C9" s="35">
        <f t="shared" si="0"/>
        <v>0.87144222769857238</v>
      </c>
      <c r="D9" s="15">
        <f t="shared" si="1"/>
        <v>4.6730792086122248</v>
      </c>
      <c r="H9" s="2" t="s">
        <v>35</v>
      </c>
      <c r="K9" s="14">
        <v>2.25</v>
      </c>
    </row>
    <row r="10" spans="1:13" x14ac:dyDescent="0.2">
      <c r="A10" s="9">
        <v>5</v>
      </c>
      <c r="B10" s="16">
        <v>3.5000000000000003E-2</v>
      </c>
      <c r="C10" s="35">
        <f t="shared" si="0"/>
        <v>0.84197316685852408</v>
      </c>
      <c r="D10" s="15">
        <f t="shared" si="1"/>
        <v>5.5150523754707486</v>
      </c>
      <c r="H10" s="2" t="s">
        <v>33</v>
      </c>
      <c r="K10" s="14">
        <v>1.5</v>
      </c>
    </row>
    <row r="11" spans="1:13" x14ac:dyDescent="0.2">
      <c r="A11" s="9">
        <v>6</v>
      </c>
      <c r="B11" s="16">
        <v>3.5000000000000003E-2</v>
      </c>
      <c r="C11" s="35">
        <f t="shared" si="0"/>
        <v>0.81350064430775282</v>
      </c>
      <c r="D11" s="15">
        <f t="shared" si="1"/>
        <v>6.3285530197785018</v>
      </c>
      <c r="H11" s="2" t="s">
        <v>34</v>
      </c>
      <c r="K11" s="14">
        <v>1</v>
      </c>
    </row>
    <row r="12" spans="1:13" x14ac:dyDescent="0.2">
      <c r="A12" s="9">
        <v>7</v>
      </c>
      <c r="B12" s="16">
        <v>3.5000000000000003E-2</v>
      </c>
      <c r="C12" s="35">
        <f t="shared" si="0"/>
        <v>0.78599096068381924</v>
      </c>
      <c r="D12" s="15">
        <f t="shared" si="1"/>
        <v>7.1145439804623214</v>
      </c>
    </row>
    <row r="13" spans="1:13" x14ac:dyDescent="0.2">
      <c r="A13" s="9">
        <v>8</v>
      </c>
      <c r="B13" s="16">
        <v>3.5000000000000003E-2</v>
      </c>
      <c r="C13" s="35">
        <f t="shared" si="0"/>
        <v>0.75941155621625056</v>
      </c>
      <c r="D13" s="15">
        <f t="shared" si="1"/>
        <v>7.8739555366785723</v>
      </c>
      <c r="F13" s="2" t="s">
        <v>72</v>
      </c>
    </row>
    <row r="14" spans="1:13" x14ac:dyDescent="0.2">
      <c r="A14" s="9">
        <v>9</v>
      </c>
      <c r="B14" s="16">
        <v>3.5000000000000003E-2</v>
      </c>
      <c r="C14" s="35">
        <f t="shared" si="0"/>
        <v>0.73373097218961414</v>
      </c>
      <c r="D14" s="15">
        <f t="shared" si="1"/>
        <v>8.607686508868186</v>
      </c>
      <c r="J14" s="6" t="s">
        <v>87</v>
      </c>
      <c r="K14" s="20">
        <v>15000</v>
      </c>
      <c r="M14" s="4"/>
    </row>
    <row r="15" spans="1:13" x14ac:dyDescent="0.2">
      <c r="A15" s="9">
        <v>10</v>
      </c>
      <c r="B15" s="16">
        <v>3.5000000000000003E-2</v>
      </c>
      <c r="C15" s="35">
        <f t="shared" si="0"/>
        <v>0.70891881370977217</v>
      </c>
      <c r="D15" s="15">
        <f t="shared" si="1"/>
        <v>9.3166053225779581</v>
      </c>
      <c r="J15" s="6" t="s">
        <v>86</v>
      </c>
      <c r="K15" s="20">
        <v>50000</v>
      </c>
      <c r="M15" s="4"/>
    </row>
    <row r="16" spans="1:13" x14ac:dyDescent="0.2">
      <c r="A16" s="9">
        <v>11</v>
      </c>
      <c r="B16" s="16">
        <v>3.5000000000000003E-2</v>
      </c>
      <c r="C16" s="35">
        <f t="shared" si="0"/>
        <v>0.68494571372924851</v>
      </c>
      <c r="D16" s="15">
        <f t="shared" si="1"/>
        <v>10.001551036307207</v>
      </c>
      <c r="J16" s="6" t="s">
        <v>85</v>
      </c>
      <c r="K16" s="20">
        <v>80000</v>
      </c>
      <c r="L16" s="6"/>
      <c r="M16" s="23"/>
    </row>
    <row r="17" spans="1:17" x14ac:dyDescent="0.2">
      <c r="A17" s="9">
        <v>12</v>
      </c>
      <c r="B17" s="16">
        <v>3.5000000000000003E-2</v>
      </c>
      <c r="C17" s="35">
        <f t="shared" si="0"/>
        <v>0.66178329828912907</v>
      </c>
      <c r="D17" s="15">
        <f t="shared" si="1"/>
        <v>10.663334334596335</v>
      </c>
      <c r="M17" s="4"/>
    </row>
    <row r="18" spans="1:17" ht="15.75" x14ac:dyDescent="0.25">
      <c r="A18" s="9">
        <v>13</v>
      </c>
      <c r="B18" s="16">
        <v>3.5000000000000003E-2</v>
      </c>
      <c r="C18" s="35">
        <f t="shared" si="0"/>
        <v>0.63940415293635666</v>
      </c>
      <c r="D18" s="15">
        <f t="shared" si="1"/>
        <v>11.302738487532691</v>
      </c>
      <c r="F18" s="8" t="s">
        <v>49</v>
      </c>
    </row>
    <row r="19" spans="1:17" x14ac:dyDescent="0.2">
      <c r="A19" s="9">
        <v>14</v>
      </c>
      <c r="B19" s="16">
        <v>3.5000000000000003E-2</v>
      </c>
      <c r="C19" s="35">
        <f t="shared" si="0"/>
        <v>0.61778179027667313</v>
      </c>
      <c r="D19" s="15">
        <f t="shared" si="1"/>
        <v>11.920520277809365</v>
      </c>
      <c r="F19" s="2" t="s">
        <v>106</v>
      </c>
    </row>
    <row r="20" spans="1:17" x14ac:dyDescent="0.2">
      <c r="A20" s="9">
        <v>15</v>
      </c>
      <c r="B20" s="16">
        <v>3.5000000000000003E-2</v>
      </c>
      <c r="C20" s="35">
        <f t="shared" si="0"/>
        <v>0.59689061862480497</v>
      </c>
      <c r="D20" s="15">
        <f t="shared" si="1"/>
        <v>12.517410896434169</v>
      </c>
      <c r="G20" s="2" t="s">
        <v>107</v>
      </c>
      <c r="H20" s="2" t="s">
        <v>39</v>
      </c>
      <c r="J20" s="6" t="s">
        <v>42</v>
      </c>
      <c r="K20" s="14">
        <v>20</v>
      </c>
      <c r="L20" s="2" t="str">
        <f>"or a "&amp;1/K20*100&amp;"% annual chance of flooding"</f>
        <v>or a 5% annual chance of flooding</v>
      </c>
    </row>
    <row r="21" spans="1:17" x14ac:dyDescent="0.2">
      <c r="A21" s="9">
        <v>16</v>
      </c>
      <c r="B21" s="16">
        <v>3.5000000000000003E-2</v>
      </c>
      <c r="C21" s="35">
        <f t="shared" si="0"/>
        <v>0.57670591171478747</v>
      </c>
      <c r="D21" s="15">
        <f t="shared" si="1"/>
        <v>13.094116808148957</v>
      </c>
      <c r="G21" s="2" t="s">
        <v>108</v>
      </c>
      <c r="H21" s="2" t="s">
        <v>26</v>
      </c>
      <c r="J21" s="6" t="s">
        <v>42</v>
      </c>
      <c r="K21" s="14">
        <v>40</v>
      </c>
      <c r="L21" s="2" t="str">
        <f>"or a "&amp;1/K21*100&amp;"% annual chance of flooding"</f>
        <v>or a 2.5% annual chance of flooding</v>
      </c>
    </row>
    <row r="22" spans="1:17" x14ac:dyDescent="0.2">
      <c r="A22" s="9">
        <v>17</v>
      </c>
      <c r="B22" s="16">
        <v>3.5000000000000003E-2</v>
      </c>
      <c r="C22" s="35">
        <f t="shared" si="0"/>
        <v>0.55720377943457733</v>
      </c>
      <c r="D22" s="15">
        <f t="shared" si="1"/>
        <v>13.651320587583534</v>
      </c>
      <c r="G22" s="2" t="s">
        <v>109</v>
      </c>
      <c r="H22" s="2" t="s">
        <v>40</v>
      </c>
      <c r="J22" s="6" t="s">
        <v>42</v>
      </c>
      <c r="K22" s="14">
        <v>100</v>
      </c>
      <c r="L22" s="2" t="str">
        <f>"or a "&amp;1/K22*100&amp;"% annual chance of flooding"</f>
        <v>or a 1% annual chance of flooding</v>
      </c>
    </row>
    <row r="23" spans="1:17" x14ac:dyDescent="0.2">
      <c r="A23" s="9">
        <v>18</v>
      </c>
      <c r="B23" s="16">
        <v>3.5000000000000003E-2</v>
      </c>
      <c r="C23" s="35">
        <f t="shared" si="0"/>
        <v>0.53836113955031628</v>
      </c>
      <c r="D23" s="15">
        <f t="shared" si="1"/>
        <v>14.18968172713385</v>
      </c>
      <c r="G23" s="2" t="s">
        <v>110</v>
      </c>
      <c r="H23" s="2" t="s">
        <v>41</v>
      </c>
      <c r="J23" s="6" t="s">
        <v>42</v>
      </c>
      <c r="K23" s="14">
        <v>200</v>
      </c>
      <c r="L23" s="2" t="str">
        <f>"or a "&amp;1/K23*100&amp;"% annual chance of flooding"</f>
        <v>or a 0.5% annual chance of flooding</v>
      </c>
    </row>
    <row r="24" spans="1:17" x14ac:dyDescent="0.2">
      <c r="A24" s="9">
        <v>19</v>
      </c>
      <c r="B24" s="16">
        <v>3.5000000000000003E-2</v>
      </c>
      <c r="C24" s="35">
        <f t="shared" si="0"/>
        <v>0.520155690386779</v>
      </c>
      <c r="D24" s="15">
        <f t="shared" si="1"/>
        <v>14.70983741752063</v>
      </c>
    </row>
    <row r="25" spans="1:17" ht="15.75" x14ac:dyDescent="0.25">
      <c r="A25" s="9">
        <v>20</v>
      </c>
      <c r="B25" s="16">
        <v>3.5000000000000003E-2</v>
      </c>
      <c r="C25" s="35">
        <f t="shared" si="0"/>
        <v>0.50256588443167061</v>
      </c>
      <c r="D25" s="15">
        <f t="shared" si="1"/>
        <v>15.2124033019523</v>
      </c>
      <c r="F25" s="1" t="s">
        <v>94</v>
      </c>
      <c r="I25" s="8"/>
    </row>
    <row r="26" spans="1:17" ht="15" customHeight="1" x14ac:dyDescent="0.2">
      <c r="A26" s="9">
        <v>21</v>
      </c>
      <c r="B26" s="16">
        <v>3.5000000000000003E-2</v>
      </c>
      <c r="C26" s="35">
        <f t="shared" si="0"/>
        <v>0.48557090283253201</v>
      </c>
      <c r="D26" s="15">
        <f t="shared" si="1"/>
        <v>15.697974204784831</v>
      </c>
      <c r="G26" s="7" t="s">
        <v>52</v>
      </c>
      <c r="I26" s="11" t="s">
        <v>39</v>
      </c>
      <c r="J26" s="14">
        <f>(1/VLOOKUP($I26,$H$20:$K$23,4,FALSE)-1/VLOOKUP(J$30,$H$20:$K$23,4,FALSE))*$K$23</f>
        <v>0</v>
      </c>
      <c r="K26" s="14">
        <f>(1/VLOOKUP($I26,$H$20:$K$23,4,FALSE)-1/VLOOKUP(K$30,$H$20:$K$23,4,FALSE))*$K$23</f>
        <v>5</v>
      </c>
      <c r="L26" s="14">
        <f>(1/VLOOKUP($I26,$H$20:$K$23,4,FALSE)-1/VLOOKUP(L$30,$H$20:$K$23,4,FALSE))*$K$23</f>
        <v>8</v>
      </c>
      <c r="M26" s="14">
        <f>(1/VLOOKUP($I26,$H$20:$K$23,4,FALSE)-1/VLOOKUP(M$30,$H$20:$K$23,4,FALSE))*$K$23</f>
        <v>9.0000000000000018</v>
      </c>
      <c r="O26" s="284" t="str">
        <f>"I.e. moving a household from very signficant risk (&gt;=5% annual chance) to low risk (&lt;0.5% chance) is valued "&amp;M26&amp;" times higher for the purposes of national funding than moving a household from moderate risk (&lt;1.3% chance) to low risk."</f>
        <v>I.e. moving a household from very signficant risk (&gt;=5% annual chance) to low risk (&lt;0.5% chance) is valued 9 times higher for the purposes of national funding than moving a household from moderate risk (&lt;1.3% chance) to low risk.</v>
      </c>
      <c r="P26" s="284"/>
      <c r="Q26" s="284"/>
    </row>
    <row r="27" spans="1:17" x14ac:dyDescent="0.2">
      <c r="A27" s="9">
        <v>22</v>
      </c>
      <c r="B27" s="16">
        <v>3.5000000000000003E-2</v>
      </c>
      <c r="C27" s="35">
        <f t="shared" si="0"/>
        <v>0.46915063075606961</v>
      </c>
      <c r="D27" s="15">
        <f t="shared" si="1"/>
        <v>16.1671248355409</v>
      </c>
      <c r="I27" s="11" t="s">
        <v>26</v>
      </c>
      <c r="K27" s="14">
        <f>(1/VLOOKUP($I27,$H$20:$K$23,4,FALSE)-1/VLOOKUP(K$30,$H$20:$K$23,4,FALSE))*$K$23</f>
        <v>0</v>
      </c>
      <c r="L27" s="14">
        <f>(1/VLOOKUP($I27,$H$20:$K$23,4,FALSE)-1/VLOOKUP(L$30,$H$20:$K$23,4,FALSE))*$K$23</f>
        <v>3.0000000000000004</v>
      </c>
      <c r="M27" s="14">
        <f>(1/VLOOKUP($I27,$H$20:$K$23,4,FALSE)-1/VLOOKUP(M$30,$H$20:$K$23,4,FALSE))*$K$23</f>
        <v>4</v>
      </c>
      <c r="O27" s="284"/>
      <c r="P27" s="284"/>
      <c r="Q27" s="284"/>
    </row>
    <row r="28" spans="1:17" x14ac:dyDescent="0.2">
      <c r="A28" s="9">
        <v>23</v>
      </c>
      <c r="B28" s="16">
        <v>3.5000000000000003E-2</v>
      </c>
      <c r="C28" s="35">
        <f t="shared" si="0"/>
        <v>0.45328563358074364</v>
      </c>
      <c r="D28" s="15">
        <f t="shared" si="1"/>
        <v>16.620410469121644</v>
      </c>
      <c r="I28" s="11" t="s">
        <v>40</v>
      </c>
      <c r="L28" s="14">
        <f>(1/VLOOKUP($I28,$H$20:$K$23,4,FALSE)-1/VLOOKUP(L$30,$H$20:$K$23,4,FALSE))*$K$23</f>
        <v>0</v>
      </c>
      <c r="M28" s="14">
        <f>(1/VLOOKUP($I28,$H$20:$K$23,4,FALSE)-1/VLOOKUP(M$30,$H$20:$K$23,4,FALSE))*$K$23</f>
        <v>1</v>
      </c>
      <c r="O28" s="284"/>
      <c r="P28" s="284"/>
      <c r="Q28" s="284"/>
    </row>
    <row r="29" spans="1:17" x14ac:dyDescent="0.2">
      <c r="A29" s="9">
        <v>24</v>
      </c>
      <c r="B29" s="16">
        <v>3.5000000000000003E-2</v>
      </c>
      <c r="C29" s="35">
        <f t="shared" si="0"/>
        <v>0.43795713389443836</v>
      </c>
      <c r="D29" s="15">
        <f t="shared" si="1"/>
        <v>17.058367603016084</v>
      </c>
      <c r="I29" s="11" t="s">
        <v>41</v>
      </c>
      <c r="M29" s="14">
        <f>(1/VLOOKUP($I29,$H$20:$K$23,4,FALSE)-1/VLOOKUP(M$30,$H$20:$K$23,4,FALSE))*$K$23</f>
        <v>0</v>
      </c>
      <c r="O29" s="284"/>
      <c r="P29" s="284"/>
      <c r="Q29" s="284"/>
    </row>
    <row r="30" spans="1:17" ht="47.25" customHeight="1" x14ac:dyDescent="0.2">
      <c r="A30" s="9">
        <v>25</v>
      </c>
      <c r="B30" s="16">
        <v>3.5000000000000003E-2</v>
      </c>
      <c r="C30" s="35">
        <f t="shared" si="0"/>
        <v>0.42314698926998878</v>
      </c>
      <c r="D30" s="15">
        <f t="shared" si="1"/>
        <v>17.481514592286072</v>
      </c>
      <c r="I30" s="13" t="s">
        <v>51</v>
      </c>
      <c r="J30" s="12" t="s">
        <v>39</v>
      </c>
      <c r="K30" s="12" t="s">
        <v>26</v>
      </c>
      <c r="L30" s="12" t="s">
        <v>40</v>
      </c>
      <c r="M30" s="12" t="s">
        <v>41</v>
      </c>
      <c r="O30" s="284"/>
      <c r="P30" s="284"/>
      <c r="Q30" s="284"/>
    </row>
    <row r="31" spans="1:17" x14ac:dyDescent="0.2">
      <c r="A31" s="9">
        <v>26</v>
      </c>
      <c r="B31" s="16">
        <v>3.5000000000000003E-2</v>
      </c>
      <c r="C31" s="35">
        <f t="shared" si="0"/>
        <v>0.40883767079225974</v>
      </c>
      <c r="D31" s="15">
        <f t="shared" si="1"/>
        <v>17.890352263078331</v>
      </c>
      <c r="I31" s="13"/>
      <c r="J31" s="12"/>
      <c r="K31" s="12"/>
      <c r="L31" s="12"/>
      <c r="M31" s="12"/>
      <c r="O31" s="284"/>
      <c r="P31" s="284"/>
      <c r="Q31" s="284"/>
    </row>
    <row r="32" spans="1:17" ht="15.75" x14ac:dyDescent="0.25">
      <c r="A32" s="9">
        <v>27</v>
      </c>
      <c r="B32" s="16">
        <v>3.5000000000000003E-2</v>
      </c>
      <c r="C32" s="35">
        <f t="shared" si="0"/>
        <v>0.39501224231136212</v>
      </c>
      <c r="D32" s="15">
        <f t="shared" si="1"/>
        <v>18.285364505389694</v>
      </c>
      <c r="I32" s="13"/>
      <c r="J32" s="41" t="s">
        <v>132</v>
      </c>
      <c r="K32" s="37">
        <v>30</v>
      </c>
      <c r="L32" s="39" t="s">
        <v>133</v>
      </c>
      <c r="M32" s="40"/>
      <c r="O32" s="38"/>
      <c r="P32" s="38"/>
      <c r="Q32" s="38"/>
    </row>
    <row r="33" spans="1:17" x14ac:dyDescent="0.2">
      <c r="A33" s="9">
        <v>28</v>
      </c>
      <c r="B33" s="16">
        <v>3.5000000000000003E-2</v>
      </c>
      <c r="C33" s="35">
        <f t="shared" si="0"/>
        <v>0.38165434039745133</v>
      </c>
      <c r="D33" s="15">
        <f t="shared" si="1"/>
        <v>18.667018845787144</v>
      </c>
      <c r="I33" s="13"/>
      <c r="J33" s="12"/>
      <c r="K33" s="12"/>
      <c r="L33" s="12"/>
      <c r="M33" s="12"/>
      <c r="O33" s="38"/>
      <c r="P33" s="38"/>
      <c r="Q33" s="38"/>
    </row>
    <row r="34" spans="1:17" ht="15.75" x14ac:dyDescent="0.25">
      <c r="A34" s="9">
        <v>29</v>
      </c>
      <c r="B34" s="16">
        <v>3.5000000000000003E-2</v>
      </c>
      <c r="C34" s="35">
        <f t="shared" si="0"/>
        <v>0.36874815497338298</v>
      </c>
      <c r="D34" s="15">
        <f t="shared" si="1"/>
        <v>19.035767000760526</v>
      </c>
      <c r="F34" s="8" t="s">
        <v>53</v>
      </c>
      <c r="I34" s="10"/>
      <c r="J34" s="10"/>
      <c r="K34" s="10"/>
    </row>
    <row r="35" spans="1:17" x14ac:dyDescent="0.2">
      <c r="A35" s="9">
        <v>30</v>
      </c>
      <c r="B35" s="16">
        <v>3.5000000000000003E-2</v>
      </c>
      <c r="C35" s="35">
        <f t="shared" si="0"/>
        <v>0.35627841060230242</v>
      </c>
      <c r="D35" s="15">
        <f t="shared" si="1"/>
        <v>19.39204541136283</v>
      </c>
      <c r="F35" s="2" t="s">
        <v>43</v>
      </c>
      <c r="K35" s="21">
        <v>6000</v>
      </c>
    </row>
    <row r="36" spans="1:17" x14ac:dyDescent="0.2">
      <c r="A36" s="9">
        <v>31</v>
      </c>
      <c r="B36" s="16">
        <v>0.03</v>
      </c>
      <c r="C36" s="35">
        <f t="shared" si="0"/>
        <v>0.34590136951679845</v>
      </c>
      <c r="D36" s="15">
        <f t="shared" si="1"/>
        <v>19.737946780879629</v>
      </c>
    </row>
    <row r="37" spans="1:17" x14ac:dyDescent="0.2">
      <c r="A37" s="9">
        <v>32</v>
      </c>
      <c r="B37" s="16">
        <v>0.03</v>
      </c>
      <c r="C37" s="35">
        <f t="shared" si="0"/>
        <v>0.33582657234640628</v>
      </c>
      <c r="D37" s="15">
        <f t="shared" si="1"/>
        <v>20.073773353226034</v>
      </c>
      <c r="F37" s="2" t="s">
        <v>44</v>
      </c>
    </row>
    <row r="38" spans="1:17" x14ac:dyDescent="0.2">
      <c r="A38" s="9">
        <v>33</v>
      </c>
      <c r="B38" s="16">
        <v>0.03</v>
      </c>
      <c r="C38" s="35">
        <f t="shared" ref="C38:C69" si="2">C37/(1+B38)</f>
        <v>0.32604521587029733</v>
      </c>
      <c r="D38" s="15">
        <f t="shared" ref="D38:D69" si="3">D37+C38</f>
        <v>20.399818569096333</v>
      </c>
      <c r="H38" s="2" t="s">
        <v>45</v>
      </c>
      <c r="K38" s="14">
        <v>20</v>
      </c>
      <c r="L38" s="2" t="s">
        <v>47</v>
      </c>
    </row>
    <row r="39" spans="1:17" x14ac:dyDescent="0.2">
      <c r="A39" s="9">
        <v>34</v>
      </c>
      <c r="B39" s="16">
        <v>0.03</v>
      </c>
      <c r="C39" s="35">
        <f t="shared" si="2"/>
        <v>0.31654875327213333</v>
      </c>
      <c r="D39" s="15">
        <f t="shared" si="3"/>
        <v>20.716367322368466</v>
      </c>
      <c r="H39" s="2" t="s">
        <v>46</v>
      </c>
      <c r="K39" s="14">
        <v>50</v>
      </c>
      <c r="L39" s="2" t="s">
        <v>47</v>
      </c>
    </row>
    <row r="40" spans="1:17" x14ac:dyDescent="0.2">
      <c r="A40" s="9">
        <v>35</v>
      </c>
      <c r="B40" s="16">
        <v>0.03</v>
      </c>
      <c r="C40" s="35">
        <f t="shared" si="2"/>
        <v>0.30732888667197411</v>
      </c>
      <c r="D40" s="15">
        <f t="shared" si="3"/>
        <v>21.023696209040441</v>
      </c>
    </row>
    <row r="41" spans="1:17" ht="15.75" x14ac:dyDescent="0.25">
      <c r="A41" s="9">
        <v>36</v>
      </c>
      <c r="B41" s="16">
        <v>0.03</v>
      </c>
      <c r="C41" s="35">
        <f t="shared" si="2"/>
        <v>0.29837755987570302</v>
      </c>
      <c r="D41" s="15">
        <f t="shared" si="3"/>
        <v>21.322073768916145</v>
      </c>
      <c r="F41" s="8" t="s">
        <v>50</v>
      </c>
    </row>
    <row r="42" spans="1:17" x14ac:dyDescent="0.2">
      <c r="A42" s="9">
        <v>37</v>
      </c>
      <c r="B42" s="16">
        <v>0.03</v>
      </c>
      <c r="C42" s="35">
        <f t="shared" si="2"/>
        <v>0.28968695133563399</v>
      </c>
      <c r="D42" s="15">
        <f t="shared" si="3"/>
        <v>21.61176072025178</v>
      </c>
      <c r="F42" s="2" t="s">
        <v>5</v>
      </c>
      <c r="J42" s="22">
        <v>1.2</v>
      </c>
    </row>
    <row r="43" spans="1:17" x14ac:dyDescent="0.2">
      <c r="A43" s="9">
        <v>38</v>
      </c>
      <c r="B43" s="16">
        <v>0.03</v>
      </c>
      <c r="C43" s="35">
        <f t="shared" si="2"/>
        <v>0.28124946731614953</v>
      </c>
      <c r="D43" s="15">
        <f t="shared" si="3"/>
        <v>21.893010187567931</v>
      </c>
      <c r="F43" s="2" t="s">
        <v>6</v>
      </c>
      <c r="J43" s="22">
        <v>1</v>
      </c>
    </row>
    <row r="44" spans="1:17" x14ac:dyDescent="0.2">
      <c r="A44" s="9">
        <v>39</v>
      </c>
      <c r="B44" s="16">
        <v>0.03</v>
      </c>
      <c r="C44" s="35">
        <f t="shared" si="2"/>
        <v>0.2730577352583976</v>
      </c>
      <c r="D44" s="15">
        <f t="shared" si="3"/>
        <v>22.166067922826329</v>
      </c>
    </row>
    <row r="45" spans="1:17" ht="15.75" x14ac:dyDescent="0.25">
      <c r="A45" s="9">
        <v>40</v>
      </c>
      <c r="B45" s="16">
        <v>0.03</v>
      </c>
      <c r="C45" s="35">
        <f t="shared" si="2"/>
        <v>0.26510459733825009</v>
      </c>
      <c r="D45" s="15">
        <f t="shared" si="3"/>
        <v>22.43117252016458</v>
      </c>
      <c r="F45" s="8" t="s">
        <v>93</v>
      </c>
    </row>
    <row r="46" spans="1:17" x14ac:dyDescent="0.2">
      <c r="A46" s="9">
        <v>41</v>
      </c>
      <c r="B46" s="16">
        <v>0.03</v>
      </c>
      <c r="C46" s="35">
        <f t="shared" si="2"/>
        <v>0.25738310421189331</v>
      </c>
      <c r="D46" s="15">
        <f t="shared" si="3"/>
        <v>22.688555624376473</v>
      </c>
    </row>
    <row r="47" spans="1:17" x14ac:dyDescent="0.2">
      <c r="A47" s="9">
        <v>42</v>
      </c>
      <c r="B47" s="16">
        <v>0.03</v>
      </c>
      <c r="C47" s="35">
        <f t="shared" si="2"/>
        <v>0.24988650894358574</v>
      </c>
      <c r="D47" s="15">
        <f t="shared" si="3"/>
        <v>22.938442133320059</v>
      </c>
    </row>
    <row r="48" spans="1:17" x14ac:dyDescent="0.2">
      <c r="A48" s="9">
        <v>43</v>
      </c>
      <c r="B48" s="16">
        <v>0.03</v>
      </c>
      <c r="C48" s="35">
        <f t="shared" si="2"/>
        <v>0.24260826111027742</v>
      </c>
      <c r="D48" s="15">
        <f t="shared" si="3"/>
        <v>23.181050394430336</v>
      </c>
    </row>
    <row r="49" spans="1:4" x14ac:dyDescent="0.2">
      <c r="A49" s="9">
        <v>44</v>
      </c>
      <c r="B49" s="16">
        <v>0.03</v>
      </c>
      <c r="C49" s="35">
        <f t="shared" si="2"/>
        <v>0.23554200107793924</v>
      </c>
      <c r="D49" s="15">
        <f t="shared" si="3"/>
        <v>23.416592395508275</v>
      </c>
    </row>
    <row r="50" spans="1:4" x14ac:dyDescent="0.2">
      <c r="A50" s="9">
        <v>45</v>
      </c>
      <c r="B50" s="16">
        <v>0.03</v>
      </c>
      <c r="C50" s="35">
        <f t="shared" si="2"/>
        <v>0.2286815544446012</v>
      </c>
      <c r="D50" s="15">
        <f t="shared" si="3"/>
        <v>23.645273949952877</v>
      </c>
    </row>
    <row r="51" spans="1:4" x14ac:dyDescent="0.2">
      <c r="A51" s="9">
        <v>46</v>
      </c>
      <c r="B51" s="16">
        <v>0.03</v>
      </c>
      <c r="C51" s="35">
        <f t="shared" si="2"/>
        <v>0.22202092664524387</v>
      </c>
      <c r="D51" s="15">
        <f t="shared" si="3"/>
        <v>23.86729487659812</v>
      </c>
    </row>
    <row r="52" spans="1:4" x14ac:dyDescent="0.2">
      <c r="A52" s="9">
        <v>47</v>
      </c>
      <c r="B52" s="16">
        <v>0.03</v>
      </c>
      <c r="C52" s="35">
        <f t="shared" si="2"/>
        <v>0.215554297713829</v>
      </c>
      <c r="D52" s="15">
        <f t="shared" si="3"/>
        <v>24.082849174311949</v>
      </c>
    </row>
    <row r="53" spans="1:4" x14ac:dyDescent="0.2">
      <c r="A53" s="9">
        <v>48</v>
      </c>
      <c r="B53" s="16">
        <v>0.03</v>
      </c>
      <c r="C53" s="35">
        <f t="shared" si="2"/>
        <v>0.20927601719789224</v>
      </c>
      <c r="D53" s="15">
        <f t="shared" si="3"/>
        <v>24.292125191509843</v>
      </c>
    </row>
    <row r="54" spans="1:4" x14ac:dyDescent="0.2">
      <c r="A54" s="9">
        <v>49</v>
      </c>
      <c r="B54" s="16">
        <v>0.03</v>
      </c>
      <c r="C54" s="35">
        <f t="shared" si="2"/>
        <v>0.20318059922125459</v>
      </c>
      <c r="D54" s="15">
        <f t="shared" si="3"/>
        <v>24.495305790731098</v>
      </c>
    </row>
    <row r="55" spans="1:4" ht="15.75" x14ac:dyDescent="0.25">
      <c r="A55" s="19">
        <v>50</v>
      </c>
      <c r="B55" s="17">
        <v>0.03</v>
      </c>
      <c r="C55" s="36">
        <f t="shared" si="2"/>
        <v>0.19726271769053844</v>
      </c>
      <c r="D55" s="18">
        <f t="shared" si="3"/>
        <v>24.692568508421637</v>
      </c>
    </row>
    <row r="56" spans="1:4" x14ac:dyDescent="0.2">
      <c r="A56" s="9">
        <v>51</v>
      </c>
      <c r="B56" s="16">
        <v>0.03</v>
      </c>
      <c r="C56" s="35">
        <f t="shared" si="2"/>
        <v>0.19151720164129946</v>
      </c>
      <c r="D56" s="15">
        <f t="shared" si="3"/>
        <v>24.884085710062937</v>
      </c>
    </row>
    <row r="57" spans="1:4" x14ac:dyDescent="0.2">
      <c r="A57" s="9">
        <v>52</v>
      </c>
      <c r="B57" s="16">
        <v>0.03</v>
      </c>
      <c r="C57" s="35">
        <f t="shared" si="2"/>
        <v>0.18593903071970821</v>
      </c>
      <c r="D57" s="15">
        <f t="shared" si="3"/>
        <v>25.070024740782646</v>
      </c>
    </row>
    <row r="58" spans="1:4" x14ac:dyDescent="0.2">
      <c r="A58" s="9">
        <v>53</v>
      </c>
      <c r="B58" s="16">
        <v>0.03</v>
      </c>
      <c r="C58" s="35">
        <f t="shared" si="2"/>
        <v>0.18052333079583321</v>
      </c>
      <c r="D58" s="15">
        <f t="shared" si="3"/>
        <v>25.250548071578478</v>
      </c>
    </row>
    <row r="59" spans="1:4" x14ac:dyDescent="0.2">
      <c r="A59" s="9">
        <v>54</v>
      </c>
      <c r="B59" s="16">
        <v>0.03</v>
      </c>
      <c r="C59" s="35">
        <f t="shared" si="2"/>
        <v>0.17526536970469245</v>
      </c>
      <c r="D59" s="15">
        <f t="shared" si="3"/>
        <v>25.425813441283172</v>
      </c>
    </row>
    <row r="60" spans="1:4" x14ac:dyDescent="0.2">
      <c r="A60" s="9">
        <v>55</v>
      </c>
      <c r="B60" s="16">
        <v>0.03</v>
      </c>
      <c r="C60" s="35">
        <f t="shared" si="2"/>
        <v>0.17016055311135189</v>
      </c>
      <c r="D60" s="15">
        <f t="shared" si="3"/>
        <v>25.595973994394523</v>
      </c>
    </row>
    <row r="61" spans="1:4" x14ac:dyDescent="0.2">
      <c r="A61" s="9">
        <v>56</v>
      </c>
      <c r="B61" s="16">
        <v>0.03</v>
      </c>
      <c r="C61" s="35">
        <f t="shared" si="2"/>
        <v>0.16520442049645814</v>
      </c>
      <c r="D61" s="15">
        <f t="shared" si="3"/>
        <v>25.761178414890981</v>
      </c>
    </row>
    <row r="62" spans="1:4" x14ac:dyDescent="0.2">
      <c r="A62" s="9">
        <v>57</v>
      </c>
      <c r="B62" s="16">
        <v>0.03</v>
      </c>
      <c r="C62" s="35">
        <f t="shared" si="2"/>
        <v>0.16039264125869723</v>
      </c>
      <c r="D62" s="15">
        <f t="shared" si="3"/>
        <v>25.921571056149677</v>
      </c>
    </row>
    <row r="63" spans="1:4" x14ac:dyDescent="0.2">
      <c r="A63" s="9">
        <v>58</v>
      </c>
      <c r="B63" s="16">
        <v>0.03</v>
      </c>
      <c r="C63" s="35">
        <f t="shared" si="2"/>
        <v>0.15572101093077401</v>
      </c>
      <c r="D63" s="15">
        <f t="shared" si="3"/>
        <v>26.07729206708045</v>
      </c>
    </row>
    <row r="64" spans="1:4" x14ac:dyDescent="0.2">
      <c r="A64" s="9">
        <v>59</v>
      </c>
      <c r="B64" s="16">
        <v>0.03</v>
      </c>
      <c r="C64" s="35">
        <f t="shared" si="2"/>
        <v>0.15118544750560584</v>
      </c>
      <c r="D64" s="15">
        <f t="shared" si="3"/>
        <v>26.228477514586057</v>
      </c>
    </row>
    <row r="65" spans="1:4" x14ac:dyDescent="0.2">
      <c r="A65" s="9">
        <v>60</v>
      </c>
      <c r="B65" s="16">
        <v>0.03</v>
      </c>
      <c r="C65" s="35">
        <f t="shared" si="2"/>
        <v>0.14678198786952024</v>
      </c>
      <c r="D65" s="15">
        <f t="shared" si="3"/>
        <v>26.375259502455577</v>
      </c>
    </row>
    <row r="66" spans="1:4" x14ac:dyDescent="0.2">
      <c r="A66" s="9">
        <v>61</v>
      </c>
      <c r="B66" s="16">
        <v>0.03</v>
      </c>
      <c r="C66" s="35">
        <f t="shared" si="2"/>
        <v>0.14250678433934003</v>
      </c>
      <c r="D66" s="15">
        <f t="shared" si="3"/>
        <v>26.517766286794917</v>
      </c>
    </row>
    <row r="67" spans="1:4" x14ac:dyDescent="0.2">
      <c r="A67" s="9">
        <v>62</v>
      </c>
      <c r="B67" s="16">
        <v>0.03</v>
      </c>
      <c r="C67" s="35">
        <f t="shared" si="2"/>
        <v>0.13835610130033013</v>
      </c>
      <c r="D67" s="15">
        <f t="shared" si="3"/>
        <v>26.656122388095248</v>
      </c>
    </row>
    <row r="68" spans="1:4" x14ac:dyDescent="0.2">
      <c r="A68" s="9">
        <v>63</v>
      </c>
      <c r="B68" s="16">
        <v>0.03</v>
      </c>
      <c r="C68" s="35">
        <f t="shared" si="2"/>
        <v>0.13432631194206809</v>
      </c>
      <c r="D68" s="15">
        <f t="shared" si="3"/>
        <v>26.790448700037317</v>
      </c>
    </row>
    <row r="69" spans="1:4" x14ac:dyDescent="0.2">
      <c r="A69" s="9">
        <v>64</v>
      </c>
      <c r="B69" s="16">
        <v>0.03</v>
      </c>
      <c r="C69" s="35">
        <f t="shared" si="2"/>
        <v>0.1304138950893865</v>
      </c>
      <c r="D69" s="15">
        <f t="shared" si="3"/>
        <v>26.920862595126703</v>
      </c>
    </row>
    <row r="70" spans="1:4" x14ac:dyDescent="0.2">
      <c r="A70" s="9">
        <v>65</v>
      </c>
      <c r="B70" s="16">
        <v>0.03</v>
      </c>
      <c r="C70" s="35">
        <f t="shared" ref="C70:C101" si="4">C69/(1+B70)</f>
        <v>0.12661543212561796</v>
      </c>
      <c r="D70" s="15">
        <f t="shared" ref="D70:D101" si="5">D69+C70</f>
        <v>27.047478027252321</v>
      </c>
    </row>
    <row r="71" spans="1:4" x14ac:dyDescent="0.2">
      <c r="A71" s="9">
        <v>66</v>
      </c>
      <c r="B71" s="16">
        <v>0.03</v>
      </c>
      <c r="C71" s="35">
        <f t="shared" si="4"/>
        <v>0.12292760400545433</v>
      </c>
      <c r="D71" s="15">
        <f t="shared" si="5"/>
        <v>27.170405631257776</v>
      </c>
    </row>
    <row r="72" spans="1:4" x14ac:dyDescent="0.2">
      <c r="A72" s="9">
        <v>67</v>
      </c>
      <c r="B72" s="16">
        <v>0.03</v>
      </c>
      <c r="C72" s="35">
        <f t="shared" si="4"/>
        <v>0.11934718835481002</v>
      </c>
      <c r="D72" s="15">
        <f t="shared" si="5"/>
        <v>27.289752819612584</v>
      </c>
    </row>
    <row r="73" spans="1:4" x14ac:dyDescent="0.2">
      <c r="A73" s="9">
        <v>68</v>
      </c>
      <c r="B73" s="16">
        <v>0.03</v>
      </c>
      <c r="C73" s="35">
        <f t="shared" si="4"/>
        <v>0.11587105665515536</v>
      </c>
      <c r="D73" s="15">
        <f t="shared" si="5"/>
        <v>27.40562387626774</v>
      </c>
    </row>
    <row r="74" spans="1:4" x14ac:dyDescent="0.2">
      <c r="A74" s="9">
        <v>69</v>
      </c>
      <c r="B74" s="16">
        <v>0.03</v>
      </c>
      <c r="C74" s="35">
        <f t="shared" si="4"/>
        <v>0.11249617150985958</v>
      </c>
      <c r="D74" s="15">
        <f t="shared" si="5"/>
        <v>27.5181200477776</v>
      </c>
    </row>
    <row r="75" spans="1:4" x14ac:dyDescent="0.2">
      <c r="A75" s="9">
        <v>70</v>
      </c>
      <c r="B75" s="16">
        <v>0.03</v>
      </c>
      <c r="C75" s="35">
        <f t="shared" si="4"/>
        <v>0.10921958399015493</v>
      </c>
      <c r="D75" s="15">
        <f t="shared" si="5"/>
        <v>27.627339631767754</v>
      </c>
    </row>
    <row r="76" spans="1:4" x14ac:dyDescent="0.2">
      <c r="A76" s="9">
        <v>71</v>
      </c>
      <c r="B76" s="16">
        <v>0.03</v>
      </c>
      <c r="C76" s="35">
        <f t="shared" si="4"/>
        <v>0.10603843105840284</v>
      </c>
      <c r="D76" s="15">
        <f t="shared" si="5"/>
        <v>27.733378062826155</v>
      </c>
    </row>
    <row r="77" spans="1:4" x14ac:dyDescent="0.2">
      <c r="A77" s="9">
        <v>72</v>
      </c>
      <c r="B77" s="16">
        <v>0.03</v>
      </c>
      <c r="C77" s="35">
        <f t="shared" si="4"/>
        <v>0.10294993306641052</v>
      </c>
      <c r="D77" s="15">
        <f t="shared" si="5"/>
        <v>27.836327995892564</v>
      </c>
    </row>
    <row r="78" spans="1:4" x14ac:dyDescent="0.2">
      <c r="A78" s="9">
        <v>73</v>
      </c>
      <c r="B78" s="16">
        <v>0.03</v>
      </c>
      <c r="C78" s="35">
        <f t="shared" si="4"/>
        <v>9.9951391326612155E-2</v>
      </c>
      <c r="D78" s="15">
        <f t="shared" si="5"/>
        <v>27.936279387219177</v>
      </c>
    </row>
    <row r="79" spans="1:4" x14ac:dyDescent="0.2">
      <c r="A79" s="9">
        <v>74</v>
      </c>
      <c r="B79" s="16">
        <v>0.03</v>
      </c>
      <c r="C79" s="35">
        <f t="shared" si="4"/>
        <v>9.7040185753992383E-2</v>
      </c>
      <c r="D79" s="15">
        <f t="shared" si="5"/>
        <v>28.03331957297317</v>
      </c>
    </row>
    <row r="80" spans="1:4" x14ac:dyDescent="0.2">
      <c r="A80" s="9">
        <v>75</v>
      </c>
      <c r="B80" s="16">
        <v>0.03</v>
      </c>
      <c r="C80" s="35">
        <f t="shared" si="4"/>
        <v>9.4213772576691626E-2</v>
      </c>
      <c r="D80" s="15">
        <f t="shared" si="5"/>
        <v>28.12753334554986</v>
      </c>
    </row>
    <row r="81" spans="1:4" x14ac:dyDescent="0.2">
      <c r="A81" s="9">
        <v>76</v>
      </c>
      <c r="B81" s="16">
        <v>2.5000000000000001E-2</v>
      </c>
      <c r="C81" s="35">
        <f t="shared" si="4"/>
        <v>9.1915875684577208E-2</v>
      </c>
      <c r="D81" s="15">
        <f t="shared" si="5"/>
        <v>28.219449221234438</v>
      </c>
    </row>
    <row r="82" spans="1:4" x14ac:dyDescent="0.2">
      <c r="A82" s="9">
        <v>77</v>
      </c>
      <c r="B82" s="16">
        <v>2.5000000000000001E-2</v>
      </c>
      <c r="C82" s="35">
        <f t="shared" si="4"/>
        <v>8.9674025058124107E-2</v>
      </c>
      <c r="D82" s="15">
        <f t="shared" si="5"/>
        <v>28.309123246292561</v>
      </c>
    </row>
    <row r="83" spans="1:4" x14ac:dyDescent="0.2">
      <c r="A83" s="9">
        <v>78</v>
      </c>
      <c r="B83" s="16">
        <v>2.5000000000000001E-2</v>
      </c>
      <c r="C83" s="35">
        <f t="shared" si="4"/>
        <v>8.7486853715243035E-2</v>
      </c>
      <c r="D83" s="15">
        <f t="shared" si="5"/>
        <v>28.396610100007805</v>
      </c>
    </row>
    <row r="84" spans="1:4" x14ac:dyDescent="0.2">
      <c r="A84" s="9">
        <v>79</v>
      </c>
      <c r="B84" s="16">
        <v>2.5000000000000001E-2</v>
      </c>
      <c r="C84" s="35">
        <f t="shared" si="4"/>
        <v>8.5353028014871254E-2</v>
      </c>
      <c r="D84" s="15">
        <f t="shared" si="5"/>
        <v>28.481963128022677</v>
      </c>
    </row>
    <row r="85" spans="1:4" x14ac:dyDescent="0.2">
      <c r="A85" s="9">
        <v>80</v>
      </c>
      <c r="B85" s="16">
        <v>2.5000000000000001E-2</v>
      </c>
      <c r="C85" s="35">
        <f t="shared" si="4"/>
        <v>8.3271246843776847E-2</v>
      </c>
      <c r="D85" s="15">
        <f t="shared" si="5"/>
        <v>28.565234374866453</v>
      </c>
    </row>
    <row r="86" spans="1:4" x14ac:dyDescent="0.2">
      <c r="A86" s="9">
        <v>81</v>
      </c>
      <c r="B86" s="16">
        <v>2.5000000000000001E-2</v>
      </c>
      <c r="C86" s="35">
        <f t="shared" si="4"/>
        <v>8.1240240823196933E-2</v>
      </c>
      <c r="D86" s="15">
        <f t="shared" si="5"/>
        <v>28.646474615689648</v>
      </c>
    </row>
    <row r="87" spans="1:4" x14ac:dyDescent="0.2">
      <c r="A87" s="9">
        <v>82</v>
      </c>
      <c r="B87" s="16">
        <v>2.5000000000000001E-2</v>
      </c>
      <c r="C87" s="35">
        <f t="shared" si="4"/>
        <v>7.9258771534826286E-2</v>
      </c>
      <c r="D87" s="15">
        <f t="shared" si="5"/>
        <v>28.725733387224473</v>
      </c>
    </row>
    <row r="88" spans="1:4" x14ac:dyDescent="0.2">
      <c r="A88" s="9">
        <v>83</v>
      </c>
      <c r="B88" s="16">
        <v>2.5000000000000001E-2</v>
      </c>
      <c r="C88" s="35">
        <f t="shared" si="4"/>
        <v>7.7325630765684189E-2</v>
      </c>
      <c r="D88" s="15">
        <f t="shared" si="5"/>
        <v>28.803059017990158</v>
      </c>
    </row>
    <row r="89" spans="1:4" x14ac:dyDescent="0.2">
      <c r="A89" s="9">
        <v>84</v>
      </c>
      <c r="B89" s="16">
        <v>2.5000000000000001E-2</v>
      </c>
      <c r="C89" s="35">
        <f t="shared" si="4"/>
        <v>7.5439639771399211E-2</v>
      </c>
      <c r="D89" s="15">
        <f t="shared" si="5"/>
        <v>28.878498657761558</v>
      </c>
    </row>
    <row r="90" spans="1:4" x14ac:dyDescent="0.2">
      <c r="A90" s="9">
        <v>85</v>
      </c>
      <c r="B90" s="16">
        <v>2.5000000000000001E-2</v>
      </c>
      <c r="C90" s="35">
        <f t="shared" si="4"/>
        <v>7.3599648557462649E-2</v>
      </c>
      <c r="D90" s="15">
        <f t="shared" si="5"/>
        <v>28.952098306319019</v>
      </c>
    </row>
    <row r="91" spans="1:4" x14ac:dyDescent="0.2">
      <c r="A91" s="9">
        <v>86</v>
      </c>
      <c r="B91" s="16">
        <v>2.5000000000000001E-2</v>
      </c>
      <c r="C91" s="35">
        <f t="shared" si="4"/>
        <v>7.1804535178012344E-2</v>
      </c>
      <c r="D91" s="15">
        <f t="shared" si="5"/>
        <v>29.023902841497033</v>
      </c>
    </row>
    <row r="92" spans="1:4" x14ac:dyDescent="0.2">
      <c r="A92" s="9">
        <v>87</v>
      </c>
      <c r="B92" s="16">
        <v>2.5000000000000001E-2</v>
      </c>
      <c r="C92" s="35">
        <f t="shared" si="4"/>
        <v>7.0053205051719372E-2</v>
      </c>
      <c r="D92" s="15">
        <f t="shared" si="5"/>
        <v>29.093956046548755</v>
      </c>
    </row>
    <row r="93" spans="1:4" x14ac:dyDescent="0.2">
      <c r="A93" s="9">
        <v>88</v>
      </c>
      <c r="B93" s="16">
        <v>2.5000000000000001E-2</v>
      </c>
      <c r="C93" s="35">
        <f t="shared" si="4"/>
        <v>6.8344590294360366E-2</v>
      </c>
      <c r="D93" s="15">
        <f t="shared" si="5"/>
        <v>29.162300636843113</v>
      </c>
    </row>
    <row r="94" spans="1:4" x14ac:dyDescent="0.2">
      <c r="A94" s="9">
        <v>89</v>
      </c>
      <c r="B94" s="16">
        <v>2.5000000000000001E-2</v>
      </c>
      <c r="C94" s="35">
        <f t="shared" si="4"/>
        <v>6.6677649067668654E-2</v>
      </c>
      <c r="D94" s="15">
        <f t="shared" si="5"/>
        <v>29.228978285910781</v>
      </c>
    </row>
    <row r="95" spans="1:4" x14ac:dyDescent="0.2">
      <c r="A95" s="9">
        <v>90</v>
      </c>
      <c r="B95" s="16">
        <v>2.5000000000000001E-2</v>
      </c>
      <c r="C95" s="35">
        <f t="shared" si="4"/>
        <v>6.5051364944066992E-2</v>
      </c>
      <c r="D95" s="15">
        <f t="shared" si="5"/>
        <v>29.294029650854849</v>
      </c>
    </row>
    <row r="96" spans="1:4" x14ac:dyDescent="0.2">
      <c r="A96" s="9">
        <v>91</v>
      </c>
      <c r="B96" s="16">
        <v>2.5000000000000001E-2</v>
      </c>
      <c r="C96" s="35">
        <f t="shared" si="4"/>
        <v>6.3464746286894635E-2</v>
      </c>
      <c r="D96" s="15">
        <f t="shared" si="5"/>
        <v>29.357494397141743</v>
      </c>
    </row>
    <row r="97" spans="1:4" x14ac:dyDescent="0.2">
      <c r="A97" s="9">
        <v>92</v>
      </c>
      <c r="B97" s="16">
        <v>2.5000000000000001E-2</v>
      </c>
      <c r="C97" s="35">
        <f t="shared" si="4"/>
        <v>6.1916825645750871E-2</v>
      </c>
      <c r="D97" s="15">
        <f t="shared" si="5"/>
        <v>29.419411222787492</v>
      </c>
    </row>
    <row r="98" spans="1:4" x14ac:dyDescent="0.2">
      <c r="A98" s="9">
        <v>93</v>
      </c>
      <c r="B98" s="16">
        <v>2.5000000000000001E-2</v>
      </c>
      <c r="C98" s="35">
        <f t="shared" si="4"/>
        <v>6.0406659166586218E-2</v>
      </c>
      <c r="D98" s="15">
        <f t="shared" si="5"/>
        <v>29.479817881954077</v>
      </c>
    </row>
    <row r="99" spans="1:4" x14ac:dyDescent="0.2">
      <c r="A99" s="9">
        <v>94</v>
      </c>
      <c r="B99" s="16">
        <v>2.5000000000000001E-2</v>
      </c>
      <c r="C99" s="35">
        <f t="shared" si="4"/>
        <v>5.8933326016181682E-2</v>
      </c>
      <c r="D99" s="15">
        <f t="shared" si="5"/>
        <v>29.538751207970257</v>
      </c>
    </row>
    <row r="100" spans="1:4" x14ac:dyDescent="0.2">
      <c r="A100" s="9">
        <v>95</v>
      </c>
      <c r="B100" s="16">
        <v>2.5000000000000001E-2</v>
      </c>
      <c r="C100" s="35">
        <f t="shared" si="4"/>
        <v>5.7495927820665059E-2</v>
      </c>
      <c r="D100" s="15">
        <f t="shared" si="5"/>
        <v>29.596247135790922</v>
      </c>
    </row>
    <row r="101" spans="1:4" x14ac:dyDescent="0.2">
      <c r="A101" s="9">
        <v>96</v>
      </c>
      <c r="B101" s="16">
        <v>2.5000000000000001E-2</v>
      </c>
      <c r="C101" s="35">
        <f t="shared" si="4"/>
        <v>5.6093588117722012E-2</v>
      </c>
      <c r="D101" s="15">
        <f t="shared" si="5"/>
        <v>29.652340723908644</v>
      </c>
    </row>
    <row r="102" spans="1:4" x14ac:dyDescent="0.2">
      <c r="A102" s="9">
        <v>97</v>
      </c>
      <c r="B102" s="16">
        <v>2.5000000000000001E-2</v>
      </c>
      <c r="C102" s="35">
        <f t="shared" ref="C102:C105" si="6">C101/(1+B102)</f>
        <v>5.4725451822167821E-2</v>
      </c>
      <c r="D102" s="15">
        <f t="shared" ref="D102:D105" si="7">D101+C102</f>
        <v>29.707066175730812</v>
      </c>
    </row>
    <row r="103" spans="1:4" x14ac:dyDescent="0.2">
      <c r="A103" s="9">
        <v>98</v>
      </c>
      <c r="B103" s="16">
        <v>2.5000000000000001E-2</v>
      </c>
      <c r="C103" s="35">
        <f t="shared" si="6"/>
        <v>5.3390684704553978E-2</v>
      </c>
      <c r="D103" s="15">
        <f t="shared" si="7"/>
        <v>29.760456860435365</v>
      </c>
    </row>
    <row r="104" spans="1:4" x14ac:dyDescent="0.2">
      <c r="A104" s="9">
        <v>99</v>
      </c>
      <c r="B104" s="16">
        <v>2.5000000000000001E-2</v>
      </c>
      <c r="C104" s="35">
        <f t="shared" si="6"/>
        <v>5.2088472882491688E-2</v>
      </c>
      <c r="D104" s="15">
        <f t="shared" si="7"/>
        <v>29.812545333317857</v>
      </c>
    </row>
    <row r="105" spans="1:4" ht="15.75" x14ac:dyDescent="0.25">
      <c r="A105" s="19">
        <v>100</v>
      </c>
      <c r="B105" s="17">
        <v>2.5000000000000001E-2</v>
      </c>
      <c r="C105" s="36">
        <f t="shared" si="6"/>
        <v>5.0818022324382137E-2</v>
      </c>
      <c r="D105" s="18">
        <f t="shared" si="7"/>
        <v>29.863363355642239</v>
      </c>
    </row>
    <row r="107" spans="1:4" ht="15.75" x14ac:dyDescent="0.25">
      <c r="A107" s="8" t="s">
        <v>93</v>
      </c>
    </row>
  </sheetData>
  <sheetProtection password="A377" sheet="1" objects="1" scenarios="1" selectLockedCells="1" selectUnlockedCells="1"/>
  <mergeCells count="1">
    <mergeCell ref="O26:Q31"/>
  </mergeCells>
  <phoneticPr fontId="20" type="noConversion"/>
  <pageMargins left="0.51181102362204722" right="0.51181102362204722" top="0.74803149606299213" bottom="0.74803149606299213" header="0.31496062992125984" footer="0.31496062992125984"/>
  <pageSetup paperSize="9" scale="62" orientation="portrait" blackAndWhite="1"/>
  <headerFooter>
    <oddFooter>&amp;LFile: &amp;F&amp;CPage &amp;P of &amp;N&amp;RPrinted: &amp;D, &amp;T</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12"/>
  <sheetViews>
    <sheetView zoomScale="85" workbookViewId="0">
      <selection activeCell="D16" sqref="D16"/>
    </sheetView>
  </sheetViews>
  <sheetFormatPr defaultColWidth="8.88671875" defaultRowHeight="15" x14ac:dyDescent="0.2"/>
  <cols>
    <col min="1" max="1" width="8.88671875" style="27"/>
    <col min="2" max="2" width="19.21875" style="27" customWidth="1"/>
    <col min="3" max="3" width="12.109375" style="27" customWidth="1"/>
    <col min="4" max="4" width="66.33203125" style="25" customWidth="1"/>
    <col min="5" max="16384" width="8.88671875" style="2"/>
  </cols>
  <sheetData>
    <row r="1" spans="1:14" ht="18" x14ac:dyDescent="0.2">
      <c r="A1" s="26" t="s">
        <v>112</v>
      </c>
    </row>
    <row r="3" spans="1:14" ht="49.5" customHeight="1" x14ac:dyDescent="0.2">
      <c r="A3" s="285" t="s">
        <v>120</v>
      </c>
      <c r="B3" s="285"/>
      <c r="C3" s="285"/>
      <c r="D3" s="285"/>
      <c r="E3" s="25"/>
      <c r="F3" s="25"/>
      <c r="G3" s="25"/>
      <c r="H3" s="25"/>
      <c r="I3" s="25"/>
      <c r="J3" s="25"/>
      <c r="K3" s="25"/>
      <c r="L3" s="25"/>
      <c r="M3" s="25"/>
      <c r="N3" s="25"/>
    </row>
    <row r="5" spans="1:14" ht="15.75" x14ac:dyDescent="0.25">
      <c r="A5" s="28" t="s">
        <v>113</v>
      </c>
      <c r="B5" s="28" t="s">
        <v>115</v>
      </c>
      <c r="C5" s="28" t="s">
        <v>116</v>
      </c>
      <c r="D5" s="29" t="s">
        <v>114</v>
      </c>
    </row>
    <row r="6" spans="1:14" x14ac:dyDescent="0.2">
      <c r="A6" s="30">
        <v>2</v>
      </c>
      <c r="B6" s="30" t="s">
        <v>117</v>
      </c>
      <c r="C6" s="31">
        <v>40690</v>
      </c>
      <c r="D6" s="32" t="s">
        <v>119</v>
      </c>
    </row>
    <row r="7" spans="1:14" ht="102" x14ac:dyDescent="0.2">
      <c r="A7" s="30">
        <v>3</v>
      </c>
      <c r="B7" s="30" t="s">
        <v>118</v>
      </c>
      <c r="C7" s="31">
        <v>40701</v>
      </c>
      <c r="D7" s="33" t="s">
        <v>121</v>
      </c>
    </row>
    <row r="8" spans="1:14" ht="63.75" x14ac:dyDescent="0.2">
      <c r="A8" s="30" t="s">
        <v>154</v>
      </c>
      <c r="B8" s="30" t="s">
        <v>155</v>
      </c>
      <c r="C8" s="31">
        <v>40965</v>
      </c>
      <c r="D8" s="33" t="s">
        <v>156</v>
      </c>
    </row>
    <row r="9" spans="1:14" ht="38.25" x14ac:dyDescent="0.2">
      <c r="A9" s="30">
        <v>4</v>
      </c>
      <c r="B9" s="157" t="s">
        <v>184</v>
      </c>
      <c r="C9" s="31" t="s">
        <v>206</v>
      </c>
      <c r="D9" s="33" t="s">
        <v>185</v>
      </c>
    </row>
    <row r="10" spans="1:14" ht="39.75" customHeight="1" x14ac:dyDescent="0.2">
      <c r="A10" s="30">
        <v>5</v>
      </c>
      <c r="B10" s="157" t="s">
        <v>205</v>
      </c>
      <c r="C10" s="31">
        <v>41353</v>
      </c>
      <c r="D10" s="33" t="s">
        <v>207</v>
      </c>
    </row>
    <row r="11" spans="1:14" ht="25.5" x14ac:dyDescent="0.2">
      <c r="A11" s="30">
        <v>6</v>
      </c>
      <c r="B11" s="157" t="s">
        <v>211</v>
      </c>
      <c r="C11" s="31">
        <v>41358</v>
      </c>
      <c r="D11" s="33" t="s">
        <v>212</v>
      </c>
    </row>
    <row r="12" spans="1:14" ht="25.5" x14ac:dyDescent="0.2">
      <c r="A12" s="30">
        <v>7</v>
      </c>
      <c r="B12" s="157" t="s">
        <v>214</v>
      </c>
      <c r="C12" s="31">
        <v>41373</v>
      </c>
      <c r="D12" s="33" t="s">
        <v>215</v>
      </c>
    </row>
  </sheetData>
  <mergeCells count="1">
    <mergeCell ref="A3:D3"/>
  </mergeCells>
  <phoneticPr fontId="20" type="noConversion"/>
  <pageMargins left="0.75" right="0.75" top="1" bottom="1" header="0.5" footer="0.5"/>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18"/>
  <sheetViews>
    <sheetView zoomScale="70" zoomScaleNormal="70" workbookViewId="0">
      <selection activeCell="J17" sqref="J17:O21"/>
    </sheetView>
  </sheetViews>
  <sheetFormatPr defaultColWidth="8.88671875" defaultRowHeight="15" x14ac:dyDescent="0.2"/>
  <cols>
    <col min="1" max="1" width="2" style="52" customWidth="1"/>
    <col min="2" max="2" width="16.5546875" style="55" customWidth="1"/>
    <col min="3" max="13" width="10.6640625" style="55" customWidth="1"/>
    <col min="14" max="18" width="10.6640625" style="52" customWidth="1"/>
    <col min="19" max="16384" width="8.88671875" style="52"/>
  </cols>
  <sheetData>
    <row r="2" spans="1:18" ht="20.25" x14ac:dyDescent="0.3">
      <c r="B2" s="53" t="s">
        <v>189</v>
      </c>
      <c r="C2" s="54"/>
      <c r="D2" s="54"/>
    </row>
    <row r="3" spans="1:18" ht="20.25" x14ac:dyDescent="0.3">
      <c r="B3" s="56" t="s">
        <v>163</v>
      </c>
      <c r="C3" s="54"/>
      <c r="D3" s="54"/>
    </row>
    <row r="4" spans="1:18" x14ac:dyDescent="0.2">
      <c r="B4" s="57"/>
      <c r="C4" s="44"/>
      <c r="D4" s="44"/>
    </row>
    <row r="5" spans="1:18" ht="20.25" x14ac:dyDescent="0.3">
      <c r="B5" s="249" t="s">
        <v>138</v>
      </c>
      <c r="C5" s="249"/>
      <c r="D5" s="249"/>
      <c r="E5" s="167" t="str">
        <f>'PF Calculator'!E5</f>
        <v>Wrington</v>
      </c>
      <c r="F5" s="168"/>
      <c r="G5" s="168"/>
      <c r="H5" s="168"/>
      <c r="I5" s="168"/>
      <c r="J5" s="168"/>
      <c r="K5" s="168"/>
      <c r="L5" s="168"/>
      <c r="M5" s="168"/>
      <c r="N5" s="168"/>
      <c r="O5" s="168"/>
      <c r="P5" s="58"/>
      <c r="Q5" s="59"/>
      <c r="R5" s="59"/>
    </row>
    <row r="6" spans="1:18" ht="20.25" x14ac:dyDescent="0.3">
      <c r="B6" s="165" t="s">
        <v>139</v>
      </c>
      <c r="C6" s="165"/>
      <c r="D6" s="165"/>
      <c r="E6" s="166" t="s">
        <v>145</v>
      </c>
      <c r="F6" s="168"/>
      <c r="G6" s="168"/>
      <c r="H6" s="168"/>
      <c r="I6" s="168"/>
      <c r="J6" s="168"/>
      <c r="K6" s="168"/>
      <c r="L6" s="168"/>
      <c r="M6" s="168"/>
      <c r="N6" s="168"/>
      <c r="O6" s="168"/>
      <c r="P6" s="58"/>
      <c r="Q6" s="59"/>
      <c r="R6" s="59"/>
    </row>
    <row r="7" spans="1:18" x14ac:dyDescent="0.2">
      <c r="B7" s="159"/>
      <c r="C7" s="160"/>
      <c r="D7" s="160"/>
    </row>
    <row r="8" spans="1:18" x14ac:dyDescent="0.2">
      <c r="B8" s="161"/>
      <c r="C8" s="160"/>
      <c r="D8" s="160"/>
      <c r="L8" s="60" t="s">
        <v>13</v>
      </c>
      <c r="M8" s="301" t="s">
        <v>142</v>
      </c>
      <c r="N8" s="302"/>
      <c r="O8" s="303"/>
    </row>
    <row r="9" spans="1:18" ht="15.75" x14ac:dyDescent="0.25">
      <c r="B9" s="162" t="s">
        <v>188</v>
      </c>
      <c r="J9" s="55" t="s">
        <v>153</v>
      </c>
      <c r="L9" s="52"/>
      <c r="M9" s="279" t="s">
        <v>15</v>
      </c>
      <c r="N9" s="280"/>
      <c r="O9" s="281"/>
    </row>
    <row r="10" spans="1:18" ht="15.75" x14ac:dyDescent="0.25">
      <c r="B10" s="163" t="s">
        <v>135</v>
      </c>
      <c r="L10" s="52"/>
      <c r="M10" s="61"/>
      <c r="N10" s="61"/>
      <c r="O10" s="61"/>
    </row>
    <row r="11" spans="1:18" s="65" customFormat="1" ht="10.9" customHeight="1" x14ac:dyDescent="0.2">
      <c r="A11" s="62"/>
      <c r="B11" s="63"/>
      <c r="C11" s="64"/>
      <c r="D11" s="64"/>
      <c r="E11" s="64"/>
      <c r="F11" s="64"/>
      <c r="G11" s="64"/>
      <c r="H11" s="64"/>
      <c r="I11" s="64"/>
      <c r="J11" s="64"/>
      <c r="K11" s="64"/>
      <c r="L11" s="64"/>
      <c r="M11" s="64"/>
      <c r="N11" s="64"/>
      <c r="O11" s="64"/>
      <c r="P11" s="62"/>
    </row>
    <row r="12" spans="1:18" ht="15" customHeight="1" x14ac:dyDescent="0.25">
      <c r="B12" s="158" t="s">
        <v>136</v>
      </c>
      <c r="C12" s="44"/>
      <c r="D12" s="44"/>
      <c r="E12" s="44"/>
      <c r="F12" s="66"/>
      <c r="G12" s="42"/>
      <c r="H12" s="52"/>
      <c r="I12" s="52"/>
      <c r="O12" s="67"/>
      <c r="P12" s="67"/>
    </row>
    <row r="13" spans="1:18" ht="15" customHeight="1" x14ac:dyDescent="0.25">
      <c r="G13" s="142"/>
      <c r="I13" s="52"/>
      <c r="J13" s="67"/>
      <c r="K13" s="52"/>
      <c r="M13" s="69" t="s">
        <v>101</v>
      </c>
      <c r="N13" s="119">
        <f>H29/H37</f>
        <v>4.2531645569620249</v>
      </c>
      <c r="O13" s="120" t="s">
        <v>17</v>
      </c>
    </row>
    <row r="14" spans="1:18" ht="15" customHeight="1" x14ac:dyDescent="0.25">
      <c r="B14" s="153" t="str">
        <f>IF(J25="No"," WARNING: 'Maximum grant rate reduced to 45% as a strategic approach not taken and benefits may be double counted"," ")</f>
        <v xml:space="preserve"> </v>
      </c>
      <c r="C14" s="44"/>
      <c r="D14" s="44"/>
      <c r="E14" s="44"/>
      <c r="F14" s="44"/>
      <c r="G14" s="44"/>
      <c r="H14" s="44"/>
      <c r="K14" s="52"/>
      <c r="L14" s="71"/>
      <c r="M14" s="72" t="s">
        <v>16</v>
      </c>
      <c r="N14" s="121">
        <f>H29/MIN(H21,H37)</f>
        <v>5.0149253731343286</v>
      </c>
      <c r="O14" s="120" t="s">
        <v>17</v>
      </c>
    </row>
    <row r="15" spans="1:18" ht="15" customHeight="1" x14ac:dyDescent="0.25">
      <c r="B15" s="68" t="s">
        <v>160</v>
      </c>
      <c r="C15" s="73"/>
      <c r="D15" s="73"/>
      <c r="E15" s="73"/>
      <c r="F15" s="73"/>
      <c r="G15" s="73"/>
      <c r="H15" s="137">
        <f>IF(J25="yes",I97/MAX(H37,H34),IF(J25="Yes",I97/MAX(H37,H34),0.45*I97/MAX(H37,H34)))</f>
        <v>2128.3217632373385</v>
      </c>
      <c r="I15" s="71" t="s">
        <v>165</v>
      </c>
      <c r="K15" s="52"/>
      <c r="L15" s="52"/>
      <c r="M15" s="72" t="s">
        <v>18</v>
      </c>
      <c r="N15" s="121" t="str">
        <f>IF(H44&gt;0,H29/H44,"n/a")</f>
        <v>n/a</v>
      </c>
      <c r="O15" s="120" t="s">
        <v>17</v>
      </c>
    </row>
    <row r="16" spans="1:18" ht="15" customHeight="1" x14ac:dyDescent="0.25">
      <c r="B16" s="68"/>
      <c r="C16" s="44"/>
      <c r="D16" s="44"/>
      <c r="E16" s="44"/>
      <c r="F16" s="44"/>
      <c r="G16" s="44"/>
      <c r="H16" s="44"/>
      <c r="K16" s="52"/>
      <c r="L16" s="52"/>
      <c r="M16" s="52"/>
    </row>
    <row r="17" spans="2:22" ht="15" customHeight="1" x14ac:dyDescent="0.25">
      <c r="B17" s="145" t="s">
        <v>157</v>
      </c>
      <c r="C17" s="44"/>
      <c r="D17" s="44"/>
      <c r="E17" s="44"/>
      <c r="F17" s="44"/>
      <c r="G17" s="44"/>
      <c r="H17" s="154">
        <f>IF(J25="Yes",MAX(IF(Authority="EA",MAX(H37,H34)-MIN(I97,H37),H34*(1-(RawOMScore))),0),IF(Authority="EA",MAX(H37,H34)-MIN(I97*0.45,H37),H34*(1-(I15))))</f>
        <v>0</v>
      </c>
      <c r="I17" s="71" t="s">
        <v>166</v>
      </c>
      <c r="J17" s="232" t="s">
        <v>190</v>
      </c>
      <c r="K17" s="304"/>
      <c r="L17" s="304"/>
      <c r="M17" s="304"/>
      <c r="N17" s="304"/>
      <c r="O17" s="304"/>
      <c r="Q17" s="230"/>
      <c r="R17" s="299"/>
      <c r="S17" s="299"/>
      <c r="T17" s="299"/>
      <c r="U17" s="299"/>
      <c r="V17" s="299"/>
    </row>
    <row r="18" spans="2:22" ht="15" customHeight="1" x14ac:dyDescent="0.25">
      <c r="B18" s="68"/>
      <c r="C18" s="44"/>
      <c r="D18" s="44"/>
      <c r="E18" s="44"/>
      <c r="F18" s="44"/>
      <c r="G18" s="44"/>
      <c r="H18" s="44"/>
      <c r="I18" s="93"/>
      <c r="J18" s="304"/>
      <c r="K18" s="304"/>
      <c r="L18" s="304"/>
      <c r="M18" s="304"/>
      <c r="N18" s="304"/>
      <c r="O18" s="304"/>
      <c r="Q18" s="299"/>
      <c r="R18" s="299"/>
      <c r="S18" s="299"/>
      <c r="T18" s="299"/>
      <c r="U18" s="299"/>
      <c r="V18" s="299"/>
    </row>
    <row r="19" spans="2:22" ht="15" customHeight="1" x14ac:dyDescent="0.25">
      <c r="B19" s="68" t="s">
        <v>140</v>
      </c>
      <c r="C19" s="74"/>
      <c r="D19" s="74"/>
      <c r="E19" s="74"/>
      <c r="F19" s="74"/>
      <c r="G19" s="74"/>
      <c r="H19" s="137">
        <f>IF(J25="Yes",IF(Authority="EA",I97/MAX(MAX(H37,H34)-H44,1),RawOMScore+H44/H34),IF(Authority="EA",I97*0.45/MAX(MAX(H37,H34)-H44,1),I15+H44/H34))</f>
        <v>2128.3217632373385</v>
      </c>
      <c r="I19" s="71" t="s">
        <v>167</v>
      </c>
      <c r="J19" s="304"/>
      <c r="K19" s="304"/>
      <c r="L19" s="304"/>
      <c r="M19" s="304"/>
      <c r="N19" s="304"/>
      <c r="O19" s="304"/>
      <c r="Q19" s="299"/>
      <c r="R19" s="299"/>
      <c r="S19" s="299"/>
      <c r="T19" s="299"/>
      <c r="U19" s="299"/>
      <c r="V19" s="299"/>
    </row>
    <row r="20" spans="2:22" ht="15" customHeight="1" x14ac:dyDescent="0.2">
      <c r="J20" s="304"/>
      <c r="K20" s="304"/>
      <c r="L20" s="304"/>
      <c r="M20" s="304"/>
      <c r="N20" s="304"/>
      <c r="O20" s="304"/>
      <c r="Q20" s="299"/>
      <c r="R20" s="299"/>
      <c r="S20" s="299"/>
      <c r="T20" s="299"/>
      <c r="U20" s="299"/>
      <c r="V20" s="299"/>
    </row>
    <row r="21" spans="2:22" ht="15" customHeight="1" x14ac:dyDescent="0.25">
      <c r="B21" s="146" t="s">
        <v>162</v>
      </c>
      <c r="C21" s="70"/>
      <c r="D21" s="70"/>
      <c r="E21" s="70"/>
      <c r="F21" s="70"/>
      <c r="G21" s="70"/>
      <c r="H21" s="152">
        <f>IF(ROUNDUP(AdjOMScore,4)&lt;100%,"-",H34-H44)</f>
        <v>837.5</v>
      </c>
      <c r="I21" s="71" t="s">
        <v>168</v>
      </c>
      <c r="J21" s="304"/>
      <c r="K21" s="304"/>
      <c r="L21" s="304"/>
      <c r="M21" s="304"/>
      <c r="N21" s="304"/>
      <c r="O21" s="304"/>
      <c r="Q21" s="299"/>
      <c r="R21" s="299"/>
      <c r="S21" s="299"/>
      <c r="T21" s="299"/>
      <c r="U21" s="299"/>
      <c r="V21" s="299"/>
    </row>
    <row r="22" spans="2:22" ht="22.5" customHeight="1" x14ac:dyDescent="0.25">
      <c r="B22" s="75"/>
      <c r="C22" s="52"/>
      <c r="D22" s="52"/>
      <c r="E22" s="52"/>
      <c r="G22" s="76"/>
      <c r="H22" s="76"/>
      <c r="I22" s="67"/>
      <c r="J22" s="300"/>
      <c r="K22" s="300"/>
      <c r="L22" s="300"/>
      <c r="M22" s="300"/>
      <c r="N22" s="300"/>
      <c r="O22" s="300"/>
      <c r="Q22" s="299"/>
      <c r="R22" s="299"/>
      <c r="S22" s="299"/>
      <c r="T22" s="299"/>
      <c r="U22" s="299"/>
      <c r="V22" s="299"/>
    </row>
    <row r="23" spans="2:22" ht="6.75" customHeight="1" x14ac:dyDescent="0.2">
      <c r="B23" s="77"/>
      <c r="C23" s="77"/>
      <c r="D23" s="77"/>
      <c r="E23" s="77"/>
      <c r="F23" s="77"/>
      <c r="G23" s="77"/>
      <c r="H23" s="77"/>
      <c r="I23" s="77"/>
      <c r="J23" s="77"/>
      <c r="K23" s="77"/>
      <c r="L23" s="77"/>
      <c r="M23" s="77"/>
      <c r="N23" s="77"/>
      <c r="O23" s="65"/>
      <c r="P23" s="65"/>
      <c r="Q23" s="299"/>
      <c r="R23" s="299"/>
      <c r="S23" s="299"/>
      <c r="T23" s="299"/>
      <c r="U23" s="299"/>
      <c r="V23" s="299"/>
    </row>
    <row r="24" spans="2:22" ht="15" customHeight="1" x14ac:dyDescent="0.25">
      <c r="B24" s="78" t="s">
        <v>97</v>
      </c>
      <c r="C24" s="79"/>
      <c r="D24" s="79"/>
      <c r="E24" s="52"/>
      <c r="F24" s="52"/>
      <c r="G24" s="52"/>
      <c r="H24" s="52"/>
      <c r="M24" s="52"/>
    </row>
    <row r="25" spans="2:22" ht="15.75" x14ac:dyDescent="0.25">
      <c r="B25" s="80" t="s">
        <v>134</v>
      </c>
      <c r="C25" s="79"/>
      <c r="D25" s="81"/>
      <c r="E25" s="52"/>
      <c r="F25" s="52"/>
      <c r="G25" s="52"/>
      <c r="H25" s="127" t="str">
        <f>'PF Calculator'!H25</f>
        <v>LA</v>
      </c>
      <c r="I25" s="71" t="s">
        <v>169</v>
      </c>
      <c r="J25" s="169" t="str">
        <f>'PF Calculator'!J25</f>
        <v>Yes</v>
      </c>
      <c r="K25" s="155" t="s">
        <v>182</v>
      </c>
      <c r="L25" s="134"/>
      <c r="M25" s="134"/>
      <c r="N25" s="134"/>
      <c r="O25" s="134"/>
    </row>
    <row r="26" spans="2:22" ht="15.75" x14ac:dyDescent="0.25">
      <c r="B26" s="79"/>
      <c r="C26" s="79"/>
      <c r="D26" s="81"/>
      <c r="E26" s="52"/>
      <c r="F26" s="52"/>
      <c r="G26" s="52"/>
      <c r="H26" s="69"/>
      <c r="I26" s="52"/>
      <c r="J26" s="305" t="s">
        <v>183</v>
      </c>
      <c r="K26" s="275"/>
      <c r="L26" s="275"/>
      <c r="M26" s="275"/>
      <c r="N26" s="275"/>
      <c r="O26" s="134"/>
      <c r="P26" s="143"/>
    </row>
    <row r="27" spans="2:22" ht="15.75" x14ac:dyDescent="0.25">
      <c r="B27" s="80" t="s">
        <v>129</v>
      </c>
      <c r="C27" s="79"/>
      <c r="D27" s="81"/>
      <c r="E27" s="52"/>
      <c r="F27" s="52"/>
      <c r="G27" s="52"/>
      <c r="H27" s="127">
        <f>'PF Calculator'!H27</f>
        <v>57</v>
      </c>
      <c r="I27" s="71" t="s">
        <v>170</v>
      </c>
      <c r="J27" s="275"/>
      <c r="K27" s="275"/>
      <c r="L27" s="275"/>
      <c r="M27" s="275"/>
      <c r="N27" s="275"/>
      <c r="O27" s="55"/>
    </row>
    <row r="28" spans="2:22" ht="15.75" x14ac:dyDescent="0.25">
      <c r="B28" s="80"/>
      <c r="C28" s="79"/>
      <c r="D28" s="81"/>
      <c r="E28" s="52"/>
      <c r="F28" s="52"/>
      <c r="G28" s="52"/>
      <c r="H28" s="52"/>
      <c r="I28" s="52"/>
      <c r="J28" s="52"/>
      <c r="K28" s="52"/>
      <c r="L28" s="52"/>
      <c r="M28" s="52"/>
      <c r="O28" s="55"/>
    </row>
    <row r="29" spans="2:22" ht="15.75" x14ac:dyDescent="0.25">
      <c r="B29" s="80" t="s">
        <v>9</v>
      </c>
      <c r="C29" s="79"/>
      <c r="D29" s="81"/>
      <c r="E29" s="52"/>
      <c r="F29" s="52"/>
      <c r="G29" s="52"/>
      <c r="H29" s="129">
        <f>'PF Calculator'!H29</f>
        <v>4200</v>
      </c>
      <c r="I29" s="71" t="s">
        <v>171</v>
      </c>
      <c r="J29" s="52"/>
      <c r="K29" s="52"/>
      <c r="L29" s="52"/>
      <c r="M29" s="52"/>
      <c r="O29" s="55"/>
    </row>
    <row r="30" spans="2:22" ht="15.75" x14ac:dyDescent="0.25">
      <c r="B30" s="80"/>
      <c r="C30" s="79"/>
      <c r="D30" s="81"/>
      <c r="E30" s="52"/>
      <c r="F30" s="52"/>
      <c r="G30" s="52"/>
      <c r="H30" s="52"/>
      <c r="I30" s="52"/>
      <c r="J30" s="306" t="s">
        <v>164</v>
      </c>
      <c r="K30" s="307"/>
      <c r="L30" s="307"/>
      <c r="M30" s="307"/>
      <c r="N30" s="308"/>
    </row>
    <row r="31" spans="2:22" ht="15.75" x14ac:dyDescent="0.25">
      <c r="B31" s="82" t="s">
        <v>158</v>
      </c>
      <c r="C31" s="79"/>
      <c r="D31" s="81"/>
      <c r="E31" s="52"/>
      <c r="F31" s="52"/>
      <c r="G31" s="52"/>
      <c r="H31" s="69"/>
      <c r="I31" s="52"/>
      <c r="J31" s="309"/>
      <c r="K31" s="310"/>
      <c r="L31" s="310"/>
      <c r="M31" s="310"/>
      <c r="N31" s="311"/>
      <c r="O31" s="55"/>
    </row>
    <row r="32" spans="2:22" ht="15.75" x14ac:dyDescent="0.25">
      <c r="B32" s="79" t="s">
        <v>122</v>
      </c>
      <c r="C32" s="79"/>
      <c r="D32" s="81"/>
      <c r="E32" s="52"/>
      <c r="F32" s="52"/>
      <c r="G32" s="52"/>
      <c r="H32" s="129">
        <f>'PF Calculator'!H32*1.25</f>
        <v>62.5</v>
      </c>
      <c r="I32" s="71" t="s">
        <v>172</v>
      </c>
      <c r="J32" s="309"/>
      <c r="K32" s="310"/>
      <c r="L32" s="310"/>
      <c r="M32" s="310"/>
      <c r="N32" s="311"/>
    </row>
    <row r="33" spans="2:21" ht="15.75" x14ac:dyDescent="0.25">
      <c r="B33" s="79" t="s">
        <v>130</v>
      </c>
      <c r="C33" s="79"/>
      <c r="D33" s="81"/>
      <c r="E33" s="52"/>
      <c r="F33" s="52"/>
      <c r="G33" s="52"/>
      <c r="H33" s="129">
        <f>'PF Calculator'!H33*1.25</f>
        <v>775</v>
      </c>
      <c r="I33" s="71" t="s">
        <v>173</v>
      </c>
      <c r="J33" s="312"/>
      <c r="K33" s="313"/>
      <c r="L33" s="313"/>
      <c r="M33" s="313"/>
      <c r="N33" s="314"/>
    </row>
    <row r="34" spans="2:21" ht="15.75" x14ac:dyDescent="0.25">
      <c r="B34" s="82" t="s">
        <v>161</v>
      </c>
      <c r="C34" s="79"/>
      <c r="D34" s="81"/>
      <c r="E34" s="52"/>
      <c r="F34" s="52"/>
      <c r="G34" s="52"/>
      <c r="H34" s="147">
        <f>SUM(H32:H33)</f>
        <v>837.5</v>
      </c>
      <c r="I34" s="71" t="s">
        <v>174</v>
      </c>
      <c r="J34" s="52"/>
      <c r="K34" s="52"/>
      <c r="L34" s="52"/>
      <c r="M34" s="52"/>
    </row>
    <row r="35" spans="2:21" ht="15" customHeight="1" x14ac:dyDescent="0.25">
      <c r="B35" s="82"/>
      <c r="C35" s="79"/>
      <c r="D35" s="81"/>
      <c r="E35" s="52"/>
      <c r="F35" s="52"/>
      <c r="G35" s="52"/>
      <c r="H35" s="83"/>
      <c r="I35" s="52"/>
      <c r="J35" s="52"/>
      <c r="K35" s="52"/>
      <c r="L35" s="52"/>
      <c r="M35" s="52"/>
    </row>
    <row r="36" spans="2:21" ht="15.75" x14ac:dyDescent="0.25">
      <c r="B36" s="79" t="s">
        <v>131</v>
      </c>
      <c r="C36" s="79"/>
      <c r="D36" s="81"/>
      <c r="E36" s="52"/>
      <c r="F36" s="52"/>
      <c r="G36" s="52"/>
      <c r="H36" s="129">
        <f>'PF Calculator'!H36*1.25</f>
        <v>150</v>
      </c>
      <c r="I36" s="71" t="s">
        <v>175</v>
      </c>
      <c r="J36" s="52"/>
      <c r="K36" s="52"/>
      <c r="L36" s="52"/>
      <c r="M36" s="52"/>
    </row>
    <row r="37" spans="2:21" ht="15.75" x14ac:dyDescent="0.25">
      <c r="B37" s="80" t="s">
        <v>123</v>
      </c>
      <c r="C37" s="79"/>
      <c r="D37" s="81"/>
      <c r="E37" s="52"/>
      <c r="F37" s="52"/>
      <c r="G37" s="52"/>
      <c r="H37" s="51">
        <f>H36+H34</f>
        <v>987.5</v>
      </c>
      <c r="I37" s="71" t="s">
        <v>176</v>
      </c>
      <c r="J37" s="52"/>
      <c r="K37" s="52"/>
      <c r="L37" s="52"/>
      <c r="M37" s="52"/>
    </row>
    <row r="38" spans="2:21" x14ac:dyDescent="0.2">
      <c r="B38" s="79"/>
      <c r="C38" s="79"/>
      <c r="D38" s="81"/>
      <c r="E38" s="52"/>
      <c r="F38" s="52"/>
      <c r="G38" s="52"/>
      <c r="H38" s="83"/>
      <c r="I38" s="52"/>
      <c r="J38" s="315" t="s">
        <v>187</v>
      </c>
      <c r="K38" s="316"/>
      <c r="L38" s="316"/>
      <c r="M38" s="316"/>
      <c r="N38" s="316"/>
      <c r="O38" s="316"/>
      <c r="P38" s="245"/>
      <c r="Q38" s="245"/>
      <c r="R38" s="245"/>
      <c r="S38" s="245"/>
      <c r="T38" s="245"/>
      <c r="U38" s="245"/>
    </row>
    <row r="39" spans="2:21" ht="15" customHeight="1" x14ac:dyDescent="0.25">
      <c r="B39" s="156" t="s">
        <v>159</v>
      </c>
      <c r="C39" s="79"/>
      <c r="D39" s="81"/>
      <c r="E39" s="52"/>
      <c r="F39" s="52"/>
      <c r="G39" s="52"/>
      <c r="H39" s="83"/>
      <c r="I39" s="52"/>
      <c r="J39" s="316"/>
      <c r="K39" s="316"/>
      <c r="L39" s="316"/>
      <c r="M39" s="316"/>
      <c r="N39" s="316"/>
      <c r="O39" s="316"/>
      <c r="P39" s="245"/>
      <c r="Q39" s="245"/>
      <c r="R39" s="245"/>
      <c r="S39" s="245"/>
      <c r="T39" s="245"/>
      <c r="U39" s="245"/>
    </row>
    <row r="40" spans="2:21" ht="15" customHeight="1" x14ac:dyDescent="0.25">
      <c r="B40" s="79" t="s">
        <v>124</v>
      </c>
      <c r="C40" s="79"/>
      <c r="D40" s="81"/>
      <c r="E40" s="52"/>
      <c r="F40" s="52"/>
      <c r="G40" s="52"/>
      <c r="H40" s="129">
        <f>'PF Calculator'!H40</f>
        <v>80</v>
      </c>
      <c r="I40" s="71" t="s">
        <v>177</v>
      </c>
      <c r="J40" s="316" t="str">
        <f>IF(H25="EA","This scheme is to be maintained by the EA (ref cell 5). Any contributions needed (ref cell 2) are to help fund both the ongoing and up-front costs (Cost for Approval) to avoid the scheme drawing excess FDGiA, and should be entered into cells(14-17).","This scheme is to be maintained by an RMA other than the EA (ref cell 5). Capital FDGiA will fund the appropriate share of the up-front costs (Costs for Approval) with any shortfall needing to be paid via contributions idenitfied  in cells(14-17)."&amp;" Ongoing costs are a matter for local agreement by the RMA and should not be included in cells(14-17)."&amp;" It is recommended that the RMA takes the opportunities created during scheme development to secure funding of the future ongoing costs which can be presented in the Grant application business case.")</f>
        <v>This scheme is to be maintained by an RMA other than the EA (ref cell 5). Capital FDGiA will fund the appropriate share of the up-front costs (Costs for Approval) with any shortfall needing to be paid via contributions idenitfied  in cells(14-17). Ongoing costs are a matter for local agreement by the RMA and should not be included in cells(14-17). It is recommended that the RMA takes the opportunities created during scheme development to secure funding of the future ongoing costs which can be presented in the Grant application business case.</v>
      </c>
      <c r="K40" s="316"/>
      <c r="L40" s="316"/>
      <c r="M40" s="316"/>
      <c r="N40" s="316"/>
      <c r="O40" s="316"/>
      <c r="P40" s="245"/>
      <c r="Q40" s="245"/>
      <c r="R40" s="245"/>
      <c r="S40" s="245"/>
      <c r="T40" s="245"/>
      <c r="U40" s="245"/>
    </row>
    <row r="41" spans="2:21" ht="15" customHeight="1" x14ac:dyDescent="0.25">
      <c r="B41" s="79" t="s">
        <v>125</v>
      </c>
      <c r="C41" s="79"/>
      <c r="D41" s="81"/>
      <c r="E41" s="52"/>
      <c r="F41" s="52"/>
      <c r="G41" s="52"/>
      <c r="H41" s="129">
        <f>'PF Calculator'!H41</f>
        <v>100</v>
      </c>
      <c r="I41" s="71" t="s">
        <v>178</v>
      </c>
      <c r="J41" s="316"/>
      <c r="K41" s="316"/>
      <c r="L41" s="316"/>
      <c r="M41" s="316"/>
      <c r="N41" s="316"/>
      <c r="O41" s="316"/>
      <c r="P41" s="245"/>
      <c r="Q41" s="245"/>
      <c r="R41" s="245"/>
      <c r="S41" s="245"/>
      <c r="T41" s="245"/>
      <c r="U41" s="245"/>
    </row>
    <row r="42" spans="2:21" ht="15" customHeight="1" x14ac:dyDescent="0.25">
      <c r="B42" s="79" t="s">
        <v>126</v>
      </c>
      <c r="C42" s="79"/>
      <c r="D42" s="81"/>
      <c r="E42" s="52"/>
      <c r="F42" s="52"/>
      <c r="G42" s="52"/>
      <c r="H42" s="129">
        <f>'PF Calculator'!H42</f>
        <v>182</v>
      </c>
      <c r="I42" s="71" t="s">
        <v>179</v>
      </c>
      <c r="J42" s="316"/>
      <c r="K42" s="316"/>
      <c r="L42" s="316"/>
      <c r="M42" s="316"/>
      <c r="N42" s="316"/>
      <c r="O42" s="316"/>
      <c r="P42" s="245"/>
      <c r="Q42" s="245"/>
      <c r="R42" s="245"/>
      <c r="S42" s="245"/>
      <c r="T42" s="245"/>
      <c r="U42" s="245"/>
    </row>
    <row r="43" spans="2:21" ht="15" customHeight="1" x14ac:dyDescent="0.25">
      <c r="B43" s="79" t="s">
        <v>127</v>
      </c>
      <c r="C43" s="79"/>
      <c r="D43" s="81"/>
      <c r="E43" s="52"/>
      <c r="F43" s="52"/>
      <c r="G43" s="52"/>
      <c r="H43" s="129">
        <f>'PF Calculator'!H43</f>
        <v>0</v>
      </c>
      <c r="I43" s="71" t="s">
        <v>180</v>
      </c>
      <c r="J43" s="316"/>
      <c r="K43" s="316"/>
      <c r="L43" s="316"/>
      <c r="M43" s="316"/>
      <c r="N43" s="316"/>
      <c r="O43" s="316"/>
      <c r="P43" s="245"/>
      <c r="Q43" s="245"/>
      <c r="R43" s="245"/>
      <c r="S43" s="245"/>
      <c r="T43" s="245"/>
      <c r="U43" s="245"/>
    </row>
    <row r="44" spans="2:21" ht="15.75" x14ac:dyDescent="0.25">
      <c r="B44" s="82" t="s">
        <v>128</v>
      </c>
      <c r="C44" s="79"/>
      <c r="D44" s="81"/>
      <c r="E44" s="52"/>
      <c r="F44" s="52"/>
      <c r="G44" s="52"/>
      <c r="H44" s="50">
        <f>H17</f>
        <v>0</v>
      </c>
      <c r="I44" s="71" t="s">
        <v>181</v>
      </c>
      <c r="J44" s="316"/>
      <c r="K44" s="316"/>
      <c r="L44" s="316"/>
      <c r="M44" s="316"/>
      <c r="N44" s="316"/>
      <c r="O44" s="316"/>
    </row>
    <row r="45" spans="2:21" ht="15.75" x14ac:dyDescent="0.25">
      <c r="B45" s="144" t="str">
        <f>IF(H44&lt;H17,"WARNING: Contributions less than minimum required in cell (2)"," ")</f>
        <v xml:space="preserve"> </v>
      </c>
      <c r="C45" s="79"/>
      <c r="D45" s="52"/>
      <c r="E45" s="52"/>
      <c r="F45" s="52"/>
      <c r="G45" s="52"/>
      <c r="H45" s="52"/>
      <c r="I45" s="71"/>
      <c r="J45" s="316"/>
      <c r="K45" s="316"/>
      <c r="L45" s="316"/>
      <c r="M45" s="316"/>
      <c r="N45" s="316"/>
      <c r="O45" s="316"/>
    </row>
    <row r="46" spans="2:21" ht="15.75" x14ac:dyDescent="0.25">
      <c r="B46" s="82"/>
      <c r="C46" s="79"/>
      <c r="D46" s="81"/>
      <c r="E46" s="52"/>
      <c r="F46" s="52"/>
      <c r="G46" s="52"/>
      <c r="H46" s="52"/>
      <c r="I46" s="71"/>
      <c r="J46" s="316"/>
      <c r="K46" s="316"/>
      <c r="L46" s="316"/>
      <c r="M46" s="316"/>
      <c r="N46" s="316"/>
      <c r="O46" s="316"/>
    </row>
    <row r="47" spans="2:21" ht="7.5" customHeight="1" x14ac:dyDescent="0.2">
      <c r="B47" s="52"/>
      <c r="C47" s="52"/>
      <c r="D47" s="52"/>
      <c r="E47" s="43"/>
      <c r="F47" s="43"/>
      <c r="G47" s="43"/>
      <c r="H47" s="43"/>
      <c r="I47" s="43"/>
      <c r="J47" s="43"/>
    </row>
    <row r="48" spans="2:21" ht="7.5" customHeight="1" x14ac:dyDescent="0.2">
      <c r="B48" s="77"/>
      <c r="C48" s="77"/>
      <c r="D48" s="77"/>
      <c r="E48" s="77"/>
      <c r="F48" s="77"/>
      <c r="G48" s="77"/>
      <c r="H48" s="77"/>
      <c r="I48" s="77"/>
      <c r="J48" s="77"/>
      <c r="K48" s="84"/>
      <c r="L48" s="84"/>
      <c r="M48" s="84"/>
      <c r="N48" s="77"/>
      <c r="O48" s="77"/>
    </row>
    <row r="49" spans="2:19" ht="15.75" x14ac:dyDescent="0.25">
      <c r="B49" s="78" t="s">
        <v>98</v>
      </c>
      <c r="C49" s="52"/>
      <c r="D49" s="52"/>
      <c r="E49" s="52"/>
      <c r="F49" s="52"/>
      <c r="G49" s="52"/>
      <c r="H49" s="52"/>
      <c r="I49" s="52"/>
      <c r="J49" s="52"/>
      <c r="K49" s="52"/>
      <c r="L49" s="52"/>
      <c r="M49" s="52"/>
    </row>
    <row r="50" spans="2:19" x14ac:dyDescent="0.2">
      <c r="B50" s="85" t="s">
        <v>30</v>
      </c>
      <c r="C50" s="52"/>
      <c r="D50" s="52"/>
      <c r="F50" s="86" t="s">
        <v>19</v>
      </c>
      <c r="G50" s="52"/>
      <c r="H50" s="52"/>
      <c r="J50" s="86" t="s">
        <v>29</v>
      </c>
      <c r="K50" s="52"/>
      <c r="L50" s="52"/>
      <c r="M50" s="258" t="s">
        <v>54</v>
      </c>
      <c r="N50" s="258"/>
      <c r="O50" s="258"/>
    </row>
    <row r="51" spans="2:19" x14ac:dyDescent="0.2">
      <c r="B51" s="87" t="s">
        <v>21</v>
      </c>
      <c r="C51" s="52"/>
      <c r="D51" s="52"/>
      <c r="E51" s="130">
        <f>'PF Calculator'!E51</f>
        <v>0</v>
      </c>
      <c r="F51" s="130">
        <f>'PF Calculator'!F51</f>
        <v>0</v>
      </c>
      <c r="G51" s="130">
        <f>'PF Calculator'!G51</f>
        <v>0</v>
      </c>
      <c r="H51" s="52"/>
      <c r="I51" s="130">
        <f>'PF Calculator'!I51</f>
        <v>0</v>
      </c>
      <c r="J51" s="130">
        <f>'PF Calculator'!J51</f>
        <v>0</v>
      </c>
      <c r="K51" s="130">
        <f>'PF Calculator'!K51</f>
        <v>0</v>
      </c>
      <c r="L51" s="52"/>
      <c r="M51" s="122">
        <f t="shared" ref="M51:O53" si="0">I51-E51</f>
        <v>0</v>
      </c>
      <c r="N51" s="122">
        <f t="shared" si="0"/>
        <v>0</v>
      </c>
      <c r="O51" s="122">
        <f t="shared" si="0"/>
        <v>0</v>
      </c>
    </row>
    <row r="52" spans="2:19" x14ac:dyDescent="0.2">
      <c r="B52" s="87" t="s">
        <v>20</v>
      </c>
      <c r="C52" s="52"/>
      <c r="D52" s="52"/>
      <c r="E52" s="130">
        <f>'PF Calculator'!E52</f>
        <v>0</v>
      </c>
      <c r="F52" s="130">
        <f>'PF Calculator'!F52</f>
        <v>0</v>
      </c>
      <c r="G52" s="130">
        <f>'PF Calculator'!G52</f>
        <v>0</v>
      </c>
      <c r="H52" s="52"/>
      <c r="I52" s="130">
        <f>'PF Calculator'!I52</f>
        <v>0</v>
      </c>
      <c r="J52" s="130">
        <f>'PF Calculator'!J52</f>
        <v>0</v>
      </c>
      <c r="K52" s="130">
        <f>'PF Calculator'!K52</f>
        <v>0</v>
      </c>
      <c r="L52" s="52"/>
      <c r="M52" s="122">
        <f t="shared" si="0"/>
        <v>0</v>
      </c>
      <c r="N52" s="122">
        <f t="shared" si="0"/>
        <v>0</v>
      </c>
      <c r="O52" s="122">
        <f t="shared" si="0"/>
        <v>0</v>
      </c>
    </row>
    <row r="53" spans="2:19" x14ac:dyDescent="0.2">
      <c r="B53" s="87" t="s">
        <v>22</v>
      </c>
      <c r="C53" s="52"/>
      <c r="D53" s="52"/>
      <c r="E53" s="130">
        <f>'PF Calculator'!E53</f>
        <v>26</v>
      </c>
      <c r="F53" s="130">
        <f>'PF Calculator'!F53</f>
        <v>42</v>
      </c>
      <c r="G53" s="130">
        <f>'PF Calculator'!G53</f>
        <v>11</v>
      </c>
      <c r="H53" s="52"/>
      <c r="I53" s="130">
        <f>'PF Calculator'!I53</f>
        <v>13</v>
      </c>
      <c r="J53" s="130">
        <f>'PF Calculator'!J53</f>
        <v>0</v>
      </c>
      <c r="K53" s="130">
        <f>'PF Calculator'!K53</f>
        <v>0</v>
      </c>
      <c r="L53" s="52"/>
      <c r="M53" s="122">
        <f t="shared" si="0"/>
        <v>-13</v>
      </c>
      <c r="N53" s="122">
        <f t="shared" si="0"/>
        <v>-42</v>
      </c>
      <c r="O53" s="122">
        <f t="shared" si="0"/>
        <v>-11</v>
      </c>
      <c r="Q53" s="88"/>
      <c r="R53" s="88"/>
      <c r="S53" s="88"/>
    </row>
    <row r="54" spans="2:19" x14ac:dyDescent="0.2">
      <c r="B54" s="52"/>
      <c r="C54" s="52"/>
      <c r="D54" s="72" t="s">
        <v>31</v>
      </c>
      <c r="E54" s="88" t="s">
        <v>28</v>
      </c>
      <c r="F54" s="88" t="s">
        <v>27</v>
      </c>
      <c r="G54" s="88" t="s">
        <v>23</v>
      </c>
      <c r="H54" s="52"/>
      <c r="I54" s="88" t="s">
        <v>28</v>
      </c>
      <c r="J54" s="88" t="s">
        <v>27</v>
      </c>
      <c r="K54" s="88" t="s">
        <v>23</v>
      </c>
      <c r="L54" s="52"/>
      <c r="M54" s="88" t="s">
        <v>28</v>
      </c>
      <c r="N54" s="88" t="s">
        <v>27</v>
      </c>
      <c r="O54" s="88" t="s">
        <v>23</v>
      </c>
      <c r="Q54" s="88"/>
      <c r="R54" s="88"/>
      <c r="S54" s="88"/>
    </row>
    <row r="55" spans="2:19" x14ac:dyDescent="0.2">
      <c r="B55" s="52"/>
      <c r="C55" s="52"/>
      <c r="D55" s="52"/>
      <c r="E55" s="88" t="s">
        <v>25</v>
      </c>
      <c r="F55" s="88" t="s">
        <v>25</v>
      </c>
      <c r="G55" s="88" t="s">
        <v>24</v>
      </c>
      <c r="H55" s="52"/>
      <c r="I55" s="88" t="s">
        <v>25</v>
      </c>
      <c r="J55" s="88" t="s">
        <v>25</v>
      </c>
      <c r="K55" s="88" t="s">
        <v>24</v>
      </c>
      <c r="L55" s="52"/>
      <c r="M55" s="88" t="s">
        <v>25</v>
      </c>
      <c r="N55" s="88" t="s">
        <v>25</v>
      </c>
      <c r="O55" s="88" t="s">
        <v>24</v>
      </c>
    </row>
    <row r="56" spans="2:19" x14ac:dyDescent="0.2">
      <c r="B56" s="52"/>
      <c r="C56" s="52"/>
      <c r="D56" s="52"/>
      <c r="E56" s="88"/>
      <c r="F56" s="88"/>
      <c r="G56" s="88" t="s">
        <v>25</v>
      </c>
      <c r="H56" s="52"/>
      <c r="I56" s="88"/>
      <c r="J56" s="88"/>
      <c r="K56" s="88" t="s">
        <v>25</v>
      </c>
      <c r="L56" s="52"/>
      <c r="M56" s="88"/>
      <c r="N56" s="88"/>
      <c r="O56" s="88" t="s">
        <v>25</v>
      </c>
    </row>
    <row r="57" spans="2:19" x14ac:dyDescent="0.2">
      <c r="B57" s="52"/>
      <c r="C57" s="52"/>
      <c r="D57" s="52"/>
      <c r="E57" s="88"/>
      <c r="F57" s="88"/>
      <c r="G57" s="88"/>
      <c r="H57" s="52"/>
      <c r="I57" s="88"/>
      <c r="J57" s="88"/>
      <c r="K57" s="52"/>
      <c r="L57" s="69" t="s">
        <v>103</v>
      </c>
      <c r="M57" s="123">
        <f>'Discount Rates &amp; Assumptions'!M28*AvFloodDamages/200</f>
        <v>0.15</v>
      </c>
      <c r="N57" s="123">
        <f>'Discount Rates &amp; Assumptions'!M27*AvFloodDamages/200</f>
        <v>0.6</v>
      </c>
      <c r="O57" s="123">
        <f>'Discount Rates &amp; Assumptions'!M26*AvFloodDamages/200</f>
        <v>1.3500000000000003</v>
      </c>
      <c r="P57" s="89"/>
      <c r="Q57" s="89"/>
      <c r="R57" s="89"/>
    </row>
    <row r="58" spans="2:19" x14ac:dyDescent="0.2">
      <c r="B58" s="52"/>
      <c r="C58" s="52"/>
      <c r="D58" s="52"/>
      <c r="E58" s="52"/>
      <c r="F58" s="52"/>
      <c r="G58" s="52"/>
      <c r="H58" s="52"/>
      <c r="I58" s="52"/>
      <c r="J58" s="52"/>
      <c r="K58" s="52"/>
      <c r="L58" s="52"/>
      <c r="M58" s="52"/>
    </row>
    <row r="59" spans="2:19" ht="15.75" x14ac:dyDescent="0.25">
      <c r="B59" s="52" t="s">
        <v>57</v>
      </c>
      <c r="C59" s="52"/>
      <c r="D59" s="52"/>
      <c r="E59" s="52"/>
      <c r="F59" s="52"/>
      <c r="G59" s="52" t="s">
        <v>56</v>
      </c>
      <c r="H59" s="52"/>
      <c r="K59" s="69" t="s">
        <v>63</v>
      </c>
      <c r="O59" s="90" t="s">
        <v>79</v>
      </c>
    </row>
    <row r="60" spans="2:19" ht="15.75" x14ac:dyDescent="0.25">
      <c r="B60" s="87" t="str">
        <f>B51</f>
        <v>20% most deprived areas</v>
      </c>
      <c r="C60" s="52"/>
      <c r="D60" s="52"/>
      <c r="F60" s="296">
        <f>SUMPRODUCT($M51:$O51,$M$57:$O$57)</f>
        <v>0</v>
      </c>
      <c r="G60" s="296"/>
      <c r="H60" s="52"/>
      <c r="J60" s="297">
        <f>F60*Duration</f>
        <v>0</v>
      </c>
      <c r="K60" s="297"/>
      <c r="M60" s="90" t="s">
        <v>74</v>
      </c>
      <c r="N60" s="297">
        <f>-F60*VLOOKUP(Duration,'Discount Rates &amp; Assumptions'!$A$6:$D$105,4,FALSE)</f>
        <v>0</v>
      </c>
      <c r="O60" s="297"/>
    </row>
    <row r="61" spans="2:19" ht="15.75" x14ac:dyDescent="0.25">
      <c r="B61" s="87" t="str">
        <f>B52</f>
        <v>21-40% most deprived areas</v>
      </c>
      <c r="C61" s="52"/>
      <c r="D61" s="52"/>
      <c r="F61" s="296">
        <f>SUMPRODUCT($M52:$O52,$M$57:$O$57)</f>
        <v>0</v>
      </c>
      <c r="G61" s="296"/>
      <c r="H61" s="52"/>
      <c r="J61" s="297">
        <f>F61*Duration</f>
        <v>0</v>
      </c>
      <c r="K61" s="297"/>
      <c r="M61" s="90" t="s">
        <v>75</v>
      </c>
      <c r="N61" s="297">
        <f>-F61*VLOOKUP(Duration,'Discount Rates &amp; Assumptions'!$A$6:$D$105,4,FALSE)</f>
        <v>0</v>
      </c>
      <c r="O61" s="297"/>
    </row>
    <row r="62" spans="2:19" ht="15.75" x14ac:dyDescent="0.25">
      <c r="B62" s="87" t="str">
        <f>B53</f>
        <v>60% least deprived areas</v>
      </c>
      <c r="C62" s="52"/>
      <c r="D62" s="52"/>
      <c r="F62" s="296">
        <f>SUMPRODUCT($M53:$O53,$M$57:$O$57)</f>
        <v>-42</v>
      </c>
      <c r="G62" s="296"/>
      <c r="H62" s="52"/>
      <c r="J62" s="297">
        <f>F62*Duration</f>
        <v>-2394</v>
      </c>
      <c r="K62" s="297"/>
      <c r="M62" s="90" t="s">
        <v>90</v>
      </c>
      <c r="N62" s="297">
        <f>-F62*VLOOKUP(Duration,'Discount Rates &amp; Assumptions'!$A$6:$D$105,4,FALSE)</f>
        <v>1088.7059843582865</v>
      </c>
      <c r="O62" s="297"/>
    </row>
    <row r="63" spans="2:19" ht="7.5" customHeight="1" x14ac:dyDescent="0.25">
      <c r="B63" s="87"/>
      <c r="C63" s="52"/>
      <c r="D63" s="52"/>
      <c r="F63" s="91"/>
      <c r="G63" s="91"/>
      <c r="H63" s="52"/>
      <c r="J63" s="92"/>
      <c r="K63" s="92"/>
      <c r="M63" s="90"/>
    </row>
    <row r="64" spans="2:19" ht="7.5" customHeight="1" x14ac:dyDescent="0.2">
      <c r="B64" s="84"/>
      <c r="C64" s="84"/>
      <c r="D64" s="84"/>
      <c r="E64" s="84"/>
      <c r="F64" s="84"/>
      <c r="G64" s="84"/>
      <c r="H64" s="77"/>
      <c r="I64" s="77"/>
      <c r="J64" s="77"/>
      <c r="K64" s="77"/>
      <c r="L64" s="77"/>
      <c r="M64" s="84"/>
      <c r="N64" s="77"/>
      <c r="O64" s="77"/>
    </row>
    <row r="65" spans="2:16" ht="15.75" x14ac:dyDescent="0.25">
      <c r="B65" s="78" t="s">
        <v>99</v>
      </c>
      <c r="H65" s="52"/>
      <c r="I65" s="52"/>
      <c r="J65" s="52"/>
      <c r="K65" s="52"/>
      <c r="L65" s="52"/>
    </row>
    <row r="66" spans="2:16" x14ac:dyDescent="0.2">
      <c r="B66" s="85" t="s">
        <v>30</v>
      </c>
      <c r="C66" s="52"/>
      <c r="D66" s="52"/>
      <c r="E66" s="86"/>
      <c r="F66" s="257" t="s">
        <v>19</v>
      </c>
      <c r="G66" s="257"/>
      <c r="H66" s="52"/>
      <c r="I66" s="93" t="s">
        <v>66</v>
      </c>
    </row>
    <row r="67" spans="2:16" x14ac:dyDescent="0.2">
      <c r="B67" s="87" t="s">
        <v>21</v>
      </c>
      <c r="C67" s="52"/>
      <c r="D67" s="52"/>
      <c r="E67" s="52"/>
      <c r="F67" s="130">
        <f>'PF Calculator'!F67</f>
        <v>0</v>
      </c>
      <c r="G67" s="130">
        <f>'PF Calculator'!G67</f>
        <v>0</v>
      </c>
      <c r="H67" s="52"/>
      <c r="I67" s="87" t="s">
        <v>55</v>
      </c>
      <c r="J67" s="87"/>
      <c r="K67" s="94"/>
      <c r="L67" s="87"/>
      <c r="M67" s="124">
        <f>AvCEDamages/1000</f>
        <v>6</v>
      </c>
      <c r="N67" s="124">
        <f>AvCEDamages/1000</f>
        <v>6</v>
      </c>
    </row>
    <row r="68" spans="2:16" x14ac:dyDescent="0.2">
      <c r="B68" s="87" t="s">
        <v>20</v>
      </c>
      <c r="C68" s="52"/>
      <c r="D68" s="52"/>
      <c r="E68" s="52"/>
      <c r="F68" s="130">
        <f>'PF Calculator'!F68</f>
        <v>0</v>
      </c>
      <c r="G68" s="130">
        <f>'PF Calculator'!G68</f>
        <v>0</v>
      </c>
      <c r="H68" s="52"/>
      <c r="I68" s="95" t="s">
        <v>67</v>
      </c>
      <c r="M68" s="125">
        <v>50</v>
      </c>
      <c r="N68" s="125">
        <v>20</v>
      </c>
      <c r="O68" s="87" t="s">
        <v>8</v>
      </c>
    </row>
    <row r="69" spans="2:16" ht="15" customHeight="1" x14ac:dyDescent="0.2">
      <c r="B69" s="87" t="s">
        <v>22</v>
      </c>
      <c r="C69" s="52"/>
      <c r="D69" s="52"/>
      <c r="E69" s="52"/>
      <c r="F69" s="130">
        <f>'PF Calculator'!F69</f>
        <v>0</v>
      </c>
      <c r="G69" s="130">
        <f>'PF Calculator'!G69</f>
        <v>0</v>
      </c>
      <c r="H69" s="52"/>
      <c r="I69" s="270" t="s">
        <v>95</v>
      </c>
      <c r="J69" s="270"/>
      <c r="K69" s="270"/>
      <c r="L69" s="270"/>
      <c r="M69" s="124">
        <f>M67*VLOOKUP('Discount Rates &amp; Assumptions'!K39,'Discount Rates &amp; Assumptions'!$A$6:$D$105,3,FALSE)</f>
        <v>1.1835763061432307</v>
      </c>
      <c r="N69" s="124">
        <f>N67*VLOOKUP('Discount Rates &amp; Assumptions'!K38,'Discount Rates &amp; Assumptions'!$A$6:$D$105,3,FALSE)</f>
        <v>3.0153953065900234</v>
      </c>
    </row>
    <row r="70" spans="2:16" ht="28.5" x14ac:dyDescent="0.2">
      <c r="B70" s="52"/>
      <c r="C70" s="52"/>
      <c r="D70" s="96"/>
      <c r="E70" s="52"/>
      <c r="F70" s="97" t="s">
        <v>65</v>
      </c>
      <c r="G70" s="97" t="s">
        <v>64</v>
      </c>
      <c r="H70" s="52"/>
      <c r="I70" s="270"/>
      <c r="J70" s="270"/>
      <c r="K70" s="270"/>
      <c r="L70" s="270"/>
      <c r="M70" s="98" t="s">
        <v>65</v>
      </c>
      <c r="N70" s="98" t="s">
        <v>64</v>
      </c>
    </row>
    <row r="71" spans="2:16" x14ac:dyDescent="0.2">
      <c r="B71" s="99"/>
      <c r="C71" s="99"/>
      <c r="D71" s="99"/>
      <c r="E71" s="99"/>
      <c r="F71" s="88"/>
      <c r="G71" s="52"/>
      <c r="H71" s="52"/>
      <c r="I71" s="52"/>
      <c r="J71" s="52"/>
      <c r="K71" s="52"/>
      <c r="L71" s="52"/>
      <c r="M71" s="52"/>
    </row>
    <row r="72" spans="2:16" ht="15.75" x14ac:dyDescent="0.25">
      <c r="B72" s="52" t="s">
        <v>57</v>
      </c>
      <c r="C72" s="52"/>
      <c r="D72" s="52"/>
      <c r="E72" s="52"/>
      <c r="F72" s="52"/>
      <c r="G72" s="69" t="s">
        <v>96</v>
      </c>
      <c r="H72" s="52"/>
      <c r="K72" s="69" t="s">
        <v>73</v>
      </c>
      <c r="O72" s="90" t="s">
        <v>78</v>
      </c>
    </row>
    <row r="73" spans="2:16" ht="15.75" x14ac:dyDescent="0.25">
      <c r="B73" s="87" t="str">
        <f>B67</f>
        <v>20% most deprived areas</v>
      </c>
      <c r="C73" s="52"/>
      <c r="D73" s="52"/>
      <c r="F73" s="296">
        <f>-SUMPRODUCT($M$69:$N$69,F67:G67)</f>
        <v>0</v>
      </c>
      <c r="G73" s="296"/>
      <c r="H73" s="52"/>
      <c r="J73" s="297">
        <f>F73*Duration</f>
        <v>0</v>
      </c>
      <c r="K73" s="297"/>
      <c r="M73" s="90" t="s">
        <v>76</v>
      </c>
      <c r="N73" s="298">
        <f>-F73*VLOOKUP(Duration,'Discount Rates &amp; Assumptions'!$A$6:$D$105,4,FALSE)</f>
        <v>0</v>
      </c>
      <c r="O73" s="298"/>
    </row>
    <row r="74" spans="2:16" ht="15.75" x14ac:dyDescent="0.25">
      <c r="B74" s="87" t="str">
        <f>B68</f>
        <v>21-40% most deprived areas</v>
      </c>
      <c r="C74" s="52"/>
      <c r="D74" s="52"/>
      <c r="F74" s="296">
        <f>-SUMPRODUCT($M$69:$N$69,F68:G68)</f>
        <v>0</v>
      </c>
      <c r="G74" s="296"/>
      <c r="H74" s="52"/>
      <c r="J74" s="297">
        <f>F74*Duration</f>
        <v>0</v>
      </c>
      <c r="K74" s="297"/>
      <c r="M74" s="90" t="s">
        <v>77</v>
      </c>
      <c r="N74" s="298">
        <f>-F74*VLOOKUP(Duration,'Discount Rates &amp; Assumptions'!$A$6:$D$105,4,FALSE)</f>
        <v>0</v>
      </c>
      <c r="O74" s="298"/>
    </row>
    <row r="75" spans="2:16" ht="15.75" x14ac:dyDescent="0.25">
      <c r="B75" s="87" t="str">
        <f>B69</f>
        <v>60% least deprived areas</v>
      </c>
      <c r="C75" s="52"/>
      <c r="D75" s="52"/>
      <c r="F75" s="296">
        <f>-SUMPRODUCT($M$69:$N$69,F69:G69)</f>
        <v>0</v>
      </c>
      <c r="G75" s="296"/>
      <c r="H75" s="52"/>
      <c r="J75" s="297">
        <f>F75*Duration</f>
        <v>0</v>
      </c>
      <c r="K75" s="297"/>
      <c r="M75" s="90" t="s">
        <v>91</v>
      </c>
      <c r="N75" s="298">
        <f>-F75*VLOOKUP(Duration,'Discount Rates &amp; Assumptions'!$A$6:$D$105,4,FALSE)</f>
        <v>0</v>
      </c>
      <c r="O75" s="298"/>
    </row>
    <row r="76" spans="2:16" ht="7.5" customHeight="1" x14ac:dyDescent="0.2">
      <c r="H76" s="52"/>
      <c r="I76" s="52"/>
      <c r="J76" s="52"/>
      <c r="K76" s="52"/>
      <c r="L76" s="52"/>
    </row>
    <row r="77" spans="2:16" ht="7.5" customHeight="1" x14ac:dyDescent="0.2">
      <c r="B77" s="84"/>
      <c r="C77" s="84"/>
      <c r="D77" s="84"/>
      <c r="E77" s="84"/>
      <c r="F77" s="84"/>
      <c r="G77" s="84"/>
      <c r="H77" s="77"/>
      <c r="I77" s="77"/>
      <c r="J77" s="77"/>
      <c r="K77" s="77"/>
      <c r="L77" s="77"/>
      <c r="M77" s="84"/>
      <c r="N77" s="77"/>
      <c r="O77" s="77"/>
    </row>
    <row r="78" spans="2:16" ht="15.75" x14ac:dyDescent="0.25">
      <c r="B78" s="78" t="s">
        <v>100</v>
      </c>
      <c r="H78" s="52"/>
      <c r="I78" s="52"/>
      <c r="J78" s="52"/>
      <c r="K78" s="52"/>
      <c r="L78" s="52"/>
    </row>
    <row r="79" spans="2:16" ht="15.75" x14ac:dyDescent="0.25">
      <c r="B79" s="52" t="s">
        <v>70</v>
      </c>
      <c r="C79" s="52"/>
      <c r="D79" s="52"/>
      <c r="E79" s="100"/>
      <c r="F79" s="261"/>
      <c r="G79" s="261"/>
      <c r="H79" s="65"/>
      <c r="I79" s="93"/>
      <c r="K79" s="101" t="s">
        <v>89</v>
      </c>
      <c r="L79" s="93"/>
      <c r="M79" s="93"/>
      <c r="N79" s="93"/>
      <c r="O79" s="90" t="s">
        <v>78</v>
      </c>
      <c r="P79" s="93"/>
    </row>
    <row r="80" spans="2:16" x14ac:dyDescent="0.2">
      <c r="B80" s="93" t="s">
        <v>68</v>
      </c>
      <c r="C80" s="135">
        <f>'PF Calculator'!C80</f>
        <v>100</v>
      </c>
      <c r="D80" s="85" t="s">
        <v>12</v>
      </c>
      <c r="E80" s="65"/>
      <c r="F80" s="65"/>
      <c r="G80" s="65"/>
      <c r="H80" s="65"/>
      <c r="I80" s="52"/>
      <c r="J80" s="291">
        <f>'Discount Rates &amp; Assumptions'!K14/1000</f>
        <v>15</v>
      </c>
      <c r="K80" s="291"/>
      <c r="L80" s="93"/>
      <c r="M80" s="101" t="s">
        <v>68</v>
      </c>
      <c r="N80" s="292">
        <f>J80*C80</f>
        <v>1500</v>
      </c>
      <c r="O80" s="292"/>
      <c r="P80" s="93"/>
    </row>
    <row r="81" spans="1:16" x14ac:dyDescent="0.2">
      <c r="B81" s="93" t="s">
        <v>4</v>
      </c>
      <c r="C81" s="135">
        <f>'PF Calculator'!C81</f>
        <v>10000</v>
      </c>
      <c r="D81" s="85" t="s">
        <v>11</v>
      </c>
      <c r="E81" s="65"/>
      <c r="F81" s="65"/>
      <c r="G81" s="65"/>
      <c r="H81" s="65"/>
      <c r="I81" s="52"/>
      <c r="J81" s="291">
        <f>'Discount Rates &amp; Assumptions'!K15/1000</f>
        <v>50</v>
      </c>
      <c r="K81" s="291"/>
      <c r="L81" s="93"/>
      <c r="M81" s="101" t="s">
        <v>4</v>
      </c>
      <c r="N81" s="292">
        <f>J81*C81</f>
        <v>500000</v>
      </c>
      <c r="O81" s="292"/>
      <c r="P81" s="93"/>
    </row>
    <row r="82" spans="1:16" x14ac:dyDescent="0.2">
      <c r="B82" s="93" t="s">
        <v>69</v>
      </c>
      <c r="C82" s="135">
        <f>'PF Calculator'!C82</f>
        <v>20000</v>
      </c>
      <c r="D82" s="85" t="s">
        <v>10</v>
      </c>
      <c r="E82" s="52"/>
      <c r="F82" s="52"/>
      <c r="G82" s="52"/>
      <c r="H82" s="52"/>
      <c r="I82" s="52"/>
      <c r="J82" s="291">
        <f>'Discount Rates &amp; Assumptions'!K16/1000</f>
        <v>80</v>
      </c>
      <c r="K82" s="291"/>
      <c r="L82" s="93"/>
      <c r="M82" s="101" t="s">
        <v>69</v>
      </c>
      <c r="N82" s="292">
        <f>J82*C82</f>
        <v>1600000</v>
      </c>
      <c r="O82" s="292"/>
      <c r="P82" s="93"/>
    </row>
    <row r="83" spans="1:16" ht="15.75" x14ac:dyDescent="0.25">
      <c r="B83" s="52"/>
      <c r="C83" s="52"/>
      <c r="D83" s="85"/>
      <c r="E83" s="52"/>
      <c r="F83" s="52"/>
      <c r="G83" s="52"/>
      <c r="H83" s="52"/>
      <c r="I83" s="52"/>
      <c r="J83" s="52"/>
      <c r="K83" s="52"/>
      <c r="L83" s="93"/>
      <c r="M83" s="90" t="s">
        <v>3</v>
      </c>
      <c r="N83" s="293">
        <f>SUM(N80:O82)</f>
        <v>2101500</v>
      </c>
      <c r="O83" s="293"/>
      <c r="P83" s="93"/>
    </row>
    <row r="84" spans="1:16" ht="7.5" customHeight="1" x14ac:dyDescent="0.25">
      <c r="B84" s="52"/>
      <c r="C84" s="52"/>
      <c r="D84" s="96"/>
      <c r="E84" s="52"/>
      <c r="F84" s="52"/>
      <c r="G84" s="52"/>
      <c r="H84" s="52"/>
      <c r="I84" s="52"/>
      <c r="J84" s="52"/>
      <c r="K84" s="52"/>
      <c r="L84" s="93"/>
      <c r="M84" s="90"/>
      <c r="N84" s="93"/>
    </row>
    <row r="85" spans="1:16" ht="7.5" customHeight="1" x14ac:dyDescent="0.2">
      <c r="B85" s="77"/>
      <c r="C85" s="77"/>
      <c r="D85" s="102"/>
      <c r="E85" s="77"/>
      <c r="F85" s="77"/>
      <c r="G85" s="77"/>
      <c r="H85" s="77"/>
      <c r="I85" s="77"/>
      <c r="J85" s="77"/>
      <c r="K85" s="77"/>
      <c r="L85" s="103"/>
      <c r="M85" s="77"/>
      <c r="N85" s="77"/>
      <c r="O85" s="77"/>
    </row>
    <row r="86" spans="1:16" ht="15.75" x14ac:dyDescent="0.25">
      <c r="B86" s="78" t="s">
        <v>102</v>
      </c>
      <c r="C86" s="52"/>
      <c r="E86" s="52"/>
      <c r="F86" s="52"/>
      <c r="G86" s="52"/>
      <c r="H86" s="52"/>
      <c r="I86" s="52"/>
      <c r="J86" s="52"/>
      <c r="K86" s="52"/>
      <c r="L86" s="52"/>
      <c r="M86" s="52"/>
    </row>
    <row r="87" spans="1:16" x14ac:dyDescent="0.2">
      <c r="B87" s="104"/>
      <c r="C87" s="52"/>
      <c r="E87" s="52"/>
      <c r="F87" s="52"/>
      <c r="G87" s="52"/>
      <c r="H87" s="52"/>
      <c r="I87" s="52"/>
      <c r="J87" s="52"/>
      <c r="K87" s="52"/>
      <c r="L87" s="52"/>
      <c r="M87" s="52"/>
    </row>
    <row r="88" spans="1:16" x14ac:dyDescent="0.2">
      <c r="B88" s="93" t="s">
        <v>83</v>
      </c>
      <c r="C88" s="93"/>
      <c r="D88" s="93" t="s">
        <v>92</v>
      </c>
      <c r="F88" s="85" t="s">
        <v>71</v>
      </c>
      <c r="G88" s="85"/>
      <c r="H88" s="85"/>
      <c r="I88" s="85" t="s">
        <v>82</v>
      </c>
      <c r="J88" s="85"/>
      <c r="K88" s="52"/>
      <c r="L88" s="52"/>
      <c r="M88" s="52"/>
    </row>
    <row r="89" spans="1:16" x14ac:dyDescent="0.2">
      <c r="A89" s="149"/>
      <c r="B89" s="150" t="s">
        <v>2</v>
      </c>
      <c r="C89" s="151"/>
      <c r="D89" s="294" t="str">
        <f>IF(H29=0,0,IF(MAX((H29-SUM(D90:E96)),0)&gt;0,H29-SUM(D90:E96),"Ltd by high OM2,3,4 values"))</f>
        <v>Ltd by high OM2,3,4 values</v>
      </c>
      <c r="E89" s="295"/>
      <c r="F89" s="148">
        <f>1/TargetBCRWLBs*100</f>
        <v>5.5555555555555554</v>
      </c>
      <c r="G89" s="149" t="s">
        <v>81</v>
      </c>
      <c r="H89" s="52"/>
      <c r="I89" s="287">
        <f>IF(D89="Ltd by high OM2,3,4 values",0,D89*F89/100)</f>
        <v>0</v>
      </c>
      <c r="J89" s="287"/>
      <c r="K89" s="52"/>
      <c r="L89" s="93"/>
      <c r="M89" s="52"/>
      <c r="N89" s="107"/>
    </row>
    <row r="90" spans="1:16" x14ac:dyDescent="0.2">
      <c r="B90" s="108" t="s">
        <v>1</v>
      </c>
      <c r="C90" s="109" t="s">
        <v>84</v>
      </c>
      <c r="D90" s="286">
        <f>N60</f>
        <v>0</v>
      </c>
      <c r="E90" s="286"/>
      <c r="F90" s="126">
        <f>1/TargetMinBCR*DeprivedScalar20*100</f>
        <v>45</v>
      </c>
      <c r="G90" s="52"/>
      <c r="H90" s="52"/>
      <c r="I90" s="287">
        <f t="shared" ref="I90:I96" si="1">D90*F90/100</f>
        <v>0</v>
      </c>
      <c r="J90" s="287"/>
      <c r="K90" s="52"/>
      <c r="L90" s="52"/>
      <c r="M90" s="52"/>
      <c r="N90" s="107"/>
    </row>
    <row r="91" spans="1:16" x14ac:dyDescent="0.2">
      <c r="B91" s="110"/>
      <c r="C91" s="111" t="s">
        <v>80</v>
      </c>
      <c r="D91" s="286">
        <f>N61</f>
        <v>0</v>
      </c>
      <c r="E91" s="286"/>
      <c r="F91" s="126">
        <f>1/TargetMinBCR*DeprivedScalar40*100</f>
        <v>30.000000000000004</v>
      </c>
      <c r="G91" s="52"/>
      <c r="H91" s="52"/>
      <c r="I91" s="287">
        <f t="shared" si="1"/>
        <v>0</v>
      </c>
      <c r="J91" s="287"/>
      <c r="M91" s="93"/>
    </row>
    <row r="92" spans="1:16" x14ac:dyDescent="0.2">
      <c r="B92" s="112"/>
      <c r="C92" s="113" t="s">
        <v>88</v>
      </c>
      <c r="D92" s="286">
        <f>N62</f>
        <v>1088.7059843582865</v>
      </c>
      <c r="E92" s="286"/>
      <c r="F92" s="126">
        <f>1/TargetMinBCR*DeprivedScalarOther*100</f>
        <v>20</v>
      </c>
      <c r="G92" s="52"/>
      <c r="H92" s="52"/>
      <c r="I92" s="287">
        <f t="shared" si="1"/>
        <v>217.74119687165731</v>
      </c>
      <c r="J92" s="287"/>
    </row>
    <row r="93" spans="1:16" x14ac:dyDescent="0.2">
      <c r="B93" s="108" t="s">
        <v>0</v>
      </c>
      <c r="C93" s="109" t="s">
        <v>84</v>
      </c>
      <c r="D93" s="286">
        <f>N73</f>
        <v>0</v>
      </c>
      <c r="E93" s="286"/>
      <c r="F93" s="126">
        <f>1/TargetMinBCR*DeprivedScalar20*100</f>
        <v>45</v>
      </c>
      <c r="G93" s="52"/>
      <c r="H93" s="52"/>
      <c r="I93" s="287">
        <f t="shared" si="1"/>
        <v>0</v>
      </c>
      <c r="J93" s="287"/>
    </row>
    <row r="94" spans="1:16" x14ac:dyDescent="0.2">
      <c r="B94" s="114"/>
      <c r="C94" s="111" t="s">
        <v>80</v>
      </c>
      <c r="D94" s="286">
        <f>N74</f>
        <v>0</v>
      </c>
      <c r="E94" s="286"/>
      <c r="F94" s="126">
        <f>1/TargetMinBCR*DeprivedScalar40*100</f>
        <v>30.000000000000004</v>
      </c>
      <c r="G94" s="52"/>
      <c r="H94" s="52"/>
      <c r="I94" s="287">
        <f t="shared" si="1"/>
        <v>0</v>
      </c>
      <c r="J94" s="287"/>
    </row>
    <row r="95" spans="1:16" x14ac:dyDescent="0.2">
      <c r="B95" s="112"/>
      <c r="C95" s="113" t="s">
        <v>88</v>
      </c>
      <c r="D95" s="286">
        <f>N75</f>
        <v>0</v>
      </c>
      <c r="E95" s="286"/>
      <c r="F95" s="126">
        <f>1/TargetMinBCR*DeprivedScalarOther*100</f>
        <v>20</v>
      </c>
      <c r="G95" s="52"/>
      <c r="H95" s="52"/>
      <c r="I95" s="287">
        <f t="shared" si="1"/>
        <v>0</v>
      </c>
      <c r="J95" s="287"/>
    </row>
    <row r="96" spans="1:16" x14ac:dyDescent="0.2">
      <c r="B96" s="105" t="s">
        <v>3</v>
      </c>
      <c r="C96" s="106"/>
      <c r="D96" s="286">
        <f>N83</f>
        <v>2101500</v>
      </c>
      <c r="E96" s="286"/>
      <c r="F96" s="126">
        <v>100</v>
      </c>
      <c r="G96" s="52"/>
      <c r="H96" s="52"/>
      <c r="I96" s="287">
        <f t="shared" si="1"/>
        <v>2101500</v>
      </c>
      <c r="J96" s="287"/>
      <c r="P96" s="133"/>
    </row>
    <row r="97" spans="2:16" ht="15.75" x14ac:dyDescent="0.25">
      <c r="B97" s="52" t="s">
        <v>7</v>
      </c>
      <c r="C97" s="52"/>
      <c r="D97" s="288">
        <f>SUM(D89:E96)</f>
        <v>2102588.7059843582</v>
      </c>
      <c r="E97" s="281"/>
      <c r="F97" s="52"/>
      <c r="G97" s="52"/>
      <c r="H97" s="52"/>
      <c r="I97" s="289">
        <f>SUM(I89:J96)</f>
        <v>2101717.7411968717</v>
      </c>
      <c r="J97" s="290"/>
      <c r="K97" s="273" t="s">
        <v>141</v>
      </c>
      <c r="L97" s="273"/>
      <c r="M97" s="273"/>
      <c r="N97" s="273"/>
      <c r="O97" s="273"/>
    </row>
    <row r="98" spans="2:16" x14ac:dyDescent="0.2">
      <c r="B98" s="52"/>
      <c r="C98" s="52"/>
      <c r="D98" s="52"/>
      <c r="E98" s="52"/>
      <c r="F98" s="52"/>
      <c r="G98" s="52"/>
      <c r="H98" s="52"/>
      <c r="I98" s="52"/>
      <c r="K98" s="273"/>
      <c r="L98" s="273"/>
      <c r="M98" s="273"/>
      <c r="N98" s="273"/>
      <c r="O98" s="273"/>
    </row>
    <row r="99" spans="2:16" s="93" customFormat="1" x14ac:dyDescent="0.2">
      <c r="B99" s="115" t="s">
        <v>104</v>
      </c>
      <c r="C99" s="77"/>
      <c r="D99" s="102"/>
      <c r="E99" s="77"/>
      <c r="F99" s="77"/>
      <c r="G99" s="77"/>
      <c r="H99" s="77"/>
      <c r="I99" s="77"/>
      <c r="J99" s="77"/>
      <c r="K99" s="77"/>
      <c r="L99" s="103"/>
      <c r="M99" s="77"/>
      <c r="N99" s="77"/>
      <c r="O99" s="77"/>
      <c r="P99" s="55"/>
    </row>
    <row r="100" spans="2:16" s="116" customFormat="1" ht="12.75" x14ac:dyDescent="0.2">
      <c r="B100" s="117" t="s">
        <v>105</v>
      </c>
    </row>
    <row r="101" spans="2:16" s="116" customFormat="1" ht="12.75" x14ac:dyDescent="0.2">
      <c r="B101" s="117" t="s">
        <v>111</v>
      </c>
    </row>
    <row r="102" spans="2:16" ht="15.75" x14ac:dyDescent="0.25">
      <c r="B102" s="118" t="s">
        <v>93</v>
      </c>
      <c r="C102" s="52"/>
      <c r="D102" s="52"/>
      <c r="E102" s="52"/>
      <c r="F102" s="52"/>
      <c r="G102" s="52"/>
      <c r="H102" s="52"/>
      <c r="I102" s="52"/>
      <c r="J102" s="52"/>
      <c r="K102" s="52"/>
      <c r="L102" s="52"/>
      <c r="M102" s="52"/>
    </row>
    <row r="104" spans="2:16" x14ac:dyDescent="0.2">
      <c r="B104" s="93"/>
      <c r="C104" s="93"/>
      <c r="D104" s="93"/>
      <c r="E104" s="93"/>
      <c r="F104" s="93"/>
      <c r="G104" s="93"/>
      <c r="H104" s="93"/>
      <c r="I104" s="93"/>
    </row>
    <row r="107" spans="2:16" ht="23.25" x14ac:dyDescent="0.35">
      <c r="B107" s="141"/>
    </row>
    <row r="109" spans="2:16" ht="23.25" x14ac:dyDescent="0.35">
      <c r="D109" s="141"/>
    </row>
    <row r="110" spans="2:16" s="93" customFormat="1" ht="23.25" x14ac:dyDescent="0.35">
      <c r="I110" s="141"/>
    </row>
    <row r="111" spans="2:16" s="93" customFormat="1" ht="23.25" x14ac:dyDescent="0.35">
      <c r="B111" s="141"/>
      <c r="C111" s="140"/>
    </row>
    <row r="112" spans="2:16" s="93" customFormat="1" x14ac:dyDescent="0.2"/>
    <row r="113" s="93" customFormat="1" x14ac:dyDescent="0.2"/>
    <row r="114" s="93" customFormat="1" x14ac:dyDescent="0.2"/>
    <row r="115" s="93" customFormat="1" x14ac:dyDescent="0.2"/>
    <row r="116" s="93" customFormat="1" x14ac:dyDescent="0.2"/>
    <row r="117" s="93" customFormat="1" x14ac:dyDescent="0.2"/>
    <row r="118" s="93" customFormat="1" x14ac:dyDescent="0.2"/>
  </sheetData>
  <sheetProtection password="A377" sheet="1" objects="1" scenarios="1"/>
  <mergeCells count="59">
    <mergeCell ref="Q17:V23"/>
    <mergeCell ref="J22:O22"/>
    <mergeCell ref="M50:O50"/>
    <mergeCell ref="B5:D5"/>
    <mergeCell ref="M8:O8"/>
    <mergeCell ref="M9:O9"/>
    <mergeCell ref="J17:O21"/>
    <mergeCell ref="J26:N27"/>
    <mergeCell ref="J30:N33"/>
    <mergeCell ref="J38:O39"/>
    <mergeCell ref="P38:U43"/>
    <mergeCell ref="J40:O46"/>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F74:G74"/>
    <mergeCell ref="J74:K74"/>
    <mergeCell ref="N74:O74"/>
    <mergeCell ref="F75:G75"/>
    <mergeCell ref="J75:K75"/>
    <mergeCell ref="N75:O75"/>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D92:E92"/>
    <mergeCell ref="I92:J92"/>
    <mergeCell ref="D93:E93"/>
    <mergeCell ref="I93:J93"/>
    <mergeCell ref="D94:E94"/>
    <mergeCell ref="I94:J94"/>
    <mergeCell ref="K97:O98"/>
    <mergeCell ref="D95:E95"/>
    <mergeCell ref="I95:J95"/>
    <mergeCell ref="D96:E96"/>
    <mergeCell ref="I96:J96"/>
    <mergeCell ref="D97:E97"/>
    <mergeCell ref="I97:J97"/>
  </mergeCells>
  <conditionalFormatting sqref="B10 P26 Q17">
    <cfRule type="expression" dxfId="4" priority="1" stopIfTrue="1">
      <formula>LEFT($P$26,6)="ERROR!"</formula>
    </cfRule>
  </conditionalFormatting>
  <dataValidations count="3">
    <dataValidation type="list" allowBlank="1" showInputMessage="1" showErrorMessage="1" sqref="H25 H27">
      <formula1>"EA,LA,IDB,HA,WC"</formula1>
    </dataValidation>
    <dataValidation type="list" allowBlank="1" showInputMessage="1" showErrorMessage="1" sqref="J25">
      <formula1>"Yes,No"</formula1>
    </dataValidation>
    <dataValidation type="list" allowBlank="1" showInputMessage="1" showErrorMessage="1" sqref="E47">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12"/>
  <sheetViews>
    <sheetView topLeftCell="A19" zoomScale="70" zoomScaleNormal="70" workbookViewId="0">
      <selection activeCell="H44" sqref="H44"/>
    </sheetView>
  </sheetViews>
  <sheetFormatPr defaultColWidth="8.88671875" defaultRowHeight="15" x14ac:dyDescent="0.2"/>
  <cols>
    <col min="1" max="1" width="2" style="52" customWidth="1"/>
    <col min="2" max="2" width="16.5546875" style="55" customWidth="1"/>
    <col min="3" max="13" width="10.6640625" style="55" customWidth="1"/>
    <col min="14" max="18" width="10.6640625" style="52" customWidth="1"/>
    <col min="19" max="16384" width="8.88671875" style="52"/>
  </cols>
  <sheetData>
    <row r="2" spans="1:18" ht="20.25" x14ac:dyDescent="0.3">
      <c r="B2" s="53" t="s">
        <v>189</v>
      </c>
      <c r="C2" s="54"/>
      <c r="D2" s="54"/>
    </row>
    <row r="3" spans="1:18" ht="20.25" x14ac:dyDescent="0.3">
      <c r="B3" s="56" t="s">
        <v>163</v>
      </c>
      <c r="C3" s="54"/>
      <c r="D3" s="54"/>
    </row>
    <row r="4" spans="1:18" x14ac:dyDescent="0.2">
      <c r="B4" s="57"/>
      <c r="C4" s="44"/>
      <c r="D4" s="44"/>
    </row>
    <row r="5" spans="1:18" ht="20.25" x14ac:dyDescent="0.3">
      <c r="B5" s="249" t="s">
        <v>138</v>
      </c>
      <c r="C5" s="249"/>
      <c r="D5" s="249"/>
      <c r="E5" s="167" t="str">
        <f>'PF Calculator'!E5</f>
        <v>Wrington</v>
      </c>
      <c r="F5" s="168"/>
      <c r="G5" s="168"/>
      <c r="H5" s="168"/>
      <c r="I5" s="168"/>
      <c r="J5" s="168"/>
      <c r="K5" s="168"/>
      <c r="L5" s="168"/>
      <c r="M5" s="168"/>
      <c r="N5" s="168"/>
      <c r="O5" s="168"/>
      <c r="P5" s="58"/>
      <c r="Q5" s="59"/>
      <c r="R5" s="59"/>
    </row>
    <row r="6" spans="1:18" ht="20.25" x14ac:dyDescent="0.3">
      <c r="B6" s="165" t="s">
        <v>139</v>
      </c>
      <c r="C6" s="165"/>
      <c r="D6" s="165"/>
      <c r="E6" s="128" t="s">
        <v>144</v>
      </c>
      <c r="F6" s="168"/>
      <c r="G6" s="168"/>
      <c r="H6" s="168"/>
      <c r="I6" s="168"/>
      <c r="J6" s="168"/>
      <c r="K6" s="168"/>
      <c r="L6" s="168"/>
      <c r="M6" s="168"/>
      <c r="N6" s="168"/>
      <c r="O6" s="168"/>
      <c r="P6" s="58"/>
      <c r="Q6" s="59"/>
      <c r="R6" s="59"/>
    </row>
    <row r="7" spans="1:18" x14ac:dyDescent="0.2">
      <c r="B7" s="159"/>
      <c r="C7" s="160"/>
      <c r="D7" s="160"/>
    </row>
    <row r="8" spans="1:18" x14ac:dyDescent="0.2">
      <c r="B8" s="161"/>
      <c r="C8" s="160"/>
      <c r="D8" s="160"/>
      <c r="L8" s="60" t="s">
        <v>13</v>
      </c>
      <c r="M8" s="301" t="s">
        <v>191</v>
      </c>
      <c r="N8" s="302"/>
      <c r="O8" s="303"/>
    </row>
    <row r="9" spans="1:18" ht="15.75" x14ac:dyDescent="0.25">
      <c r="B9" s="162" t="s">
        <v>188</v>
      </c>
      <c r="J9" s="55" t="s">
        <v>153</v>
      </c>
      <c r="L9" s="52"/>
      <c r="M9" s="279" t="s">
        <v>15</v>
      </c>
      <c r="N9" s="280"/>
      <c r="O9" s="281"/>
    </row>
    <row r="10" spans="1:18" ht="15.75" x14ac:dyDescent="0.25">
      <c r="B10" s="163" t="s">
        <v>135</v>
      </c>
      <c r="L10" s="52"/>
      <c r="M10" s="61"/>
      <c r="N10" s="61"/>
      <c r="O10" s="61"/>
    </row>
    <row r="11" spans="1:18" s="65" customFormat="1" ht="10.9" customHeight="1" x14ac:dyDescent="0.2">
      <c r="A11" s="62"/>
      <c r="B11" s="63"/>
      <c r="C11" s="64"/>
      <c r="D11" s="64"/>
      <c r="E11" s="64"/>
      <c r="F11" s="64"/>
      <c r="G11" s="64"/>
      <c r="H11" s="64"/>
      <c r="I11" s="64"/>
      <c r="J11" s="64"/>
      <c r="K11" s="64"/>
      <c r="L11" s="64"/>
      <c r="M11" s="64"/>
      <c r="N11" s="64"/>
      <c r="O11" s="64"/>
      <c r="P11" s="62"/>
    </row>
    <row r="12" spans="1:18" ht="15" customHeight="1" x14ac:dyDescent="0.25">
      <c r="B12" s="158" t="s">
        <v>136</v>
      </c>
      <c r="C12" s="44"/>
      <c r="D12" s="44"/>
      <c r="E12" s="44"/>
      <c r="F12" s="66"/>
      <c r="G12" s="42"/>
      <c r="H12" s="52"/>
      <c r="I12" s="52"/>
      <c r="O12" s="67"/>
      <c r="P12" s="67"/>
    </row>
    <row r="13" spans="1:18" ht="15" customHeight="1" x14ac:dyDescent="0.25">
      <c r="G13" s="142"/>
      <c r="I13" s="52"/>
      <c r="J13" s="67"/>
      <c r="K13" s="52"/>
      <c r="M13" s="69" t="s">
        <v>101</v>
      </c>
      <c r="N13" s="119">
        <f>H29/H37</f>
        <v>5.3164556962025316</v>
      </c>
      <c r="O13" s="120" t="s">
        <v>17</v>
      </c>
    </row>
    <row r="14" spans="1:18" ht="15" customHeight="1" x14ac:dyDescent="0.25">
      <c r="B14" s="153" t="str">
        <f>IF(J25="No"," WARNING: 'Maximum grant rate reduced to 45% as a strategic approach not taken and benefits may be double counted"," ")</f>
        <v xml:space="preserve"> </v>
      </c>
      <c r="C14" s="44"/>
      <c r="D14" s="44"/>
      <c r="E14" s="44"/>
      <c r="F14" s="44"/>
      <c r="G14" s="44"/>
      <c r="H14" s="44"/>
      <c r="K14" s="52"/>
      <c r="L14" s="71"/>
      <c r="M14" s="72" t="s">
        <v>16</v>
      </c>
      <c r="N14" s="121">
        <f>H29/MIN(H21,H37)</f>
        <v>13.636363636363637</v>
      </c>
      <c r="O14" s="120" t="s">
        <v>17</v>
      </c>
    </row>
    <row r="15" spans="1:18" ht="15" customHeight="1" x14ac:dyDescent="0.25">
      <c r="B15" s="68" t="s">
        <v>160</v>
      </c>
      <c r="C15" s="73"/>
      <c r="D15" s="73"/>
      <c r="E15" s="73"/>
      <c r="F15" s="73"/>
      <c r="G15" s="73"/>
      <c r="H15" s="137">
        <f>IF(J25="yes",I97/MAX(H37,H34),IF(J25="Yes",I97/MAX(H37,H34),0.45*I97/MAX(H37,H34)))</f>
        <v>2660.3751340515828</v>
      </c>
      <c r="I15" s="71" t="s">
        <v>165</v>
      </c>
      <c r="K15" s="52"/>
      <c r="L15" s="52"/>
      <c r="M15" s="72" t="s">
        <v>18</v>
      </c>
      <c r="N15" s="121">
        <f>IF(H44&gt;0,H29/H44,"n/a")</f>
        <v>11.602209944751381</v>
      </c>
      <c r="O15" s="120" t="s">
        <v>17</v>
      </c>
    </row>
    <row r="16" spans="1:18" ht="15" customHeight="1" x14ac:dyDescent="0.25">
      <c r="B16" s="68"/>
      <c r="C16" s="44"/>
      <c r="D16" s="44"/>
      <c r="E16" s="44"/>
      <c r="F16" s="44"/>
      <c r="G16" s="44"/>
      <c r="H16" s="44"/>
      <c r="K16" s="52"/>
      <c r="L16" s="52"/>
      <c r="M16" s="52"/>
    </row>
    <row r="17" spans="2:22" ht="15" customHeight="1" x14ac:dyDescent="0.25">
      <c r="B17" s="145" t="s">
        <v>157</v>
      </c>
      <c r="C17" s="44"/>
      <c r="D17" s="44"/>
      <c r="E17" s="44"/>
      <c r="F17" s="44"/>
      <c r="G17" s="44"/>
      <c r="H17" s="154">
        <f>IF(J25="Yes",MAX(IF(Authority="EA",MAX(H37,H34)-MIN(I97,H37),H34*(1-(RawOMScore))),0),IF(Authority="EA",MAX(H37,H34)-MIN(I97*0.45,H37),H34*(1-(I15))))</f>
        <v>0</v>
      </c>
      <c r="I17" s="71" t="s">
        <v>166</v>
      </c>
      <c r="J17" s="232" t="s">
        <v>186</v>
      </c>
      <c r="K17" s="304"/>
      <c r="L17" s="304"/>
      <c r="M17" s="304"/>
      <c r="N17" s="304"/>
      <c r="O17" s="304"/>
      <c r="Q17" s="230"/>
      <c r="R17" s="299"/>
      <c r="S17" s="299"/>
      <c r="T17" s="299"/>
      <c r="U17" s="299"/>
      <c r="V17" s="299"/>
    </row>
    <row r="18" spans="2:22" ht="15" customHeight="1" x14ac:dyDescent="0.25">
      <c r="B18" s="68"/>
      <c r="C18" s="44"/>
      <c r="D18" s="44"/>
      <c r="E18" s="44"/>
      <c r="F18" s="44"/>
      <c r="G18" s="44"/>
      <c r="H18" s="44"/>
      <c r="I18" s="93"/>
      <c r="J18" s="304"/>
      <c r="K18" s="304"/>
      <c r="L18" s="304"/>
      <c r="M18" s="304"/>
      <c r="N18" s="304"/>
      <c r="O18" s="304"/>
      <c r="Q18" s="299"/>
      <c r="R18" s="299"/>
      <c r="S18" s="299"/>
      <c r="T18" s="299"/>
      <c r="U18" s="299"/>
      <c r="V18" s="299"/>
    </row>
    <row r="19" spans="2:22" ht="15" customHeight="1" x14ac:dyDescent="0.25">
      <c r="B19" s="68" t="s">
        <v>140</v>
      </c>
      <c r="C19" s="74"/>
      <c r="D19" s="74"/>
      <c r="E19" s="74"/>
      <c r="F19" s="74"/>
      <c r="G19" s="74"/>
      <c r="H19" s="137">
        <f>IF(J25="Yes",IF(Authority="EA",I97/MAX(MAX(H37,H34)-H44,1),RawOMScore+H44/H34),IF(Authority="EA",I97*0.45/MAX(MAX(H37,H34)-H44,1),I15+H44/H34))</f>
        <v>2660.9154325590453</v>
      </c>
      <c r="I19" s="71" t="s">
        <v>167</v>
      </c>
      <c r="J19" s="304"/>
      <c r="K19" s="304"/>
      <c r="L19" s="304"/>
      <c r="M19" s="304"/>
      <c r="N19" s="304"/>
      <c r="O19" s="304"/>
      <c r="Q19" s="299"/>
      <c r="R19" s="299"/>
      <c r="S19" s="299"/>
      <c r="T19" s="299"/>
      <c r="U19" s="299"/>
      <c r="V19" s="299"/>
    </row>
    <row r="20" spans="2:22" ht="15" customHeight="1" x14ac:dyDescent="0.2">
      <c r="J20" s="304"/>
      <c r="K20" s="304"/>
      <c r="L20" s="304"/>
      <c r="M20" s="304"/>
      <c r="N20" s="304"/>
      <c r="O20" s="304"/>
      <c r="Q20" s="299"/>
      <c r="R20" s="299"/>
      <c r="S20" s="299"/>
      <c r="T20" s="299"/>
      <c r="U20" s="299"/>
      <c r="V20" s="299"/>
    </row>
    <row r="21" spans="2:22" ht="15" customHeight="1" x14ac:dyDescent="0.25">
      <c r="B21" s="146" t="s">
        <v>162</v>
      </c>
      <c r="C21" s="70"/>
      <c r="D21" s="70"/>
      <c r="E21" s="70"/>
      <c r="F21" s="70"/>
      <c r="G21" s="70"/>
      <c r="H21" s="152">
        <f>IF(ROUNDUP(AdjOMScore,4)&lt;100%,"-",H34-H44)</f>
        <v>308</v>
      </c>
      <c r="I21" s="71" t="s">
        <v>168</v>
      </c>
      <c r="J21" s="304"/>
      <c r="K21" s="304"/>
      <c r="L21" s="304"/>
      <c r="M21" s="304"/>
      <c r="N21" s="304"/>
      <c r="O21" s="304"/>
      <c r="Q21" s="299"/>
      <c r="R21" s="299"/>
      <c r="S21" s="299"/>
      <c r="T21" s="299"/>
      <c r="U21" s="299"/>
      <c r="V21" s="299"/>
    </row>
    <row r="22" spans="2:22" ht="22.5" customHeight="1" x14ac:dyDescent="0.25">
      <c r="B22" s="75"/>
      <c r="C22" s="52"/>
      <c r="D22" s="52"/>
      <c r="E22" s="52"/>
      <c r="G22" s="76"/>
      <c r="H22" s="76"/>
      <c r="I22" s="67"/>
      <c r="J22" s="300"/>
      <c r="K22" s="300"/>
      <c r="L22" s="300"/>
      <c r="M22" s="300"/>
      <c r="N22" s="300"/>
      <c r="O22" s="300"/>
      <c r="Q22" s="299"/>
      <c r="R22" s="299"/>
      <c r="S22" s="299"/>
      <c r="T22" s="299"/>
      <c r="U22" s="299"/>
      <c r="V22" s="299"/>
    </row>
    <row r="23" spans="2:22" ht="6.75" customHeight="1" x14ac:dyDescent="0.2">
      <c r="B23" s="77"/>
      <c r="C23" s="77"/>
      <c r="D23" s="77"/>
      <c r="E23" s="77"/>
      <c r="F23" s="77"/>
      <c r="G23" s="77"/>
      <c r="H23" s="77"/>
      <c r="I23" s="77"/>
      <c r="J23" s="77"/>
      <c r="K23" s="77"/>
      <c r="L23" s="77"/>
      <c r="M23" s="77"/>
      <c r="N23" s="77"/>
      <c r="O23" s="65"/>
      <c r="P23" s="65"/>
      <c r="Q23" s="299"/>
      <c r="R23" s="299"/>
      <c r="S23" s="299"/>
      <c r="T23" s="299"/>
      <c r="U23" s="299"/>
      <c r="V23" s="299"/>
    </row>
    <row r="24" spans="2:22" ht="15" customHeight="1" x14ac:dyDescent="0.25">
      <c r="B24" s="78" t="s">
        <v>97</v>
      </c>
      <c r="C24" s="79"/>
      <c r="D24" s="79"/>
      <c r="E24" s="52"/>
      <c r="F24" s="52"/>
      <c r="G24" s="52"/>
      <c r="H24" s="52"/>
      <c r="M24" s="52"/>
    </row>
    <row r="25" spans="2:22" ht="15.75" x14ac:dyDescent="0.25">
      <c r="B25" s="80" t="s">
        <v>134</v>
      </c>
      <c r="C25" s="79"/>
      <c r="D25" s="81"/>
      <c r="E25" s="52"/>
      <c r="F25" s="52"/>
      <c r="G25" s="52"/>
      <c r="H25" s="127" t="str">
        <f>'PF Calculator'!H25</f>
        <v>LA</v>
      </c>
      <c r="I25" s="71" t="s">
        <v>169</v>
      </c>
      <c r="J25" s="127" t="str">
        <f>'PF Calculator'!J25</f>
        <v>Yes</v>
      </c>
      <c r="K25" s="155" t="s">
        <v>182</v>
      </c>
      <c r="L25" s="139"/>
      <c r="M25" s="139"/>
      <c r="N25" s="139"/>
      <c r="O25" s="139"/>
    </row>
    <row r="26" spans="2:22" ht="15.75" x14ac:dyDescent="0.25">
      <c r="B26" s="79"/>
      <c r="C26" s="79"/>
      <c r="D26" s="81"/>
      <c r="E26" s="52"/>
      <c r="F26" s="52"/>
      <c r="G26" s="52"/>
      <c r="H26" s="69"/>
      <c r="I26" s="52"/>
      <c r="J26" s="305" t="s">
        <v>183</v>
      </c>
      <c r="K26" s="275"/>
      <c r="L26" s="275"/>
      <c r="M26" s="275"/>
      <c r="N26" s="275"/>
      <c r="O26" s="139"/>
      <c r="P26" s="143"/>
    </row>
    <row r="27" spans="2:22" ht="15.75" x14ac:dyDescent="0.25">
      <c r="B27" s="80" t="s">
        <v>129</v>
      </c>
      <c r="C27" s="79"/>
      <c r="D27" s="81"/>
      <c r="E27" s="52"/>
      <c r="F27" s="52"/>
      <c r="G27" s="52"/>
      <c r="H27" s="127">
        <f>'PF Calculator'!H27</f>
        <v>57</v>
      </c>
      <c r="I27" s="71" t="s">
        <v>170</v>
      </c>
      <c r="J27" s="275"/>
      <c r="K27" s="275"/>
      <c r="L27" s="275"/>
      <c r="M27" s="275"/>
      <c r="N27" s="275"/>
      <c r="O27" s="55"/>
    </row>
    <row r="28" spans="2:22" ht="15.75" x14ac:dyDescent="0.25">
      <c r="B28" s="80"/>
      <c r="C28" s="79"/>
      <c r="D28" s="81"/>
      <c r="E28" s="52"/>
      <c r="F28" s="52"/>
      <c r="G28" s="52"/>
      <c r="H28" s="52"/>
      <c r="I28" s="52"/>
      <c r="J28" s="52"/>
      <c r="K28" s="52"/>
      <c r="L28" s="52"/>
      <c r="M28" s="52"/>
      <c r="O28" s="55"/>
    </row>
    <row r="29" spans="2:22" ht="15.75" x14ac:dyDescent="0.25">
      <c r="B29" s="80" t="s">
        <v>9</v>
      </c>
      <c r="C29" s="79"/>
      <c r="D29" s="81"/>
      <c r="E29" s="52"/>
      <c r="F29" s="52"/>
      <c r="G29" s="52"/>
      <c r="H29" s="129">
        <f>'PF Calculator'!H29</f>
        <v>4200</v>
      </c>
      <c r="I29" s="71" t="s">
        <v>171</v>
      </c>
      <c r="J29" s="52"/>
      <c r="K29" s="52"/>
      <c r="L29" s="52"/>
      <c r="M29" s="52"/>
      <c r="O29" s="55"/>
    </row>
    <row r="30" spans="2:22" ht="15.75" x14ac:dyDescent="0.25">
      <c r="B30" s="80"/>
      <c r="C30" s="79"/>
      <c r="D30" s="81"/>
      <c r="E30" s="52"/>
      <c r="F30" s="52"/>
      <c r="G30" s="52"/>
      <c r="H30" s="52"/>
      <c r="I30" s="52"/>
      <c r="J30" s="306" t="s">
        <v>164</v>
      </c>
      <c r="K30" s="307"/>
      <c r="L30" s="307"/>
      <c r="M30" s="307"/>
      <c r="N30" s="308"/>
    </row>
    <row r="31" spans="2:22" ht="15.75" x14ac:dyDescent="0.25">
      <c r="B31" s="82" t="s">
        <v>158</v>
      </c>
      <c r="C31" s="79"/>
      <c r="D31" s="81"/>
      <c r="E31" s="52"/>
      <c r="F31" s="52"/>
      <c r="G31" s="52"/>
      <c r="H31" s="69"/>
      <c r="I31" s="52"/>
      <c r="J31" s="309"/>
      <c r="K31" s="310"/>
      <c r="L31" s="310"/>
      <c r="M31" s="310"/>
      <c r="N31" s="311"/>
      <c r="O31" s="55"/>
    </row>
    <row r="32" spans="2:22" ht="15.75" x14ac:dyDescent="0.25">
      <c r="B32" s="79" t="s">
        <v>122</v>
      </c>
      <c r="C32" s="79"/>
      <c r="D32" s="81"/>
      <c r="E32" s="52"/>
      <c r="F32" s="52"/>
      <c r="G32" s="52"/>
      <c r="H32" s="129">
        <f>'PF Calculator'!H32</f>
        <v>50</v>
      </c>
      <c r="I32" s="71" t="s">
        <v>172</v>
      </c>
      <c r="J32" s="309"/>
      <c r="K32" s="310"/>
      <c r="L32" s="310"/>
      <c r="M32" s="310"/>
      <c r="N32" s="311"/>
    </row>
    <row r="33" spans="2:21" ht="15.75" x14ac:dyDescent="0.25">
      <c r="B33" s="79" t="s">
        <v>130</v>
      </c>
      <c r="C33" s="79"/>
      <c r="D33" s="81"/>
      <c r="E33" s="52"/>
      <c r="F33" s="52"/>
      <c r="G33" s="52"/>
      <c r="H33" s="129">
        <f>'PF Calculator'!H33</f>
        <v>620</v>
      </c>
      <c r="I33" s="71" t="s">
        <v>173</v>
      </c>
      <c r="J33" s="312"/>
      <c r="K33" s="313"/>
      <c r="L33" s="313"/>
      <c r="M33" s="313"/>
      <c r="N33" s="314"/>
    </row>
    <row r="34" spans="2:21" ht="15.75" x14ac:dyDescent="0.25">
      <c r="B34" s="82" t="s">
        <v>161</v>
      </c>
      <c r="C34" s="79"/>
      <c r="D34" s="81"/>
      <c r="E34" s="52"/>
      <c r="F34" s="52"/>
      <c r="G34" s="52"/>
      <c r="H34" s="147">
        <f>SUM(H32:H33)</f>
        <v>670</v>
      </c>
      <c r="I34" s="71" t="s">
        <v>174</v>
      </c>
      <c r="J34" s="52"/>
      <c r="K34" s="52"/>
      <c r="L34" s="52"/>
      <c r="M34" s="52"/>
    </row>
    <row r="35" spans="2:21" ht="15" customHeight="1" x14ac:dyDescent="0.25">
      <c r="B35" s="82"/>
      <c r="C35" s="79"/>
      <c r="D35" s="81"/>
      <c r="E35" s="52"/>
      <c r="F35" s="52"/>
      <c r="G35" s="52"/>
      <c r="H35" s="83"/>
      <c r="I35" s="52"/>
      <c r="J35" s="52"/>
      <c r="K35" s="52"/>
      <c r="L35" s="52"/>
      <c r="M35" s="52"/>
    </row>
    <row r="36" spans="2:21" ht="15.75" x14ac:dyDescent="0.25">
      <c r="B36" s="79" t="s">
        <v>131</v>
      </c>
      <c r="C36" s="79"/>
      <c r="D36" s="81"/>
      <c r="E36" s="52"/>
      <c r="F36" s="52"/>
      <c r="G36" s="52"/>
      <c r="H36" s="129">
        <f>'PF Calculator'!H36</f>
        <v>120</v>
      </c>
      <c r="I36" s="71" t="s">
        <v>175</v>
      </c>
      <c r="J36" s="52"/>
      <c r="K36" s="52"/>
      <c r="L36" s="52"/>
      <c r="M36" s="52"/>
    </row>
    <row r="37" spans="2:21" ht="15.75" x14ac:dyDescent="0.25">
      <c r="B37" s="80" t="s">
        <v>123</v>
      </c>
      <c r="C37" s="79"/>
      <c r="D37" s="81"/>
      <c r="E37" s="52"/>
      <c r="F37" s="52"/>
      <c r="G37" s="52"/>
      <c r="H37" s="51">
        <f>H36+H34</f>
        <v>790</v>
      </c>
      <c r="I37" s="71" t="s">
        <v>176</v>
      </c>
      <c r="J37" s="52"/>
      <c r="K37" s="52"/>
      <c r="L37" s="52"/>
      <c r="M37" s="52"/>
    </row>
    <row r="38" spans="2:21" x14ac:dyDescent="0.2">
      <c r="B38" s="79"/>
      <c r="C38" s="79"/>
      <c r="D38" s="81"/>
      <c r="E38" s="52"/>
      <c r="F38" s="52"/>
      <c r="G38" s="52"/>
      <c r="H38" s="83"/>
      <c r="I38" s="52"/>
      <c r="J38" s="315" t="s">
        <v>187</v>
      </c>
      <c r="K38" s="316"/>
      <c r="L38" s="316"/>
      <c r="M38" s="316"/>
      <c r="N38" s="316"/>
      <c r="O38" s="316"/>
      <c r="P38" s="245"/>
      <c r="Q38" s="245"/>
      <c r="R38" s="245"/>
      <c r="S38" s="245"/>
      <c r="T38" s="245"/>
      <c r="U38" s="245"/>
    </row>
    <row r="39" spans="2:21" ht="15" customHeight="1" x14ac:dyDescent="0.25">
      <c r="B39" s="156" t="s">
        <v>159</v>
      </c>
      <c r="C39" s="79"/>
      <c r="D39" s="81"/>
      <c r="E39" s="52"/>
      <c r="F39" s="52"/>
      <c r="G39" s="52"/>
      <c r="H39" s="83"/>
      <c r="I39" s="52"/>
      <c r="J39" s="316"/>
      <c r="K39" s="316"/>
      <c r="L39" s="316"/>
      <c r="M39" s="316"/>
      <c r="N39" s="316"/>
      <c r="O39" s="316"/>
      <c r="P39" s="245"/>
      <c r="Q39" s="245"/>
      <c r="R39" s="245"/>
      <c r="S39" s="245"/>
      <c r="T39" s="245"/>
      <c r="U39" s="245"/>
    </row>
    <row r="40" spans="2:21" ht="15" customHeight="1" x14ac:dyDescent="0.25">
      <c r="B40" s="79" t="s">
        <v>124</v>
      </c>
      <c r="C40" s="79"/>
      <c r="D40" s="81"/>
      <c r="E40" s="52"/>
      <c r="F40" s="52"/>
      <c r="G40" s="52"/>
      <c r="H40" s="129">
        <f>'PF Calculator'!H40</f>
        <v>80</v>
      </c>
      <c r="I40" s="71" t="s">
        <v>177</v>
      </c>
      <c r="J40" s="316" t="str">
        <f>IF(H25="EA","This scheme is to be maintained by the EA (ref cell 5). Any contributions needed (ref cell 2) are to help fund both the ongoing and up-front costs (Cost for Approval) to avoid the scheme drawing excess FDGiA, and should be entered into cells(14-17).","This scheme is to be maintained by an RMA other than the EA (ref cell 5). Capital FDGiA will fund the appropriate share of the up-front costs (Costs for Approval) with any shortfall needing to be paid via contributions idenitfied  in cells(14-17)."&amp;" Ongoing costs are a matter for local agreement by the RMA and should not be included in cells(14-17)."&amp;" It is recommended that the RMA takes the opportunities created during scheme development to secure funding of the future ongoing costs which can be presented in the Grant application business case.")</f>
        <v>This scheme is to be maintained by an RMA other than the EA (ref cell 5). Capital FDGiA will fund the appropriate share of the up-front costs (Costs for Approval) with any shortfall needing to be paid via contributions idenitfied  in cells(14-17). Ongoing costs are a matter for local agreement by the RMA and should not be included in cells(14-17). It is recommended that the RMA takes the opportunities created during scheme development to secure funding of the future ongoing costs which can be presented in the Grant application business case.</v>
      </c>
      <c r="K40" s="316"/>
      <c r="L40" s="316"/>
      <c r="M40" s="316"/>
      <c r="N40" s="316"/>
      <c r="O40" s="316"/>
      <c r="P40" s="245"/>
      <c r="Q40" s="245"/>
      <c r="R40" s="245"/>
      <c r="S40" s="245"/>
      <c r="T40" s="245"/>
      <c r="U40" s="245"/>
    </row>
    <row r="41" spans="2:21" ht="15" customHeight="1" x14ac:dyDescent="0.25">
      <c r="B41" s="79" t="s">
        <v>125</v>
      </c>
      <c r="C41" s="79"/>
      <c r="D41" s="81"/>
      <c r="E41" s="52"/>
      <c r="F41" s="52"/>
      <c r="G41" s="52"/>
      <c r="H41" s="129">
        <f>'PF Calculator'!H41</f>
        <v>100</v>
      </c>
      <c r="I41" s="71" t="s">
        <v>178</v>
      </c>
      <c r="J41" s="316"/>
      <c r="K41" s="316"/>
      <c r="L41" s="316"/>
      <c r="M41" s="316"/>
      <c r="N41" s="316"/>
      <c r="O41" s="316"/>
      <c r="P41" s="245"/>
      <c r="Q41" s="245"/>
      <c r="R41" s="245"/>
      <c r="S41" s="245"/>
      <c r="T41" s="245"/>
      <c r="U41" s="245"/>
    </row>
    <row r="42" spans="2:21" ht="15" customHeight="1" x14ac:dyDescent="0.25">
      <c r="B42" s="79" t="s">
        <v>126</v>
      </c>
      <c r="C42" s="79"/>
      <c r="D42" s="81"/>
      <c r="E42" s="52"/>
      <c r="F42" s="52"/>
      <c r="G42" s="52"/>
      <c r="H42" s="129">
        <f>'PF Calculator'!H42</f>
        <v>182</v>
      </c>
      <c r="I42" s="71" t="s">
        <v>179</v>
      </c>
      <c r="J42" s="316"/>
      <c r="K42" s="316"/>
      <c r="L42" s="316"/>
      <c r="M42" s="316"/>
      <c r="N42" s="316"/>
      <c r="O42" s="316"/>
      <c r="P42" s="245"/>
      <c r="Q42" s="245"/>
      <c r="R42" s="245"/>
      <c r="S42" s="245"/>
      <c r="T42" s="245"/>
      <c r="U42" s="245"/>
    </row>
    <row r="43" spans="2:21" ht="15" customHeight="1" x14ac:dyDescent="0.25">
      <c r="B43" s="79" t="s">
        <v>127</v>
      </c>
      <c r="C43" s="79"/>
      <c r="D43" s="81"/>
      <c r="E43" s="52"/>
      <c r="F43" s="52"/>
      <c r="G43" s="52"/>
      <c r="H43" s="129">
        <f>'PF Calculator'!H43</f>
        <v>0</v>
      </c>
      <c r="I43" s="71" t="s">
        <v>180</v>
      </c>
      <c r="J43" s="316"/>
      <c r="K43" s="316"/>
      <c r="L43" s="316"/>
      <c r="M43" s="316"/>
      <c r="N43" s="316"/>
      <c r="O43" s="316"/>
      <c r="P43" s="245"/>
      <c r="Q43" s="245"/>
      <c r="R43" s="245"/>
      <c r="S43" s="245"/>
      <c r="T43" s="245"/>
      <c r="U43" s="245"/>
    </row>
    <row r="44" spans="2:21" ht="15.75" x14ac:dyDescent="0.25">
      <c r="B44" s="82" t="s">
        <v>128</v>
      </c>
      <c r="C44" s="79"/>
      <c r="D44" s="81"/>
      <c r="E44" s="52"/>
      <c r="F44" s="52"/>
      <c r="G44" s="52"/>
      <c r="H44" s="50">
        <f>SUM(H40:H43)</f>
        <v>362</v>
      </c>
      <c r="I44" s="71" t="s">
        <v>181</v>
      </c>
      <c r="J44" s="316"/>
      <c r="K44" s="316"/>
      <c r="L44" s="316"/>
      <c r="M44" s="316"/>
      <c r="N44" s="316"/>
      <c r="O44" s="316"/>
    </row>
    <row r="45" spans="2:21" ht="15.75" x14ac:dyDescent="0.25">
      <c r="B45" s="144" t="str">
        <f>IF(H44&lt;H17,"WARNING: Contributions less than minimum required in cell (2)"," ")</f>
        <v xml:space="preserve"> </v>
      </c>
      <c r="C45" s="79"/>
      <c r="D45" s="52"/>
      <c r="E45" s="52"/>
      <c r="F45" s="52"/>
      <c r="G45" s="52"/>
      <c r="H45" s="52"/>
      <c r="I45" s="71"/>
      <c r="J45" s="316"/>
      <c r="K45" s="316"/>
      <c r="L45" s="316"/>
      <c r="M45" s="316"/>
      <c r="N45" s="316"/>
      <c r="O45" s="316"/>
    </row>
    <row r="46" spans="2:21" ht="15.75" x14ac:dyDescent="0.25">
      <c r="B46" s="82"/>
      <c r="C46" s="79"/>
      <c r="D46" s="81"/>
      <c r="E46" s="52"/>
      <c r="F46" s="52"/>
      <c r="G46" s="52"/>
      <c r="H46" s="52"/>
      <c r="I46" s="71"/>
      <c r="J46" s="316"/>
      <c r="K46" s="316"/>
      <c r="L46" s="316"/>
      <c r="M46" s="316"/>
      <c r="N46" s="316"/>
      <c r="O46" s="316"/>
    </row>
    <row r="47" spans="2:21" ht="7.5" customHeight="1" x14ac:dyDescent="0.2">
      <c r="B47" s="52"/>
      <c r="C47" s="52"/>
      <c r="D47" s="52"/>
      <c r="E47" s="43"/>
      <c r="F47" s="43"/>
      <c r="G47" s="43"/>
      <c r="H47" s="43"/>
      <c r="I47" s="43"/>
      <c r="J47" s="43"/>
    </row>
    <row r="48" spans="2:21" ht="7.5" customHeight="1" x14ac:dyDescent="0.2">
      <c r="B48" s="77"/>
      <c r="C48" s="77"/>
      <c r="D48" s="77"/>
      <c r="E48" s="77"/>
      <c r="F48" s="77"/>
      <c r="G48" s="77"/>
      <c r="H48" s="77"/>
      <c r="I48" s="77"/>
      <c r="J48" s="77"/>
      <c r="K48" s="84"/>
      <c r="L48" s="84"/>
      <c r="M48" s="84"/>
      <c r="N48" s="77"/>
      <c r="O48" s="77"/>
    </row>
    <row r="49" spans="2:19" ht="15.75" x14ac:dyDescent="0.25">
      <c r="B49" s="78" t="s">
        <v>98</v>
      </c>
      <c r="C49" s="52"/>
      <c r="D49" s="52"/>
      <c r="E49" s="52"/>
      <c r="F49" s="52"/>
      <c r="G49" s="52"/>
      <c r="H49" s="52"/>
      <c r="I49" s="52"/>
      <c r="J49" s="52"/>
      <c r="K49" s="52"/>
      <c r="L49" s="52"/>
      <c r="M49" s="52"/>
    </row>
    <row r="50" spans="2:19" x14ac:dyDescent="0.2">
      <c r="B50" s="85" t="s">
        <v>30</v>
      </c>
      <c r="C50" s="52"/>
      <c r="D50" s="52"/>
      <c r="F50" s="86" t="s">
        <v>19</v>
      </c>
      <c r="G50" s="52"/>
      <c r="H50" s="52"/>
      <c r="J50" s="86" t="s">
        <v>29</v>
      </c>
      <c r="K50" s="52"/>
      <c r="L50" s="52"/>
      <c r="M50" s="258" t="s">
        <v>54</v>
      </c>
      <c r="N50" s="258"/>
      <c r="O50" s="258"/>
    </row>
    <row r="51" spans="2:19" x14ac:dyDescent="0.2">
      <c r="B51" s="87" t="s">
        <v>21</v>
      </c>
      <c r="C51" s="52"/>
      <c r="D51" s="52"/>
      <c r="E51" s="130">
        <f>'PF Calculator'!E51</f>
        <v>0</v>
      </c>
      <c r="F51" s="130">
        <f>'PF Calculator'!F51+'PF Calculator'!G51*0.5</f>
        <v>0</v>
      </c>
      <c r="G51" s="130">
        <f>'PF Calculator'!G51*0.5</f>
        <v>0</v>
      </c>
      <c r="H51" s="52"/>
      <c r="I51" s="130">
        <f>'PF Calculator'!I51</f>
        <v>0</v>
      </c>
      <c r="J51" s="130">
        <f>'PF Calculator'!J51</f>
        <v>0</v>
      </c>
      <c r="K51" s="130">
        <f>'PF Calculator'!K51</f>
        <v>0</v>
      </c>
      <c r="L51" s="52"/>
      <c r="M51" s="122">
        <f t="shared" ref="M51:O53" si="0">I51-E51</f>
        <v>0</v>
      </c>
      <c r="N51" s="122">
        <f t="shared" si="0"/>
        <v>0</v>
      </c>
      <c r="O51" s="122">
        <f t="shared" si="0"/>
        <v>0</v>
      </c>
    </row>
    <row r="52" spans="2:19" x14ac:dyDescent="0.2">
      <c r="B52" s="87" t="s">
        <v>20</v>
      </c>
      <c r="C52" s="52"/>
      <c r="D52" s="52"/>
      <c r="E52" s="130">
        <f>'PF Calculator'!E52</f>
        <v>0</v>
      </c>
      <c r="F52" s="130">
        <f>'PF Calculator'!F52+'PF Calculator'!G52*0.5</f>
        <v>0</v>
      </c>
      <c r="G52" s="130">
        <f>'PF Calculator'!G52*0.5</f>
        <v>0</v>
      </c>
      <c r="H52" s="52"/>
      <c r="I52" s="130">
        <f>'PF Calculator'!I52</f>
        <v>0</v>
      </c>
      <c r="J52" s="130">
        <f>'PF Calculator'!J52</f>
        <v>0</v>
      </c>
      <c r="K52" s="130">
        <f>'PF Calculator'!K52</f>
        <v>0</v>
      </c>
      <c r="L52" s="52"/>
      <c r="M52" s="122">
        <f t="shared" si="0"/>
        <v>0</v>
      </c>
      <c r="N52" s="122">
        <f t="shared" si="0"/>
        <v>0</v>
      </c>
      <c r="O52" s="122">
        <f t="shared" si="0"/>
        <v>0</v>
      </c>
    </row>
    <row r="53" spans="2:19" x14ac:dyDescent="0.2">
      <c r="B53" s="87" t="s">
        <v>22</v>
      </c>
      <c r="C53" s="52"/>
      <c r="D53" s="52"/>
      <c r="E53" s="130">
        <f>'PF Calculator'!E53</f>
        <v>26</v>
      </c>
      <c r="F53" s="130">
        <f>'PF Calculator'!F53+'PF Calculator'!G53*0.5</f>
        <v>47.5</v>
      </c>
      <c r="G53" s="130">
        <f>'PF Calculator'!G53*0.5</f>
        <v>5.5</v>
      </c>
      <c r="H53" s="52"/>
      <c r="I53" s="130">
        <f>'PF Calculator'!I53</f>
        <v>13</v>
      </c>
      <c r="J53" s="130">
        <f>'PF Calculator'!J53</f>
        <v>0</v>
      </c>
      <c r="K53" s="130">
        <f>'PF Calculator'!K53</f>
        <v>0</v>
      </c>
      <c r="L53" s="52"/>
      <c r="M53" s="122">
        <f t="shared" si="0"/>
        <v>-13</v>
      </c>
      <c r="N53" s="122">
        <f t="shared" si="0"/>
        <v>-47.5</v>
      </c>
      <c r="O53" s="122">
        <f t="shared" si="0"/>
        <v>-5.5</v>
      </c>
      <c r="Q53" s="88"/>
      <c r="R53" s="88"/>
      <c r="S53" s="88"/>
    </row>
    <row r="54" spans="2:19" x14ac:dyDescent="0.2">
      <c r="B54" s="52"/>
      <c r="C54" s="52"/>
      <c r="D54" s="72" t="s">
        <v>31</v>
      </c>
      <c r="E54" s="88" t="s">
        <v>28</v>
      </c>
      <c r="F54" s="88" t="s">
        <v>27</v>
      </c>
      <c r="G54" s="88" t="s">
        <v>23</v>
      </c>
      <c r="H54" s="52"/>
      <c r="I54" s="88" t="s">
        <v>28</v>
      </c>
      <c r="J54" s="88" t="s">
        <v>27</v>
      </c>
      <c r="K54" s="88" t="s">
        <v>23</v>
      </c>
      <c r="L54" s="52"/>
      <c r="M54" s="88" t="s">
        <v>28</v>
      </c>
      <c r="N54" s="88" t="s">
        <v>27</v>
      </c>
      <c r="O54" s="88" t="s">
        <v>23</v>
      </c>
      <c r="Q54" s="88"/>
      <c r="R54" s="88"/>
      <c r="S54" s="88"/>
    </row>
    <row r="55" spans="2:19" x14ac:dyDescent="0.2">
      <c r="B55" s="52"/>
      <c r="C55" s="52"/>
      <c r="D55" s="52"/>
      <c r="E55" s="88" t="s">
        <v>25</v>
      </c>
      <c r="F55" s="88" t="s">
        <v>25</v>
      </c>
      <c r="G55" s="88" t="s">
        <v>24</v>
      </c>
      <c r="H55" s="52"/>
      <c r="I55" s="88" t="s">
        <v>25</v>
      </c>
      <c r="J55" s="88" t="s">
        <v>25</v>
      </c>
      <c r="K55" s="88" t="s">
        <v>24</v>
      </c>
      <c r="L55" s="52"/>
      <c r="M55" s="88" t="s">
        <v>25</v>
      </c>
      <c r="N55" s="88" t="s">
        <v>25</v>
      </c>
      <c r="O55" s="88" t="s">
        <v>24</v>
      </c>
    </row>
    <row r="56" spans="2:19" x14ac:dyDescent="0.2">
      <c r="B56" s="52"/>
      <c r="C56" s="52"/>
      <c r="D56" s="52"/>
      <c r="E56" s="88"/>
      <c r="F56" s="88"/>
      <c r="G56" s="88" t="s">
        <v>25</v>
      </c>
      <c r="H56" s="52"/>
      <c r="I56" s="88"/>
      <c r="J56" s="88"/>
      <c r="K56" s="88" t="s">
        <v>25</v>
      </c>
      <c r="L56" s="52"/>
      <c r="M56" s="88"/>
      <c r="N56" s="88"/>
      <c r="O56" s="88" t="s">
        <v>25</v>
      </c>
    </row>
    <row r="57" spans="2:19" x14ac:dyDescent="0.2">
      <c r="B57" s="52"/>
      <c r="C57" s="52"/>
      <c r="D57" s="52"/>
      <c r="E57" s="88"/>
      <c r="F57" s="88"/>
      <c r="G57" s="88"/>
      <c r="H57" s="52"/>
      <c r="I57" s="88"/>
      <c r="J57" s="88"/>
      <c r="K57" s="52"/>
      <c r="L57" s="69" t="s">
        <v>103</v>
      </c>
      <c r="M57" s="123">
        <f>'Discount Rates &amp; Assumptions'!M28*AvFloodDamages/200</f>
        <v>0.15</v>
      </c>
      <c r="N57" s="123">
        <f>'Discount Rates &amp; Assumptions'!M27*AvFloodDamages/200</f>
        <v>0.6</v>
      </c>
      <c r="O57" s="123">
        <f>'Discount Rates &amp; Assumptions'!M26*AvFloodDamages/200</f>
        <v>1.3500000000000003</v>
      </c>
      <c r="P57" s="89"/>
      <c r="Q57" s="89"/>
      <c r="R57" s="89"/>
    </row>
    <row r="58" spans="2:19" x14ac:dyDescent="0.2">
      <c r="B58" s="52"/>
      <c r="C58" s="52"/>
      <c r="D58" s="52"/>
      <c r="E58" s="52"/>
      <c r="F58" s="52"/>
      <c r="G58" s="52"/>
      <c r="H58" s="52"/>
      <c r="I58" s="52"/>
      <c r="J58" s="52"/>
      <c r="K58" s="52"/>
      <c r="L58" s="52"/>
      <c r="M58" s="52"/>
    </row>
    <row r="59" spans="2:19" ht="15.75" x14ac:dyDescent="0.25">
      <c r="B59" s="52" t="s">
        <v>57</v>
      </c>
      <c r="C59" s="52"/>
      <c r="D59" s="52"/>
      <c r="E59" s="52"/>
      <c r="F59" s="52"/>
      <c r="G59" s="52" t="s">
        <v>56</v>
      </c>
      <c r="H59" s="52"/>
      <c r="K59" s="69" t="s">
        <v>63</v>
      </c>
      <c r="O59" s="90" t="s">
        <v>79</v>
      </c>
    </row>
    <row r="60" spans="2:19" ht="15.75" x14ac:dyDescent="0.25">
      <c r="B60" s="87" t="str">
        <f>B51</f>
        <v>20% most deprived areas</v>
      </c>
      <c r="C60" s="52"/>
      <c r="D60" s="52"/>
      <c r="F60" s="296">
        <f>SUMPRODUCT($M51:$O51,$M$57:$O$57)</f>
        <v>0</v>
      </c>
      <c r="G60" s="296"/>
      <c r="H60" s="52"/>
      <c r="J60" s="297">
        <f>F60*Duration</f>
        <v>0</v>
      </c>
      <c r="K60" s="297"/>
      <c r="M60" s="90" t="s">
        <v>74</v>
      </c>
      <c r="N60" s="297">
        <f>-F60*VLOOKUP(Duration,'Discount Rates &amp; Assumptions'!$A$6:$D$105,4,FALSE)</f>
        <v>0</v>
      </c>
      <c r="O60" s="297"/>
    </row>
    <row r="61" spans="2:19" ht="15.75" x14ac:dyDescent="0.25">
      <c r="B61" s="87" t="str">
        <f>B52</f>
        <v>21-40% most deprived areas</v>
      </c>
      <c r="C61" s="52"/>
      <c r="D61" s="52"/>
      <c r="F61" s="296">
        <f>SUMPRODUCT($M52:$O52,$M$57:$O$57)</f>
        <v>0</v>
      </c>
      <c r="G61" s="296"/>
      <c r="H61" s="52"/>
      <c r="J61" s="297">
        <f>F61*Duration</f>
        <v>0</v>
      </c>
      <c r="K61" s="297"/>
      <c r="M61" s="90" t="s">
        <v>75</v>
      </c>
      <c r="N61" s="297">
        <f>-F61*VLOOKUP(Duration,'Discount Rates &amp; Assumptions'!$A$6:$D$105,4,FALSE)</f>
        <v>0</v>
      </c>
      <c r="O61" s="297"/>
    </row>
    <row r="62" spans="2:19" ht="15.75" x14ac:dyDescent="0.25">
      <c r="B62" s="87" t="str">
        <f>B53</f>
        <v>60% least deprived areas</v>
      </c>
      <c r="C62" s="52"/>
      <c r="D62" s="52"/>
      <c r="F62" s="296">
        <f>SUMPRODUCT($M53:$O53,$M$57:$O$57)</f>
        <v>-37.875</v>
      </c>
      <c r="G62" s="296"/>
      <c r="H62" s="52"/>
      <c r="J62" s="297">
        <f>F62*Duration</f>
        <v>-2158.875</v>
      </c>
      <c r="K62" s="297"/>
      <c r="M62" s="90" t="s">
        <v>90</v>
      </c>
      <c r="N62" s="297">
        <f>-F62*VLOOKUP(Duration,'Discount Rates &amp; Assumptions'!$A$6:$D$105,4,FALSE)</f>
        <v>981.77950375166904</v>
      </c>
      <c r="O62" s="297"/>
    </row>
    <row r="63" spans="2:19" ht="7.5" customHeight="1" x14ac:dyDescent="0.25">
      <c r="B63" s="87"/>
      <c r="C63" s="52"/>
      <c r="D63" s="52"/>
      <c r="F63" s="91"/>
      <c r="G63" s="91"/>
      <c r="H63" s="52"/>
      <c r="J63" s="92"/>
      <c r="K63" s="92"/>
      <c r="M63" s="90"/>
    </row>
    <row r="64" spans="2:19" ht="7.5" customHeight="1" x14ac:dyDescent="0.2">
      <c r="B64" s="84"/>
      <c r="C64" s="84"/>
      <c r="D64" s="84"/>
      <c r="E64" s="84"/>
      <c r="F64" s="84"/>
      <c r="G64" s="84"/>
      <c r="H64" s="77"/>
      <c r="I64" s="77"/>
      <c r="J64" s="77"/>
      <c r="K64" s="77"/>
      <c r="L64" s="77"/>
      <c r="M64" s="84"/>
      <c r="N64" s="77"/>
      <c r="O64" s="77"/>
    </row>
    <row r="65" spans="2:16" ht="15.75" x14ac:dyDescent="0.25">
      <c r="B65" s="78" t="s">
        <v>99</v>
      </c>
      <c r="H65" s="52"/>
      <c r="I65" s="52"/>
      <c r="J65" s="52"/>
      <c r="K65" s="52"/>
      <c r="L65" s="52"/>
    </row>
    <row r="66" spans="2:16" x14ac:dyDescent="0.2">
      <c r="B66" s="85" t="s">
        <v>30</v>
      </c>
      <c r="C66" s="52"/>
      <c r="D66" s="52"/>
      <c r="E66" s="86"/>
      <c r="F66" s="257" t="s">
        <v>19</v>
      </c>
      <c r="G66" s="257"/>
      <c r="H66" s="52"/>
      <c r="I66" s="93" t="s">
        <v>66</v>
      </c>
    </row>
    <row r="67" spans="2:16" x14ac:dyDescent="0.2">
      <c r="B67" s="87" t="s">
        <v>21</v>
      </c>
      <c r="C67" s="52"/>
      <c r="D67" s="52"/>
      <c r="E67" s="52"/>
      <c r="F67" s="130">
        <f>'PF Calculator'!F67</f>
        <v>0</v>
      </c>
      <c r="G67" s="130">
        <f>'PF Calculator'!G67</f>
        <v>0</v>
      </c>
      <c r="H67" s="52"/>
      <c r="I67" s="87" t="s">
        <v>55</v>
      </c>
      <c r="J67" s="87"/>
      <c r="K67" s="94"/>
      <c r="L67" s="87"/>
      <c r="M67" s="124">
        <f>AvCEDamages/1000</f>
        <v>6</v>
      </c>
      <c r="N67" s="124">
        <f>AvCEDamages/1000</f>
        <v>6</v>
      </c>
    </row>
    <row r="68" spans="2:16" x14ac:dyDescent="0.2">
      <c r="B68" s="87" t="s">
        <v>20</v>
      </c>
      <c r="C68" s="52"/>
      <c r="D68" s="52"/>
      <c r="E68" s="52"/>
      <c r="F68" s="130">
        <f>'PF Calculator'!F68</f>
        <v>0</v>
      </c>
      <c r="G68" s="130">
        <f>'PF Calculator'!G68</f>
        <v>0</v>
      </c>
      <c r="H68" s="52"/>
      <c r="I68" s="95" t="s">
        <v>67</v>
      </c>
      <c r="M68" s="125">
        <v>50</v>
      </c>
      <c r="N68" s="125">
        <v>20</v>
      </c>
      <c r="O68" s="87" t="s">
        <v>8</v>
      </c>
    </row>
    <row r="69" spans="2:16" ht="15" customHeight="1" x14ac:dyDescent="0.2">
      <c r="B69" s="87" t="s">
        <v>22</v>
      </c>
      <c r="C69" s="52"/>
      <c r="D69" s="52"/>
      <c r="E69" s="52"/>
      <c r="F69" s="130">
        <f>'PF Calculator'!F69</f>
        <v>0</v>
      </c>
      <c r="G69" s="130">
        <f>'PF Calculator'!G69</f>
        <v>0</v>
      </c>
      <c r="H69" s="52"/>
      <c r="I69" s="270" t="s">
        <v>95</v>
      </c>
      <c r="J69" s="270"/>
      <c r="K69" s="270"/>
      <c r="L69" s="270"/>
      <c r="M69" s="124">
        <f>M67*VLOOKUP('Discount Rates &amp; Assumptions'!K39,'Discount Rates &amp; Assumptions'!$A$6:$D$105,3,FALSE)</f>
        <v>1.1835763061432307</v>
      </c>
      <c r="N69" s="124">
        <f>N67*VLOOKUP('Discount Rates &amp; Assumptions'!K38,'Discount Rates &amp; Assumptions'!$A$6:$D$105,3,FALSE)</f>
        <v>3.0153953065900234</v>
      </c>
    </row>
    <row r="70" spans="2:16" ht="28.5" x14ac:dyDescent="0.2">
      <c r="B70" s="52"/>
      <c r="C70" s="52"/>
      <c r="D70" s="96"/>
      <c r="E70" s="52"/>
      <c r="F70" s="97" t="s">
        <v>65</v>
      </c>
      <c r="G70" s="97" t="s">
        <v>64</v>
      </c>
      <c r="H70" s="52"/>
      <c r="I70" s="270"/>
      <c r="J70" s="270"/>
      <c r="K70" s="270"/>
      <c r="L70" s="270"/>
      <c r="M70" s="98" t="s">
        <v>65</v>
      </c>
      <c r="N70" s="98" t="s">
        <v>64</v>
      </c>
    </row>
    <row r="71" spans="2:16" x14ac:dyDescent="0.2">
      <c r="B71" s="99"/>
      <c r="C71" s="99"/>
      <c r="D71" s="99"/>
      <c r="E71" s="99"/>
      <c r="F71" s="88"/>
      <c r="G71" s="52"/>
      <c r="H71" s="52"/>
      <c r="I71" s="52"/>
      <c r="J71" s="52"/>
      <c r="K71" s="52"/>
      <c r="L71" s="52"/>
      <c r="M71" s="52"/>
    </row>
    <row r="72" spans="2:16" ht="15.75" x14ac:dyDescent="0.25">
      <c r="B72" s="52" t="s">
        <v>57</v>
      </c>
      <c r="C72" s="52"/>
      <c r="D72" s="52"/>
      <c r="E72" s="52"/>
      <c r="F72" s="52"/>
      <c r="G72" s="69" t="s">
        <v>96</v>
      </c>
      <c r="H72" s="52"/>
      <c r="K72" s="69" t="s">
        <v>73</v>
      </c>
      <c r="O72" s="90" t="s">
        <v>78</v>
      </c>
    </row>
    <row r="73" spans="2:16" ht="15.75" x14ac:dyDescent="0.25">
      <c r="B73" s="87" t="str">
        <f>B67</f>
        <v>20% most deprived areas</v>
      </c>
      <c r="C73" s="52"/>
      <c r="D73" s="52"/>
      <c r="F73" s="296">
        <f>-SUMPRODUCT($M$69:$N$69,F67:G67)</f>
        <v>0</v>
      </c>
      <c r="G73" s="296"/>
      <c r="H73" s="52"/>
      <c r="J73" s="297">
        <f>F73*Duration</f>
        <v>0</v>
      </c>
      <c r="K73" s="297"/>
      <c r="M73" s="90" t="s">
        <v>76</v>
      </c>
      <c r="N73" s="298">
        <f>-F73*VLOOKUP(Duration,'Discount Rates &amp; Assumptions'!$A$6:$D$105,4,FALSE)</f>
        <v>0</v>
      </c>
      <c r="O73" s="298"/>
    </row>
    <row r="74" spans="2:16" ht="15.75" x14ac:dyDescent="0.25">
      <c r="B74" s="87" t="str">
        <f>B68</f>
        <v>21-40% most deprived areas</v>
      </c>
      <c r="C74" s="52"/>
      <c r="D74" s="52"/>
      <c r="F74" s="296">
        <f>-SUMPRODUCT($M$69:$N$69,F68:G68)</f>
        <v>0</v>
      </c>
      <c r="G74" s="296"/>
      <c r="H74" s="52"/>
      <c r="J74" s="297">
        <f>F74*Duration</f>
        <v>0</v>
      </c>
      <c r="K74" s="297"/>
      <c r="M74" s="90" t="s">
        <v>77</v>
      </c>
      <c r="N74" s="298">
        <f>-F74*VLOOKUP(Duration,'Discount Rates &amp; Assumptions'!$A$6:$D$105,4,FALSE)</f>
        <v>0</v>
      </c>
      <c r="O74" s="298"/>
    </row>
    <row r="75" spans="2:16" ht="15.75" x14ac:dyDescent="0.25">
      <c r="B75" s="87" t="str">
        <f>B69</f>
        <v>60% least deprived areas</v>
      </c>
      <c r="C75" s="52"/>
      <c r="D75" s="52"/>
      <c r="F75" s="296">
        <f>-SUMPRODUCT($M$69:$N$69,F69:G69)</f>
        <v>0</v>
      </c>
      <c r="G75" s="296"/>
      <c r="H75" s="52"/>
      <c r="J75" s="297">
        <f>F75*Duration</f>
        <v>0</v>
      </c>
      <c r="K75" s="297"/>
      <c r="M75" s="90" t="s">
        <v>91</v>
      </c>
      <c r="N75" s="298">
        <f>-F75*VLOOKUP(Duration,'Discount Rates &amp; Assumptions'!$A$6:$D$105,4,FALSE)</f>
        <v>0</v>
      </c>
      <c r="O75" s="298"/>
    </row>
    <row r="76" spans="2:16" ht="7.5" customHeight="1" x14ac:dyDescent="0.2">
      <c r="H76" s="52"/>
      <c r="I76" s="52"/>
      <c r="J76" s="52"/>
      <c r="K76" s="52"/>
      <c r="L76" s="52"/>
    </row>
    <row r="77" spans="2:16" ht="7.5" customHeight="1" x14ac:dyDescent="0.2">
      <c r="B77" s="84"/>
      <c r="C77" s="84"/>
      <c r="D77" s="84"/>
      <c r="E77" s="84"/>
      <c r="F77" s="84"/>
      <c r="G77" s="84"/>
      <c r="H77" s="77"/>
      <c r="I77" s="77"/>
      <c r="J77" s="77"/>
      <c r="K77" s="77"/>
      <c r="L77" s="77"/>
      <c r="M77" s="84"/>
      <c r="N77" s="77"/>
      <c r="O77" s="77"/>
    </row>
    <row r="78" spans="2:16" ht="15.75" x14ac:dyDescent="0.25">
      <c r="B78" s="78" t="s">
        <v>100</v>
      </c>
      <c r="H78" s="52"/>
      <c r="I78" s="52"/>
      <c r="J78" s="52"/>
      <c r="K78" s="52"/>
      <c r="L78" s="52"/>
    </row>
    <row r="79" spans="2:16" ht="15.75" x14ac:dyDescent="0.25">
      <c r="B79" s="52" t="s">
        <v>70</v>
      </c>
      <c r="C79" s="52"/>
      <c r="D79" s="52"/>
      <c r="E79" s="100"/>
      <c r="F79" s="261"/>
      <c r="G79" s="261"/>
      <c r="H79" s="65"/>
      <c r="I79" s="93"/>
      <c r="K79" s="101" t="s">
        <v>89</v>
      </c>
      <c r="L79" s="93"/>
      <c r="M79" s="93"/>
      <c r="N79" s="93"/>
      <c r="O79" s="90" t="s">
        <v>78</v>
      </c>
      <c r="P79" s="93"/>
    </row>
    <row r="80" spans="2:16" x14ac:dyDescent="0.2">
      <c r="B80" s="93" t="s">
        <v>68</v>
      </c>
      <c r="C80" s="170">
        <f>'PF Calculator'!C80</f>
        <v>100</v>
      </c>
      <c r="D80" s="85" t="s">
        <v>12</v>
      </c>
      <c r="E80" s="65"/>
      <c r="F80" s="65"/>
      <c r="G80" s="65"/>
      <c r="H80" s="65"/>
      <c r="I80" s="52"/>
      <c r="J80" s="291">
        <f>'Discount Rates &amp; Assumptions'!K14/1000</f>
        <v>15</v>
      </c>
      <c r="K80" s="291"/>
      <c r="L80" s="93"/>
      <c r="M80" s="101" t="s">
        <v>68</v>
      </c>
      <c r="N80" s="292">
        <f>J80*C80</f>
        <v>1500</v>
      </c>
      <c r="O80" s="292"/>
      <c r="P80" s="93"/>
    </row>
    <row r="81" spans="1:16" x14ac:dyDescent="0.2">
      <c r="B81" s="93" t="s">
        <v>4</v>
      </c>
      <c r="C81" s="170">
        <f>'PF Calculator'!C81</f>
        <v>10000</v>
      </c>
      <c r="D81" s="85" t="s">
        <v>11</v>
      </c>
      <c r="E81" s="65"/>
      <c r="F81" s="65"/>
      <c r="G81" s="65"/>
      <c r="H81" s="65"/>
      <c r="I81" s="52"/>
      <c r="J81" s="291">
        <f>'Discount Rates &amp; Assumptions'!K15/1000</f>
        <v>50</v>
      </c>
      <c r="K81" s="291"/>
      <c r="L81" s="93"/>
      <c r="M81" s="101" t="s">
        <v>4</v>
      </c>
      <c r="N81" s="292">
        <f>J81*C81</f>
        <v>500000</v>
      </c>
      <c r="O81" s="292"/>
      <c r="P81" s="93"/>
    </row>
    <row r="82" spans="1:16" x14ac:dyDescent="0.2">
      <c r="B82" s="93" t="s">
        <v>69</v>
      </c>
      <c r="C82" s="170">
        <f>'PF Calculator'!C82</f>
        <v>20000</v>
      </c>
      <c r="D82" s="85" t="s">
        <v>10</v>
      </c>
      <c r="E82" s="52"/>
      <c r="F82" s="52"/>
      <c r="G82" s="52"/>
      <c r="H82" s="52"/>
      <c r="I82" s="52"/>
      <c r="J82" s="291">
        <f>'Discount Rates &amp; Assumptions'!K16/1000</f>
        <v>80</v>
      </c>
      <c r="K82" s="291"/>
      <c r="L82" s="93"/>
      <c r="M82" s="101" t="s">
        <v>69</v>
      </c>
      <c r="N82" s="292">
        <f>J82*C82</f>
        <v>1600000</v>
      </c>
      <c r="O82" s="292"/>
      <c r="P82" s="93"/>
    </row>
    <row r="83" spans="1:16" ht="15.75" x14ac:dyDescent="0.25">
      <c r="B83" s="52"/>
      <c r="C83" s="52"/>
      <c r="D83" s="85"/>
      <c r="E83" s="52"/>
      <c r="F83" s="52"/>
      <c r="G83" s="52"/>
      <c r="H83" s="52"/>
      <c r="I83" s="52"/>
      <c r="J83" s="52"/>
      <c r="K83" s="52"/>
      <c r="L83" s="93"/>
      <c r="M83" s="90" t="s">
        <v>3</v>
      </c>
      <c r="N83" s="293">
        <f>SUM(N80:O82)</f>
        <v>2101500</v>
      </c>
      <c r="O83" s="293"/>
      <c r="P83" s="93"/>
    </row>
    <row r="84" spans="1:16" ht="7.5" customHeight="1" x14ac:dyDescent="0.25">
      <c r="B84" s="52"/>
      <c r="C84" s="52"/>
      <c r="D84" s="96"/>
      <c r="E84" s="52"/>
      <c r="F84" s="52"/>
      <c r="G84" s="52"/>
      <c r="H84" s="52"/>
      <c r="I84" s="52"/>
      <c r="J84" s="52"/>
      <c r="K84" s="52"/>
      <c r="L84" s="93"/>
      <c r="M84" s="90"/>
      <c r="N84" s="93"/>
    </row>
    <row r="85" spans="1:16" ht="7.5" customHeight="1" x14ac:dyDescent="0.2">
      <c r="B85" s="77"/>
      <c r="C85" s="77"/>
      <c r="D85" s="102"/>
      <c r="E85" s="77"/>
      <c r="F85" s="77"/>
      <c r="G85" s="77"/>
      <c r="H85" s="77"/>
      <c r="I85" s="77"/>
      <c r="J85" s="77"/>
      <c r="K85" s="77"/>
      <c r="L85" s="103"/>
      <c r="M85" s="77"/>
      <c r="N85" s="77"/>
      <c r="O85" s="77"/>
    </row>
    <row r="86" spans="1:16" ht="15.75" x14ac:dyDescent="0.25">
      <c r="B86" s="78" t="s">
        <v>102</v>
      </c>
      <c r="C86" s="52"/>
      <c r="E86" s="52"/>
      <c r="F86" s="52"/>
      <c r="G86" s="52"/>
      <c r="H86" s="52"/>
      <c r="I86" s="52"/>
      <c r="J86" s="52"/>
      <c r="K86" s="52"/>
      <c r="L86" s="52"/>
      <c r="M86" s="52"/>
    </row>
    <row r="87" spans="1:16" x14ac:dyDescent="0.2">
      <c r="B87" s="104"/>
      <c r="C87" s="52"/>
      <c r="E87" s="52"/>
      <c r="F87" s="52"/>
      <c r="G87" s="52"/>
      <c r="H87" s="52"/>
      <c r="I87" s="52"/>
      <c r="J87" s="52"/>
      <c r="K87" s="52"/>
      <c r="L87" s="52"/>
      <c r="M87" s="52"/>
    </row>
    <row r="88" spans="1:16" x14ac:dyDescent="0.2">
      <c r="B88" s="93" t="s">
        <v>83</v>
      </c>
      <c r="C88" s="93"/>
      <c r="D88" s="93" t="s">
        <v>92</v>
      </c>
      <c r="F88" s="85" t="s">
        <v>71</v>
      </c>
      <c r="G88" s="85"/>
      <c r="H88" s="85"/>
      <c r="I88" s="85" t="s">
        <v>82</v>
      </c>
      <c r="J88" s="85"/>
      <c r="K88" s="52"/>
      <c r="L88" s="52"/>
      <c r="M88" s="52"/>
    </row>
    <row r="89" spans="1:16" x14ac:dyDescent="0.2">
      <c r="A89" s="149"/>
      <c r="B89" s="150" t="s">
        <v>2</v>
      </c>
      <c r="C89" s="151"/>
      <c r="D89" s="294" t="str">
        <f>IF(H29=0,0,IF(MAX((H29-SUM(D90:E96)),0)&gt;0,H29-SUM(D90:E96),"Ltd by high OM2,3,4 values"))</f>
        <v>Ltd by high OM2,3,4 values</v>
      </c>
      <c r="E89" s="295"/>
      <c r="F89" s="148">
        <f>1/TargetBCRWLBs*100</f>
        <v>5.5555555555555554</v>
      </c>
      <c r="G89" s="149" t="s">
        <v>81</v>
      </c>
      <c r="H89" s="52"/>
      <c r="I89" s="287">
        <f>IF(D89="Ltd by high OM2,3,4 values",0,D89*F89/100)</f>
        <v>0</v>
      </c>
      <c r="J89" s="287"/>
      <c r="K89" s="52"/>
      <c r="L89" s="93"/>
      <c r="M89" s="52"/>
      <c r="N89" s="107"/>
    </row>
    <row r="90" spans="1:16" x14ac:dyDescent="0.2">
      <c r="B90" s="108" t="s">
        <v>1</v>
      </c>
      <c r="C90" s="109" t="s">
        <v>84</v>
      </c>
      <c r="D90" s="286">
        <f>N60</f>
        <v>0</v>
      </c>
      <c r="E90" s="286"/>
      <c r="F90" s="126">
        <f>1/TargetMinBCR*DeprivedScalar20*100</f>
        <v>45</v>
      </c>
      <c r="G90" s="52"/>
      <c r="H90" s="52"/>
      <c r="I90" s="287">
        <f t="shared" ref="I90:I96" si="1">D90*F90/100</f>
        <v>0</v>
      </c>
      <c r="J90" s="287"/>
      <c r="K90" s="52"/>
      <c r="L90" s="52"/>
      <c r="M90" s="52"/>
      <c r="N90" s="107"/>
    </row>
    <row r="91" spans="1:16" x14ac:dyDescent="0.2">
      <c r="B91" s="110"/>
      <c r="C91" s="111" t="s">
        <v>80</v>
      </c>
      <c r="D91" s="286">
        <f>N61</f>
        <v>0</v>
      </c>
      <c r="E91" s="286"/>
      <c r="F91" s="126">
        <f>1/TargetMinBCR*DeprivedScalar40*100</f>
        <v>30.000000000000004</v>
      </c>
      <c r="G91" s="52"/>
      <c r="H91" s="52"/>
      <c r="I91" s="287">
        <f t="shared" si="1"/>
        <v>0</v>
      </c>
      <c r="J91" s="287"/>
      <c r="M91" s="93"/>
    </row>
    <row r="92" spans="1:16" x14ac:dyDescent="0.2">
      <c r="B92" s="112"/>
      <c r="C92" s="113" t="s">
        <v>88</v>
      </c>
      <c r="D92" s="286">
        <f>N62</f>
        <v>981.77950375166904</v>
      </c>
      <c r="E92" s="286"/>
      <c r="F92" s="126">
        <f>1/TargetMinBCR*DeprivedScalarOther*100</f>
        <v>20</v>
      </c>
      <c r="G92" s="52"/>
      <c r="H92" s="52"/>
      <c r="I92" s="287">
        <f t="shared" si="1"/>
        <v>196.35590075033383</v>
      </c>
      <c r="J92" s="287"/>
    </row>
    <row r="93" spans="1:16" x14ac:dyDescent="0.2">
      <c r="B93" s="108" t="s">
        <v>0</v>
      </c>
      <c r="C93" s="109" t="s">
        <v>84</v>
      </c>
      <c r="D93" s="286">
        <f>N73</f>
        <v>0</v>
      </c>
      <c r="E93" s="286"/>
      <c r="F93" s="126">
        <f>1/TargetMinBCR*DeprivedScalar20*100</f>
        <v>45</v>
      </c>
      <c r="G93" s="52"/>
      <c r="H93" s="52"/>
      <c r="I93" s="287">
        <f t="shared" si="1"/>
        <v>0</v>
      </c>
      <c r="J93" s="287"/>
    </row>
    <row r="94" spans="1:16" x14ac:dyDescent="0.2">
      <c r="B94" s="114"/>
      <c r="C94" s="111" t="s">
        <v>80</v>
      </c>
      <c r="D94" s="286">
        <f>N74</f>
        <v>0</v>
      </c>
      <c r="E94" s="286"/>
      <c r="F94" s="126">
        <f>1/TargetMinBCR*DeprivedScalar40*100</f>
        <v>30.000000000000004</v>
      </c>
      <c r="G94" s="52"/>
      <c r="H94" s="52"/>
      <c r="I94" s="287">
        <f t="shared" si="1"/>
        <v>0</v>
      </c>
      <c r="J94" s="287"/>
    </row>
    <row r="95" spans="1:16" x14ac:dyDescent="0.2">
      <c r="B95" s="112"/>
      <c r="C95" s="113" t="s">
        <v>88</v>
      </c>
      <c r="D95" s="286">
        <f>N75</f>
        <v>0</v>
      </c>
      <c r="E95" s="286"/>
      <c r="F95" s="126">
        <f>1/TargetMinBCR*DeprivedScalarOther*100</f>
        <v>20</v>
      </c>
      <c r="G95" s="52"/>
      <c r="H95" s="52"/>
      <c r="I95" s="287">
        <f t="shared" si="1"/>
        <v>0</v>
      </c>
      <c r="J95" s="287"/>
    </row>
    <row r="96" spans="1:16" x14ac:dyDescent="0.2">
      <c r="B96" s="105" t="s">
        <v>3</v>
      </c>
      <c r="C96" s="106"/>
      <c r="D96" s="286">
        <f>N83</f>
        <v>2101500</v>
      </c>
      <c r="E96" s="286"/>
      <c r="F96" s="126">
        <v>100</v>
      </c>
      <c r="G96" s="52"/>
      <c r="H96" s="52"/>
      <c r="I96" s="287">
        <f t="shared" si="1"/>
        <v>2101500</v>
      </c>
      <c r="J96" s="287"/>
      <c r="P96" s="133"/>
    </row>
    <row r="97" spans="2:16" ht="15.75" x14ac:dyDescent="0.25">
      <c r="B97" s="52" t="s">
        <v>7</v>
      </c>
      <c r="C97" s="52"/>
      <c r="D97" s="288">
        <f>SUM(D89:E96)</f>
        <v>2102481.7795037515</v>
      </c>
      <c r="E97" s="281"/>
      <c r="F97" s="52"/>
      <c r="G97" s="52"/>
      <c r="H97" s="52"/>
      <c r="I97" s="289">
        <f>SUM(I89:J96)</f>
        <v>2101696.3559007505</v>
      </c>
      <c r="J97" s="290"/>
      <c r="K97" s="273" t="s">
        <v>141</v>
      </c>
      <c r="L97" s="273"/>
      <c r="M97" s="273"/>
      <c r="N97" s="273"/>
      <c r="O97" s="273"/>
    </row>
    <row r="98" spans="2:16" x14ac:dyDescent="0.2">
      <c r="B98" s="52"/>
      <c r="C98" s="52"/>
      <c r="D98" s="52"/>
      <c r="E98" s="52"/>
      <c r="F98" s="52"/>
      <c r="G98" s="52"/>
      <c r="H98" s="52"/>
      <c r="I98" s="52"/>
      <c r="K98" s="273"/>
      <c r="L98" s="273"/>
      <c r="M98" s="273"/>
      <c r="N98" s="273"/>
      <c r="O98" s="273"/>
    </row>
    <row r="99" spans="2:16" s="93" customFormat="1" x14ac:dyDescent="0.2">
      <c r="B99" s="115" t="s">
        <v>104</v>
      </c>
      <c r="C99" s="77"/>
      <c r="D99" s="102"/>
      <c r="E99" s="77"/>
      <c r="F99" s="77"/>
      <c r="G99" s="77"/>
      <c r="H99" s="77"/>
      <c r="I99" s="77"/>
      <c r="J99" s="77"/>
      <c r="K99" s="77"/>
      <c r="L99" s="103"/>
      <c r="M99" s="77"/>
      <c r="N99" s="77"/>
      <c r="O99" s="77"/>
      <c r="P99" s="55"/>
    </row>
    <row r="100" spans="2:16" s="116" customFormat="1" ht="12.75" x14ac:dyDescent="0.2">
      <c r="B100" s="117" t="s">
        <v>105</v>
      </c>
    </row>
    <row r="101" spans="2:16" s="116" customFormat="1" ht="12.75" x14ac:dyDescent="0.2">
      <c r="B101" s="117" t="s">
        <v>111</v>
      </c>
    </row>
    <row r="102" spans="2:16" x14ac:dyDescent="0.2">
      <c r="B102" s="116"/>
      <c r="C102" s="116"/>
      <c r="D102" s="116"/>
      <c r="E102" s="116"/>
      <c r="F102" s="116"/>
      <c r="G102" s="116"/>
      <c r="H102" s="116"/>
      <c r="I102" s="116"/>
      <c r="J102" s="116"/>
      <c r="K102" s="116"/>
      <c r="N102" s="55"/>
      <c r="O102" s="55"/>
    </row>
    <row r="103" spans="2:16" ht="15.75" x14ac:dyDescent="0.25">
      <c r="B103" s="118" t="s">
        <v>93</v>
      </c>
      <c r="C103" s="52"/>
      <c r="D103" s="52"/>
      <c r="E103" s="52"/>
      <c r="F103" s="52"/>
      <c r="G103" s="52"/>
      <c r="H103" s="52"/>
      <c r="I103" s="52"/>
      <c r="J103" s="52"/>
      <c r="K103" s="52"/>
      <c r="L103" s="52"/>
      <c r="M103" s="52"/>
    </row>
    <row r="104" spans="2:16" s="93" customFormat="1" ht="23.25" x14ac:dyDescent="0.35">
      <c r="I104" s="141"/>
    </row>
    <row r="105" spans="2:16" s="93" customFormat="1" ht="23.25" x14ac:dyDescent="0.35">
      <c r="B105" s="141"/>
      <c r="C105" s="140"/>
    </row>
    <row r="106" spans="2:16" s="93" customFormat="1" x14ac:dyDescent="0.2"/>
    <row r="107" spans="2:16" s="93" customFormat="1" x14ac:dyDescent="0.2"/>
    <row r="108" spans="2:16" s="93" customFormat="1" x14ac:dyDescent="0.2"/>
    <row r="109" spans="2:16" s="93" customFormat="1" x14ac:dyDescent="0.2"/>
    <row r="110" spans="2:16" s="93" customFormat="1" x14ac:dyDescent="0.2"/>
    <row r="111" spans="2:16" s="93" customFormat="1" x14ac:dyDescent="0.2"/>
    <row r="112" spans="2:16" s="93" customFormat="1" x14ac:dyDescent="0.2"/>
  </sheetData>
  <sheetProtection password="A377" sheet="1" objects="1" scenarios="1"/>
  <mergeCells count="59">
    <mergeCell ref="K97:O98"/>
    <mergeCell ref="D95:E95"/>
    <mergeCell ref="I95:J95"/>
    <mergeCell ref="D96:E96"/>
    <mergeCell ref="I96:J96"/>
    <mergeCell ref="D97:E97"/>
    <mergeCell ref="I97:J97"/>
    <mergeCell ref="D92:E92"/>
    <mergeCell ref="I92:J92"/>
    <mergeCell ref="D93:E93"/>
    <mergeCell ref="I93:J93"/>
    <mergeCell ref="D94:E94"/>
    <mergeCell ref="I94:J94"/>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F74:G74"/>
    <mergeCell ref="J74:K74"/>
    <mergeCell ref="N74:O74"/>
    <mergeCell ref="F75:G75"/>
    <mergeCell ref="J75:K75"/>
    <mergeCell ref="N75:O75"/>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Q17:V23"/>
    <mergeCell ref="J22:O22"/>
    <mergeCell ref="M50:O50"/>
    <mergeCell ref="B5:D5"/>
    <mergeCell ref="M8:O8"/>
    <mergeCell ref="M9:O9"/>
    <mergeCell ref="J17:O21"/>
    <mergeCell ref="J26:N27"/>
    <mergeCell ref="J30:N33"/>
    <mergeCell ref="J38:O39"/>
    <mergeCell ref="P38:U43"/>
    <mergeCell ref="J40:O46"/>
  </mergeCells>
  <conditionalFormatting sqref="B10 P26 Q17">
    <cfRule type="expression" dxfId="3" priority="1" stopIfTrue="1">
      <formula>LEFT($P$26,6)="ERROR!"</formula>
    </cfRule>
  </conditionalFormatting>
  <dataValidations count="1">
    <dataValidation type="list" allowBlank="1" showInputMessage="1" showErrorMessage="1" sqref="E47">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19"/>
  <sheetViews>
    <sheetView zoomScale="70" zoomScaleNormal="70" workbookViewId="0">
      <selection activeCell="E6" sqref="E6"/>
    </sheetView>
  </sheetViews>
  <sheetFormatPr defaultColWidth="8.88671875" defaultRowHeight="15" x14ac:dyDescent="0.2"/>
  <cols>
    <col min="1" max="1" width="2" style="52" customWidth="1"/>
    <col min="2" max="2" width="16.5546875" style="55" customWidth="1"/>
    <col min="3" max="13" width="10.6640625" style="55" customWidth="1"/>
    <col min="14" max="18" width="10.6640625" style="52" customWidth="1"/>
    <col min="19" max="16384" width="8.88671875" style="52"/>
  </cols>
  <sheetData>
    <row r="2" spans="1:18" ht="20.25" x14ac:dyDescent="0.3">
      <c r="B2" s="53" t="s">
        <v>189</v>
      </c>
      <c r="C2" s="54"/>
      <c r="D2" s="54"/>
    </row>
    <row r="3" spans="1:18" ht="20.25" x14ac:dyDescent="0.3">
      <c r="B3" s="56" t="s">
        <v>163</v>
      </c>
      <c r="C3" s="54"/>
      <c r="D3" s="54"/>
    </row>
    <row r="4" spans="1:18" x14ac:dyDescent="0.2">
      <c r="B4" s="57"/>
      <c r="C4" s="44"/>
      <c r="D4" s="44"/>
    </row>
    <row r="5" spans="1:18" ht="20.25" x14ac:dyDescent="0.3">
      <c r="B5" s="249" t="s">
        <v>138</v>
      </c>
      <c r="C5" s="249"/>
      <c r="D5" s="249"/>
      <c r="E5" s="167" t="str">
        <f>'PF Calculator'!E5</f>
        <v>Wrington</v>
      </c>
      <c r="F5" s="168"/>
      <c r="G5" s="168"/>
      <c r="H5" s="168"/>
      <c r="I5" s="168"/>
      <c r="J5" s="168"/>
      <c r="K5" s="168"/>
      <c r="L5" s="168"/>
      <c r="M5" s="168"/>
      <c r="N5" s="168"/>
      <c r="O5" s="168"/>
      <c r="P5" s="58"/>
      <c r="Q5" s="59"/>
      <c r="R5" s="59"/>
    </row>
    <row r="6" spans="1:18" ht="20.25" x14ac:dyDescent="0.3">
      <c r="B6" s="165" t="s">
        <v>139</v>
      </c>
      <c r="C6" s="165"/>
      <c r="D6" s="165"/>
      <c r="E6" s="138" t="s">
        <v>146</v>
      </c>
      <c r="F6" s="168"/>
      <c r="G6" s="168"/>
      <c r="H6" s="168"/>
      <c r="I6" s="168"/>
      <c r="J6" s="168"/>
      <c r="K6" s="168"/>
      <c r="L6" s="168"/>
      <c r="M6" s="168"/>
      <c r="N6" s="168"/>
      <c r="O6" s="168"/>
      <c r="P6" s="58"/>
      <c r="Q6" s="59"/>
      <c r="R6" s="59"/>
    </row>
    <row r="7" spans="1:18" x14ac:dyDescent="0.2">
      <c r="B7" s="159"/>
      <c r="C7" s="160"/>
      <c r="D7" s="160"/>
    </row>
    <row r="8" spans="1:18" x14ac:dyDescent="0.2">
      <c r="B8" s="161"/>
      <c r="C8" s="160"/>
      <c r="D8" s="160"/>
      <c r="L8" s="60" t="s">
        <v>13</v>
      </c>
      <c r="M8" s="301" t="s">
        <v>191</v>
      </c>
      <c r="N8" s="302"/>
      <c r="O8" s="303"/>
    </row>
    <row r="9" spans="1:18" ht="15.75" x14ac:dyDescent="0.25">
      <c r="B9" s="162" t="s">
        <v>188</v>
      </c>
      <c r="J9" s="55" t="s">
        <v>153</v>
      </c>
      <c r="L9" s="52"/>
      <c r="M9" s="279" t="s">
        <v>15</v>
      </c>
      <c r="N9" s="280"/>
      <c r="O9" s="281"/>
    </row>
    <row r="10" spans="1:18" ht="15.75" x14ac:dyDescent="0.25">
      <c r="B10" s="163" t="s">
        <v>135</v>
      </c>
      <c r="L10" s="52"/>
      <c r="M10" s="61"/>
      <c r="N10" s="61"/>
      <c r="O10" s="61"/>
    </row>
    <row r="11" spans="1:18" s="65" customFormat="1" ht="10.9" customHeight="1" x14ac:dyDescent="0.2">
      <c r="A11" s="62"/>
      <c r="B11" s="63"/>
      <c r="C11" s="64"/>
      <c r="D11" s="64"/>
      <c r="E11" s="64"/>
      <c r="F11" s="64"/>
      <c r="G11" s="64"/>
      <c r="H11" s="64"/>
      <c r="I11" s="64"/>
      <c r="J11" s="64"/>
      <c r="K11" s="64"/>
      <c r="L11" s="64"/>
      <c r="M11" s="64"/>
      <c r="N11" s="64"/>
      <c r="O11" s="64"/>
      <c r="P11" s="62"/>
    </row>
    <row r="12" spans="1:18" ht="15" customHeight="1" x14ac:dyDescent="0.25">
      <c r="B12" s="158" t="s">
        <v>136</v>
      </c>
      <c r="C12" s="44"/>
      <c r="D12" s="44"/>
      <c r="E12" s="44"/>
      <c r="F12" s="66"/>
      <c r="G12" s="42"/>
      <c r="H12" s="52"/>
      <c r="I12" s="52"/>
      <c r="O12" s="67"/>
      <c r="P12" s="67"/>
    </row>
    <row r="13" spans="1:18" ht="15" customHeight="1" x14ac:dyDescent="0.25">
      <c r="G13" s="142"/>
      <c r="I13" s="52"/>
      <c r="J13" s="67"/>
      <c r="K13" s="52"/>
      <c r="M13" s="69" t="s">
        <v>101</v>
      </c>
      <c r="N13" s="119">
        <f>H29/H37</f>
        <v>5.3164556962025316</v>
      </c>
      <c r="O13" s="120" t="s">
        <v>17</v>
      </c>
    </row>
    <row r="14" spans="1:18" ht="15" customHeight="1" x14ac:dyDescent="0.25">
      <c r="B14" s="153" t="str">
        <f>IF(J25="No"," WARNING: 'Maximum grant rate reduced to 45% as a strategic approach not taken and benefits may be double counted"," ")</f>
        <v xml:space="preserve"> </v>
      </c>
      <c r="C14" s="44"/>
      <c r="D14" s="44"/>
      <c r="E14" s="44"/>
      <c r="F14" s="44"/>
      <c r="G14" s="44"/>
      <c r="H14" s="44"/>
      <c r="K14" s="52"/>
      <c r="L14" s="71"/>
      <c r="M14" s="72" t="s">
        <v>16</v>
      </c>
      <c r="N14" s="121">
        <f>H29/MIN(H21,H37)</f>
        <v>13.636363636363637</v>
      </c>
      <c r="O14" s="120" t="s">
        <v>17</v>
      </c>
    </row>
    <row r="15" spans="1:18" ht="15" customHeight="1" x14ac:dyDescent="0.25">
      <c r="B15" s="68" t="s">
        <v>160</v>
      </c>
      <c r="C15" s="73"/>
      <c r="D15" s="73"/>
      <c r="E15" s="73"/>
      <c r="F15" s="73"/>
      <c r="G15" s="73"/>
      <c r="H15" s="137">
        <f>IF(J25="yes",I97/MAX(H37,H34),IF(J25="Yes",I97/MAX(H37,H34),0.45*I97/MAX(H37,H34)))</f>
        <v>2660.402204046673</v>
      </c>
      <c r="I15" s="71" t="s">
        <v>165</v>
      </c>
      <c r="K15" s="52"/>
      <c r="L15" s="52"/>
      <c r="M15" s="72" t="s">
        <v>18</v>
      </c>
      <c r="N15" s="121">
        <f>IF(H44&gt;0,H29/H44,"n/a")</f>
        <v>11.602209944751381</v>
      </c>
      <c r="O15" s="120" t="s">
        <v>17</v>
      </c>
    </row>
    <row r="16" spans="1:18" ht="15" customHeight="1" x14ac:dyDescent="0.25">
      <c r="B16" s="68"/>
      <c r="C16" s="44"/>
      <c r="D16" s="44"/>
      <c r="E16" s="44"/>
      <c r="F16" s="44"/>
      <c r="G16" s="44"/>
      <c r="H16" s="44"/>
      <c r="K16" s="52"/>
      <c r="L16" s="52"/>
      <c r="M16" s="52"/>
    </row>
    <row r="17" spans="2:22" ht="15" customHeight="1" x14ac:dyDescent="0.25">
      <c r="B17" s="145" t="s">
        <v>157</v>
      </c>
      <c r="C17" s="44"/>
      <c r="D17" s="44"/>
      <c r="E17" s="44"/>
      <c r="F17" s="44"/>
      <c r="G17" s="44"/>
      <c r="H17" s="154">
        <f>IF(J25="Yes",MAX(IF(Authority="EA",MAX(H37,H34)-MIN(I97,H37),H34*(1-(RawOMScore))),0),IF(Authority="EA",MAX(H37,H34)-MIN(I97*0.45,H37),H34*(1-(I15))))</f>
        <v>0</v>
      </c>
      <c r="I17" s="71" t="s">
        <v>166</v>
      </c>
      <c r="J17" s="232" t="s">
        <v>186</v>
      </c>
      <c r="K17" s="304"/>
      <c r="L17" s="304"/>
      <c r="M17" s="304"/>
      <c r="N17" s="304"/>
      <c r="O17" s="304"/>
      <c r="Q17" s="230"/>
      <c r="R17" s="299"/>
      <c r="S17" s="299"/>
      <c r="T17" s="299"/>
      <c r="U17" s="299"/>
      <c r="V17" s="299"/>
    </row>
    <row r="18" spans="2:22" ht="15" customHeight="1" x14ac:dyDescent="0.25">
      <c r="B18" s="68"/>
      <c r="C18" s="44"/>
      <c r="D18" s="44"/>
      <c r="E18" s="44"/>
      <c r="F18" s="44"/>
      <c r="G18" s="44"/>
      <c r="H18" s="44"/>
      <c r="I18" s="93"/>
      <c r="J18" s="304"/>
      <c r="K18" s="304"/>
      <c r="L18" s="304"/>
      <c r="M18" s="304"/>
      <c r="N18" s="304"/>
      <c r="O18" s="304"/>
      <c r="Q18" s="299"/>
      <c r="R18" s="299"/>
      <c r="S18" s="299"/>
      <c r="T18" s="299"/>
      <c r="U18" s="299"/>
      <c r="V18" s="299"/>
    </row>
    <row r="19" spans="2:22" ht="15" customHeight="1" x14ac:dyDescent="0.25">
      <c r="B19" s="68" t="s">
        <v>140</v>
      </c>
      <c r="C19" s="74"/>
      <c r="D19" s="74"/>
      <c r="E19" s="74"/>
      <c r="F19" s="74"/>
      <c r="G19" s="74"/>
      <c r="H19" s="137">
        <f>IF(J25="Yes",IF(Authority="EA",I97/MAX(MAX(H37,H34)-H44,1),RawOMScore+H44/H34),IF(Authority="EA",I97*0.45/MAX(MAX(H37,H34)-H44,1),I15+H44/H34))</f>
        <v>2660.9425025541354</v>
      </c>
      <c r="I19" s="71" t="s">
        <v>167</v>
      </c>
      <c r="J19" s="304"/>
      <c r="K19" s="304"/>
      <c r="L19" s="304"/>
      <c r="M19" s="304"/>
      <c r="N19" s="304"/>
      <c r="O19" s="304"/>
      <c r="Q19" s="299"/>
      <c r="R19" s="299"/>
      <c r="S19" s="299"/>
      <c r="T19" s="299"/>
      <c r="U19" s="299"/>
      <c r="V19" s="299"/>
    </row>
    <row r="20" spans="2:22" ht="15" customHeight="1" x14ac:dyDescent="0.2">
      <c r="J20" s="304"/>
      <c r="K20" s="304"/>
      <c r="L20" s="304"/>
      <c r="M20" s="304"/>
      <c r="N20" s="304"/>
      <c r="O20" s="304"/>
      <c r="Q20" s="299"/>
      <c r="R20" s="299"/>
      <c r="S20" s="299"/>
      <c r="T20" s="299"/>
      <c r="U20" s="299"/>
      <c r="V20" s="299"/>
    </row>
    <row r="21" spans="2:22" ht="15" customHeight="1" x14ac:dyDescent="0.25">
      <c r="B21" s="146" t="s">
        <v>162</v>
      </c>
      <c r="C21" s="70"/>
      <c r="D21" s="70"/>
      <c r="E21" s="70"/>
      <c r="F21" s="70"/>
      <c r="G21" s="70"/>
      <c r="H21" s="152">
        <f>IF(ROUNDUP(AdjOMScore,4)&lt;100%,"-",H34-H44)</f>
        <v>308</v>
      </c>
      <c r="I21" s="71" t="s">
        <v>168</v>
      </c>
      <c r="J21" s="304"/>
      <c r="K21" s="304"/>
      <c r="L21" s="304"/>
      <c r="M21" s="304"/>
      <c r="N21" s="304"/>
      <c r="O21" s="304"/>
      <c r="Q21" s="299"/>
      <c r="R21" s="299"/>
      <c r="S21" s="299"/>
      <c r="T21" s="299"/>
      <c r="U21" s="299"/>
      <c r="V21" s="299"/>
    </row>
    <row r="22" spans="2:22" ht="22.5" customHeight="1" x14ac:dyDescent="0.25">
      <c r="B22" s="75"/>
      <c r="C22" s="52"/>
      <c r="D22" s="52"/>
      <c r="E22" s="52"/>
      <c r="G22" s="76"/>
      <c r="H22" s="76"/>
      <c r="I22" s="67"/>
      <c r="J22" s="300"/>
      <c r="K22" s="300"/>
      <c r="L22" s="300"/>
      <c r="M22" s="300"/>
      <c r="N22" s="300"/>
      <c r="O22" s="300"/>
      <c r="Q22" s="299"/>
      <c r="R22" s="299"/>
      <c r="S22" s="299"/>
      <c r="T22" s="299"/>
      <c r="U22" s="299"/>
      <c r="V22" s="299"/>
    </row>
    <row r="23" spans="2:22" ht="6.75" customHeight="1" x14ac:dyDescent="0.2">
      <c r="B23" s="77"/>
      <c r="C23" s="77"/>
      <c r="D23" s="77"/>
      <c r="E23" s="77"/>
      <c r="F23" s="77"/>
      <c r="G23" s="77"/>
      <c r="H23" s="77"/>
      <c r="I23" s="77"/>
      <c r="J23" s="77"/>
      <c r="K23" s="77"/>
      <c r="L23" s="77"/>
      <c r="M23" s="77"/>
      <c r="N23" s="77"/>
      <c r="O23" s="65"/>
      <c r="P23" s="65"/>
      <c r="Q23" s="299"/>
      <c r="R23" s="299"/>
      <c r="S23" s="299"/>
      <c r="T23" s="299"/>
      <c r="U23" s="299"/>
      <c r="V23" s="299"/>
    </row>
    <row r="24" spans="2:22" ht="15" customHeight="1" x14ac:dyDescent="0.25">
      <c r="B24" s="78" t="s">
        <v>97</v>
      </c>
      <c r="C24" s="79"/>
      <c r="D24" s="79"/>
      <c r="E24" s="52"/>
      <c r="F24" s="52"/>
      <c r="G24" s="52"/>
      <c r="H24" s="52"/>
      <c r="M24" s="52"/>
    </row>
    <row r="25" spans="2:22" ht="15.75" x14ac:dyDescent="0.25">
      <c r="B25" s="80" t="s">
        <v>134</v>
      </c>
      <c r="C25" s="79"/>
      <c r="D25" s="81"/>
      <c r="E25" s="52"/>
      <c r="F25" s="52"/>
      <c r="G25" s="52"/>
      <c r="H25" s="127" t="str">
        <f>'PF Calculator'!H25</f>
        <v>LA</v>
      </c>
      <c r="I25" s="71" t="s">
        <v>169</v>
      </c>
      <c r="J25" s="127" t="str">
        <f>'PF Calculator'!J25</f>
        <v>Yes</v>
      </c>
      <c r="K25" s="155" t="s">
        <v>182</v>
      </c>
      <c r="L25" s="139"/>
      <c r="M25" s="139"/>
      <c r="N25" s="139"/>
      <c r="O25" s="139"/>
    </row>
    <row r="26" spans="2:22" ht="15.75" x14ac:dyDescent="0.25">
      <c r="B26" s="79"/>
      <c r="C26" s="79"/>
      <c r="D26" s="81"/>
      <c r="E26" s="52"/>
      <c r="F26" s="52"/>
      <c r="G26" s="52"/>
      <c r="H26" s="69"/>
      <c r="I26" s="52"/>
      <c r="J26" s="305" t="s">
        <v>183</v>
      </c>
      <c r="K26" s="275"/>
      <c r="L26" s="275"/>
      <c r="M26" s="275"/>
      <c r="N26" s="275"/>
      <c r="O26" s="139"/>
      <c r="P26" s="143"/>
    </row>
    <row r="27" spans="2:22" ht="15.75" x14ac:dyDescent="0.25">
      <c r="B27" s="80" t="s">
        <v>129</v>
      </c>
      <c r="C27" s="79"/>
      <c r="D27" s="81"/>
      <c r="E27" s="52"/>
      <c r="F27" s="52"/>
      <c r="G27" s="52"/>
      <c r="H27" s="127">
        <f>'PF Calculator'!H27</f>
        <v>57</v>
      </c>
      <c r="I27" s="71" t="s">
        <v>170</v>
      </c>
      <c r="J27" s="275"/>
      <c r="K27" s="275"/>
      <c r="L27" s="275"/>
      <c r="M27" s="275"/>
      <c r="N27" s="275"/>
      <c r="O27" s="55"/>
    </row>
    <row r="28" spans="2:22" ht="15.75" x14ac:dyDescent="0.25">
      <c r="B28" s="80"/>
      <c r="C28" s="79"/>
      <c r="D28" s="81"/>
      <c r="E28" s="52"/>
      <c r="F28" s="52"/>
      <c r="G28" s="52"/>
      <c r="H28" s="52"/>
      <c r="I28" s="52"/>
      <c r="J28" s="52"/>
      <c r="K28" s="52"/>
      <c r="L28" s="52"/>
      <c r="M28" s="52"/>
      <c r="O28" s="55"/>
    </row>
    <row r="29" spans="2:22" ht="15.75" x14ac:dyDescent="0.25">
      <c r="B29" s="80" t="s">
        <v>9</v>
      </c>
      <c r="C29" s="79"/>
      <c r="D29" s="81"/>
      <c r="E29" s="52"/>
      <c r="F29" s="52"/>
      <c r="G29" s="52"/>
      <c r="H29" s="127">
        <f>'PF Calculator'!H29</f>
        <v>4200</v>
      </c>
      <c r="I29" s="71" t="s">
        <v>171</v>
      </c>
      <c r="J29" s="52"/>
      <c r="K29" s="52"/>
      <c r="L29" s="52"/>
      <c r="M29" s="52"/>
      <c r="O29" s="55"/>
    </row>
    <row r="30" spans="2:22" ht="15.75" x14ac:dyDescent="0.25">
      <c r="B30" s="80"/>
      <c r="C30" s="79"/>
      <c r="D30" s="81"/>
      <c r="E30" s="52"/>
      <c r="F30" s="52"/>
      <c r="G30" s="52"/>
      <c r="H30" s="52"/>
      <c r="I30" s="52"/>
      <c r="J30" s="306" t="s">
        <v>164</v>
      </c>
      <c r="K30" s="307"/>
      <c r="L30" s="307"/>
      <c r="M30" s="307"/>
      <c r="N30" s="308"/>
    </row>
    <row r="31" spans="2:22" ht="15.75" x14ac:dyDescent="0.25">
      <c r="B31" s="82" t="s">
        <v>158</v>
      </c>
      <c r="C31" s="79"/>
      <c r="D31" s="81"/>
      <c r="E31" s="52"/>
      <c r="F31" s="52"/>
      <c r="G31" s="52"/>
      <c r="H31" s="69"/>
      <c r="I31" s="52"/>
      <c r="J31" s="309"/>
      <c r="K31" s="310"/>
      <c r="L31" s="310"/>
      <c r="M31" s="310"/>
      <c r="N31" s="311"/>
      <c r="O31" s="55"/>
    </row>
    <row r="32" spans="2:22" ht="15.75" x14ac:dyDescent="0.25">
      <c r="B32" s="79" t="s">
        <v>122</v>
      </c>
      <c r="C32" s="79"/>
      <c r="D32" s="81"/>
      <c r="E32" s="52"/>
      <c r="F32" s="52"/>
      <c r="G32" s="52"/>
      <c r="H32" s="127">
        <f>'PF Calculator'!H32</f>
        <v>50</v>
      </c>
      <c r="I32" s="71" t="s">
        <v>172</v>
      </c>
      <c r="J32" s="309"/>
      <c r="K32" s="310"/>
      <c r="L32" s="310"/>
      <c r="M32" s="310"/>
      <c r="N32" s="311"/>
    </row>
    <row r="33" spans="2:21" ht="15.75" x14ac:dyDescent="0.25">
      <c r="B33" s="79" t="s">
        <v>130</v>
      </c>
      <c r="C33" s="79"/>
      <c r="D33" s="81"/>
      <c r="E33" s="52"/>
      <c r="F33" s="52"/>
      <c r="G33" s="52"/>
      <c r="H33" s="127">
        <f>'PF Calculator'!H33</f>
        <v>620</v>
      </c>
      <c r="I33" s="71" t="s">
        <v>173</v>
      </c>
      <c r="J33" s="312"/>
      <c r="K33" s="313"/>
      <c r="L33" s="313"/>
      <c r="M33" s="313"/>
      <c r="N33" s="314"/>
    </row>
    <row r="34" spans="2:21" ht="15.75" x14ac:dyDescent="0.25">
      <c r="B34" s="82" t="s">
        <v>161</v>
      </c>
      <c r="C34" s="79"/>
      <c r="D34" s="81"/>
      <c r="E34" s="52"/>
      <c r="F34" s="52"/>
      <c r="G34" s="52"/>
      <c r="H34" s="147">
        <f>SUM(H32:H33)</f>
        <v>670</v>
      </c>
      <c r="I34" s="71" t="s">
        <v>174</v>
      </c>
      <c r="J34" s="52"/>
      <c r="K34" s="52"/>
      <c r="L34" s="52"/>
      <c r="M34" s="52"/>
    </row>
    <row r="35" spans="2:21" ht="15" customHeight="1" x14ac:dyDescent="0.25">
      <c r="B35" s="82"/>
      <c r="C35" s="79"/>
      <c r="D35" s="81"/>
      <c r="E35" s="52"/>
      <c r="F35" s="52"/>
      <c r="G35" s="52"/>
      <c r="H35" s="83"/>
      <c r="I35" s="52"/>
      <c r="J35" s="52"/>
      <c r="K35" s="52"/>
      <c r="L35" s="52"/>
      <c r="M35" s="52"/>
    </row>
    <row r="36" spans="2:21" ht="15.75" x14ac:dyDescent="0.25">
      <c r="B36" s="79" t="s">
        <v>131</v>
      </c>
      <c r="C36" s="79"/>
      <c r="D36" s="81"/>
      <c r="E36" s="52"/>
      <c r="F36" s="52"/>
      <c r="G36" s="52"/>
      <c r="H36" s="127">
        <f>'PF Calculator'!H36</f>
        <v>120</v>
      </c>
      <c r="I36" s="71" t="s">
        <v>175</v>
      </c>
      <c r="J36" s="52"/>
      <c r="K36" s="52"/>
      <c r="L36" s="52"/>
      <c r="M36" s="52"/>
    </row>
    <row r="37" spans="2:21" ht="15.75" x14ac:dyDescent="0.25">
      <c r="B37" s="80" t="s">
        <v>123</v>
      </c>
      <c r="C37" s="79"/>
      <c r="D37" s="81"/>
      <c r="E37" s="52"/>
      <c r="F37" s="52"/>
      <c r="G37" s="52"/>
      <c r="H37" s="51">
        <f>H36+H34</f>
        <v>790</v>
      </c>
      <c r="I37" s="71" t="s">
        <v>176</v>
      </c>
      <c r="J37" s="52"/>
      <c r="K37" s="52"/>
      <c r="L37" s="52"/>
      <c r="M37" s="52"/>
    </row>
    <row r="38" spans="2:21" x14ac:dyDescent="0.2">
      <c r="B38" s="79"/>
      <c r="C38" s="79"/>
      <c r="D38" s="81"/>
      <c r="E38" s="52"/>
      <c r="F38" s="52"/>
      <c r="G38" s="52"/>
      <c r="H38" s="83"/>
      <c r="I38" s="52"/>
      <c r="J38" s="315" t="s">
        <v>187</v>
      </c>
      <c r="K38" s="316"/>
      <c r="L38" s="316"/>
      <c r="M38" s="316"/>
      <c r="N38" s="316"/>
      <c r="O38" s="316"/>
      <c r="P38" s="245"/>
      <c r="Q38" s="245"/>
      <c r="R38" s="245"/>
      <c r="S38" s="245"/>
      <c r="T38" s="245"/>
      <c r="U38" s="245"/>
    </row>
    <row r="39" spans="2:21" ht="15" customHeight="1" x14ac:dyDescent="0.25">
      <c r="B39" s="156" t="s">
        <v>159</v>
      </c>
      <c r="C39" s="79"/>
      <c r="D39" s="81"/>
      <c r="E39" s="52"/>
      <c r="F39" s="52"/>
      <c r="G39" s="52"/>
      <c r="H39" s="83"/>
      <c r="I39" s="52"/>
      <c r="J39" s="316"/>
      <c r="K39" s="316"/>
      <c r="L39" s="316"/>
      <c r="M39" s="316"/>
      <c r="N39" s="316"/>
      <c r="O39" s="316"/>
      <c r="P39" s="245"/>
      <c r="Q39" s="245"/>
      <c r="R39" s="245"/>
      <c r="S39" s="245"/>
      <c r="T39" s="245"/>
      <c r="U39" s="245"/>
    </row>
    <row r="40" spans="2:21" ht="15" customHeight="1" x14ac:dyDescent="0.25">
      <c r="B40" s="79" t="s">
        <v>124</v>
      </c>
      <c r="C40" s="79"/>
      <c r="D40" s="81"/>
      <c r="E40" s="52"/>
      <c r="F40" s="52"/>
      <c r="G40" s="52"/>
      <c r="H40" s="127">
        <f>'PF Calculator'!H40</f>
        <v>80</v>
      </c>
      <c r="I40" s="71" t="s">
        <v>177</v>
      </c>
      <c r="J40" s="316" t="str">
        <f>IF(H25="EA","This scheme is to be maintained by the EA (ref cell 5). Any contributions needed (ref cell 2) are to help fund both the ongoing and up-front costs (Cost for Approval) to avoid the scheme drawing excess FDGiA, and should be entered into cells(14-17).","This scheme is to be maintained by an RMA other than the EA (ref cell 5). Capital FDGiA will fund the appropriate share of the up-front costs (Costs for Approval) with any shortfall needing to be paid via contributions idenitfied  in cells(14-17)."&amp;" Ongoing costs are a matter for local agreement by the RMA and should not be included in cells(14-17)."&amp;" It is recommended that the RMA takes the opportunities created during scheme development to secure funding of the future ongoing costs which can be presented in the Grant application business case.")</f>
        <v>This scheme is to be maintained by an RMA other than the EA (ref cell 5). Capital FDGiA will fund the appropriate share of the up-front costs (Costs for Approval) with any shortfall needing to be paid via contributions idenitfied  in cells(14-17). Ongoing costs are a matter for local agreement by the RMA and should not be included in cells(14-17). It is recommended that the RMA takes the opportunities created during scheme development to secure funding of the future ongoing costs which can be presented in the Grant application business case.</v>
      </c>
      <c r="K40" s="316"/>
      <c r="L40" s="316"/>
      <c r="M40" s="316"/>
      <c r="N40" s="316"/>
      <c r="O40" s="316"/>
      <c r="P40" s="245"/>
      <c r="Q40" s="245"/>
      <c r="R40" s="245"/>
      <c r="S40" s="245"/>
      <c r="T40" s="245"/>
      <c r="U40" s="245"/>
    </row>
    <row r="41" spans="2:21" ht="15" customHeight="1" x14ac:dyDescent="0.25">
      <c r="B41" s="79" t="s">
        <v>125</v>
      </c>
      <c r="C41" s="79"/>
      <c r="D41" s="81"/>
      <c r="E41" s="52"/>
      <c r="F41" s="52"/>
      <c r="G41" s="52"/>
      <c r="H41" s="127">
        <f>'PF Calculator'!H41</f>
        <v>100</v>
      </c>
      <c r="I41" s="71" t="s">
        <v>178</v>
      </c>
      <c r="J41" s="316"/>
      <c r="K41" s="316"/>
      <c r="L41" s="316"/>
      <c r="M41" s="316"/>
      <c r="N41" s="316"/>
      <c r="O41" s="316"/>
      <c r="P41" s="245"/>
      <c r="Q41" s="245"/>
      <c r="R41" s="245"/>
      <c r="S41" s="245"/>
      <c r="T41" s="245"/>
      <c r="U41" s="245"/>
    </row>
    <row r="42" spans="2:21" ht="15" customHeight="1" x14ac:dyDescent="0.25">
      <c r="B42" s="79" t="s">
        <v>126</v>
      </c>
      <c r="C42" s="79"/>
      <c r="D42" s="81"/>
      <c r="E42" s="52"/>
      <c r="F42" s="52"/>
      <c r="G42" s="52"/>
      <c r="H42" s="127">
        <f>'PF Calculator'!H42</f>
        <v>182</v>
      </c>
      <c r="I42" s="71" t="s">
        <v>179</v>
      </c>
      <c r="J42" s="316"/>
      <c r="K42" s="316"/>
      <c r="L42" s="316"/>
      <c r="M42" s="316"/>
      <c r="N42" s="316"/>
      <c r="O42" s="316"/>
      <c r="P42" s="245"/>
      <c r="Q42" s="245"/>
      <c r="R42" s="245"/>
      <c r="S42" s="245"/>
      <c r="T42" s="245"/>
      <c r="U42" s="245"/>
    </row>
    <row r="43" spans="2:21" ht="15" customHeight="1" x14ac:dyDescent="0.25">
      <c r="B43" s="79" t="s">
        <v>127</v>
      </c>
      <c r="C43" s="79"/>
      <c r="D43" s="81"/>
      <c r="E43" s="52"/>
      <c r="F43" s="52"/>
      <c r="G43" s="52"/>
      <c r="H43" s="127">
        <f>'PF Calculator'!H43</f>
        <v>0</v>
      </c>
      <c r="I43" s="71" t="s">
        <v>180</v>
      </c>
      <c r="J43" s="316"/>
      <c r="K43" s="316"/>
      <c r="L43" s="316"/>
      <c r="M43" s="316"/>
      <c r="N43" s="316"/>
      <c r="O43" s="316"/>
      <c r="P43" s="245"/>
      <c r="Q43" s="245"/>
      <c r="R43" s="245"/>
      <c r="S43" s="245"/>
      <c r="T43" s="245"/>
      <c r="U43" s="245"/>
    </row>
    <row r="44" spans="2:21" ht="15.75" x14ac:dyDescent="0.25">
      <c r="B44" s="82" t="s">
        <v>128</v>
      </c>
      <c r="C44" s="79"/>
      <c r="D44" s="81"/>
      <c r="E44" s="52"/>
      <c r="F44" s="52"/>
      <c r="G44" s="52"/>
      <c r="H44" s="50">
        <f>SUM(H40:H43)</f>
        <v>362</v>
      </c>
      <c r="I44" s="71" t="s">
        <v>181</v>
      </c>
      <c r="J44" s="316"/>
      <c r="K44" s="316"/>
      <c r="L44" s="316"/>
      <c r="M44" s="316"/>
      <c r="N44" s="316"/>
      <c r="O44" s="316"/>
    </row>
    <row r="45" spans="2:21" ht="15.75" x14ac:dyDescent="0.25">
      <c r="B45" s="144" t="str">
        <f>IF(H44&lt;H17,"WARNING: Contributions less than minimum required in cell (2)"," ")</f>
        <v xml:space="preserve"> </v>
      </c>
      <c r="C45" s="79"/>
      <c r="D45" s="52"/>
      <c r="E45" s="52"/>
      <c r="F45" s="52"/>
      <c r="G45" s="52"/>
      <c r="H45" s="52"/>
      <c r="I45" s="71"/>
      <c r="J45" s="316"/>
      <c r="K45" s="316"/>
      <c r="L45" s="316"/>
      <c r="M45" s="316"/>
      <c r="N45" s="316"/>
      <c r="O45" s="316"/>
    </row>
    <row r="46" spans="2:21" ht="15.75" x14ac:dyDescent="0.25">
      <c r="B46" s="82"/>
      <c r="C46" s="79"/>
      <c r="D46" s="81"/>
      <c r="E46" s="52"/>
      <c r="F46" s="52"/>
      <c r="G46" s="52"/>
      <c r="H46" s="52"/>
      <c r="I46" s="71"/>
      <c r="J46" s="316"/>
      <c r="K46" s="316"/>
      <c r="L46" s="316"/>
      <c r="M46" s="316"/>
      <c r="N46" s="316"/>
      <c r="O46" s="316"/>
    </row>
    <row r="47" spans="2:21" ht="7.5" customHeight="1" x14ac:dyDescent="0.2">
      <c r="B47" s="52"/>
      <c r="C47" s="52"/>
      <c r="D47" s="52"/>
      <c r="E47" s="43"/>
      <c r="F47" s="43"/>
      <c r="G47" s="43"/>
      <c r="H47" s="43"/>
      <c r="I47" s="43"/>
      <c r="J47" s="43"/>
    </row>
    <row r="48" spans="2:21" ht="7.5" customHeight="1" x14ac:dyDescent="0.2">
      <c r="B48" s="77"/>
      <c r="C48" s="77"/>
      <c r="D48" s="77"/>
      <c r="E48" s="77"/>
      <c r="F48" s="77"/>
      <c r="G48" s="77"/>
      <c r="H48" s="77"/>
      <c r="I48" s="77"/>
      <c r="J48" s="77"/>
      <c r="K48" s="84"/>
      <c r="L48" s="84"/>
      <c r="M48" s="84"/>
      <c r="N48" s="77"/>
      <c r="O48" s="77"/>
    </row>
    <row r="49" spans="2:19" ht="15.75" x14ac:dyDescent="0.25">
      <c r="B49" s="78" t="s">
        <v>98</v>
      </c>
      <c r="C49" s="52"/>
      <c r="D49" s="52"/>
      <c r="E49" s="52"/>
      <c r="F49" s="52"/>
      <c r="G49" s="52"/>
      <c r="H49" s="52"/>
      <c r="I49" s="52"/>
      <c r="J49" s="52"/>
      <c r="K49" s="52"/>
      <c r="L49" s="52"/>
      <c r="M49" s="52"/>
    </row>
    <row r="50" spans="2:19" x14ac:dyDescent="0.2">
      <c r="B50" s="85" t="s">
        <v>30</v>
      </c>
      <c r="C50" s="52"/>
      <c r="D50" s="52"/>
      <c r="F50" s="86" t="s">
        <v>19</v>
      </c>
      <c r="G50" s="52"/>
      <c r="H50" s="52"/>
      <c r="J50" s="86" t="s">
        <v>29</v>
      </c>
      <c r="K50" s="52"/>
      <c r="L50" s="52"/>
      <c r="M50" s="258" t="s">
        <v>54</v>
      </c>
      <c r="N50" s="258"/>
      <c r="O50" s="258"/>
    </row>
    <row r="51" spans="2:19" x14ac:dyDescent="0.2">
      <c r="B51" s="87" t="s">
        <v>21</v>
      </c>
      <c r="C51" s="52"/>
      <c r="D51" s="52"/>
      <c r="E51" s="130">
        <f>'PF Calculator'!E51</f>
        <v>0</v>
      </c>
      <c r="F51" s="130">
        <f>'PF Calculator'!F51</f>
        <v>0</v>
      </c>
      <c r="G51" s="130">
        <f>'PF Calculator'!G51</f>
        <v>0</v>
      </c>
      <c r="H51" s="52"/>
      <c r="I51" s="130">
        <f>'PF Calculator'!I51</f>
        <v>0</v>
      </c>
      <c r="J51" s="130">
        <f>'PF Calculator'!J51</f>
        <v>0</v>
      </c>
      <c r="K51" s="130">
        <f>'PF Calculator'!K51</f>
        <v>0</v>
      </c>
      <c r="L51" s="52"/>
      <c r="M51" s="122">
        <f t="shared" ref="M51:O53" si="0">I51-E51</f>
        <v>0</v>
      </c>
      <c r="N51" s="122">
        <f t="shared" si="0"/>
        <v>0</v>
      </c>
      <c r="O51" s="122">
        <f t="shared" si="0"/>
        <v>0</v>
      </c>
    </row>
    <row r="52" spans="2:19" x14ac:dyDescent="0.2">
      <c r="B52" s="87" t="s">
        <v>20</v>
      </c>
      <c r="C52" s="52"/>
      <c r="D52" s="52"/>
      <c r="E52" s="130">
        <f>'PF Calculator'!E52</f>
        <v>0</v>
      </c>
      <c r="F52" s="130">
        <f>'PF Calculator'!F52</f>
        <v>0</v>
      </c>
      <c r="G52" s="130">
        <f>'PF Calculator'!G52</f>
        <v>0</v>
      </c>
      <c r="H52" s="52"/>
      <c r="I52" s="130">
        <f>'PF Calculator'!I52</f>
        <v>0</v>
      </c>
      <c r="J52" s="130">
        <f>'PF Calculator'!J52</f>
        <v>0</v>
      </c>
      <c r="K52" s="130">
        <f>'PF Calculator'!K52</f>
        <v>0</v>
      </c>
      <c r="L52" s="52"/>
      <c r="M52" s="122">
        <f t="shared" si="0"/>
        <v>0</v>
      </c>
      <c r="N52" s="122">
        <f t="shared" si="0"/>
        <v>0</v>
      </c>
      <c r="O52" s="122">
        <f t="shared" si="0"/>
        <v>0</v>
      </c>
    </row>
    <row r="53" spans="2:19" x14ac:dyDescent="0.2">
      <c r="B53" s="87" t="s">
        <v>22</v>
      </c>
      <c r="C53" s="52"/>
      <c r="D53" s="52"/>
      <c r="E53" s="130">
        <f>'PF Calculator'!E53</f>
        <v>26</v>
      </c>
      <c r="F53" s="130">
        <f>'PF Calculator'!F53</f>
        <v>42</v>
      </c>
      <c r="G53" s="130">
        <f>'PF Calculator'!G53</f>
        <v>11</v>
      </c>
      <c r="H53" s="52"/>
      <c r="I53" s="130">
        <f>'PF Calculator'!I53</f>
        <v>13</v>
      </c>
      <c r="J53" s="130">
        <f>'PF Calculator'!J53</f>
        <v>0</v>
      </c>
      <c r="K53" s="130">
        <f>'PF Calculator'!K53</f>
        <v>0</v>
      </c>
      <c r="L53" s="52"/>
      <c r="M53" s="122">
        <f t="shared" si="0"/>
        <v>-13</v>
      </c>
      <c r="N53" s="122">
        <f t="shared" si="0"/>
        <v>-42</v>
      </c>
      <c r="O53" s="122">
        <f t="shared" si="0"/>
        <v>-11</v>
      </c>
      <c r="Q53" s="88"/>
      <c r="R53" s="88"/>
      <c r="S53" s="88"/>
    </row>
    <row r="54" spans="2:19" x14ac:dyDescent="0.2">
      <c r="B54" s="52"/>
      <c r="C54" s="52"/>
      <c r="D54" s="72" t="s">
        <v>31</v>
      </c>
      <c r="E54" s="88" t="s">
        <v>28</v>
      </c>
      <c r="F54" s="88" t="s">
        <v>27</v>
      </c>
      <c r="G54" s="88" t="s">
        <v>23</v>
      </c>
      <c r="H54" s="52"/>
      <c r="I54" s="88" t="s">
        <v>28</v>
      </c>
      <c r="J54" s="88" t="s">
        <v>27</v>
      </c>
      <c r="K54" s="88" t="s">
        <v>23</v>
      </c>
      <c r="L54" s="52"/>
      <c r="M54" s="88" t="s">
        <v>28</v>
      </c>
      <c r="N54" s="88" t="s">
        <v>27</v>
      </c>
      <c r="O54" s="88" t="s">
        <v>23</v>
      </c>
      <c r="Q54" s="88"/>
      <c r="R54" s="88"/>
      <c r="S54" s="88"/>
    </row>
    <row r="55" spans="2:19" x14ac:dyDescent="0.2">
      <c r="B55" s="52"/>
      <c r="C55" s="52"/>
      <c r="D55" s="52"/>
      <c r="E55" s="88" t="s">
        <v>25</v>
      </c>
      <c r="F55" s="88" t="s">
        <v>25</v>
      </c>
      <c r="G55" s="88" t="s">
        <v>24</v>
      </c>
      <c r="H55" s="52"/>
      <c r="I55" s="88" t="s">
        <v>25</v>
      </c>
      <c r="J55" s="88" t="s">
        <v>25</v>
      </c>
      <c r="K55" s="88" t="s">
        <v>24</v>
      </c>
      <c r="L55" s="52"/>
      <c r="M55" s="88" t="s">
        <v>25</v>
      </c>
      <c r="N55" s="88" t="s">
        <v>25</v>
      </c>
      <c r="O55" s="88" t="s">
        <v>24</v>
      </c>
    </row>
    <row r="56" spans="2:19" x14ac:dyDescent="0.2">
      <c r="B56" s="52"/>
      <c r="C56" s="52"/>
      <c r="D56" s="52"/>
      <c r="E56" s="88"/>
      <c r="F56" s="88"/>
      <c r="G56" s="88" t="s">
        <v>25</v>
      </c>
      <c r="H56" s="52"/>
      <c r="I56" s="88"/>
      <c r="J56" s="88"/>
      <c r="K56" s="88" t="s">
        <v>25</v>
      </c>
      <c r="L56" s="52"/>
      <c r="M56" s="88"/>
      <c r="N56" s="88"/>
      <c r="O56" s="88" t="s">
        <v>25</v>
      </c>
    </row>
    <row r="57" spans="2:19" x14ac:dyDescent="0.2">
      <c r="B57" s="52"/>
      <c r="C57" s="52"/>
      <c r="D57" s="52"/>
      <c r="E57" s="88"/>
      <c r="F57" s="88"/>
      <c r="G57" s="88"/>
      <c r="H57" s="52"/>
      <c r="I57" s="88"/>
      <c r="J57" s="88"/>
      <c r="K57" s="52"/>
      <c r="L57" s="69" t="s">
        <v>103</v>
      </c>
      <c r="M57" s="123">
        <f>'Discount Rates &amp; Assumptions'!M28*AvFloodDamages/200</f>
        <v>0.15</v>
      </c>
      <c r="N57" s="123">
        <f>'Discount Rates &amp; Assumptions'!M27*AvFloodDamages/200</f>
        <v>0.6</v>
      </c>
      <c r="O57" s="123">
        <f>'Discount Rates &amp; Assumptions'!M26*AvFloodDamages/200</f>
        <v>1.3500000000000003</v>
      </c>
      <c r="P57" s="89"/>
      <c r="Q57" s="89"/>
      <c r="R57" s="89"/>
    </row>
    <row r="58" spans="2:19" x14ac:dyDescent="0.2">
      <c r="B58" s="52"/>
      <c r="C58" s="52"/>
      <c r="D58" s="52"/>
      <c r="E58" s="52"/>
      <c r="F58" s="52"/>
      <c r="G58" s="52"/>
      <c r="H58" s="52"/>
      <c r="I58" s="52"/>
      <c r="J58" s="52"/>
      <c r="K58" s="52"/>
      <c r="L58" s="52"/>
      <c r="M58" s="52"/>
    </row>
    <row r="59" spans="2:19" ht="15.75" x14ac:dyDescent="0.25">
      <c r="B59" s="52" t="s">
        <v>57</v>
      </c>
      <c r="C59" s="52"/>
      <c r="D59" s="52"/>
      <c r="E59" s="52"/>
      <c r="F59" s="52"/>
      <c r="G59" s="52" t="s">
        <v>56</v>
      </c>
      <c r="H59" s="52"/>
      <c r="K59" s="69" t="s">
        <v>63</v>
      </c>
      <c r="O59" s="90" t="s">
        <v>79</v>
      </c>
    </row>
    <row r="60" spans="2:19" ht="15.75" x14ac:dyDescent="0.25">
      <c r="B60" s="87" t="str">
        <f>B51</f>
        <v>20% most deprived areas</v>
      </c>
      <c r="C60" s="52"/>
      <c r="D60" s="52"/>
      <c r="F60" s="296">
        <f>SUMPRODUCT($M51:$O51,$M$57:$O$57)</f>
        <v>0</v>
      </c>
      <c r="G60" s="296"/>
      <c r="H60" s="52"/>
      <c r="J60" s="297">
        <f>F60*Duration</f>
        <v>0</v>
      </c>
      <c r="K60" s="297"/>
      <c r="M60" s="90" t="s">
        <v>74</v>
      </c>
      <c r="N60" s="297">
        <f>-F60*VLOOKUP(Duration,'Discount Rates &amp; Assumptions'!$A$6:$D$105,4,FALSE)</f>
        <v>0</v>
      </c>
      <c r="O60" s="297"/>
    </row>
    <row r="61" spans="2:19" ht="15.75" x14ac:dyDescent="0.25">
      <c r="B61" s="87" t="str">
        <f>B52</f>
        <v>21-40% most deprived areas</v>
      </c>
      <c r="C61" s="52"/>
      <c r="D61" s="52"/>
      <c r="F61" s="296">
        <f>SUMPRODUCT($M52:$O52,$M$57:$O$57)</f>
        <v>0</v>
      </c>
      <c r="G61" s="296"/>
      <c r="H61" s="52"/>
      <c r="J61" s="297">
        <f>F61*Duration</f>
        <v>0</v>
      </c>
      <c r="K61" s="297"/>
      <c r="M61" s="90" t="s">
        <v>75</v>
      </c>
      <c r="N61" s="297">
        <f>-F61*VLOOKUP(Duration,'Discount Rates &amp; Assumptions'!$A$6:$D$105,4,FALSE)</f>
        <v>0</v>
      </c>
      <c r="O61" s="297"/>
    </row>
    <row r="62" spans="2:19" ht="15.75" x14ac:dyDescent="0.25">
      <c r="B62" s="87" t="str">
        <f>B53</f>
        <v>60% least deprived areas</v>
      </c>
      <c r="C62" s="52"/>
      <c r="D62" s="52"/>
      <c r="F62" s="296">
        <f>SUMPRODUCT($M53:$O53,$M$57:$O$57)</f>
        <v>-42</v>
      </c>
      <c r="G62" s="296"/>
      <c r="H62" s="52"/>
      <c r="J62" s="297">
        <f>F62*Duration</f>
        <v>-2394</v>
      </c>
      <c r="K62" s="297"/>
      <c r="M62" s="90" t="s">
        <v>90</v>
      </c>
      <c r="N62" s="297">
        <f>-F62*VLOOKUP(Duration,'Discount Rates &amp; Assumptions'!$A$6:$D$105,4,FALSE)</f>
        <v>1088.7059843582865</v>
      </c>
      <c r="O62" s="297"/>
    </row>
    <row r="63" spans="2:19" ht="7.5" customHeight="1" x14ac:dyDescent="0.25">
      <c r="B63" s="87"/>
      <c r="C63" s="52"/>
      <c r="D63" s="52"/>
      <c r="F63" s="91"/>
      <c r="G63" s="91"/>
      <c r="H63" s="52"/>
      <c r="J63" s="92"/>
      <c r="K63" s="92"/>
      <c r="M63" s="90"/>
    </row>
    <row r="64" spans="2:19" ht="7.5" customHeight="1" x14ac:dyDescent="0.2">
      <c r="B64" s="84"/>
      <c r="C64" s="84"/>
      <c r="D64" s="84"/>
      <c r="E64" s="84"/>
      <c r="F64" s="84"/>
      <c r="G64" s="84"/>
      <c r="H64" s="77"/>
      <c r="I64" s="77"/>
      <c r="J64" s="77"/>
      <c r="K64" s="77"/>
      <c r="L64" s="77"/>
      <c r="M64" s="84"/>
      <c r="N64" s="77"/>
      <c r="O64" s="77"/>
    </row>
    <row r="65" spans="2:16" ht="15.75" x14ac:dyDescent="0.25">
      <c r="B65" s="78" t="s">
        <v>99</v>
      </c>
      <c r="H65" s="52"/>
      <c r="I65" s="52"/>
      <c r="J65" s="52"/>
      <c r="K65" s="52"/>
      <c r="L65" s="52"/>
    </row>
    <row r="66" spans="2:16" x14ac:dyDescent="0.2">
      <c r="B66" s="85" t="s">
        <v>30</v>
      </c>
      <c r="C66" s="52"/>
      <c r="D66" s="52"/>
      <c r="E66" s="86"/>
      <c r="F66" s="257" t="s">
        <v>19</v>
      </c>
      <c r="G66" s="257"/>
      <c r="H66" s="52"/>
      <c r="I66" s="93" t="s">
        <v>66</v>
      </c>
    </row>
    <row r="67" spans="2:16" x14ac:dyDescent="0.2">
      <c r="B67" s="87" t="s">
        <v>21</v>
      </c>
      <c r="C67" s="52"/>
      <c r="D67" s="52"/>
      <c r="E67" s="52"/>
      <c r="F67" s="130">
        <f>'PF Calculator'!F67+0.5*'PF Calculator'!G67</f>
        <v>0</v>
      </c>
      <c r="G67" s="130">
        <f>'PF Calculator'!G67*0.5</f>
        <v>0</v>
      </c>
      <c r="H67" s="52"/>
      <c r="I67" s="87" t="s">
        <v>55</v>
      </c>
      <c r="J67" s="87"/>
      <c r="K67" s="94"/>
      <c r="L67" s="87"/>
      <c r="M67" s="124">
        <f>AvCEDamages/1000</f>
        <v>6</v>
      </c>
      <c r="N67" s="124">
        <f>AvCEDamages/1000</f>
        <v>6</v>
      </c>
    </row>
    <row r="68" spans="2:16" x14ac:dyDescent="0.2">
      <c r="B68" s="87" t="s">
        <v>20</v>
      </c>
      <c r="C68" s="52"/>
      <c r="D68" s="52"/>
      <c r="E68" s="52"/>
      <c r="F68" s="130">
        <f>'PF Calculator'!F68+0.5*'PF Calculator'!G68</f>
        <v>0</v>
      </c>
      <c r="G68" s="130">
        <f>'PF Calculator'!G68*0.5</f>
        <v>0</v>
      </c>
      <c r="H68" s="52"/>
      <c r="I68" s="95" t="s">
        <v>67</v>
      </c>
      <c r="M68" s="125">
        <v>50</v>
      </c>
      <c r="N68" s="125">
        <v>20</v>
      </c>
      <c r="O68" s="87" t="s">
        <v>8</v>
      </c>
    </row>
    <row r="69" spans="2:16" ht="15" customHeight="1" x14ac:dyDescent="0.2">
      <c r="B69" s="87" t="s">
        <v>22</v>
      </c>
      <c r="C69" s="52"/>
      <c r="D69" s="52"/>
      <c r="E69" s="52"/>
      <c r="F69" s="130">
        <f>'PF Calculator'!F69+0.5*'PF Calculator'!G69</f>
        <v>0</v>
      </c>
      <c r="G69" s="130">
        <f>'PF Calculator'!G69*0.5</f>
        <v>0</v>
      </c>
      <c r="H69" s="52"/>
      <c r="I69" s="270" t="s">
        <v>95</v>
      </c>
      <c r="J69" s="270"/>
      <c r="K69" s="270"/>
      <c r="L69" s="270"/>
      <c r="M69" s="124">
        <f>M67*VLOOKUP('Discount Rates &amp; Assumptions'!K39,'Discount Rates &amp; Assumptions'!$A$6:$D$105,3,FALSE)</f>
        <v>1.1835763061432307</v>
      </c>
      <c r="N69" s="124">
        <f>N67*VLOOKUP('Discount Rates &amp; Assumptions'!K38,'Discount Rates &amp; Assumptions'!$A$6:$D$105,3,FALSE)</f>
        <v>3.0153953065900234</v>
      </c>
    </row>
    <row r="70" spans="2:16" ht="28.5" x14ac:dyDescent="0.2">
      <c r="B70" s="52"/>
      <c r="C70" s="52"/>
      <c r="D70" s="96"/>
      <c r="E70" s="52"/>
      <c r="F70" s="97" t="s">
        <v>65</v>
      </c>
      <c r="G70" s="97" t="s">
        <v>64</v>
      </c>
      <c r="H70" s="52"/>
      <c r="I70" s="270"/>
      <c r="J70" s="270"/>
      <c r="K70" s="270"/>
      <c r="L70" s="270"/>
      <c r="M70" s="98" t="s">
        <v>65</v>
      </c>
      <c r="N70" s="98" t="s">
        <v>64</v>
      </c>
    </row>
    <row r="71" spans="2:16" x14ac:dyDescent="0.2">
      <c r="B71" s="99"/>
      <c r="C71" s="99"/>
      <c r="D71" s="99"/>
      <c r="E71" s="99"/>
      <c r="F71" s="88"/>
      <c r="G71" s="52"/>
      <c r="H71" s="52"/>
      <c r="I71" s="52"/>
      <c r="J71" s="52"/>
      <c r="K71" s="52"/>
      <c r="L71" s="52"/>
      <c r="M71" s="52"/>
    </row>
    <row r="72" spans="2:16" ht="15.75" x14ac:dyDescent="0.25">
      <c r="B72" s="52" t="s">
        <v>57</v>
      </c>
      <c r="C72" s="52"/>
      <c r="D72" s="52"/>
      <c r="E72" s="52"/>
      <c r="F72" s="52"/>
      <c r="G72" s="69" t="s">
        <v>96</v>
      </c>
      <c r="H72" s="52"/>
      <c r="K72" s="69" t="s">
        <v>73</v>
      </c>
      <c r="O72" s="90" t="s">
        <v>78</v>
      </c>
    </row>
    <row r="73" spans="2:16" ht="15.75" x14ac:dyDescent="0.25">
      <c r="B73" s="87" t="str">
        <f>B67</f>
        <v>20% most deprived areas</v>
      </c>
      <c r="C73" s="52"/>
      <c r="D73" s="52"/>
      <c r="F73" s="296">
        <f>-SUMPRODUCT($M$69:$N$69,F67:G67)</f>
        <v>0</v>
      </c>
      <c r="G73" s="296"/>
      <c r="H73" s="52"/>
      <c r="J73" s="297">
        <f>F73*Duration</f>
        <v>0</v>
      </c>
      <c r="K73" s="297"/>
      <c r="M73" s="90" t="s">
        <v>76</v>
      </c>
      <c r="N73" s="298">
        <f>-F73*VLOOKUP(Duration,'Discount Rates &amp; Assumptions'!$A$6:$D$105,4,FALSE)</f>
        <v>0</v>
      </c>
      <c r="O73" s="298"/>
    </row>
    <row r="74" spans="2:16" ht="15.75" x14ac:dyDescent="0.25">
      <c r="B74" s="87" t="str">
        <f>B68</f>
        <v>21-40% most deprived areas</v>
      </c>
      <c r="C74" s="52"/>
      <c r="D74" s="52"/>
      <c r="F74" s="296">
        <f>-SUMPRODUCT($M$69:$N$69,F68:G68)</f>
        <v>0</v>
      </c>
      <c r="G74" s="296"/>
      <c r="H74" s="52"/>
      <c r="J74" s="297">
        <f>F74*Duration</f>
        <v>0</v>
      </c>
      <c r="K74" s="297"/>
      <c r="M74" s="90" t="s">
        <v>77</v>
      </c>
      <c r="N74" s="298">
        <f>-F74*VLOOKUP(Duration,'Discount Rates &amp; Assumptions'!$A$6:$D$105,4,FALSE)</f>
        <v>0</v>
      </c>
      <c r="O74" s="298"/>
    </row>
    <row r="75" spans="2:16" ht="15.75" x14ac:dyDescent="0.25">
      <c r="B75" s="87" t="str">
        <f>B69</f>
        <v>60% least deprived areas</v>
      </c>
      <c r="C75" s="52"/>
      <c r="D75" s="52"/>
      <c r="F75" s="296">
        <f>-SUMPRODUCT($M$69:$N$69,F69:G69)</f>
        <v>0</v>
      </c>
      <c r="G75" s="296"/>
      <c r="H75" s="52"/>
      <c r="J75" s="297">
        <f>F75*Duration</f>
        <v>0</v>
      </c>
      <c r="K75" s="297"/>
      <c r="M75" s="90" t="s">
        <v>91</v>
      </c>
      <c r="N75" s="298">
        <f>-F75*VLOOKUP(Duration,'Discount Rates &amp; Assumptions'!$A$6:$D$105,4,FALSE)</f>
        <v>0</v>
      </c>
      <c r="O75" s="298"/>
    </row>
    <row r="76" spans="2:16" ht="7.5" customHeight="1" x14ac:dyDescent="0.2">
      <c r="H76" s="52"/>
      <c r="I76" s="52"/>
      <c r="J76" s="52"/>
      <c r="K76" s="52"/>
      <c r="L76" s="52"/>
    </row>
    <row r="77" spans="2:16" ht="7.5" customHeight="1" x14ac:dyDescent="0.2">
      <c r="B77" s="84"/>
      <c r="C77" s="84"/>
      <c r="D77" s="84"/>
      <c r="E77" s="84"/>
      <c r="F77" s="84"/>
      <c r="G77" s="84"/>
      <c r="H77" s="77"/>
      <c r="I77" s="77"/>
      <c r="J77" s="77"/>
      <c r="K77" s="77"/>
      <c r="L77" s="77"/>
      <c r="M77" s="84"/>
      <c r="N77" s="77"/>
      <c r="O77" s="77"/>
    </row>
    <row r="78" spans="2:16" ht="15.75" x14ac:dyDescent="0.25">
      <c r="B78" s="78" t="s">
        <v>100</v>
      </c>
      <c r="H78" s="52"/>
      <c r="I78" s="52"/>
      <c r="J78" s="52"/>
      <c r="K78" s="52"/>
      <c r="L78" s="52"/>
    </row>
    <row r="79" spans="2:16" ht="15.75" x14ac:dyDescent="0.25">
      <c r="B79" s="52" t="s">
        <v>70</v>
      </c>
      <c r="C79" s="52"/>
      <c r="D79" s="52"/>
      <c r="E79" s="100"/>
      <c r="F79" s="261"/>
      <c r="G79" s="261"/>
      <c r="H79" s="65"/>
      <c r="I79" s="93"/>
      <c r="K79" s="101" t="s">
        <v>89</v>
      </c>
      <c r="L79" s="93"/>
      <c r="M79" s="93"/>
      <c r="N79" s="93"/>
      <c r="O79" s="90" t="s">
        <v>78</v>
      </c>
      <c r="P79" s="93"/>
    </row>
    <row r="80" spans="2:16" x14ac:dyDescent="0.2">
      <c r="B80" s="93" t="s">
        <v>68</v>
      </c>
      <c r="C80" s="171">
        <f>'PF Calculator'!C80</f>
        <v>100</v>
      </c>
      <c r="D80" s="85" t="s">
        <v>12</v>
      </c>
      <c r="E80" s="65"/>
      <c r="F80" s="65"/>
      <c r="G80" s="65"/>
      <c r="H80" s="65"/>
      <c r="I80" s="52"/>
      <c r="J80" s="291">
        <f>'Discount Rates &amp; Assumptions'!K14/1000</f>
        <v>15</v>
      </c>
      <c r="K80" s="291"/>
      <c r="L80" s="93"/>
      <c r="M80" s="101" t="s">
        <v>68</v>
      </c>
      <c r="N80" s="292">
        <f>J80*C80</f>
        <v>1500</v>
      </c>
      <c r="O80" s="292"/>
      <c r="P80" s="93"/>
    </row>
    <row r="81" spans="1:16" x14ac:dyDescent="0.2">
      <c r="B81" s="93" t="s">
        <v>4</v>
      </c>
      <c r="C81" s="171">
        <f>'PF Calculator'!C81</f>
        <v>10000</v>
      </c>
      <c r="D81" s="85" t="s">
        <v>11</v>
      </c>
      <c r="E81" s="65"/>
      <c r="F81" s="65"/>
      <c r="G81" s="65"/>
      <c r="H81" s="65"/>
      <c r="I81" s="52"/>
      <c r="J81" s="291">
        <f>'Discount Rates &amp; Assumptions'!K15/1000</f>
        <v>50</v>
      </c>
      <c r="K81" s="291"/>
      <c r="L81" s="93"/>
      <c r="M81" s="101" t="s">
        <v>4</v>
      </c>
      <c r="N81" s="292">
        <f>J81*C81</f>
        <v>500000</v>
      </c>
      <c r="O81" s="292"/>
      <c r="P81" s="93"/>
    </row>
    <row r="82" spans="1:16" x14ac:dyDescent="0.2">
      <c r="B82" s="93" t="s">
        <v>69</v>
      </c>
      <c r="C82" s="171">
        <f>'PF Calculator'!C82</f>
        <v>20000</v>
      </c>
      <c r="D82" s="85" t="s">
        <v>10</v>
      </c>
      <c r="E82" s="52"/>
      <c r="F82" s="52"/>
      <c r="G82" s="52"/>
      <c r="H82" s="52"/>
      <c r="I82" s="52"/>
      <c r="J82" s="291">
        <f>'Discount Rates &amp; Assumptions'!K16/1000</f>
        <v>80</v>
      </c>
      <c r="K82" s="291"/>
      <c r="L82" s="93"/>
      <c r="M82" s="101" t="s">
        <v>69</v>
      </c>
      <c r="N82" s="292">
        <f>J82*C82</f>
        <v>1600000</v>
      </c>
      <c r="O82" s="292"/>
      <c r="P82" s="93"/>
    </row>
    <row r="83" spans="1:16" ht="15.75" x14ac:dyDescent="0.25">
      <c r="B83" s="52"/>
      <c r="C83" s="52"/>
      <c r="D83" s="85"/>
      <c r="E83" s="52"/>
      <c r="F83" s="52"/>
      <c r="G83" s="52"/>
      <c r="H83" s="52"/>
      <c r="I83" s="52"/>
      <c r="J83" s="52"/>
      <c r="K83" s="52"/>
      <c r="L83" s="93"/>
      <c r="M83" s="90" t="s">
        <v>3</v>
      </c>
      <c r="N83" s="293">
        <f>SUM(N80:O82)</f>
        <v>2101500</v>
      </c>
      <c r="O83" s="293"/>
      <c r="P83" s="93"/>
    </row>
    <row r="84" spans="1:16" ht="7.5" customHeight="1" x14ac:dyDescent="0.25">
      <c r="B84" s="52"/>
      <c r="C84" s="52"/>
      <c r="D84" s="96"/>
      <c r="E84" s="52"/>
      <c r="F84" s="52"/>
      <c r="G84" s="52"/>
      <c r="H84" s="52"/>
      <c r="I84" s="52"/>
      <c r="J84" s="52"/>
      <c r="K84" s="52"/>
      <c r="L84" s="93"/>
      <c r="M84" s="90"/>
      <c r="N84" s="93"/>
    </row>
    <row r="85" spans="1:16" ht="7.5" customHeight="1" x14ac:dyDescent="0.2">
      <c r="B85" s="77"/>
      <c r="C85" s="77"/>
      <c r="D85" s="102"/>
      <c r="E85" s="77"/>
      <c r="F85" s="77"/>
      <c r="G85" s="77"/>
      <c r="H85" s="77"/>
      <c r="I85" s="77"/>
      <c r="J85" s="77"/>
      <c r="K85" s="77"/>
      <c r="L85" s="103"/>
      <c r="M85" s="77"/>
      <c r="N85" s="77"/>
      <c r="O85" s="77"/>
    </row>
    <row r="86" spans="1:16" ht="15.75" x14ac:dyDescent="0.25">
      <c r="B86" s="78" t="s">
        <v>102</v>
      </c>
      <c r="C86" s="52"/>
      <c r="E86" s="52"/>
      <c r="F86" s="52"/>
      <c r="G86" s="52"/>
      <c r="H86" s="52"/>
      <c r="I86" s="52"/>
      <c r="J86" s="52"/>
      <c r="K86" s="52"/>
      <c r="L86" s="52"/>
      <c r="M86" s="52"/>
    </row>
    <row r="87" spans="1:16" x14ac:dyDescent="0.2">
      <c r="B87" s="104"/>
      <c r="C87" s="52"/>
      <c r="E87" s="52"/>
      <c r="F87" s="52"/>
      <c r="G87" s="52"/>
      <c r="H87" s="52"/>
      <c r="I87" s="52"/>
      <c r="J87" s="52"/>
      <c r="K87" s="52"/>
      <c r="L87" s="52"/>
      <c r="M87" s="52"/>
    </row>
    <row r="88" spans="1:16" x14ac:dyDescent="0.2">
      <c r="B88" s="93" t="s">
        <v>83</v>
      </c>
      <c r="C88" s="93"/>
      <c r="D88" s="93" t="s">
        <v>92</v>
      </c>
      <c r="F88" s="85" t="s">
        <v>71</v>
      </c>
      <c r="G88" s="85"/>
      <c r="H88" s="85"/>
      <c r="I88" s="85" t="s">
        <v>82</v>
      </c>
      <c r="J88" s="85"/>
      <c r="K88" s="52"/>
      <c r="L88" s="52"/>
      <c r="M88" s="52"/>
    </row>
    <row r="89" spans="1:16" x14ac:dyDescent="0.2">
      <c r="A89" s="149"/>
      <c r="B89" s="150" t="s">
        <v>2</v>
      </c>
      <c r="C89" s="151"/>
      <c r="D89" s="294" t="str">
        <f>IF(H29=0,0,IF(MAX((H29-SUM(D90:E96)),0)&gt;0,H29-SUM(D90:E96),"Ltd by high OM2,3,4 values"))</f>
        <v>Ltd by high OM2,3,4 values</v>
      </c>
      <c r="E89" s="295"/>
      <c r="F89" s="148">
        <f>1/TargetBCRWLBs*100</f>
        <v>5.5555555555555554</v>
      </c>
      <c r="G89" s="149" t="s">
        <v>81</v>
      </c>
      <c r="H89" s="52"/>
      <c r="I89" s="287">
        <f>IF(D89="Ltd by high OM2,3,4 values",0,D89*F89/100)</f>
        <v>0</v>
      </c>
      <c r="J89" s="287"/>
      <c r="K89" s="52"/>
      <c r="L89" s="93"/>
      <c r="M89" s="52"/>
      <c r="N89" s="107"/>
    </row>
    <row r="90" spans="1:16" x14ac:dyDescent="0.2">
      <c r="B90" s="108" t="s">
        <v>1</v>
      </c>
      <c r="C90" s="109" t="s">
        <v>84</v>
      </c>
      <c r="D90" s="286">
        <f>N60</f>
        <v>0</v>
      </c>
      <c r="E90" s="286"/>
      <c r="F90" s="126">
        <f>1/TargetMinBCR*DeprivedScalar20*100</f>
        <v>45</v>
      </c>
      <c r="G90" s="52"/>
      <c r="H90" s="52"/>
      <c r="I90" s="287">
        <f t="shared" ref="I90:I96" si="1">D90*F90/100</f>
        <v>0</v>
      </c>
      <c r="J90" s="287"/>
      <c r="K90" s="52"/>
      <c r="L90" s="52"/>
      <c r="M90" s="52"/>
      <c r="N90" s="107"/>
    </row>
    <row r="91" spans="1:16" x14ac:dyDescent="0.2">
      <c r="B91" s="110"/>
      <c r="C91" s="111" t="s">
        <v>80</v>
      </c>
      <c r="D91" s="286">
        <f>N61</f>
        <v>0</v>
      </c>
      <c r="E91" s="286"/>
      <c r="F91" s="126">
        <f>1/TargetMinBCR*DeprivedScalar40*100</f>
        <v>30.000000000000004</v>
      </c>
      <c r="G91" s="52"/>
      <c r="H91" s="52"/>
      <c r="I91" s="287">
        <f t="shared" si="1"/>
        <v>0</v>
      </c>
      <c r="J91" s="287"/>
      <c r="M91" s="93"/>
    </row>
    <row r="92" spans="1:16" x14ac:dyDescent="0.2">
      <c r="B92" s="112"/>
      <c r="C92" s="113" t="s">
        <v>88</v>
      </c>
      <c r="D92" s="286">
        <f>N62</f>
        <v>1088.7059843582865</v>
      </c>
      <c r="E92" s="286"/>
      <c r="F92" s="126">
        <f>1/TargetMinBCR*DeprivedScalarOther*100</f>
        <v>20</v>
      </c>
      <c r="G92" s="52"/>
      <c r="H92" s="52"/>
      <c r="I92" s="287">
        <f t="shared" si="1"/>
        <v>217.74119687165731</v>
      </c>
      <c r="J92" s="287"/>
    </row>
    <row r="93" spans="1:16" x14ac:dyDescent="0.2">
      <c r="B93" s="108" t="s">
        <v>0</v>
      </c>
      <c r="C93" s="109" t="s">
        <v>84</v>
      </c>
      <c r="D93" s="286">
        <f>N73</f>
        <v>0</v>
      </c>
      <c r="E93" s="286"/>
      <c r="F93" s="126">
        <f>1/TargetMinBCR*DeprivedScalar20*100</f>
        <v>45</v>
      </c>
      <c r="G93" s="52"/>
      <c r="H93" s="52"/>
      <c r="I93" s="287">
        <f t="shared" si="1"/>
        <v>0</v>
      </c>
      <c r="J93" s="287"/>
    </row>
    <row r="94" spans="1:16" x14ac:dyDescent="0.2">
      <c r="B94" s="114"/>
      <c r="C94" s="111" t="s">
        <v>80</v>
      </c>
      <c r="D94" s="286">
        <f>N74</f>
        <v>0</v>
      </c>
      <c r="E94" s="286"/>
      <c r="F94" s="126">
        <f>1/TargetMinBCR*DeprivedScalar40*100</f>
        <v>30.000000000000004</v>
      </c>
      <c r="G94" s="52"/>
      <c r="H94" s="52"/>
      <c r="I94" s="287">
        <f t="shared" si="1"/>
        <v>0</v>
      </c>
      <c r="J94" s="287"/>
    </row>
    <row r="95" spans="1:16" x14ac:dyDescent="0.2">
      <c r="B95" s="112"/>
      <c r="C95" s="113" t="s">
        <v>88</v>
      </c>
      <c r="D95" s="286">
        <f>N75</f>
        <v>0</v>
      </c>
      <c r="E95" s="286"/>
      <c r="F95" s="126">
        <f>1/TargetMinBCR*DeprivedScalarOther*100</f>
        <v>20</v>
      </c>
      <c r="G95" s="52"/>
      <c r="H95" s="52"/>
      <c r="I95" s="287">
        <f t="shared" si="1"/>
        <v>0</v>
      </c>
      <c r="J95" s="287"/>
    </row>
    <row r="96" spans="1:16" x14ac:dyDescent="0.2">
      <c r="B96" s="105" t="s">
        <v>3</v>
      </c>
      <c r="C96" s="106"/>
      <c r="D96" s="286">
        <f>N83</f>
        <v>2101500</v>
      </c>
      <c r="E96" s="286"/>
      <c r="F96" s="126">
        <v>100</v>
      </c>
      <c r="G96" s="52"/>
      <c r="H96" s="52"/>
      <c r="I96" s="287">
        <f t="shared" si="1"/>
        <v>2101500</v>
      </c>
      <c r="J96" s="287"/>
      <c r="P96" s="133"/>
    </row>
    <row r="97" spans="1:22" ht="15.75" x14ac:dyDescent="0.25">
      <c r="B97" s="52" t="s">
        <v>7</v>
      </c>
      <c r="C97" s="52"/>
      <c r="D97" s="288">
        <f>SUM(D89:E96)</f>
        <v>2102588.7059843582</v>
      </c>
      <c r="E97" s="281"/>
      <c r="F97" s="52"/>
      <c r="G97" s="52"/>
      <c r="H97" s="52"/>
      <c r="I97" s="289">
        <f>SUM(I89:J96)</f>
        <v>2101717.7411968717</v>
      </c>
      <c r="J97" s="290"/>
      <c r="K97" s="273" t="s">
        <v>141</v>
      </c>
      <c r="L97" s="273"/>
      <c r="M97" s="273"/>
      <c r="N97" s="273"/>
      <c r="O97" s="273"/>
    </row>
    <row r="98" spans="1:22" x14ac:dyDescent="0.2">
      <c r="B98" s="52"/>
      <c r="C98" s="52"/>
      <c r="D98" s="52"/>
      <c r="E98" s="52"/>
      <c r="F98" s="52"/>
      <c r="G98" s="52"/>
      <c r="H98" s="52"/>
      <c r="I98" s="52"/>
      <c r="K98" s="273"/>
      <c r="L98" s="273"/>
      <c r="M98" s="273"/>
      <c r="N98" s="273"/>
      <c r="O98" s="273"/>
    </row>
    <row r="99" spans="1:22" s="93" customFormat="1" x14ac:dyDescent="0.2">
      <c r="B99" s="115" t="s">
        <v>104</v>
      </c>
      <c r="C99" s="77"/>
      <c r="D99" s="102"/>
      <c r="E99" s="77"/>
      <c r="F99" s="77"/>
      <c r="G99" s="77"/>
      <c r="H99" s="77"/>
      <c r="I99" s="77"/>
      <c r="J99" s="77"/>
      <c r="K99" s="77"/>
      <c r="L99" s="103"/>
      <c r="M99" s="77"/>
      <c r="N99" s="77"/>
      <c r="O99" s="77"/>
      <c r="P99" s="55"/>
    </row>
    <row r="100" spans="1:22" s="116" customFormat="1" ht="12.75" x14ac:dyDescent="0.2">
      <c r="B100" s="117" t="s">
        <v>105</v>
      </c>
    </row>
    <row r="101" spans="1:22" s="116" customFormat="1" ht="12.75" x14ac:dyDescent="0.2">
      <c r="B101" s="117" t="s">
        <v>111</v>
      </c>
    </row>
    <row r="102" spans="1:22" s="116" customFormat="1" ht="25.15" customHeight="1" x14ac:dyDescent="0.2">
      <c r="B102" s="117"/>
    </row>
    <row r="103" spans="1:22" ht="15.75" x14ac:dyDescent="0.25">
      <c r="B103" s="118" t="s">
        <v>93</v>
      </c>
      <c r="C103" s="52"/>
      <c r="D103" s="52"/>
      <c r="E103" s="52"/>
      <c r="F103" s="52"/>
      <c r="H103" s="52"/>
      <c r="I103" s="52"/>
      <c r="J103" s="52"/>
      <c r="K103" s="52"/>
      <c r="L103" s="52"/>
      <c r="M103" s="52"/>
    </row>
    <row r="105" spans="1:22" x14ac:dyDescent="0.2">
      <c r="B105" s="93"/>
      <c r="C105" s="93"/>
      <c r="D105" s="93"/>
      <c r="E105" s="93"/>
      <c r="F105" s="93"/>
      <c r="H105" s="93"/>
      <c r="I105" s="93"/>
    </row>
    <row r="106" spans="1:22" s="55" customFormat="1" x14ac:dyDescent="0.2">
      <c r="A106" s="52"/>
      <c r="N106" s="52"/>
      <c r="O106" s="52"/>
      <c r="P106" s="52"/>
      <c r="Q106" s="52"/>
      <c r="R106" s="52"/>
      <c r="S106" s="52"/>
      <c r="T106" s="52"/>
      <c r="U106" s="52"/>
      <c r="V106" s="52"/>
    </row>
    <row r="107" spans="1:22" s="55" customFormat="1" x14ac:dyDescent="0.2">
      <c r="A107" s="52"/>
      <c r="N107" s="52"/>
      <c r="O107" s="52"/>
      <c r="P107" s="52"/>
      <c r="Q107" s="52"/>
      <c r="R107" s="52"/>
      <c r="S107" s="52"/>
      <c r="T107" s="52"/>
      <c r="U107" s="52"/>
      <c r="V107" s="52"/>
    </row>
    <row r="108" spans="1:22" s="55" customFormat="1" ht="23.25" x14ac:dyDescent="0.35">
      <c r="A108" s="52"/>
      <c r="B108" s="141"/>
      <c r="N108" s="52"/>
      <c r="O108" s="52"/>
      <c r="P108" s="52"/>
      <c r="Q108" s="52"/>
      <c r="R108" s="52"/>
      <c r="S108" s="52"/>
      <c r="T108" s="52"/>
      <c r="U108" s="52"/>
      <c r="V108" s="52"/>
    </row>
    <row r="109" spans="1:22" s="55" customFormat="1" x14ac:dyDescent="0.2">
      <c r="A109" s="52"/>
      <c r="N109" s="52"/>
      <c r="O109" s="52"/>
      <c r="P109" s="52"/>
      <c r="Q109" s="52"/>
      <c r="R109" s="52"/>
      <c r="S109" s="52"/>
      <c r="T109" s="52"/>
      <c r="U109" s="52"/>
      <c r="V109" s="52"/>
    </row>
    <row r="110" spans="1:22" s="55" customFormat="1" ht="23.25" x14ac:dyDescent="0.35">
      <c r="A110" s="52"/>
      <c r="D110" s="141"/>
      <c r="N110" s="52"/>
      <c r="O110" s="52"/>
      <c r="P110" s="52"/>
      <c r="Q110" s="52"/>
      <c r="R110" s="52"/>
      <c r="S110" s="52"/>
      <c r="T110" s="52"/>
      <c r="U110" s="52"/>
      <c r="V110" s="52"/>
    </row>
    <row r="111" spans="1:22" s="93" customFormat="1" ht="23.25" x14ac:dyDescent="0.35">
      <c r="I111" s="141"/>
    </row>
    <row r="112" spans="1:22" s="93" customFormat="1" ht="23.25" x14ac:dyDescent="0.35">
      <c r="B112" s="141"/>
      <c r="C112" s="140"/>
    </row>
    <row r="113" s="93" customFormat="1" x14ac:dyDescent="0.2"/>
    <row r="114" s="93" customFormat="1" x14ac:dyDescent="0.2"/>
    <row r="115" s="93" customFormat="1" x14ac:dyDescent="0.2"/>
    <row r="116" s="93" customFormat="1" x14ac:dyDescent="0.2"/>
    <row r="117" s="93" customFormat="1" x14ac:dyDescent="0.2"/>
    <row r="118" s="93" customFormat="1" x14ac:dyDescent="0.2"/>
    <row r="119" s="93" customFormat="1" x14ac:dyDescent="0.2"/>
  </sheetData>
  <sheetProtection password="A377" sheet="1" objects="1" scenarios="1"/>
  <mergeCells count="59">
    <mergeCell ref="K97:O98"/>
    <mergeCell ref="D95:E95"/>
    <mergeCell ref="I95:J95"/>
    <mergeCell ref="D96:E96"/>
    <mergeCell ref="I96:J96"/>
    <mergeCell ref="D97:E97"/>
    <mergeCell ref="I97:J97"/>
    <mergeCell ref="D92:E92"/>
    <mergeCell ref="I92:J92"/>
    <mergeCell ref="D93:E93"/>
    <mergeCell ref="I93:J93"/>
    <mergeCell ref="D94:E94"/>
    <mergeCell ref="I94:J94"/>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F74:G74"/>
    <mergeCell ref="J74:K74"/>
    <mergeCell ref="N74:O74"/>
    <mergeCell ref="F75:G75"/>
    <mergeCell ref="J75:K75"/>
    <mergeCell ref="N75:O75"/>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Q17:V23"/>
    <mergeCell ref="J22:O22"/>
    <mergeCell ref="M50:O50"/>
    <mergeCell ref="B5:D5"/>
    <mergeCell ref="M8:O8"/>
    <mergeCell ref="M9:O9"/>
    <mergeCell ref="J17:O21"/>
    <mergeCell ref="J26:N27"/>
    <mergeCell ref="J30:N33"/>
    <mergeCell ref="J38:O39"/>
    <mergeCell ref="P38:U43"/>
    <mergeCell ref="J40:O46"/>
  </mergeCells>
  <conditionalFormatting sqref="B10 P26 Q17">
    <cfRule type="expression" dxfId="2" priority="1" stopIfTrue="1">
      <formula>LEFT($P$26,6)="ERROR!"</formula>
    </cfRule>
  </conditionalFormatting>
  <dataValidations count="1">
    <dataValidation type="list" allowBlank="1" showInputMessage="1" showErrorMessage="1" sqref="E47">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11"/>
  <sheetViews>
    <sheetView topLeftCell="A10" zoomScale="70" zoomScaleNormal="70" workbookViewId="0">
      <selection activeCell="H44" sqref="H44"/>
    </sheetView>
  </sheetViews>
  <sheetFormatPr defaultColWidth="8.88671875" defaultRowHeight="15" x14ac:dyDescent="0.2"/>
  <cols>
    <col min="1" max="1" width="2" style="52" customWidth="1"/>
    <col min="2" max="2" width="16.5546875" style="55" customWidth="1"/>
    <col min="3" max="13" width="10.6640625" style="55" customWidth="1"/>
    <col min="14" max="18" width="10.6640625" style="52" customWidth="1"/>
    <col min="19" max="16384" width="8.88671875" style="52"/>
  </cols>
  <sheetData>
    <row r="2" spans="1:18" ht="20.25" x14ac:dyDescent="0.3">
      <c r="B2" s="53" t="s">
        <v>189</v>
      </c>
      <c r="C2" s="54"/>
      <c r="D2" s="54"/>
    </row>
    <row r="3" spans="1:18" ht="20.25" x14ac:dyDescent="0.3">
      <c r="B3" s="56" t="s">
        <v>163</v>
      </c>
      <c r="C3" s="54"/>
      <c r="D3" s="54"/>
    </row>
    <row r="4" spans="1:18" x14ac:dyDescent="0.2">
      <c r="B4" s="57"/>
      <c r="C4" s="44"/>
      <c r="D4" s="44"/>
    </row>
    <row r="5" spans="1:18" ht="20.25" x14ac:dyDescent="0.3">
      <c r="B5" s="249" t="s">
        <v>138</v>
      </c>
      <c r="C5" s="249"/>
      <c r="D5" s="249"/>
      <c r="E5" s="167" t="str">
        <f>'PF Calculator'!E5</f>
        <v>Wrington</v>
      </c>
      <c r="F5" s="168"/>
      <c r="G5" s="168"/>
      <c r="H5" s="168"/>
      <c r="I5" s="168"/>
      <c r="J5" s="168"/>
      <c r="K5" s="168"/>
      <c r="L5" s="168"/>
      <c r="M5" s="168"/>
      <c r="N5" s="168"/>
      <c r="O5" s="168"/>
      <c r="P5" s="58"/>
      <c r="Q5" s="59"/>
      <c r="R5" s="59"/>
    </row>
    <row r="6" spans="1:18" ht="20.25" x14ac:dyDescent="0.3">
      <c r="B6" s="165" t="s">
        <v>139</v>
      </c>
      <c r="C6" s="165"/>
      <c r="D6" s="165"/>
      <c r="E6" s="128" t="s">
        <v>147</v>
      </c>
      <c r="F6" s="168"/>
      <c r="G6" s="168"/>
      <c r="H6" s="168"/>
      <c r="I6" s="168"/>
      <c r="J6" s="168"/>
      <c r="K6" s="168"/>
      <c r="L6" s="168"/>
      <c r="M6" s="168"/>
      <c r="N6" s="168"/>
      <c r="O6" s="168"/>
      <c r="P6" s="58"/>
      <c r="Q6" s="59"/>
      <c r="R6" s="59"/>
    </row>
    <row r="7" spans="1:18" x14ac:dyDescent="0.2">
      <c r="B7" s="159"/>
      <c r="C7" s="160"/>
      <c r="D7" s="160"/>
    </row>
    <row r="8" spans="1:18" x14ac:dyDescent="0.2">
      <c r="B8" s="161"/>
      <c r="C8" s="160"/>
      <c r="D8" s="160"/>
      <c r="L8" s="60" t="s">
        <v>13</v>
      </c>
      <c r="M8" s="301" t="s">
        <v>142</v>
      </c>
      <c r="N8" s="302"/>
      <c r="O8" s="303"/>
    </row>
    <row r="9" spans="1:18" ht="15.75" x14ac:dyDescent="0.25">
      <c r="B9" s="162" t="s">
        <v>188</v>
      </c>
      <c r="J9" s="55" t="s">
        <v>153</v>
      </c>
      <c r="L9" s="52"/>
      <c r="M9" s="279" t="s">
        <v>15</v>
      </c>
      <c r="N9" s="280"/>
      <c r="O9" s="281"/>
    </row>
    <row r="10" spans="1:18" ht="15.75" x14ac:dyDescent="0.25">
      <c r="B10" s="163" t="s">
        <v>135</v>
      </c>
      <c r="L10" s="52"/>
      <c r="M10" s="61"/>
      <c r="N10" s="61"/>
      <c r="O10" s="61"/>
    </row>
    <row r="11" spans="1:18" s="65" customFormat="1" ht="10.9" customHeight="1" x14ac:dyDescent="0.2">
      <c r="A11" s="62"/>
      <c r="B11" s="63"/>
      <c r="C11" s="64"/>
      <c r="D11" s="64"/>
      <c r="E11" s="64"/>
      <c r="F11" s="64"/>
      <c r="G11" s="64"/>
      <c r="H11" s="64"/>
      <c r="I11" s="64"/>
      <c r="J11" s="64"/>
      <c r="K11" s="64"/>
      <c r="L11" s="64"/>
      <c r="M11" s="64"/>
      <c r="N11" s="64"/>
      <c r="O11" s="64"/>
      <c r="P11" s="62"/>
    </row>
    <row r="12" spans="1:18" ht="15" customHeight="1" x14ac:dyDescent="0.25">
      <c r="B12" s="158" t="s">
        <v>136</v>
      </c>
      <c r="C12" s="44"/>
      <c r="D12" s="44"/>
      <c r="E12" s="44"/>
      <c r="F12" s="66"/>
      <c r="G12" s="42"/>
      <c r="H12" s="52"/>
      <c r="I12" s="52"/>
      <c r="O12" s="67"/>
      <c r="P12" s="67"/>
    </row>
    <row r="13" spans="1:18" ht="15" customHeight="1" x14ac:dyDescent="0.25">
      <c r="G13" s="142"/>
      <c r="I13" s="52"/>
      <c r="J13" s="67"/>
      <c r="K13" s="52"/>
      <c r="M13" s="69" t="s">
        <v>101</v>
      </c>
      <c r="N13" s="119">
        <f>H29/H37</f>
        <v>5.3164556962025316</v>
      </c>
      <c r="O13" s="120" t="s">
        <v>17</v>
      </c>
    </row>
    <row r="14" spans="1:18" ht="15" customHeight="1" x14ac:dyDescent="0.25">
      <c r="B14" s="153" t="str">
        <f>IF(J25="No"," WARNING: 'Maximum grant rate reduced to 45% as a strategic approach not taken and benefits may be double counted"," ")</f>
        <v xml:space="preserve"> </v>
      </c>
      <c r="C14" s="44"/>
      <c r="D14" s="44"/>
      <c r="E14" s="44"/>
      <c r="F14" s="44"/>
      <c r="G14" s="44"/>
      <c r="H14" s="44"/>
      <c r="K14" s="52"/>
      <c r="L14" s="71"/>
      <c r="M14" s="72" t="s">
        <v>16</v>
      </c>
      <c r="N14" s="121">
        <f>H29/MIN(H21,H37)</f>
        <v>13.636363636363637</v>
      </c>
      <c r="O14" s="120" t="s">
        <v>17</v>
      </c>
    </row>
    <row r="15" spans="1:18" ht="15" customHeight="1" x14ac:dyDescent="0.25">
      <c r="B15" s="68" t="s">
        <v>160</v>
      </c>
      <c r="C15" s="73"/>
      <c r="D15" s="73"/>
      <c r="E15" s="73"/>
      <c r="F15" s="73"/>
      <c r="G15" s="73"/>
      <c r="H15" s="137">
        <f>IF(J25="yes",I97/MAX(H37,H34),IF(J25="Yes",I97/MAX(H37,H34),0.45*I97/MAX(H37,H34)))</f>
        <v>1.994285892961551</v>
      </c>
      <c r="I15" s="71" t="s">
        <v>165</v>
      </c>
      <c r="K15" s="52"/>
      <c r="L15" s="52"/>
      <c r="M15" s="72" t="s">
        <v>18</v>
      </c>
      <c r="N15" s="121">
        <f>IF(H44&gt;0,H29/H44,"n/a")</f>
        <v>11.602209944751381</v>
      </c>
      <c r="O15" s="120" t="s">
        <v>17</v>
      </c>
    </row>
    <row r="16" spans="1:18" ht="15" customHeight="1" x14ac:dyDescent="0.25">
      <c r="B16" s="68"/>
      <c r="C16" s="44"/>
      <c r="D16" s="44"/>
      <c r="E16" s="44"/>
      <c r="F16" s="44"/>
      <c r="G16" s="44"/>
      <c r="H16" s="44"/>
      <c r="K16" s="52"/>
      <c r="L16" s="52"/>
      <c r="M16" s="52"/>
    </row>
    <row r="17" spans="2:22" ht="15" customHeight="1" x14ac:dyDescent="0.25">
      <c r="B17" s="145" t="s">
        <v>157</v>
      </c>
      <c r="C17" s="44"/>
      <c r="D17" s="44"/>
      <c r="E17" s="44"/>
      <c r="F17" s="44"/>
      <c r="G17" s="44"/>
      <c r="H17" s="154">
        <f>IF(J25="Yes",MAX(IF(Authority="EA",MAX(H37,H34)-MIN(I97,H37),H34*(1-(RawOMScore))),0),IF(Authority="EA",MAX(H37,H34)-MIN(I97*0.45,H37),H34*(1-(I15))))</f>
        <v>0</v>
      </c>
      <c r="I17" s="71" t="s">
        <v>166</v>
      </c>
      <c r="J17" s="232" t="s">
        <v>186</v>
      </c>
      <c r="K17" s="304"/>
      <c r="L17" s="304"/>
      <c r="M17" s="304"/>
      <c r="N17" s="304"/>
      <c r="O17" s="304"/>
      <c r="Q17" s="230"/>
      <c r="R17" s="299"/>
      <c r="S17" s="299"/>
      <c r="T17" s="299"/>
      <c r="U17" s="299"/>
      <c r="V17" s="299"/>
    </row>
    <row r="18" spans="2:22" ht="15" customHeight="1" x14ac:dyDescent="0.25">
      <c r="B18" s="68"/>
      <c r="C18" s="44"/>
      <c r="D18" s="44"/>
      <c r="E18" s="44"/>
      <c r="F18" s="44"/>
      <c r="G18" s="44"/>
      <c r="H18" s="44"/>
      <c r="I18" s="93"/>
      <c r="J18" s="304"/>
      <c r="K18" s="304"/>
      <c r="L18" s="304"/>
      <c r="M18" s="304"/>
      <c r="N18" s="304"/>
      <c r="O18" s="304"/>
      <c r="Q18" s="299"/>
      <c r="R18" s="299"/>
      <c r="S18" s="299"/>
      <c r="T18" s="299"/>
      <c r="U18" s="299"/>
      <c r="V18" s="299"/>
    </row>
    <row r="19" spans="2:22" ht="15" customHeight="1" x14ac:dyDescent="0.25">
      <c r="B19" s="68" t="s">
        <v>140</v>
      </c>
      <c r="C19" s="74"/>
      <c r="D19" s="74"/>
      <c r="E19" s="74"/>
      <c r="F19" s="74"/>
      <c r="G19" s="74"/>
      <c r="H19" s="137">
        <f>IF(J25="Yes",IF(Authority="EA",I97/MAX(MAX(H37,H34)-H44,1),RawOMScore+H44/H34),IF(Authority="EA",I97*0.45/MAX(MAX(H37,H34)-H44,1),I15+H44/H34))</f>
        <v>2.5345844004242375</v>
      </c>
      <c r="I19" s="71" t="s">
        <v>167</v>
      </c>
      <c r="J19" s="304"/>
      <c r="K19" s="304"/>
      <c r="L19" s="304"/>
      <c r="M19" s="304"/>
      <c r="N19" s="304"/>
      <c r="O19" s="304"/>
      <c r="Q19" s="299"/>
      <c r="R19" s="299"/>
      <c r="S19" s="299"/>
      <c r="T19" s="299"/>
      <c r="U19" s="299"/>
      <c r="V19" s="299"/>
    </row>
    <row r="20" spans="2:22" ht="15" customHeight="1" x14ac:dyDescent="0.2">
      <c r="J20" s="304"/>
      <c r="K20" s="304"/>
      <c r="L20" s="304"/>
      <c r="M20" s="304"/>
      <c r="N20" s="304"/>
      <c r="O20" s="304"/>
      <c r="Q20" s="299"/>
      <c r="R20" s="299"/>
      <c r="S20" s="299"/>
      <c r="T20" s="299"/>
      <c r="U20" s="299"/>
      <c r="V20" s="299"/>
    </row>
    <row r="21" spans="2:22" ht="15" customHeight="1" x14ac:dyDescent="0.25">
      <c r="B21" s="146" t="s">
        <v>162</v>
      </c>
      <c r="C21" s="70"/>
      <c r="D21" s="70"/>
      <c r="E21" s="70"/>
      <c r="F21" s="70"/>
      <c r="G21" s="70"/>
      <c r="H21" s="152">
        <f>IF(ROUNDUP(AdjOMScore,4)&lt;100%,"-",H34-H44)</f>
        <v>308</v>
      </c>
      <c r="I21" s="71" t="s">
        <v>168</v>
      </c>
      <c r="J21" s="304"/>
      <c r="K21" s="304"/>
      <c r="L21" s="304"/>
      <c r="M21" s="304"/>
      <c r="N21" s="304"/>
      <c r="O21" s="304"/>
      <c r="Q21" s="299"/>
      <c r="R21" s="299"/>
      <c r="S21" s="299"/>
      <c r="T21" s="299"/>
      <c r="U21" s="299"/>
      <c r="V21" s="299"/>
    </row>
    <row r="22" spans="2:22" ht="22.5" customHeight="1" x14ac:dyDescent="0.25">
      <c r="B22" s="75"/>
      <c r="C22" s="52"/>
      <c r="D22" s="52"/>
      <c r="E22" s="52"/>
      <c r="G22" s="76"/>
      <c r="H22" s="76"/>
      <c r="I22" s="67"/>
      <c r="J22" s="300"/>
      <c r="K22" s="300"/>
      <c r="L22" s="300"/>
      <c r="M22" s="300"/>
      <c r="N22" s="300"/>
      <c r="O22" s="300"/>
      <c r="Q22" s="299"/>
      <c r="R22" s="299"/>
      <c r="S22" s="299"/>
      <c r="T22" s="299"/>
      <c r="U22" s="299"/>
      <c r="V22" s="299"/>
    </row>
    <row r="23" spans="2:22" ht="6.75" customHeight="1" x14ac:dyDescent="0.2">
      <c r="B23" s="77"/>
      <c r="C23" s="77"/>
      <c r="D23" s="77"/>
      <c r="E23" s="77"/>
      <c r="F23" s="77"/>
      <c r="G23" s="77"/>
      <c r="H23" s="77"/>
      <c r="I23" s="77"/>
      <c r="J23" s="77"/>
      <c r="K23" s="77"/>
      <c r="L23" s="77"/>
      <c r="M23" s="77"/>
      <c r="N23" s="77"/>
      <c r="O23" s="65"/>
      <c r="P23" s="65"/>
      <c r="Q23" s="299"/>
      <c r="R23" s="299"/>
      <c r="S23" s="299"/>
      <c r="T23" s="299"/>
      <c r="U23" s="299"/>
      <c r="V23" s="299"/>
    </row>
    <row r="24" spans="2:22" ht="15" customHeight="1" x14ac:dyDescent="0.25">
      <c r="B24" s="78" t="s">
        <v>97</v>
      </c>
      <c r="C24" s="79"/>
      <c r="D24" s="79"/>
      <c r="E24" s="52"/>
      <c r="F24" s="52"/>
      <c r="G24" s="52"/>
      <c r="H24" s="52"/>
      <c r="M24" s="52"/>
    </row>
    <row r="25" spans="2:22" ht="15.75" x14ac:dyDescent="0.25">
      <c r="B25" s="80" t="s">
        <v>134</v>
      </c>
      <c r="C25" s="79"/>
      <c r="D25" s="81"/>
      <c r="E25" s="52"/>
      <c r="F25" s="52"/>
      <c r="G25" s="52"/>
      <c r="H25" s="127" t="str">
        <f>'PF Calculator'!H25</f>
        <v>LA</v>
      </c>
      <c r="I25" s="71" t="s">
        <v>169</v>
      </c>
      <c r="J25" s="127" t="str">
        <f>'PF Calculator'!J25</f>
        <v>Yes</v>
      </c>
      <c r="K25" s="155" t="s">
        <v>182</v>
      </c>
      <c r="L25" s="139"/>
      <c r="M25" s="139"/>
      <c r="N25" s="139"/>
      <c r="O25" s="139"/>
    </row>
    <row r="26" spans="2:22" ht="15.75" x14ac:dyDescent="0.25">
      <c r="B26" s="79"/>
      <c r="C26" s="79"/>
      <c r="D26" s="81"/>
      <c r="E26" s="52"/>
      <c r="F26" s="52"/>
      <c r="G26" s="52"/>
      <c r="H26" s="69"/>
      <c r="I26" s="52"/>
      <c r="J26" s="305" t="s">
        <v>183</v>
      </c>
      <c r="K26" s="275"/>
      <c r="L26" s="275"/>
      <c r="M26" s="275"/>
      <c r="N26" s="275"/>
      <c r="O26" s="139"/>
      <c r="P26" s="143"/>
    </row>
    <row r="27" spans="2:22" ht="15.75" x14ac:dyDescent="0.25">
      <c r="B27" s="80" t="s">
        <v>129</v>
      </c>
      <c r="C27" s="79"/>
      <c r="D27" s="81"/>
      <c r="E27" s="52"/>
      <c r="F27" s="52"/>
      <c r="G27" s="52"/>
      <c r="H27" s="136">
        <f>INT('PF Calculator'!H27*1.25)</f>
        <v>71</v>
      </c>
      <c r="I27" s="71" t="s">
        <v>170</v>
      </c>
      <c r="J27" s="275"/>
      <c r="K27" s="275"/>
      <c r="L27" s="275"/>
      <c r="M27" s="275"/>
      <c r="N27" s="275"/>
      <c r="O27" s="55"/>
    </row>
    <row r="28" spans="2:22" ht="15.75" x14ac:dyDescent="0.25">
      <c r="B28" s="80"/>
      <c r="C28" s="79"/>
      <c r="D28" s="81"/>
      <c r="E28" s="52"/>
      <c r="F28" s="52"/>
      <c r="G28" s="52"/>
      <c r="H28" s="52"/>
      <c r="I28" s="52"/>
      <c r="J28" s="52"/>
      <c r="K28" s="52"/>
      <c r="L28" s="52"/>
      <c r="M28" s="52"/>
      <c r="O28" s="55"/>
    </row>
    <row r="29" spans="2:22" ht="15.75" x14ac:dyDescent="0.25">
      <c r="B29" s="80" t="s">
        <v>9</v>
      </c>
      <c r="C29" s="79"/>
      <c r="D29" s="81"/>
      <c r="E29" s="52"/>
      <c r="F29" s="52"/>
      <c r="G29" s="52"/>
      <c r="H29" s="127">
        <f>'PF Calculator'!H29</f>
        <v>4200</v>
      </c>
      <c r="I29" s="71" t="s">
        <v>171</v>
      </c>
      <c r="J29" s="52"/>
      <c r="K29" s="52"/>
      <c r="L29" s="52"/>
      <c r="M29" s="52"/>
      <c r="O29" s="55"/>
    </row>
    <row r="30" spans="2:22" ht="15.75" x14ac:dyDescent="0.25">
      <c r="B30" s="80"/>
      <c r="C30" s="79"/>
      <c r="D30" s="81"/>
      <c r="E30" s="52"/>
      <c r="F30" s="52"/>
      <c r="G30" s="52"/>
      <c r="H30" s="52"/>
      <c r="I30" s="52"/>
      <c r="J30" s="306" t="s">
        <v>164</v>
      </c>
      <c r="K30" s="307"/>
      <c r="L30" s="307"/>
      <c r="M30" s="307"/>
      <c r="N30" s="308"/>
    </row>
    <row r="31" spans="2:22" ht="15.75" x14ac:dyDescent="0.25">
      <c r="B31" s="82" t="s">
        <v>158</v>
      </c>
      <c r="C31" s="79"/>
      <c r="D31" s="81"/>
      <c r="E31" s="52"/>
      <c r="F31" s="52"/>
      <c r="G31" s="52"/>
      <c r="H31" s="69"/>
      <c r="I31" s="52"/>
      <c r="J31" s="309"/>
      <c r="K31" s="310"/>
      <c r="L31" s="310"/>
      <c r="M31" s="310"/>
      <c r="N31" s="311"/>
      <c r="O31" s="55"/>
    </row>
    <row r="32" spans="2:22" ht="15.75" x14ac:dyDescent="0.25">
      <c r="B32" s="79" t="s">
        <v>122</v>
      </c>
      <c r="C32" s="79"/>
      <c r="D32" s="81"/>
      <c r="E32" s="52"/>
      <c r="F32" s="52"/>
      <c r="G32" s="52"/>
      <c r="H32" s="127">
        <f>'PF Calculator'!H32</f>
        <v>50</v>
      </c>
      <c r="I32" s="71" t="s">
        <v>172</v>
      </c>
      <c r="J32" s="309"/>
      <c r="K32" s="310"/>
      <c r="L32" s="310"/>
      <c r="M32" s="310"/>
      <c r="N32" s="311"/>
    </row>
    <row r="33" spans="2:21" ht="15.75" x14ac:dyDescent="0.25">
      <c r="B33" s="79" t="s">
        <v>130</v>
      </c>
      <c r="C33" s="79"/>
      <c r="D33" s="81"/>
      <c r="E33" s="52"/>
      <c r="F33" s="52"/>
      <c r="G33" s="52"/>
      <c r="H33" s="127">
        <f>'PF Calculator'!H33</f>
        <v>620</v>
      </c>
      <c r="I33" s="71" t="s">
        <v>173</v>
      </c>
      <c r="J33" s="312"/>
      <c r="K33" s="313"/>
      <c r="L33" s="313"/>
      <c r="M33" s="313"/>
      <c r="N33" s="314"/>
    </row>
    <row r="34" spans="2:21" ht="15.75" x14ac:dyDescent="0.25">
      <c r="B34" s="82" t="s">
        <v>161</v>
      </c>
      <c r="C34" s="79"/>
      <c r="D34" s="81"/>
      <c r="E34" s="52"/>
      <c r="F34" s="52"/>
      <c r="G34" s="52"/>
      <c r="H34" s="147">
        <f>SUM(H32:H33)</f>
        <v>670</v>
      </c>
      <c r="I34" s="71" t="s">
        <v>174</v>
      </c>
      <c r="J34" s="52"/>
      <c r="K34" s="52"/>
      <c r="L34" s="52"/>
      <c r="M34" s="52"/>
    </row>
    <row r="35" spans="2:21" ht="15" customHeight="1" x14ac:dyDescent="0.25">
      <c r="B35" s="82"/>
      <c r="C35" s="79"/>
      <c r="D35" s="81"/>
      <c r="E35" s="52"/>
      <c r="F35" s="52"/>
      <c r="G35" s="52"/>
      <c r="H35" s="83"/>
      <c r="I35" s="52"/>
      <c r="J35" s="52"/>
      <c r="K35" s="52"/>
      <c r="L35" s="52"/>
      <c r="M35" s="52"/>
    </row>
    <row r="36" spans="2:21" ht="15.75" x14ac:dyDescent="0.25">
      <c r="B36" s="79" t="s">
        <v>131</v>
      </c>
      <c r="C36" s="79"/>
      <c r="D36" s="81"/>
      <c r="E36" s="52"/>
      <c r="F36" s="52"/>
      <c r="G36" s="52"/>
      <c r="H36" s="127">
        <f>'PF Calculator'!H36</f>
        <v>120</v>
      </c>
      <c r="I36" s="71" t="s">
        <v>175</v>
      </c>
      <c r="J36" s="52"/>
      <c r="K36" s="52"/>
      <c r="L36" s="52"/>
      <c r="M36" s="52"/>
    </row>
    <row r="37" spans="2:21" ht="15.75" x14ac:dyDescent="0.25">
      <c r="B37" s="80" t="s">
        <v>123</v>
      </c>
      <c r="C37" s="79"/>
      <c r="D37" s="81"/>
      <c r="E37" s="52"/>
      <c r="F37" s="52"/>
      <c r="G37" s="52"/>
      <c r="H37" s="51">
        <f>H36+H34</f>
        <v>790</v>
      </c>
      <c r="I37" s="71" t="s">
        <v>176</v>
      </c>
      <c r="J37" s="52"/>
      <c r="K37" s="52"/>
      <c r="L37" s="52"/>
      <c r="M37" s="52"/>
    </row>
    <row r="38" spans="2:21" x14ac:dyDescent="0.2">
      <c r="B38" s="79"/>
      <c r="C38" s="79"/>
      <c r="D38" s="81"/>
      <c r="E38" s="52"/>
      <c r="F38" s="52"/>
      <c r="G38" s="52"/>
      <c r="H38" s="83"/>
      <c r="I38" s="52"/>
      <c r="J38" s="315" t="s">
        <v>187</v>
      </c>
      <c r="K38" s="316"/>
      <c r="L38" s="316"/>
      <c r="M38" s="316"/>
      <c r="N38" s="316"/>
      <c r="O38" s="316"/>
      <c r="P38" s="245"/>
      <c r="Q38" s="245"/>
      <c r="R38" s="245"/>
      <c r="S38" s="245"/>
      <c r="T38" s="245"/>
      <c r="U38" s="245"/>
    </row>
    <row r="39" spans="2:21" ht="15" customHeight="1" x14ac:dyDescent="0.25">
      <c r="B39" s="156" t="s">
        <v>159</v>
      </c>
      <c r="C39" s="79"/>
      <c r="D39" s="81"/>
      <c r="E39" s="52"/>
      <c r="F39" s="52"/>
      <c r="G39" s="52"/>
      <c r="H39" s="83"/>
      <c r="I39" s="52"/>
      <c r="J39" s="316"/>
      <c r="K39" s="316"/>
      <c r="L39" s="316"/>
      <c r="M39" s="316"/>
      <c r="N39" s="316"/>
      <c r="O39" s="316"/>
      <c r="P39" s="245"/>
      <c r="Q39" s="245"/>
      <c r="R39" s="245"/>
      <c r="S39" s="245"/>
      <c r="T39" s="245"/>
      <c r="U39" s="245"/>
    </row>
    <row r="40" spans="2:21" ht="15" customHeight="1" x14ac:dyDescent="0.25">
      <c r="B40" s="79" t="s">
        <v>124</v>
      </c>
      <c r="C40" s="79"/>
      <c r="D40" s="81"/>
      <c r="E40" s="52"/>
      <c r="F40" s="52"/>
      <c r="G40" s="52"/>
      <c r="H40" s="127">
        <f>'PF Calculator'!H40</f>
        <v>80</v>
      </c>
      <c r="I40" s="71" t="s">
        <v>177</v>
      </c>
      <c r="J40" s="316" t="str">
        <f>IF(H25="EA","This scheme is to be maintained by the EA (ref cell 5). Any contributions needed (ref cell 2) are to help fund both the ongoing and up-front costs (Cost for Approval) to avoid the scheme drawing excess FDGiA, and should be entered into cells(14-17).","This scheme is to be maintained by an RMA other than the EA (ref cell 5). Capital FDGiA will fund the appropriate share of the up-front costs (Costs for Approval) with any shortfall needing to be paid via contributions idenitfied  in cells(14-17)."&amp;" Ongoing costs are a matter for local agreement by the RMA and should not be included in cells(14-17)."&amp;" It is recommended that the RMA takes the opportunities created during scheme development to secure funding of the future ongoing costs which can be presented in the Grant application business case.")</f>
        <v>This scheme is to be maintained by an RMA other than the EA (ref cell 5). Capital FDGiA will fund the appropriate share of the up-front costs (Costs for Approval) with any shortfall needing to be paid via contributions idenitfied  in cells(14-17). Ongoing costs are a matter for local agreement by the RMA and should not be included in cells(14-17). It is recommended that the RMA takes the opportunities created during scheme development to secure funding of the future ongoing costs which can be presented in the Grant application business case.</v>
      </c>
      <c r="K40" s="316"/>
      <c r="L40" s="316"/>
      <c r="M40" s="316"/>
      <c r="N40" s="316"/>
      <c r="O40" s="316"/>
      <c r="P40" s="245"/>
      <c r="Q40" s="245"/>
      <c r="R40" s="245"/>
      <c r="S40" s="245"/>
      <c r="T40" s="245"/>
      <c r="U40" s="245"/>
    </row>
    <row r="41" spans="2:21" ht="15" customHeight="1" x14ac:dyDescent="0.25">
      <c r="B41" s="79" t="s">
        <v>125</v>
      </c>
      <c r="C41" s="79"/>
      <c r="D41" s="81"/>
      <c r="E41" s="52"/>
      <c r="F41" s="52"/>
      <c r="G41" s="52"/>
      <c r="H41" s="127">
        <f>'PF Calculator'!H41</f>
        <v>100</v>
      </c>
      <c r="I41" s="71" t="s">
        <v>178</v>
      </c>
      <c r="J41" s="316"/>
      <c r="K41" s="316"/>
      <c r="L41" s="316"/>
      <c r="M41" s="316"/>
      <c r="N41" s="316"/>
      <c r="O41" s="316"/>
      <c r="P41" s="245"/>
      <c r="Q41" s="245"/>
      <c r="R41" s="245"/>
      <c r="S41" s="245"/>
      <c r="T41" s="245"/>
      <c r="U41" s="245"/>
    </row>
    <row r="42" spans="2:21" ht="15" customHeight="1" x14ac:dyDescent="0.25">
      <c r="B42" s="79" t="s">
        <v>126</v>
      </c>
      <c r="C42" s="79"/>
      <c r="D42" s="81"/>
      <c r="E42" s="52"/>
      <c r="F42" s="52"/>
      <c r="G42" s="52"/>
      <c r="H42" s="127">
        <f>'PF Calculator'!H42</f>
        <v>182</v>
      </c>
      <c r="I42" s="71" t="s">
        <v>179</v>
      </c>
      <c r="J42" s="316"/>
      <c r="K42" s="316"/>
      <c r="L42" s="316"/>
      <c r="M42" s="316"/>
      <c r="N42" s="316"/>
      <c r="O42" s="316"/>
      <c r="P42" s="245"/>
      <c r="Q42" s="245"/>
      <c r="R42" s="245"/>
      <c r="S42" s="245"/>
      <c r="T42" s="245"/>
      <c r="U42" s="245"/>
    </row>
    <row r="43" spans="2:21" ht="15" customHeight="1" x14ac:dyDescent="0.25">
      <c r="B43" s="79" t="s">
        <v>127</v>
      </c>
      <c r="C43" s="79"/>
      <c r="D43" s="81"/>
      <c r="E43" s="52"/>
      <c r="F43" s="52"/>
      <c r="G43" s="52"/>
      <c r="H43" s="127">
        <f>'PF Calculator'!H43</f>
        <v>0</v>
      </c>
      <c r="I43" s="71" t="s">
        <v>180</v>
      </c>
      <c r="J43" s="316"/>
      <c r="K43" s="316"/>
      <c r="L43" s="316"/>
      <c r="M43" s="316"/>
      <c r="N43" s="316"/>
      <c r="O43" s="316"/>
      <c r="P43" s="245"/>
      <c r="Q43" s="245"/>
      <c r="R43" s="245"/>
      <c r="S43" s="245"/>
      <c r="T43" s="245"/>
      <c r="U43" s="245"/>
    </row>
    <row r="44" spans="2:21" ht="15.75" x14ac:dyDescent="0.25">
      <c r="B44" s="82" t="s">
        <v>128</v>
      </c>
      <c r="C44" s="79"/>
      <c r="D44" s="81"/>
      <c r="E44" s="52"/>
      <c r="F44" s="52"/>
      <c r="G44" s="52"/>
      <c r="H44" s="50">
        <f>SUM(H40:H43)</f>
        <v>362</v>
      </c>
      <c r="I44" s="71" t="s">
        <v>181</v>
      </c>
      <c r="J44" s="316"/>
      <c r="K44" s="316"/>
      <c r="L44" s="316"/>
      <c r="M44" s="316"/>
      <c r="N44" s="316"/>
      <c r="O44" s="316"/>
    </row>
    <row r="45" spans="2:21" ht="15.75" x14ac:dyDescent="0.25">
      <c r="B45" s="144" t="str">
        <f>IF(H44&lt;H17,"WARNING: Contributions less than minimum required in cell (2)"," ")</f>
        <v xml:space="preserve"> </v>
      </c>
      <c r="C45" s="79"/>
      <c r="D45" s="52"/>
      <c r="E45" s="52"/>
      <c r="F45" s="52"/>
      <c r="G45" s="52"/>
      <c r="H45" s="52"/>
      <c r="I45" s="71"/>
      <c r="J45" s="316"/>
      <c r="K45" s="316"/>
      <c r="L45" s="316"/>
      <c r="M45" s="316"/>
      <c r="N45" s="316"/>
      <c r="O45" s="316"/>
    </row>
    <row r="46" spans="2:21" ht="15.75" x14ac:dyDescent="0.25">
      <c r="B46" s="82"/>
      <c r="C46" s="79"/>
      <c r="D46" s="81"/>
      <c r="E46" s="52"/>
      <c r="F46" s="52"/>
      <c r="G46" s="52"/>
      <c r="H46" s="52"/>
      <c r="I46" s="71"/>
      <c r="J46" s="316"/>
      <c r="K46" s="316"/>
      <c r="L46" s="316"/>
      <c r="M46" s="316"/>
      <c r="N46" s="316"/>
      <c r="O46" s="316"/>
    </row>
    <row r="47" spans="2:21" ht="7.5" customHeight="1" x14ac:dyDescent="0.2">
      <c r="B47" s="52"/>
      <c r="C47" s="52"/>
      <c r="D47" s="52"/>
      <c r="E47" s="43"/>
      <c r="F47" s="43"/>
      <c r="G47" s="43"/>
      <c r="H47" s="43"/>
      <c r="I47" s="43"/>
      <c r="J47" s="43"/>
    </row>
    <row r="48" spans="2:21" ht="7.5" customHeight="1" x14ac:dyDescent="0.2">
      <c r="B48" s="77"/>
      <c r="C48" s="77"/>
      <c r="D48" s="77"/>
      <c r="E48" s="77"/>
      <c r="F48" s="77"/>
      <c r="G48" s="77"/>
      <c r="H48" s="77"/>
      <c r="I48" s="77"/>
      <c r="J48" s="77"/>
      <c r="K48" s="84"/>
      <c r="L48" s="84"/>
      <c r="M48" s="84"/>
      <c r="N48" s="77"/>
      <c r="O48" s="77"/>
    </row>
    <row r="49" spans="2:19" ht="15.75" x14ac:dyDescent="0.25">
      <c r="B49" s="78" t="s">
        <v>98</v>
      </c>
      <c r="C49" s="52"/>
      <c r="D49" s="52"/>
      <c r="E49" s="52"/>
      <c r="F49" s="52"/>
      <c r="G49" s="52"/>
      <c r="H49" s="52"/>
      <c r="I49" s="52"/>
      <c r="J49" s="52"/>
      <c r="K49" s="52"/>
      <c r="L49" s="52"/>
      <c r="M49" s="52"/>
    </row>
    <row r="50" spans="2:19" x14ac:dyDescent="0.2">
      <c r="B50" s="85" t="s">
        <v>30</v>
      </c>
      <c r="C50" s="52"/>
      <c r="D50" s="52"/>
      <c r="F50" s="86" t="s">
        <v>19</v>
      </c>
      <c r="G50" s="52"/>
      <c r="H50" s="52"/>
      <c r="J50" s="86" t="s">
        <v>29</v>
      </c>
      <c r="K50" s="52"/>
      <c r="L50" s="52"/>
      <c r="M50" s="258" t="s">
        <v>54</v>
      </c>
      <c r="N50" s="258"/>
      <c r="O50" s="258"/>
    </row>
    <row r="51" spans="2:19" x14ac:dyDescent="0.2">
      <c r="B51" s="87" t="s">
        <v>21</v>
      </c>
      <c r="C51" s="52"/>
      <c r="D51" s="52"/>
      <c r="E51" s="130"/>
      <c r="F51" s="130"/>
      <c r="G51" s="130">
        <v>50</v>
      </c>
      <c r="H51" s="52"/>
      <c r="I51" s="130"/>
      <c r="J51" s="130"/>
      <c r="K51" s="130"/>
      <c r="L51" s="52"/>
      <c r="M51" s="122">
        <f t="shared" ref="M51:O53" si="0">I51-E51</f>
        <v>0</v>
      </c>
      <c r="N51" s="122">
        <f t="shared" si="0"/>
        <v>0</v>
      </c>
      <c r="O51" s="122">
        <f t="shared" si="0"/>
        <v>-50</v>
      </c>
    </row>
    <row r="52" spans="2:19" x14ac:dyDescent="0.2">
      <c r="B52" s="87" t="s">
        <v>20</v>
      </c>
      <c r="C52" s="52"/>
      <c r="D52" s="52"/>
      <c r="E52" s="130"/>
      <c r="F52" s="130"/>
      <c r="G52" s="130"/>
      <c r="H52" s="52"/>
      <c r="I52" s="130"/>
      <c r="J52" s="130"/>
      <c r="K52" s="130"/>
      <c r="L52" s="52"/>
      <c r="M52" s="122">
        <f t="shared" si="0"/>
        <v>0</v>
      </c>
      <c r="N52" s="122">
        <f t="shared" si="0"/>
        <v>0</v>
      </c>
      <c r="O52" s="122">
        <f t="shared" si="0"/>
        <v>0</v>
      </c>
    </row>
    <row r="53" spans="2:19" x14ac:dyDescent="0.2">
      <c r="B53" s="87" t="s">
        <v>22</v>
      </c>
      <c r="C53" s="52"/>
      <c r="D53" s="52"/>
      <c r="E53" s="130"/>
      <c r="F53" s="130"/>
      <c r="G53" s="130"/>
      <c r="H53" s="52"/>
      <c r="I53" s="130"/>
      <c r="J53" s="130"/>
      <c r="K53" s="130"/>
      <c r="L53" s="52"/>
      <c r="M53" s="122">
        <f t="shared" si="0"/>
        <v>0</v>
      </c>
      <c r="N53" s="122">
        <f t="shared" si="0"/>
        <v>0</v>
      </c>
      <c r="O53" s="122">
        <f t="shared" si="0"/>
        <v>0</v>
      </c>
      <c r="Q53" s="88"/>
      <c r="R53" s="88"/>
      <c r="S53" s="88"/>
    </row>
    <row r="54" spans="2:19" x14ac:dyDescent="0.2">
      <c r="B54" s="52"/>
      <c r="C54" s="52"/>
      <c r="D54" s="72" t="s">
        <v>31</v>
      </c>
      <c r="E54" s="88" t="s">
        <v>28</v>
      </c>
      <c r="F54" s="88" t="s">
        <v>27</v>
      </c>
      <c r="G54" s="88" t="s">
        <v>23</v>
      </c>
      <c r="H54" s="52"/>
      <c r="I54" s="88" t="s">
        <v>28</v>
      </c>
      <c r="J54" s="88" t="s">
        <v>27</v>
      </c>
      <c r="K54" s="88" t="s">
        <v>23</v>
      </c>
      <c r="L54" s="52"/>
      <c r="M54" s="88" t="s">
        <v>28</v>
      </c>
      <c r="N54" s="88" t="s">
        <v>27</v>
      </c>
      <c r="O54" s="88" t="s">
        <v>23</v>
      </c>
      <c r="Q54" s="88"/>
      <c r="R54" s="88"/>
      <c r="S54" s="88"/>
    </row>
    <row r="55" spans="2:19" x14ac:dyDescent="0.2">
      <c r="B55" s="52"/>
      <c r="C55" s="52"/>
      <c r="D55" s="52"/>
      <c r="E55" s="88" t="s">
        <v>25</v>
      </c>
      <c r="F55" s="88" t="s">
        <v>25</v>
      </c>
      <c r="G55" s="88" t="s">
        <v>24</v>
      </c>
      <c r="H55" s="52"/>
      <c r="I55" s="88" t="s">
        <v>25</v>
      </c>
      <c r="J55" s="88" t="s">
        <v>25</v>
      </c>
      <c r="K55" s="88" t="s">
        <v>24</v>
      </c>
      <c r="L55" s="52"/>
      <c r="M55" s="88" t="s">
        <v>25</v>
      </c>
      <c r="N55" s="88" t="s">
        <v>25</v>
      </c>
      <c r="O55" s="88" t="s">
        <v>24</v>
      </c>
    </row>
    <row r="56" spans="2:19" x14ac:dyDescent="0.2">
      <c r="B56" s="52"/>
      <c r="C56" s="52"/>
      <c r="D56" s="52"/>
      <c r="E56" s="88"/>
      <c r="F56" s="88"/>
      <c r="G56" s="88" t="s">
        <v>25</v>
      </c>
      <c r="H56" s="52"/>
      <c r="I56" s="88"/>
      <c r="J56" s="88"/>
      <c r="K56" s="88" t="s">
        <v>25</v>
      </c>
      <c r="L56" s="52"/>
      <c r="M56" s="88"/>
      <c r="N56" s="88"/>
      <c r="O56" s="88" t="s">
        <v>25</v>
      </c>
    </row>
    <row r="57" spans="2:19" x14ac:dyDescent="0.2">
      <c r="B57" s="52"/>
      <c r="C57" s="52"/>
      <c r="D57" s="52"/>
      <c r="E57" s="88"/>
      <c r="F57" s="88"/>
      <c r="G57" s="88"/>
      <c r="H57" s="52"/>
      <c r="I57" s="88"/>
      <c r="J57" s="88"/>
      <c r="K57" s="52"/>
      <c r="L57" s="69" t="s">
        <v>103</v>
      </c>
      <c r="M57" s="123">
        <f>'Discount Rates &amp; Assumptions'!M28*AvFloodDamages/200</f>
        <v>0.15</v>
      </c>
      <c r="N57" s="123">
        <f>'Discount Rates &amp; Assumptions'!M27*AvFloodDamages/200</f>
        <v>0.6</v>
      </c>
      <c r="O57" s="123">
        <f>'Discount Rates &amp; Assumptions'!M26*AvFloodDamages/200</f>
        <v>1.3500000000000003</v>
      </c>
      <c r="P57" s="89"/>
      <c r="Q57" s="89"/>
      <c r="R57" s="89"/>
    </row>
    <row r="58" spans="2:19" x14ac:dyDescent="0.2">
      <c r="B58" s="52"/>
      <c r="C58" s="52"/>
      <c r="D58" s="52"/>
      <c r="E58" s="52"/>
      <c r="F58" s="52"/>
      <c r="G58" s="52"/>
      <c r="H58" s="52"/>
      <c r="I58" s="52"/>
      <c r="J58" s="52"/>
      <c r="K58" s="52"/>
      <c r="L58" s="52"/>
      <c r="M58" s="52"/>
    </row>
    <row r="59" spans="2:19" ht="15.75" x14ac:dyDescent="0.25">
      <c r="B59" s="52" t="s">
        <v>57</v>
      </c>
      <c r="C59" s="52"/>
      <c r="D59" s="52"/>
      <c r="E59" s="52"/>
      <c r="F59" s="52"/>
      <c r="G59" s="52" t="s">
        <v>56</v>
      </c>
      <c r="H59" s="52"/>
      <c r="K59" s="69" t="s">
        <v>63</v>
      </c>
      <c r="O59" s="90" t="s">
        <v>79</v>
      </c>
    </row>
    <row r="60" spans="2:19" ht="15.75" x14ac:dyDescent="0.25">
      <c r="B60" s="87" t="str">
        <f>B51</f>
        <v>20% most deprived areas</v>
      </c>
      <c r="C60" s="52"/>
      <c r="D60" s="52"/>
      <c r="F60" s="296">
        <f>SUMPRODUCT($M51:$O51,$M$57:$O$57)</f>
        <v>-67.500000000000014</v>
      </c>
      <c r="G60" s="296"/>
      <c r="H60" s="52"/>
      <c r="J60" s="297">
        <f>F60*Duration</f>
        <v>-4792.5000000000009</v>
      </c>
      <c r="K60" s="297"/>
      <c r="M60" s="90" t="s">
        <v>74</v>
      </c>
      <c r="N60" s="297">
        <f>-F60*VLOOKUP(Duration,'Discount Rates &amp; Assumptions'!$A$6:$D$105,4,FALSE)</f>
        <v>1872.0030192407658</v>
      </c>
      <c r="O60" s="297"/>
    </row>
    <row r="61" spans="2:19" ht="15.75" x14ac:dyDescent="0.25">
      <c r="B61" s="87" t="str">
        <f>B52</f>
        <v>21-40% most deprived areas</v>
      </c>
      <c r="C61" s="52"/>
      <c r="D61" s="52"/>
      <c r="F61" s="296">
        <f>SUMPRODUCT($M52:$O52,$M$57:$O$57)</f>
        <v>0</v>
      </c>
      <c r="G61" s="296"/>
      <c r="H61" s="52"/>
      <c r="J61" s="297">
        <f>F61*Duration</f>
        <v>0</v>
      </c>
      <c r="K61" s="297"/>
      <c r="M61" s="90" t="s">
        <v>75</v>
      </c>
      <c r="N61" s="297">
        <f>-F61*VLOOKUP(Duration,'Discount Rates &amp; Assumptions'!$A$6:$D$105,4,FALSE)</f>
        <v>0</v>
      </c>
      <c r="O61" s="297"/>
    </row>
    <row r="62" spans="2:19" ht="15.75" x14ac:dyDescent="0.25">
      <c r="B62" s="87" t="str">
        <f>B53</f>
        <v>60% least deprived areas</v>
      </c>
      <c r="C62" s="52"/>
      <c r="D62" s="52"/>
      <c r="F62" s="296">
        <f>SUMPRODUCT($M53:$O53,$M$57:$O$57)</f>
        <v>0</v>
      </c>
      <c r="G62" s="296"/>
      <c r="H62" s="52"/>
      <c r="J62" s="297">
        <f>F62*Duration</f>
        <v>0</v>
      </c>
      <c r="K62" s="297"/>
      <c r="M62" s="90" t="s">
        <v>90</v>
      </c>
      <c r="N62" s="297">
        <f>-F62*VLOOKUP(Duration,'Discount Rates &amp; Assumptions'!$A$6:$D$105,4,FALSE)</f>
        <v>0</v>
      </c>
      <c r="O62" s="297"/>
    </row>
    <row r="63" spans="2:19" ht="7.5" customHeight="1" x14ac:dyDescent="0.25">
      <c r="B63" s="87"/>
      <c r="C63" s="52"/>
      <c r="D63" s="52"/>
      <c r="F63" s="91"/>
      <c r="G63" s="91"/>
      <c r="H63" s="52"/>
      <c r="J63" s="92"/>
      <c r="K63" s="92"/>
      <c r="M63" s="90"/>
    </row>
    <row r="64" spans="2:19" ht="7.5" customHeight="1" x14ac:dyDescent="0.2">
      <c r="B64" s="84"/>
      <c r="C64" s="84"/>
      <c r="D64" s="84"/>
      <c r="E64" s="84"/>
      <c r="F64" s="84"/>
      <c r="G64" s="84"/>
      <c r="H64" s="77"/>
      <c r="I64" s="77"/>
      <c r="J64" s="77"/>
      <c r="K64" s="77"/>
      <c r="L64" s="77"/>
      <c r="M64" s="84"/>
      <c r="N64" s="77"/>
      <c r="O64" s="77"/>
    </row>
    <row r="65" spans="2:16" ht="15.75" x14ac:dyDescent="0.25">
      <c r="B65" s="78" t="s">
        <v>99</v>
      </c>
      <c r="H65" s="52"/>
      <c r="I65" s="52"/>
      <c r="J65" s="52"/>
      <c r="K65" s="52"/>
      <c r="L65" s="52"/>
    </row>
    <row r="66" spans="2:16" x14ac:dyDescent="0.2">
      <c r="B66" s="85" t="s">
        <v>30</v>
      </c>
      <c r="C66" s="52"/>
      <c r="D66" s="52"/>
      <c r="E66" s="86"/>
      <c r="F66" s="257" t="s">
        <v>19</v>
      </c>
      <c r="G66" s="257"/>
      <c r="H66" s="52"/>
      <c r="I66" s="93" t="s">
        <v>66</v>
      </c>
    </row>
    <row r="67" spans="2:16" x14ac:dyDescent="0.2">
      <c r="B67" s="87" t="s">
        <v>21</v>
      </c>
      <c r="C67" s="52"/>
      <c r="D67" s="52"/>
      <c r="E67" s="52"/>
      <c r="F67" s="130">
        <v>0</v>
      </c>
      <c r="G67" s="130">
        <v>10</v>
      </c>
      <c r="H67" s="52"/>
      <c r="I67" s="87" t="s">
        <v>55</v>
      </c>
      <c r="J67" s="87"/>
      <c r="K67" s="94"/>
      <c r="L67" s="87"/>
      <c r="M67" s="124">
        <f>AvCEDamages/1000</f>
        <v>6</v>
      </c>
      <c r="N67" s="124">
        <f>AvCEDamages/1000</f>
        <v>6</v>
      </c>
    </row>
    <row r="68" spans="2:16" x14ac:dyDescent="0.2">
      <c r="B68" s="87" t="s">
        <v>20</v>
      </c>
      <c r="C68" s="52"/>
      <c r="D68" s="52"/>
      <c r="E68" s="52"/>
      <c r="F68" s="130">
        <v>0</v>
      </c>
      <c r="G68" s="130">
        <v>0</v>
      </c>
      <c r="H68" s="52"/>
      <c r="I68" s="95" t="s">
        <v>67</v>
      </c>
      <c r="M68" s="125">
        <v>50</v>
      </c>
      <c r="N68" s="125">
        <v>20</v>
      </c>
      <c r="O68" s="87" t="s">
        <v>8</v>
      </c>
    </row>
    <row r="69" spans="2:16" ht="15" customHeight="1" x14ac:dyDescent="0.2">
      <c r="B69" s="87" t="s">
        <v>22</v>
      </c>
      <c r="C69" s="52"/>
      <c r="D69" s="52"/>
      <c r="E69" s="52"/>
      <c r="F69" s="130">
        <v>0</v>
      </c>
      <c r="G69" s="130">
        <v>0</v>
      </c>
      <c r="H69" s="52"/>
      <c r="I69" s="270" t="s">
        <v>95</v>
      </c>
      <c r="J69" s="270"/>
      <c r="K69" s="270"/>
      <c r="L69" s="270"/>
      <c r="M69" s="124">
        <f>M67*VLOOKUP('Discount Rates &amp; Assumptions'!K39,'Discount Rates &amp; Assumptions'!$A$6:$D$105,3,FALSE)</f>
        <v>1.1835763061432307</v>
      </c>
      <c r="N69" s="124">
        <f>N67*VLOOKUP('Discount Rates &amp; Assumptions'!K38,'Discount Rates &amp; Assumptions'!$A$6:$D$105,3,FALSE)</f>
        <v>3.0153953065900234</v>
      </c>
    </row>
    <row r="70" spans="2:16" ht="28.5" x14ac:dyDescent="0.2">
      <c r="B70" s="52"/>
      <c r="C70" s="52"/>
      <c r="D70" s="96"/>
      <c r="E70" s="52"/>
      <c r="F70" s="97" t="s">
        <v>65</v>
      </c>
      <c r="G70" s="97" t="s">
        <v>64</v>
      </c>
      <c r="H70" s="52"/>
      <c r="I70" s="270"/>
      <c r="J70" s="270"/>
      <c r="K70" s="270"/>
      <c r="L70" s="270"/>
      <c r="M70" s="98" t="s">
        <v>65</v>
      </c>
      <c r="N70" s="98" t="s">
        <v>64</v>
      </c>
    </row>
    <row r="71" spans="2:16" x14ac:dyDescent="0.2">
      <c r="B71" s="99"/>
      <c r="C71" s="99"/>
      <c r="D71" s="99"/>
      <c r="E71" s="99"/>
      <c r="F71" s="88"/>
      <c r="G71" s="52"/>
      <c r="H71" s="52"/>
      <c r="I71" s="52"/>
      <c r="J71" s="52"/>
      <c r="K71" s="52"/>
      <c r="L71" s="52"/>
      <c r="M71" s="52"/>
    </row>
    <row r="72" spans="2:16" ht="15.75" x14ac:dyDescent="0.25">
      <c r="B72" s="52" t="s">
        <v>57</v>
      </c>
      <c r="C72" s="52"/>
      <c r="D72" s="52"/>
      <c r="E72" s="52"/>
      <c r="F72" s="52"/>
      <c r="G72" s="69" t="s">
        <v>96</v>
      </c>
      <c r="H72" s="52"/>
      <c r="K72" s="69" t="s">
        <v>73</v>
      </c>
      <c r="O72" s="90" t="s">
        <v>78</v>
      </c>
    </row>
    <row r="73" spans="2:16" ht="15.75" x14ac:dyDescent="0.25">
      <c r="B73" s="87" t="str">
        <f>B67</f>
        <v>20% most deprived areas</v>
      </c>
      <c r="C73" s="52"/>
      <c r="D73" s="52"/>
      <c r="F73" s="296">
        <f>-SUMPRODUCT($M$69:$N$69,F67:G67)</f>
        <v>-30.153953065900232</v>
      </c>
      <c r="G73" s="296"/>
      <c r="H73" s="52"/>
      <c r="J73" s="297">
        <f>F73*Duration</f>
        <v>-2140.9306676789165</v>
      </c>
      <c r="K73" s="297"/>
      <c r="M73" s="90" t="s">
        <v>76</v>
      </c>
      <c r="N73" s="298">
        <f>-F73*VLOOKUP(Duration,'Discount Rates &amp; Assumptions'!$A$6:$D$105,4,FALSE)</f>
        <v>836.27098046532694</v>
      </c>
      <c r="O73" s="298"/>
    </row>
    <row r="74" spans="2:16" ht="15.75" x14ac:dyDescent="0.25">
      <c r="B74" s="87" t="str">
        <f>B68</f>
        <v>21-40% most deprived areas</v>
      </c>
      <c r="C74" s="52"/>
      <c r="D74" s="52"/>
      <c r="F74" s="296">
        <f>-SUMPRODUCT($M$69:$N$69,F68:G68)</f>
        <v>0</v>
      </c>
      <c r="G74" s="296"/>
      <c r="H74" s="52"/>
      <c r="J74" s="297">
        <f>F74*Duration</f>
        <v>0</v>
      </c>
      <c r="K74" s="297"/>
      <c r="M74" s="90" t="s">
        <v>77</v>
      </c>
      <c r="N74" s="298">
        <f>-F74*VLOOKUP(Duration,'Discount Rates &amp; Assumptions'!$A$6:$D$105,4,FALSE)</f>
        <v>0</v>
      </c>
      <c r="O74" s="298"/>
    </row>
    <row r="75" spans="2:16" ht="15.75" x14ac:dyDescent="0.25">
      <c r="B75" s="87" t="str">
        <f>B69</f>
        <v>60% least deprived areas</v>
      </c>
      <c r="C75" s="52"/>
      <c r="D75" s="52"/>
      <c r="F75" s="296">
        <f>-SUMPRODUCT($M$69:$N$69,F69:G69)</f>
        <v>0</v>
      </c>
      <c r="G75" s="296"/>
      <c r="H75" s="52"/>
      <c r="J75" s="297">
        <f>F75*Duration</f>
        <v>0</v>
      </c>
      <c r="K75" s="297"/>
      <c r="M75" s="90" t="s">
        <v>91</v>
      </c>
      <c r="N75" s="298">
        <f>-F75*VLOOKUP(Duration,'Discount Rates &amp; Assumptions'!$A$6:$D$105,4,FALSE)</f>
        <v>0</v>
      </c>
      <c r="O75" s="298"/>
    </row>
    <row r="76" spans="2:16" ht="7.5" customHeight="1" x14ac:dyDescent="0.2">
      <c r="H76" s="52"/>
      <c r="I76" s="52"/>
      <c r="J76" s="52"/>
      <c r="K76" s="52"/>
      <c r="L76" s="52"/>
    </row>
    <row r="77" spans="2:16" ht="7.5" customHeight="1" x14ac:dyDescent="0.2">
      <c r="B77" s="84"/>
      <c r="C77" s="84"/>
      <c r="D77" s="84"/>
      <c r="E77" s="84"/>
      <c r="F77" s="84"/>
      <c r="G77" s="84"/>
      <c r="H77" s="77"/>
      <c r="I77" s="77"/>
      <c r="J77" s="77"/>
      <c r="K77" s="77"/>
      <c r="L77" s="77"/>
      <c r="M77" s="84"/>
      <c r="N77" s="77"/>
      <c r="O77" s="77"/>
    </row>
    <row r="78" spans="2:16" ht="15.75" x14ac:dyDescent="0.25">
      <c r="B78" s="78" t="s">
        <v>100</v>
      </c>
      <c r="H78" s="52"/>
      <c r="I78" s="52"/>
      <c r="J78" s="52"/>
      <c r="K78" s="52"/>
      <c r="L78" s="52"/>
    </row>
    <row r="79" spans="2:16" ht="15.75" x14ac:dyDescent="0.25">
      <c r="B79" s="52" t="s">
        <v>70</v>
      </c>
      <c r="C79" s="52"/>
      <c r="D79" s="52"/>
      <c r="E79" s="100"/>
      <c r="F79" s="261"/>
      <c r="G79" s="261"/>
      <c r="H79" s="65"/>
      <c r="I79" s="93"/>
      <c r="K79" s="101" t="s">
        <v>89</v>
      </c>
      <c r="L79" s="93"/>
      <c r="M79" s="93"/>
      <c r="N79" s="93"/>
      <c r="O79" s="90" t="s">
        <v>78</v>
      </c>
      <c r="P79" s="93"/>
    </row>
    <row r="80" spans="2:16" x14ac:dyDescent="0.2">
      <c r="B80" s="93" t="s">
        <v>68</v>
      </c>
      <c r="C80" s="171">
        <v>2</v>
      </c>
      <c r="D80" s="85" t="s">
        <v>12</v>
      </c>
      <c r="E80" s="65"/>
      <c r="F80" s="65"/>
      <c r="G80" s="65"/>
      <c r="H80" s="65"/>
      <c r="I80" s="52"/>
      <c r="J80" s="291">
        <f>'Discount Rates &amp; Assumptions'!K14/1000</f>
        <v>15</v>
      </c>
      <c r="K80" s="291"/>
      <c r="L80" s="93"/>
      <c r="M80" s="101" t="s">
        <v>68</v>
      </c>
      <c r="N80" s="292">
        <f>J80*C80</f>
        <v>30</v>
      </c>
      <c r="O80" s="292"/>
      <c r="P80" s="93"/>
    </row>
    <row r="81" spans="1:16" x14ac:dyDescent="0.2">
      <c r="B81" s="93" t="s">
        <v>4</v>
      </c>
      <c r="C81" s="171">
        <v>2</v>
      </c>
      <c r="D81" s="85" t="s">
        <v>11</v>
      </c>
      <c r="E81" s="65"/>
      <c r="F81" s="65"/>
      <c r="G81" s="65"/>
      <c r="H81" s="65"/>
      <c r="I81" s="52"/>
      <c r="J81" s="291">
        <f>'Discount Rates &amp; Assumptions'!K15/1000</f>
        <v>50</v>
      </c>
      <c r="K81" s="291"/>
      <c r="L81" s="93"/>
      <c r="M81" s="101" t="s">
        <v>4</v>
      </c>
      <c r="N81" s="292">
        <f>J81*C81</f>
        <v>100</v>
      </c>
      <c r="O81" s="292"/>
      <c r="P81" s="93"/>
    </row>
    <row r="82" spans="1:16" x14ac:dyDescent="0.2">
      <c r="B82" s="93" t="s">
        <v>69</v>
      </c>
      <c r="C82" s="171">
        <v>2</v>
      </c>
      <c r="D82" s="85" t="s">
        <v>10</v>
      </c>
      <c r="E82" s="52"/>
      <c r="F82" s="52"/>
      <c r="G82" s="52"/>
      <c r="H82" s="52"/>
      <c r="I82" s="52"/>
      <c r="J82" s="291">
        <f>'Discount Rates &amp; Assumptions'!K16/1000</f>
        <v>80</v>
      </c>
      <c r="K82" s="291"/>
      <c r="L82" s="93"/>
      <c r="M82" s="101" t="s">
        <v>69</v>
      </c>
      <c r="N82" s="292">
        <f>J82*C82</f>
        <v>160</v>
      </c>
      <c r="O82" s="292"/>
      <c r="P82" s="93"/>
    </row>
    <row r="83" spans="1:16" ht="15.75" x14ac:dyDescent="0.25">
      <c r="B83" s="52"/>
      <c r="C83" s="52"/>
      <c r="D83" s="85"/>
      <c r="E83" s="52"/>
      <c r="F83" s="52"/>
      <c r="G83" s="52"/>
      <c r="H83" s="52"/>
      <c r="I83" s="52"/>
      <c r="J83" s="52"/>
      <c r="K83" s="52"/>
      <c r="L83" s="93"/>
      <c r="M83" s="90" t="s">
        <v>3</v>
      </c>
      <c r="N83" s="293">
        <f>SUM(N80:O82)</f>
        <v>290</v>
      </c>
      <c r="O83" s="293"/>
      <c r="P83" s="93"/>
    </row>
    <row r="84" spans="1:16" ht="7.5" customHeight="1" x14ac:dyDescent="0.25">
      <c r="B84" s="52"/>
      <c r="C84" s="52"/>
      <c r="D84" s="96"/>
      <c r="E84" s="52"/>
      <c r="F84" s="52"/>
      <c r="G84" s="52"/>
      <c r="H84" s="52"/>
      <c r="I84" s="52"/>
      <c r="J84" s="52"/>
      <c r="K84" s="52"/>
      <c r="L84" s="93"/>
      <c r="M84" s="90"/>
      <c r="N84" s="93"/>
    </row>
    <row r="85" spans="1:16" ht="7.5" customHeight="1" x14ac:dyDescent="0.2">
      <c r="B85" s="77"/>
      <c r="C85" s="77"/>
      <c r="D85" s="102"/>
      <c r="E85" s="77"/>
      <c r="F85" s="77"/>
      <c r="G85" s="77"/>
      <c r="H85" s="77"/>
      <c r="I85" s="77"/>
      <c r="J85" s="77"/>
      <c r="K85" s="77"/>
      <c r="L85" s="103"/>
      <c r="M85" s="77"/>
      <c r="N85" s="77"/>
      <c r="O85" s="77"/>
    </row>
    <row r="86" spans="1:16" ht="15.75" x14ac:dyDescent="0.25">
      <c r="B86" s="78" t="s">
        <v>102</v>
      </c>
      <c r="C86" s="52"/>
      <c r="E86" s="52"/>
      <c r="F86" s="52"/>
      <c r="G86" s="52"/>
      <c r="H86" s="52"/>
      <c r="I86" s="52"/>
      <c r="J86" s="52"/>
      <c r="K86" s="52"/>
      <c r="L86" s="52"/>
      <c r="M86" s="52"/>
    </row>
    <row r="87" spans="1:16" x14ac:dyDescent="0.2">
      <c r="B87" s="104"/>
      <c r="C87" s="52"/>
      <c r="E87" s="52"/>
      <c r="F87" s="52"/>
      <c r="G87" s="52"/>
      <c r="H87" s="52"/>
      <c r="I87" s="52"/>
      <c r="J87" s="52"/>
      <c r="K87" s="52"/>
      <c r="L87" s="52"/>
      <c r="M87" s="52"/>
    </row>
    <row r="88" spans="1:16" x14ac:dyDescent="0.2">
      <c r="B88" s="93" t="s">
        <v>83</v>
      </c>
      <c r="C88" s="93"/>
      <c r="D88" s="93" t="s">
        <v>92</v>
      </c>
      <c r="F88" s="85" t="s">
        <v>71</v>
      </c>
      <c r="G88" s="85"/>
      <c r="H88" s="85"/>
      <c r="I88" s="85" t="s">
        <v>82</v>
      </c>
      <c r="J88" s="85"/>
      <c r="K88" s="52"/>
      <c r="L88" s="52"/>
      <c r="M88" s="52"/>
    </row>
    <row r="89" spans="1:16" x14ac:dyDescent="0.2">
      <c r="A89" s="149"/>
      <c r="B89" s="150" t="s">
        <v>2</v>
      </c>
      <c r="C89" s="151"/>
      <c r="D89" s="294">
        <f>IF(H29=0,0,IF(MAX((H29-SUM(D90:E96)),0)&gt;0,H29-SUM(D90:E96),"Ltd by high OM2,3,4 values"))</f>
        <v>1201.7260002939074</v>
      </c>
      <c r="E89" s="295"/>
      <c r="F89" s="148">
        <f>1/TargetBCRWLBs*100</f>
        <v>5.5555555555555554</v>
      </c>
      <c r="G89" s="149" t="s">
        <v>81</v>
      </c>
      <c r="H89" s="52"/>
      <c r="I89" s="287">
        <f>IF(D89="Ltd by high OM2,3,4 values",0,D89*F89/100)</f>
        <v>66.762555571883738</v>
      </c>
      <c r="J89" s="287"/>
      <c r="K89" s="52"/>
      <c r="L89" s="93"/>
      <c r="M89" s="52"/>
      <c r="N89" s="107"/>
    </row>
    <row r="90" spans="1:16" x14ac:dyDescent="0.2">
      <c r="B90" s="108" t="s">
        <v>1</v>
      </c>
      <c r="C90" s="109" t="s">
        <v>84</v>
      </c>
      <c r="D90" s="286">
        <f>N60</f>
        <v>1872.0030192407658</v>
      </c>
      <c r="E90" s="286"/>
      <c r="F90" s="126">
        <f>1/TargetMinBCR*DeprivedScalar20*100</f>
        <v>45</v>
      </c>
      <c r="G90" s="52"/>
      <c r="H90" s="52"/>
      <c r="I90" s="287">
        <f t="shared" ref="I90:I96" si="1">D90*F90/100</f>
        <v>842.40135865834452</v>
      </c>
      <c r="J90" s="287"/>
      <c r="K90" s="52"/>
      <c r="L90" s="52"/>
      <c r="M90" s="52"/>
      <c r="N90" s="107"/>
    </row>
    <row r="91" spans="1:16" x14ac:dyDescent="0.2">
      <c r="B91" s="110"/>
      <c r="C91" s="111" t="s">
        <v>80</v>
      </c>
      <c r="D91" s="286">
        <f>N61</f>
        <v>0</v>
      </c>
      <c r="E91" s="286"/>
      <c r="F91" s="126">
        <f>1/TargetMinBCR*DeprivedScalar40*100</f>
        <v>30.000000000000004</v>
      </c>
      <c r="G91" s="52"/>
      <c r="H91" s="52"/>
      <c r="I91" s="287">
        <f t="shared" si="1"/>
        <v>0</v>
      </c>
      <c r="J91" s="287"/>
      <c r="M91" s="93"/>
    </row>
    <row r="92" spans="1:16" x14ac:dyDescent="0.2">
      <c r="B92" s="112"/>
      <c r="C92" s="113" t="s">
        <v>88</v>
      </c>
      <c r="D92" s="286">
        <f>N62</f>
        <v>0</v>
      </c>
      <c r="E92" s="286"/>
      <c r="F92" s="126">
        <f>1/TargetMinBCR*DeprivedScalarOther*100</f>
        <v>20</v>
      </c>
      <c r="G92" s="52"/>
      <c r="H92" s="52"/>
      <c r="I92" s="287">
        <f t="shared" si="1"/>
        <v>0</v>
      </c>
      <c r="J92" s="287"/>
    </row>
    <row r="93" spans="1:16" x14ac:dyDescent="0.2">
      <c r="B93" s="108" t="s">
        <v>0</v>
      </c>
      <c r="C93" s="109" t="s">
        <v>84</v>
      </c>
      <c r="D93" s="286">
        <f>N73</f>
        <v>836.27098046532694</v>
      </c>
      <c r="E93" s="286"/>
      <c r="F93" s="126">
        <f>1/TargetMinBCR*DeprivedScalar20*100</f>
        <v>45</v>
      </c>
      <c r="G93" s="52"/>
      <c r="H93" s="52"/>
      <c r="I93" s="287">
        <f t="shared" si="1"/>
        <v>376.3219412093971</v>
      </c>
      <c r="J93" s="287"/>
    </row>
    <row r="94" spans="1:16" x14ac:dyDescent="0.2">
      <c r="B94" s="114"/>
      <c r="C94" s="111" t="s">
        <v>80</v>
      </c>
      <c r="D94" s="286">
        <f>N74</f>
        <v>0</v>
      </c>
      <c r="E94" s="286"/>
      <c r="F94" s="126">
        <f>1/TargetMinBCR*DeprivedScalar40*100</f>
        <v>30.000000000000004</v>
      </c>
      <c r="G94" s="52"/>
      <c r="H94" s="52"/>
      <c r="I94" s="287">
        <f t="shared" si="1"/>
        <v>0</v>
      </c>
      <c r="J94" s="287"/>
    </row>
    <row r="95" spans="1:16" x14ac:dyDescent="0.2">
      <c r="B95" s="112"/>
      <c r="C95" s="113" t="s">
        <v>88</v>
      </c>
      <c r="D95" s="286">
        <f>N75</f>
        <v>0</v>
      </c>
      <c r="E95" s="286"/>
      <c r="F95" s="126">
        <f>1/TargetMinBCR*DeprivedScalarOther*100</f>
        <v>20</v>
      </c>
      <c r="G95" s="52"/>
      <c r="H95" s="52"/>
      <c r="I95" s="287">
        <f t="shared" si="1"/>
        <v>0</v>
      </c>
      <c r="J95" s="287"/>
    </row>
    <row r="96" spans="1:16" x14ac:dyDescent="0.2">
      <c r="B96" s="105" t="s">
        <v>3</v>
      </c>
      <c r="C96" s="106"/>
      <c r="D96" s="286">
        <f>N83</f>
        <v>290</v>
      </c>
      <c r="E96" s="286"/>
      <c r="F96" s="126">
        <v>100</v>
      </c>
      <c r="G96" s="52"/>
      <c r="H96" s="52"/>
      <c r="I96" s="287">
        <f t="shared" si="1"/>
        <v>290</v>
      </c>
      <c r="J96" s="287"/>
      <c r="P96" s="133"/>
    </row>
    <row r="97" spans="2:16" ht="15.75" x14ac:dyDescent="0.25">
      <c r="B97" s="52" t="s">
        <v>7</v>
      </c>
      <c r="C97" s="52"/>
      <c r="D97" s="288">
        <f>SUM(D89:E96)</f>
        <v>4200</v>
      </c>
      <c r="E97" s="281"/>
      <c r="F97" s="52"/>
      <c r="G97" s="52"/>
      <c r="H97" s="52"/>
      <c r="I97" s="289">
        <f>SUM(I89:J96)</f>
        <v>1575.4858554396253</v>
      </c>
      <c r="J97" s="290"/>
      <c r="K97" s="273" t="s">
        <v>141</v>
      </c>
      <c r="L97" s="273"/>
      <c r="M97" s="273"/>
      <c r="N97" s="273"/>
      <c r="O97" s="273"/>
    </row>
    <row r="98" spans="2:16" x14ac:dyDescent="0.2">
      <c r="B98" s="52"/>
      <c r="C98" s="52"/>
      <c r="D98" s="52"/>
      <c r="E98" s="52"/>
      <c r="F98" s="52"/>
      <c r="G98" s="52"/>
      <c r="H98" s="52"/>
      <c r="I98" s="52"/>
      <c r="K98" s="273"/>
      <c r="L98" s="273"/>
      <c r="M98" s="273"/>
      <c r="N98" s="273"/>
      <c r="O98" s="273"/>
    </row>
    <row r="99" spans="2:16" s="93" customFormat="1" x14ac:dyDescent="0.2">
      <c r="B99" s="115" t="s">
        <v>104</v>
      </c>
      <c r="C99" s="77"/>
      <c r="D99" s="102"/>
      <c r="E99" s="77"/>
      <c r="F99" s="77"/>
      <c r="G99" s="77"/>
      <c r="H99" s="77"/>
      <c r="I99" s="77"/>
      <c r="J99" s="77"/>
      <c r="K99" s="77"/>
      <c r="L99" s="103"/>
      <c r="M99" s="77"/>
      <c r="N99" s="77"/>
      <c r="O99" s="77"/>
      <c r="P99" s="55"/>
    </row>
    <row r="100" spans="2:16" s="116" customFormat="1" ht="12.75" x14ac:dyDescent="0.2">
      <c r="B100" s="117" t="s">
        <v>105</v>
      </c>
    </row>
    <row r="101" spans="2:16" s="116" customFormat="1" ht="12.75" x14ac:dyDescent="0.2">
      <c r="B101" s="117" t="s">
        <v>111</v>
      </c>
    </row>
    <row r="102" spans="2:16" ht="15.75" x14ac:dyDescent="0.25">
      <c r="B102" s="118" t="s">
        <v>93</v>
      </c>
      <c r="C102" s="52"/>
      <c r="D102" s="52"/>
      <c r="E102" s="52"/>
      <c r="F102" s="52"/>
      <c r="G102" s="52"/>
      <c r="H102" s="52"/>
      <c r="I102" s="52"/>
      <c r="J102" s="52"/>
      <c r="K102" s="52"/>
      <c r="L102" s="52"/>
      <c r="M102" s="52"/>
    </row>
    <row r="103" spans="2:16" s="93" customFormat="1" ht="23.25" x14ac:dyDescent="0.35">
      <c r="I103" s="141"/>
    </row>
    <row r="104" spans="2:16" s="93" customFormat="1" ht="23.25" x14ac:dyDescent="0.35">
      <c r="B104" s="141"/>
      <c r="C104" s="140"/>
    </row>
    <row r="105" spans="2:16" s="93" customFormat="1" x14ac:dyDescent="0.2"/>
    <row r="106" spans="2:16" s="93" customFormat="1" x14ac:dyDescent="0.2"/>
    <row r="107" spans="2:16" s="93" customFormat="1" x14ac:dyDescent="0.2"/>
    <row r="108" spans="2:16" s="93" customFormat="1" x14ac:dyDescent="0.2"/>
    <row r="109" spans="2:16" s="93" customFormat="1" x14ac:dyDescent="0.2"/>
    <row r="110" spans="2:16" s="93" customFormat="1" x14ac:dyDescent="0.2"/>
    <row r="111" spans="2:16" s="93" customFormat="1" x14ac:dyDescent="0.2"/>
  </sheetData>
  <sheetProtection password="A377" sheet="1" objects="1" scenarios="1"/>
  <mergeCells count="59">
    <mergeCell ref="K97:O98"/>
    <mergeCell ref="D95:E95"/>
    <mergeCell ref="I95:J95"/>
    <mergeCell ref="D96:E96"/>
    <mergeCell ref="I96:J96"/>
    <mergeCell ref="D97:E97"/>
    <mergeCell ref="I97:J97"/>
    <mergeCell ref="D92:E92"/>
    <mergeCell ref="I92:J92"/>
    <mergeCell ref="D93:E93"/>
    <mergeCell ref="I93:J93"/>
    <mergeCell ref="D94:E94"/>
    <mergeCell ref="I94:J94"/>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F74:G74"/>
    <mergeCell ref="J74:K74"/>
    <mergeCell ref="N74:O74"/>
    <mergeCell ref="F75:G75"/>
    <mergeCell ref="J75:K75"/>
    <mergeCell ref="N75:O75"/>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Q17:V23"/>
    <mergeCell ref="J22:O22"/>
    <mergeCell ref="M50:O50"/>
    <mergeCell ref="B5:D5"/>
    <mergeCell ref="M8:O8"/>
    <mergeCell ref="M9:O9"/>
    <mergeCell ref="J17:O21"/>
    <mergeCell ref="J26:N27"/>
    <mergeCell ref="J30:N33"/>
    <mergeCell ref="J38:O39"/>
    <mergeCell ref="P38:U43"/>
    <mergeCell ref="J40:O46"/>
  </mergeCells>
  <conditionalFormatting sqref="B10 P26 Q17">
    <cfRule type="expression" dxfId="1" priority="1" stopIfTrue="1">
      <formula>LEFT($P$26,6)="ERROR!"</formula>
    </cfRule>
  </conditionalFormatting>
  <dataValidations disablePrompts="1" count="1">
    <dataValidation type="list" allowBlank="1" showInputMessage="1" showErrorMessage="1" sqref="E47">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11"/>
  <sheetViews>
    <sheetView zoomScale="70" zoomScaleNormal="70" workbookViewId="0">
      <selection activeCell="H56" sqref="H56"/>
    </sheetView>
  </sheetViews>
  <sheetFormatPr defaultColWidth="8.88671875" defaultRowHeight="15" x14ac:dyDescent="0.2"/>
  <cols>
    <col min="1" max="1" width="2" style="52" customWidth="1"/>
    <col min="2" max="2" width="16.5546875" style="55" customWidth="1"/>
    <col min="3" max="13" width="10.6640625" style="55" customWidth="1"/>
    <col min="14" max="18" width="10.6640625" style="52" customWidth="1"/>
    <col min="19" max="16384" width="8.88671875" style="52"/>
  </cols>
  <sheetData>
    <row r="2" spans="1:18" ht="20.25" x14ac:dyDescent="0.3">
      <c r="B2" s="53" t="s">
        <v>189</v>
      </c>
      <c r="C2" s="54"/>
      <c r="D2" s="54"/>
    </row>
    <row r="3" spans="1:18" ht="20.25" x14ac:dyDescent="0.3">
      <c r="B3" s="56" t="s">
        <v>163</v>
      </c>
      <c r="C3" s="54"/>
      <c r="D3" s="54"/>
    </row>
    <row r="4" spans="1:18" x14ac:dyDescent="0.2">
      <c r="B4" s="57"/>
      <c r="C4" s="44"/>
      <c r="D4" s="44"/>
    </row>
    <row r="5" spans="1:18" ht="20.25" x14ac:dyDescent="0.3">
      <c r="B5" s="249" t="s">
        <v>138</v>
      </c>
      <c r="C5" s="249"/>
      <c r="D5" s="249"/>
      <c r="E5" s="167" t="str">
        <f>'PF Calculator'!E5</f>
        <v>Wrington</v>
      </c>
      <c r="F5" s="168"/>
      <c r="G5" s="168"/>
      <c r="H5" s="168"/>
      <c r="I5" s="168"/>
      <c r="J5" s="168"/>
      <c r="K5" s="168"/>
      <c r="L5" s="168"/>
      <c r="M5" s="168"/>
      <c r="N5" s="168"/>
      <c r="O5" s="168"/>
      <c r="P5" s="58"/>
      <c r="Q5" s="59"/>
      <c r="R5" s="59"/>
    </row>
    <row r="6" spans="1:18" ht="20.25" x14ac:dyDescent="0.3">
      <c r="B6" s="165" t="s">
        <v>139</v>
      </c>
      <c r="C6" s="165"/>
      <c r="D6" s="165"/>
      <c r="E6" s="128" t="s">
        <v>152</v>
      </c>
      <c r="F6" s="168"/>
      <c r="G6" s="168"/>
      <c r="H6" s="168"/>
      <c r="I6" s="168"/>
      <c r="J6" s="168"/>
      <c r="K6" s="168"/>
      <c r="L6" s="168"/>
      <c r="M6" s="168"/>
      <c r="N6" s="168"/>
      <c r="O6" s="168"/>
      <c r="P6" s="58"/>
      <c r="Q6" s="59"/>
      <c r="R6" s="59"/>
    </row>
    <row r="7" spans="1:18" x14ac:dyDescent="0.2">
      <c r="B7" s="159"/>
      <c r="C7" s="160"/>
      <c r="D7" s="160"/>
    </row>
    <row r="8" spans="1:18" x14ac:dyDescent="0.2">
      <c r="B8" s="161"/>
      <c r="C8" s="160"/>
      <c r="D8" s="160"/>
      <c r="L8" s="60" t="s">
        <v>13</v>
      </c>
      <c r="M8" s="301" t="s">
        <v>142</v>
      </c>
      <c r="N8" s="302"/>
      <c r="O8" s="303"/>
    </row>
    <row r="9" spans="1:18" ht="15.75" x14ac:dyDescent="0.25">
      <c r="B9" s="162" t="s">
        <v>188</v>
      </c>
      <c r="J9" s="55" t="s">
        <v>153</v>
      </c>
      <c r="L9" s="52"/>
      <c r="M9" s="279" t="s">
        <v>15</v>
      </c>
      <c r="N9" s="280"/>
      <c r="O9" s="281"/>
    </row>
    <row r="10" spans="1:18" ht="15.75" x14ac:dyDescent="0.25">
      <c r="B10" s="163" t="s">
        <v>135</v>
      </c>
      <c r="L10" s="52"/>
      <c r="M10" s="61"/>
      <c r="N10" s="61"/>
      <c r="O10" s="61"/>
    </row>
    <row r="11" spans="1:18" s="65" customFormat="1" ht="10.9" customHeight="1" x14ac:dyDescent="0.2">
      <c r="A11" s="62"/>
      <c r="B11" s="63"/>
      <c r="C11" s="64"/>
      <c r="D11" s="64"/>
      <c r="E11" s="64"/>
      <c r="F11" s="64"/>
      <c r="G11" s="64"/>
      <c r="H11" s="64"/>
      <c r="I11" s="64"/>
      <c r="J11" s="64"/>
      <c r="K11" s="64"/>
      <c r="L11" s="64"/>
      <c r="M11" s="64"/>
      <c r="N11" s="64"/>
      <c r="O11" s="64"/>
      <c r="P11" s="62"/>
    </row>
    <row r="12" spans="1:18" ht="15" customHeight="1" x14ac:dyDescent="0.25">
      <c r="B12" s="158" t="s">
        <v>136</v>
      </c>
      <c r="C12" s="44"/>
      <c r="D12" s="44"/>
      <c r="E12" s="44"/>
      <c r="F12" s="66"/>
      <c r="G12" s="42"/>
      <c r="H12" s="52"/>
      <c r="I12" s="52"/>
      <c r="O12" s="67"/>
      <c r="P12" s="67"/>
    </row>
    <row r="13" spans="1:18" ht="15" customHeight="1" x14ac:dyDescent="0.25">
      <c r="G13" s="142"/>
      <c r="I13" s="52"/>
      <c r="J13" s="67"/>
      <c r="K13" s="52"/>
      <c r="M13" s="69" t="s">
        <v>101</v>
      </c>
      <c r="N13" s="119">
        <f>H29/H37</f>
        <v>5.3164556962025316</v>
      </c>
      <c r="O13" s="120" t="s">
        <v>17</v>
      </c>
    </row>
    <row r="14" spans="1:18" ht="15" customHeight="1" x14ac:dyDescent="0.25">
      <c r="B14" s="153" t="str">
        <f>IF(J25="No"," WARNING: 'Maximum grant rate reduced to 45% as a strategic approach not taken and benefits may be double counted"," ")</f>
        <v xml:space="preserve"> </v>
      </c>
      <c r="C14" s="44"/>
      <c r="D14" s="44"/>
      <c r="E14" s="44"/>
      <c r="F14" s="44"/>
      <c r="G14" s="44"/>
      <c r="H14" s="44"/>
      <c r="K14" s="52"/>
      <c r="L14" s="71"/>
      <c r="M14" s="72" t="s">
        <v>16</v>
      </c>
      <c r="N14" s="121">
        <f>H29/MIN(H21,H37)</f>
        <v>13.636363636363637</v>
      </c>
      <c r="O14" s="120" t="s">
        <v>17</v>
      </c>
    </row>
    <row r="15" spans="1:18" ht="15" customHeight="1" x14ac:dyDescent="0.25">
      <c r="B15" s="68" t="s">
        <v>160</v>
      </c>
      <c r="C15" s="73"/>
      <c r="D15" s="73"/>
      <c r="E15" s="73"/>
      <c r="F15" s="73"/>
      <c r="G15" s="73"/>
      <c r="H15" s="137">
        <f>IF(J25="yes",I97/MAX(H37,H34),IF(J25="Yes",I97/MAX(H37,H34),0.45*I97/MAX(H37,H34)))</f>
        <v>1.7604929546831189</v>
      </c>
      <c r="I15" s="71" t="s">
        <v>165</v>
      </c>
      <c r="K15" s="52"/>
      <c r="L15" s="52"/>
      <c r="M15" s="72" t="s">
        <v>18</v>
      </c>
      <c r="N15" s="121">
        <f>IF(H44&gt;0,H29/H44,"n/a")</f>
        <v>11.602209944751381</v>
      </c>
      <c r="O15" s="120" t="s">
        <v>17</v>
      </c>
    </row>
    <row r="16" spans="1:18" ht="15" customHeight="1" x14ac:dyDescent="0.25">
      <c r="B16" s="68"/>
      <c r="C16" s="44"/>
      <c r="D16" s="44"/>
      <c r="E16" s="44"/>
      <c r="F16" s="44"/>
      <c r="G16" s="44"/>
      <c r="H16" s="44"/>
      <c r="K16" s="52"/>
      <c r="L16" s="52"/>
      <c r="M16" s="52"/>
    </row>
    <row r="17" spans="2:22" ht="15" customHeight="1" x14ac:dyDescent="0.25">
      <c r="B17" s="145" t="s">
        <v>157</v>
      </c>
      <c r="C17" s="44"/>
      <c r="D17" s="44"/>
      <c r="E17" s="44"/>
      <c r="F17" s="44"/>
      <c r="G17" s="44"/>
      <c r="H17" s="154">
        <f>IF(J25="Yes",MAX(IF(Authority="EA",MAX(H37,H34)-MIN(I97,H37),H34*(1-(RawOMScore))),0),IF(Authority="EA",MAX(H37,H34)-MIN(I97*0.45,H37),H34*(1-(I15))))</f>
        <v>0</v>
      </c>
      <c r="I17" s="71" t="s">
        <v>166</v>
      </c>
      <c r="J17" s="232" t="s">
        <v>186</v>
      </c>
      <c r="K17" s="304"/>
      <c r="L17" s="304"/>
      <c r="M17" s="304"/>
      <c r="N17" s="304"/>
      <c r="O17" s="304"/>
      <c r="Q17" s="230"/>
      <c r="R17" s="299"/>
      <c r="S17" s="299"/>
      <c r="T17" s="299"/>
      <c r="U17" s="299"/>
      <c r="V17" s="299"/>
    </row>
    <row r="18" spans="2:22" ht="15" customHeight="1" x14ac:dyDescent="0.25">
      <c r="B18" s="68"/>
      <c r="C18" s="44"/>
      <c r="D18" s="44"/>
      <c r="E18" s="44"/>
      <c r="F18" s="44"/>
      <c r="G18" s="44"/>
      <c r="H18" s="44"/>
      <c r="I18" s="93"/>
      <c r="J18" s="304"/>
      <c r="K18" s="304"/>
      <c r="L18" s="304"/>
      <c r="M18" s="304"/>
      <c r="N18" s="304"/>
      <c r="O18" s="304"/>
      <c r="Q18" s="299"/>
      <c r="R18" s="299"/>
      <c r="S18" s="299"/>
      <c r="T18" s="299"/>
      <c r="U18" s="299"/>
      <c r="V18" s="299"/>
    </row>
    <row r="19" spans="2:22" ht="15" customHeight="1" x14ac:dyDescent="0.25">
      <c r="B19" s="68" t="s">
        <v>140</v>
      </c>
      <c r="C19" s="74"/>
      <c r="D19" s="74"/>
      <c r="E19" s="74"/>
      <c r="F19" s="74"/>
      <c r="G19" s="74"/>
      <c r="H19" s="137">
        <f>IF(J25="Yes",IF(Authority="EA",I97/MAX(MAX(H37,H34)-H44,1),RawOMScore+H44/H34),IF(Authority="EA",I97*0.45/MAX(MAX(H37,H34)-H44,1),I15+H44/H34))</f>
        <v>2.3007914621458054</v>
      </c>
      <c r="I19" s="71" t="s">
        <v>167</v>
      </c>
      <c r="J19" s="304"/>
      <c r="K19" s="304"/>
      <c r="L19" s="304"/>
      <c r="M19" s="304"/>
      <c r="N19" s="304"/>
      <c r="O19" s="304"/>
      <c r="Q19" s="299"/>
      <c r="R19" s="299"/>
      <c r="S19" s="299"/>
      <c r="T19" s="299"/>
      <c r="U19" s="299"/>
      <c r="V19" s="299"/>
    </row>
    <row r="20" spans="2:22" ht="15" customHeight="1" x14ac:dyDescent="0.2">
      <c r="J20" s="304"/>
      <c r="K20" s="304"/>
      <c r="L20" s="304"/>
      <c r="M20" s="304"/>
      <c r="N20" s="304"/>
      <c r="O20" s="304"/>
      <c r="Q20" s="299"/>
      <c r="R20" s="299"/>
      <c r="S20" s="299"/>
      <c r="T20" s="299"/>
      <c r="U20" s="299"/>
      <c r="V20" s="299"/>
    </row>
    <row r="21" spans="2:22" ht="15" customHeight="1" x14ac:dyDescent="0.25">
      <c r="B21" s="146" t="s">
        <v>162</v>
      </c>
      <c r="C21" s="70"/>
      <c r="D21" s="70"/>
      <c r="E21" s="70"/>
      <c r="F21" s="70"/>
      <c r="G21" s="70"/>
      <c r="H21" s="152">
        <f>IF(ROUNDUP(AdjOMScore,4)&lt;100%,"-",H34-H44)</f>
        <v>308</v>
      </c>
      <c r="I21" s="71" t="s">
        <v>168</v>
      </c>
      <c r="J21" s="304"/>
      <c r="K21" s="304"/>
      <c r="L21" s="304"/>
      <c r="M21" s="304"/>
      <c r="N21" s="304"/>
      <c r="O21" s="304"/>
      <c r="Q21" s="299"/>
      <c r="R21" s="299"/>
      <c r="S21" s="299"/>
      <c r="T21" s="299"/>
      <c r="U21" s="299"/>
      <c r="V21" s="299"/>
    </row>
    <row r="22" spans="2:22" ht="22.5" customHeight="1" x14ac:dyDescent="0.25">
      <c r="B22" s="75"/>
      <c r="C22" s="52"/>
      <c r="D22" s="52"/>
      <c r="E22" s="52"/>
      <c r="G22" s="76"/>
      <c r="H22" s="76"/>
      <c r="I22" s="67"/>
      <c r="J22" s="300"/>
      <c r="K22" s="300"/>
      <c r="L22" s="300"/>
      <c r="M22" s="300"/>
      <c r="N22" s="300"/>
      <c r="O22" s="300"/>
      <c r="Q22" s="299"/>
      <c r="R22" s="299"/>
      <c r="S22" s="299"/>
      <c r="T22" s="299"/>
      <c r="U22" s="299"/>
      <c r="V22" s="299"/>
    </row>
    <row r="23" spans="2:22" ht="6.75" customHeight="1" x14ac:dyDescent="0.2">
      <c r="B23" s="77"/>
      <c r="C23" s="77"/>
      <c r="D23" s="77"/>
      <c r="E23" s="77"/>
      <c r="F23" s="77"/>
      <c r="G23" s="77"/>
      <c r="H23" s="77"/>
      <c r="I23" s="77"/>
      <c r="J23" s="77"/>
      <c r="K23" s="77"/>
      <c r="L23" s="77"/>
      <c r="M23" s="77"/>
      <c r="N23" s="77"/>
      <c r="O23" s="65"/>
      <c r="P23" s="65"/>
      <c r="Q23" s="299"/>
      <c r="R23" s="299"/>
      <c r="S23" s="299"/>
      <c r="T23" s="299"/>
      <c r="U23" s="299"/>
      <c r="V23" s="299"/>
    </row>
    <row r="24" spans="2:22" ht="15" customHeight="1" x14ac:dyDescent="0.25">
      <c r="B24" s="78" t="s">
        <v>97</v>
      </c>
      <c r="C24" s="79"/>
      <c r="D24" s="79"/>
      <c r="E24" s="52"/>
      <c r="F24" s="52"/>
      <c r="G24" s="52"/>
      <c r="H24" s="52"/>
      <c r="M24" s="52"/>
    </row>
    <row r="25" spans="2:22" ht="15.75" x14ac:dyDescent="0.25">
      <c r="B25" s="80" t="s">
        <v>134</v>
      </c>
      <c r="C25" s="79"/>
      <c r="D25" s="81"/>
      <c r="E25" s="52"/>
      <c r="F25" s="52"/>
      <c r="G25" s="52"/>
      <c r="H25" s="127" t="str">
        <f>'PF Calculator'!H25</f>
        <v>LA</v>
      </c>
      <c r="I25" s="71" t="s">
        <v>169</v>
      </c>
      <c r="J25" s="127" t="str">
        <f>'PF Calculator'!J25</f>
        <v>Yes</v>
      </c>
      <c r="K25" s="155" t="s">
        <v>182</v>
      </c>
      <c r="L25" s="139"/>
      <c r="M25" s="139"/>
      <c r="N25" s="139"/>
      <c r="O25" s="139"/>
    </row>
    <row r="26" spans="2:22" ht="15.75" x14ac:dyDescent="0.25">
      <c r="B26" s="79"/>
      <c r="C26" s="79"/>
      <c r="D26" s="81"/>
      <c r="E26" s="52"/>
      <c r="F26" s="52"/>
      <c r="G26" s="52"/>
      <c r="H26" s="69"/>
      <c r="I26" s="52"/>
      <c r="J26" s="305" t="s">
        <v>183</v>
      </c>
      <c r="K26" s="275"/>
      <c r="L26" s="275"/>
      <c r="M26" s="275"/>
      <c r="N26" s="275"/>
      <c r="O26" s="139"/>
      <c r="P26" s="143"/>
    </row>
    <row r="27" spans="2:22" ht="15.75" x14ac:dyDescent="0.25">
      <c r="B27" s="80" t="s">
        <v>129</v>
      </c>
      <c r="C27" s="79"/>
      <c r="D27" s="81"/>
      <c r="E27" s="52"/>
      <c r="F27" s="52"/>
      <c r="G27" s="52"/>
      <c r="H27" s="136">
        <f>INT('PF Calculator'!H27*0.75)</f>
        <v>42</v>
      </c>
      <c r="I27" s="71" t="s">
        <v>170</v>
      </c>
      <c r="J27" s="275"/>
      <c r="K27" s="275"/>
      <c r="L27" s="275"/>
      <c r="M27" s="275"/>
      <c r="N27" s="275"/>
      <c r="O27" s="55"/>
    </row>
    <row r="28" spans="2:22" ht="15.75" x14ac:dyDescent="0.25">
      <c r="B28" s="80"/>
      <c r="C28" s="79"/>
      <c r="D28" s="81"/>
      <c r="E28" s="52"/>
      <c r="F28" s="52"/>
      <c r="G28" s="52"/>
      <c r="H28" s="52"/>
      <c r="I28" s="52"/>
      <c r="J28" s="52"/>
      <c r="K28" s="52"/>
      <c r="L28" s="52"/>
      <c r="M28" s="52"/>
      <c r="O28" s="55"/>
    </row>
    <row r="29" spans="2:22" ht="15.75" x14ac:dyDescent="0.25">
      <c r="B29" s="80" t="s">
        <v>9</v>
      </c>
      <c r="C29" s="79"/>
      <c r="D29" s="81"/>
      <c r="E29" s="52"/>
      <c r="F29" s="52"/>
      <c r="G29" s="52"/>
      <c r="H29" s="127">
        <f>'PF Calculator'!H29</f>
        <v>4200</v>
      </c>
      <c r="I29" s="71" t="s">
        <v>171</v>
      </c>
      <c r="J29" s="52"/>
      <c r="K29" s="52"/>
      <c r="L29" s="52"/>
      <c r="M29" s="52"/>
      <c r="O29" s="55"/>
    </row>
    <row r="30" spans="2:22" ht="15.75" x14ac:dyDescent="0.25">
      <c r="B30" s="80"/>
      <c r="C30" s="79"/>
      <c r="D30" s="81"/>
      <c r="E30" s="52"/>
      <c r="F30" s="52"/>
      <c r="G30" s="52"/>
      <c r="H30" s="52"/>
      <c r="I30" s="52"/>
      <c r="J30" s="306" t="s">
        <v>164</v>
      </c>
      <c r="K30" s="307"/>
      <c r="L30" s="307"/>
      <c r="M30" s="307"/>
      <c r="N30" s="308"/>
    </row>
    <row r="31" spans="2:22" ht="15.75" x14ac:dyDescent="0.25">
      <c r="B31" s="82" t="s">
        <v>158</v>
      </c>
      <c r="C31" s="79"/>
      <c r="D31" s="81"/>
      <c r="E31" s="52"/>
      <c r="F31" s="52"/>
      <c r="G31" s="52"/>
      <c r="H31" s="69"/>
      <c r="I31" s="52"/>
      <c r="J31" s="309"/>
      <c r="K31" s="310"/>
      <c r="L31" s="310"/>
      <c r="M31" s="310"/>
      <c r="N31" s="311"/>
      <c r="O31" s="55"/>
    </row>
    <row r="32" spans="2:22" ht="15.75" x14ac:dyDescent="0.25">
      <c r="B32" s="79" t="s">
        <v>122</v>
      </c>
      <c r="C32" s="79"/>
      <c r="D32" s="81"/>
      <c r="E32" s="52"/>
      <c r="F32" s="52"/>
      <c r="G32" s="52"/>
      <c r="H32" s="127">
        <f>'PF Calculator'!H32</f>
        <v>50</v>
      </c>
      <c r="I32" s="71" t="s">
        <v>172</v>
      </c>
      <c r="J32" s="309"/>
      <c r="K32" s="310"/>
      <c r="L32" s="310"/>
      <c r="M32" s="310"/>
      <c r="N32" s="311"/>
    </row>
    <row r="33" spans="2:21" ht="15.75" x14ac:dyDescent="0.25">
      <c r="B33" s="79" t="s">
        <v>130</v>
      </c>
      <c r="C33" s="79"/>
      <c r="D33" s="81"/>
      <c r="E33" s="52"/>
      <c r="F33" s="52"/>
      <c r="G33" s="52"/>
      <c r="H33" s="127">
        <f>'PF Calculator'!H33</f>
        <v>620</v>
      </c>
      <c r="I33" s="71" t="s">
        <v>173</v>
      </c>
      <c r="J33" s="312"/>
      <c r="K33" s="313"/>
      <c r="L33" s="313"/>
      <c r="M33" s="313"/>
      <c r="N33" s="314"/>
    </row>
    <row r="34" spans="2:21" ht="15.75" x14ac:dyDescent="0.25">
      <c r="B34" s="82" t="s">
        <v>161</v>
      </c>
      <c r="C34" s="79"/>
      <c r="D34" s="81"/>
      <c r="E34" s="52"/>
      <c r="F34" s="52"/>
      <c r="G34" s="52"/>
      <c r="H34" s="147">
        <f>SUM(H32:H33)</f>
        <v>670</v>
      </c>
      <c r="I34" s="71" t="s">
        <v>174</v>
      </c>
      <c r="J34" s="52"/>
      <c r="K34" s="52"/>
      <c r="L34" s="52"/>
      <c r="M34" s="52"/>
    </row>
    <row r="35" spans="2:21" ht="15" customHeight="1" x14ac:dyDescent="0.25">
      <c r="B35" s="82"/>
      <c r="C35" s="79"/>
      <c r="D35" s="81"/>
      <c r="E35" s="52"/>
      <c r="F35" s="52"/>
      <c r="G35" s="52"/>
      <c r="H35" s="83"/>
      <c r="I35" s="52"/>
      <c r="J35" s="52"/>
      <c r="K35" s="52"/>
      <c r="L35" s="52"/>
      <c r="M35" s="52"/>
    </row>
    <row r="36" spans="2:21" ht="15.75" x14ac:dyDescent="0.25">
      <c r="B36" s="79" t="s">
        <v>131</v>
      </c>
      <c r="C36" s="79"/>
      <c r="D36" s="81"/>
      <c r="E36" s="52"/>
      <c r="F36" s="52"/>
      <c r="G36" s="52"/>
      <c r="H36" s="127">
        <f>'PF Calculator'!H36</f>
        <v>120</v>
      </c>
      <c r="I36" s="71" t="s">
        <v>175</v>
      </c>
      <c r="J36" s="52"/>
      <c r="K36" s="52"/>
      <c r="L36" s="52"/>
      <c r="M36" s="52"/>
    </row>
    <row r="37" spans="2:21" ht="15.75" x14ac:dyDescent="0.25">
      <c r="B37" s="80" t="s">
        <v>123</v>
      </c>
      <c r="C37" s="79"/>
      <c r="D37" s="81"/>
      <c r="E37" s="52"/>
      <c r="F37" s="52"/>
      <c r="G37" s="52"/>
      <c r="H37" s="51">
        <f>H36+H34</f>
        <v>790</v>
      </c>
      <c r="I37" s="71" t="s">
        <v>176</v>
      </c>
      <c r="J37" s="52"/>
      <c r="K37" s="52"/>
      <c r="L37" s="52"/>
      <c r="M37" s="52"/>
    </row>
    <row r="38" spans="2:21" x14ac:dyDescent="0.2">
      <c r="B38" s="79"/>
      <c r="C38" s="79"/>
      <c r="D38" s="81"/>
      <c r="E38" s="52"/>
      <c r="F38" s="52"/>
      <c r="G38" s="52"/>
      <c r="H38" s="83"/>
      <c r="I38" s="52"/>
      <c r="J38" s="315" t="s">
        <v>187</v>
      </c>
      <c r="K38" s="316"/>
      <c r="L38" s="316"/>
      <c r="M38" s="316"/>
      <c r="N38" s="316"/>
      <c r="O38" s="316"/>
      <c r="P38" s="245"/>
      <c r="Q38" s="245"/>
      <c r="R38" s="245"/>
      <c r="S38" s="245"/>
      <c r="T38" s="245"/>
      <c r="U38" s="245"/>
    </row>
    <row r="39" spans="2:21" ht="15" customHeight="1" x14ac:dyDescent="0.25">
      <c r="B39" s="156" t="s">
        <v>159</v>
      </c>
      <c r="C39" s="79"/>
      <c r="D39" s="81"/>
      <c r="E39" s="52"/>
      <c r="F39" s="52"/>
      <c r="G39" s="52"/>
      <c r="H39" s="83"/>
      <c r="I39" s="52"/>
      <c r="J39" s="316"/>
      <c r="K39" s="316"/>
      <c r="L39" s="316"/>
      <c r="M39" s="316"/>
      <c r="N39" s="316"/>
      <c r="O39" s="316"/>
      <c r="P39" s="245"/>
      <c r="Q39" s="245"/>
      <c r="R39" s="245"/>
      <c r="S39" s="245"/>
      <c r="T39" s="245"/>
      <c r="U39" s="245"/>
    </row>
    <row r="40" spans="2:21" ht="15" customHeight="1" x14ac:dyDescent="0.25">
      <c r="B40" s="79" t="s">
        <v>124</v>
      </c>
      <c r="C40" s="79"/>
      <c r="D40" s="81"/>
      <c r="E40" s="52"/>
      <c r="F40" s="52"/>
      <c r="G40" s="52"/>
      <c r="H40" s="127">
        <f>'PF Calculator'!H40</f>
        <v>80</v>
      </c>
      <c r="I40" s="71" t="s">
        <v>177</v>
      </c>
      <c r="J40" s="316" t="str">
        <f>IF(H25="EA","This scheme is to be maintained by the EA (ref cell 5). Any contributions needed (ref cell 2) are to help fund both the ongoing and up-front costs (Cost for Approval) to avoid the scheme drawing excess FDGiA, and should be entered into cells(14-17).","This scheme is to be maintained by an RMA other than the EA (ref cell 5). Capital FDGiA will fund the appropriate share of the up-front costs (Costs for Approval) with any shortfall needing to be paid via contributions idenitfied  in cells(14-17)."&amp;" Ongoing costs are a matter for local agreement by the RMA and should not be included in cells(14-17)."&amp;" It is recommended that the RMA takes the opportunities created during scheme development to secure funding of the future ongoing costs which can be presented in the Grant application business case.")</f>
        <v>This scheme is to be maintained by an RMA other than the EA (ref cell 5). Capital FDGiA will fund the appropriate share of the up-front costs (Costs for Approval) with any shortfall needing to be paid via contributions idenitfied  in cells(14-17). Ongoing costs are a matter for local agreement by the RMA and should not be included in cells(14-17). It is recommended that the RMA takes the opportunities created during scheme development to secure funding of the future ongoing costs which can be presented in the Grant application business case.</v>
      </c>
      <c r="K40" s="316"/>
      <c r="L40" s="316"/>
      <c r="M40" s="316"/>
      <c r="N40" s="316"/>
      <c r="O40" s="316"/>
      <c r="P40" s="245"/>
      <c r="Q40" s="245"/>
      <c r="R40" s="245"/>
      <c r="S40" s="245"/>
      <c r="T40" s="245"/>
      <c r="U40" s="245"/>
    </row>
    <row r="41" spans="2:21" ht="15" customHeight="1" x14ac:dyDescent="0.25">
      <c r="B41" s="79" t="s">
        <v>125</v>
      </c>
      <c r="C41" s="79"/>
      <c r="D41" s="81"/>
      <c r="E41" s="52"/>
      <c r="F41" s="52"/>
      <c r="G41" s="52"/>
      <c r="H41" s="127">
        <f>'PF Calculator'!H41</f>
        <v>100</v>
      </c>
      <c r="I41" s="71" t="s">
        <v>178</v>
      </c>
      <c r="J41" s="316"/>
      <c r="K41" s="316"/>
      <c r="L41" s="316"/>
      <c r="M41" s="316"/>
      <c r="N41" s="316"/>
      <c r="O41" s="316"/>
      <c r="P41" s="245"/>
      <c r="Q41" s="245"/>
      <c r="R41" s="245"/>
      <c r="S41" s="245"/>
      <c r="T41" s="245"/>
      <c r="U41" s="245"/>
    </row>
    <row r="42" spans="2:21" ht="15" customHeight="1" x14ac:dyDescent="0.25">
      <c r="B42" s="79" t="s">
        <v>126</v>
      </c>
      <c r="C42" s="79"/>
      <c r="D42" s="81"/>
      <c r="E42" s="52"/>
      <c r="F42" s="52"/>
      <c r="G42" s="52"/>
      <c r="H42" s="127">
        <f>'PF Calculator'!H42</f>
        <v>182</v>
      </c>
      <c r="I42" s="71" t="s">
        <v>179</v>
      </c>
      <c r="J42" s="316"/>
      <c r="K42" s="316"/>
      <c r="L42" s="316"/>
      <c r="M42" s="316"/>
      <c r="N42" s="316"/>
      <c r="O42" s="316"/>
      <c r="P42" s="245"/>
      <c r="Q42" s="245"/>
      <c r="R42" s="245"/>
      <c r="S42" s="245"/>
      <c r="T42" s="245"/>
      <c r="U42" s="245"/>
    </row>
    <row r="43" spans="2:21" ht="15" customHeight="1" x14ac:dyDescent="0.25">
      <c r="B43" s="79" t="s">
        <v>127</v>
      </c>
      <c r="C43" s="79"/>
      <c r="D43" s="81"/>
      <c r="E43" s="52"/>
      <c r="F43" s="52"/>
      <c r="G43" s="52"/>
      <c r="H43" s="127">
        <f>'PF Calculator'!H43</f>
        <v>0</v>
      </c>
      <c r="I43" s="71" t="s">
        <v>180</v>
      </c>
      <c r="J43" s="316"/>
      <c r="K43" s="316"/>
      <c r="L43" s="316"/>
      <c r="M43" s="316"/>
      <c r="N43" s="316"/>
      <c r="O43" s="316"/>
      <c r="P43" s="245"/>
      <c r="Q43" s="245"/>
      <c r="R43" s="245"/>
      <c r="S43" s="245"/>
      <c r="T43" s="245"/>
      <c r="U43" s="245"/>
    </row>
    <row r="44" spans="2:21" ht="15.75" x14ac:dyDescent="0.25">
      <c r="B44" s="82" t="s">
        <v>128</v>
      </c>
      <c r="C44" s="79"/>
      <c r="D44" s="81"/>
      <c r="E44" s="52"/>
      <c r="F44" s="52"/>
      <c r="G44" s="52"/>
      <c r="H44" s="50">
        <f>SUM(H40:H43)</f>
        <v>362</v>
      </c>
      <c r="I44" s="71" t="s">
        <v>181</v>
      </c>
      <c r="J44" s="316"/>
      <c r="K44" s="316"/>
      <c r="L44" s="316"/>
      <c r="M44" s="316"/>
      <c r="N44" s="316"/>
      <c r="O44" s="316"/>
    </row>
    <row r="45" spans="2:21" ht="15.75" x14ac:dyDescent="0.25">
      <c r="B45" s="144" t="str">
        <f>IF(H44&lt;H17,"WARNING: Contributions less than minimum required in cell (2)"," ")</f>
        <v xml:space="preserve"> </v>
      </c>
      <c r="C45" s="79"/>
      <c r="D45" s="52"/>
      <c r="E45" s="52"/>
      <c r="F45" s="52"/>
      <c r="G45" s="52"/>
      <c r="H45" s="52"/>
      <c r="I45" s="71"/>
      <c r="J45" s="316"/>
      <c r="K45" s="316"/>
      <c r="L45" s="316"/>
      <c r="M45" s="316"/>
      <c r="N45" s="316"/>
      <c r="O45" s="316"/>
    </row>
    <row r="46" spans="2:21" ht="15.75" x14ac:dyDescent="0.25">
      <c r="B46" s="82"/>
      <c r="C46" s="79"/>
      <c r="D46" s="81"/>
      <c r="E46" s="52"/>
      <c r="F46" s="52"/>
      <c r="G46" s="52"/>
      <c r="H46" s="52"/>
      <c r="I46" s="71"/>
      <c r="J46" s="316"/>
      <c r="K46" s="316"/>
      <c r="L46" s="316"/>
      <c r="M46" s="316"/>
      <c r="N46" s="316"/>
      <c r="O46" s="316"/>
    </row>
    <row r="47" spans="2:21" ht="7.5" customHeight="1" x14ac:dyDescent="0.2">
      <c r="B47" s="52"/>
      <c r="C47" s="52"/>
      <c r="D47" s="52"/>
      <c r="E47" s="43"/>
      <c r="F47" s="43"/>
      <c r="G47" s="43"/>
      <c r="H47" s="43"/>
      <c r="I47" s="43"/>
      <c r="J47" s="43"/>
    </row>
    <row r="48" spans="2:21" ht="7.5" customHeight="1" x14ac:dyDescent="0.2">
      <c r="B48" s="77"/>
      <c r="C48" s="77"/>
      <c r="D48" s="77"/>
      <c r="E48" s="77"/>
      <c r="F48" s="77"/>
      <c r="G48" s="77"/>
      <c r="H48" s="77"/>
      <c r="I48" s="77"/>
      <c r="J48" s="77"/>
      <c r="K48" s="84"/>
      <c r="L48" s="84"/>
      <c r="M48" s="84"/>
      <c r="N48" s="77"/>
      <c r="O48" s="77"/>
    </row>
    <row r="49" spans="2:19" ht="15.75" x14ac:dyDescent="0.25">
      <c r="B49" s="78" t="s">
        <v>98</v>
      </c>
      <c r="C49" s="52"/>
      <c r="D49" s="52"/>
      <c r="E49" s="52"/>
      <c r="F49" s="52"/>
      <c r="G49" s="52"/>
      <c r="H49" s="52"/>
      <c r="I49" s="52"/>
      <c r="J49" s="52"/>
      <c r="K49" s="52"/>
      <c r="L49" s="52"/>
      <c r="M49" s="52"/>
    </row>
    <row r="50" spans="2:19" x14ac:dyDescent="0.2">
      <c r="B50" s="85" t="s">
        <v>30</v>
      </c>
      <c r="C50" s="52"/>
      <c r="D50" s="52"/>
      <c r="F50" s="86" t="s">
        <v>19</v>
      </c>
      <c r="G50" s="52"/>
      <c r="H50" s="52"/>
      <c r="J50" s="86" t="s">
        <v>29</v>
      </c>
      <c r="K50" s="52"/>
      <c r="L50" s="52"/>
      <c r="M50" s="258" t="s">
        <v>54</v>
      </c>
      <c r="N50" s="258"/>
      <c r="O50" s="258"/>
    </row>
    <row r="51" spans="2:19" x14ac:dyDescent="0.2">
      <c r="B51" s="87" t="s">
        <v>21</v>
      </c>
      <c r="C51" s="52"/>
      <c r="D51" s="52"/>
      <c r="E51" s="130"/>
      <c r="F51" s="130"/>
      <c r="G51" s="130">
        <v>50</v>
      </c>
      <c r="H51" s="52"/>
      <c r="I51" s="130"/>
      <c r="J51" s="130"/>
      <c r="K51" s="130"/>
      <c r="L51" s="52"/>
      <c r="M51" s="122">
        <f t="shared" ref="M51:O53" si="0">I51-E51</f>
        <v>0</v>
      </c>
      <c r="N51" s="122">
        <f t="shared" si="0"/>
        <v>0</v>
      </c>
      <c r="O51" s="122">
        <f t="shared" si="0"/>
        <v>-50</v>
      </c>
    </row>
    <row r="52" spans="2:19" x14ac:dyDescent="0.2">
      <c r="B52" s="87" t="s">
        <v>20</v>
      </c>
      <c r="C52" s="52"/>
      <c r="D52" s="52"/>
      <c r="E52" s="130"/>
      <c r="F52" s="130"/>
      <c r="G52" s="130"/>
      <c r="H52" s="52"/>
      <c r="I52" s="130"/>
      <c r="J52" s="130"/>
      <c r="K52" s="130"/>
      <c r="L52" s="52"/>
      <c r="M52" s="122">
        <f t="shared" si="0"/>
        <v>0</v>
      </c>
      <c r="N52" s="122">
        <f t="shared" si="0"/>
        <v>0</v>
      </c>
      <c r="O52" s="122">
        <f t="shared" si="0"/>
        <v>0</v>
      </c>
    </row>
    <row r="53" spans="2:19" x14ac:dyDescent="0.2">
      <c r="B53" s="87" t="s">
        <v>22</v>
      </c>
      <c r="C53" s="52"/>
      <c r="D53" s="52"/>
      <c r="E53" s="130"/>
      <c r="F53" s="130"/>
      <c r="G53" s="130"/>
      <c r="H53" s="52"/>
      <c r="I53" s="130"/>
      <c r="J53" s="130"/>
      <c r="K53" s="130"/>
      <c r="L53" s="52"/>
      <c r="M53" s="122">
        <f t="shared" si="0"/>
        <v>0</v>
      </c>
      <c r="N53" s="122">
        <f t="shared" si="0"/>
        <v>0</v>
      </c>
      <c r="O53" s="122">
        <f t="shared" si="0"/>
        <v>0</v>
      </c>
      <c r="Q53" s="88"/>
      <c r="R53" s="88"/>
      <c r="S53" s="88"/>
    </row>
    <row r="54" spans="2:19" x14ac:dyDescent="0.2">
      <c r="B54" s="52"/>
      <c r="C54" s="52"/>
      <c r="D54" s="72" t="s">
        <v>31</v>
      </c>
      <c r="E54" s="88" t="s">
        <v>28</v>
      </c>
      <c r="F54" s="88" t="s">
        <v>27</v>
      </c>
      <c r="G54" s="88" t="s">
        <v>23</v>
      </c>
      <c r="H54" s="52"/>
      <c r="I54" s="88" t="s">
        <v>28</v>
      </c>
      <c r="J54" s="88" t="s">
        <v>27</v>
      </c>
      <c r="K54" s="88" t="s">
        <v>23</v>
      </c>
      <c r="L54" s="52"/>
      <c r="M54" s="88" t="s">
        <v>28</v>
      </c>
      <c r="N54" s="88" t="s">
        <v>27</v>
      </c>
      <c r="O54" s="88" t="s">
        <v>23</v>
      </c>
      <c r="Q54" s="88"/>
      <c r="R54" s="88"/>
      <c r="S54" s="88"/>
    </row>
    <row r="55" spans="2:19" x14ac:dyDescent="0.2">
      <c r="B55" s="52"/>
      <c r="C55" s="52"/>
      <c r="D55" s="52"/>
      <c r="E55" s="88" t="s">
        <v>25</v>
      </c>
      <c r="F55" s="88" t="s">
        <v>25</v>
      </c>
      <c r="G55" s="88" t="s">
        <v>24</v>
      </c>
      <c r="H55" s="52"/>
      <c r="I55" s="88" t="s">
        <v>25</v>
      </c>
      <c r="J55" s="88" t="s">
        <v>25</v>
      </c>
      <c r="K55" s="88" t="s">
        <v>24</v>
      </c>
      <c r="L55" s="52"/>
      <c r="M55" s="88" t="s">
        <v>25</v>
      </c>
      <c r="N55" s="88" t="s">
        <v>25</v>
      </c>
      <c r="O55" s="88" t="s">
        <v>24</v>
      </c>
    </row>
    <row r="56" spans="2:19" x14ac:dyDescent="0.2">
      <c r="B56" s="52"/>
      <c r="C56" s="52"/>
      <c r="D56" s="52"/>
      <c r="E56" s="88"/>
      <c r="F56" s="88"/>
      <c r="G56" s="88" t="s">
        <v>25</v>
      </c>
      <c r="H56" s="52"/>
      <c r="I56" s="88"/>
      <c r="J56" s="88"/>
      <c r="K56" s="88" t="s">
        <v>25</v>
      </c>
      <c r="L56" s="52"/>
      <c r="M56" s="88"/>
      <c r="N56" s="88"/>
      <c r="O56" s="88" t="s">
        <v>25</v>
      </c>
    </row>
    <row r="57" spans="2:19" x14ac:dyDescent="0.2">
      <c r="B57" s="52"/>
      <c r="C57" s="52"/>
      <c r="D57" s="52"/>
      <c r="E57" s="88"/>
      <c r="F57" s="88"/>
      <c r="G57" s="88"/>
      <c r="H57" s="52"/>
      <c r="I57" s="88"/>
      <c r="J57" s="88"/>
      <c r="K57" s="52"/>
      <c r="L57" s="69" t="s">
        <v>103</v>
      </c>
      <c r="M57" s="123">
        <f>'Discount Rates &amp; Assumptions'!M28*AvFloodDamages/200</f>
        <v>0.15</v>
      </c>
      <c r="N57" s="123">
        <f>'Discount Rates &amp; Assumptions'!M27*AvFloodDamages/200</f>
        <v>0.6</v>
      </c>
      <c r="O57" s="123">
        <f>'Discount Rates &amp; Assumptions'!M26*AvFloodDamages/200</f>
        <v>1.3500000000000003</v>
      </c>
      <c r="P57" s="89"/>
      <c r="Q57" s="89"/>
      <c r="R57" s="89"/>
    </row>
    <row r="58" spans="2:19" x14ac:dyDescent="0.2">
      <c r="B58" s="52"/>
      <c r="C58" s="52"/>
      <c r="D58" s="52"/>
      <c r="E58" s="52"/>
      <c r="F58" s="52"/>
      <c r="G58" s="52"/>
      <c r="H58" s="52"/>
      <c r="I58" s="52"/>
      <c r="J58" s="52"/>
      <c r="K58" s="52"/>
      <c r="L58" s="52"/>
      <c r="M58" s="52"/>
    </row>
    <row r="59" spans="2:19" ht="15.75" x14ac:dyDescent="0.25">
      <c r="B59" s="52" t="s">
        <v>57</v>
      </c>
      <c r="C59" s="52"/>
      <c r="D59" s="52"/>
      <c r="E59" s="52"/>
      <c r="F59" s="52"/>
      <c r="G59" s="52" t="s">
        <v>56</v>
      </c>
      <c r="H59" s="52"/>
      <c r="K59" s="69" t="s">
        <v>63</v>
      </c>
      <c r="O59" s="90" t="s">
        <v>79</v>
      </c>
    </row>
    <row r="60" spans="2:19" ht="15.75" x14ac:dyDescent="0.25">
      <c r="B60" s="87" t="str">
        <f>B51</f>
        <v>20% most deprived areas</v>
      </c>
      <c r="C60" s="52"/>
      <c r="D60" s="52"/>
      <c r="F60" s="296">
        <f>SUMPRODUCT($M51:$O51,$M$57:$O$57)</f>
        <v>-67.500000000000014</v>
      </c>
      <c r="G60" s="296"/>
      <c r="H60" s="52"/>
      <c r="J60" s="297">
        <f>F60*Duration</f>
        <v>-2835.0000000000005</v>
      </c>
      <c r="K60" s="297"/>
      <c r="M60" s="90" t="s">
        <v>74</v>
      </c>
      <c r="N60" s="297">
        <f>-F60*VLOOKUP(Duration,'Discount Rates &amp; Assumptions'!$A$6:$D$105,4,FALSE)</f>
        <v>1548.3448439991043</v>
      </c>
      <c r="O60" s="297"/>
    </row>
    <row r="61" spans="2:19" ht="15.75" x14ac:dyDescent="0.25">
      <c r="B61" s="87" t="str">
        <f>B52</f>
        <v>21-40% most deprived areas</v>
      </c>
      <c r="C61" s="52"/>
      <c r="D61" s="52"/>
      <c r="F61" s="296">
        <f>SUMPRODUCT($M52:$O52,$M$57:$O$57)</f>
        <v>0</v>
      </c>
      <c r="G61" s="296"/>
      <c r="H61" s="52"/>
      <c r="J61" s="297">
        <f>F61*Duration</f>
        <v>0</v>
      </c>
      <c r="K61" s="297"/>
      <c r="M61" s="90" t="s">
        <v>75</v>
      </c>
      <c r="N61" s="297">
        <f>-F61*VLOOKUP(Duration,'Discount Rates &amp; Assumptions'!$A$6:$D$105,4,FALSE)</f>
        <v>0</v>
      </c>
      <c r="O61" s="297"/>
    </row>
    <row r="62" spans="2:19" ht="15.75" x14ac:dyDescent="0.25">
      <c r="B62" s="87" t="str">
        <f>B53</f>
        <v>60% least deprived areas</v>
      </c>
      <c r="C62" s="52"/>
      <c r="D62" s="52"/>
      <c r="F62" s="296">
        <f>SUMPRODUCT($M53:$O53,$M$57:$O$57)</f>
        <v>0</v>
      </c>
      <c r="G62" s="296"/>
      <c r="H62" s="52"/>
      <c r="J62" s="297">
        <f>F62*Duration</f>
        <v>0</v>
      </c>
      <c r="K62" s="297"/>
      <c r="M62" s="90" t="s">
        <v>90</v>
      </c>
      <c r="N62" s="297">
        <f>-F62*VLOOKUP(Duration,'Discount Rates &amp; Assumptions'!$A$6:$D$105,4,FALSE)</f>
        <v>0</v>
      </c>
      <c r="O62" s="297"/>
    </row>
    <row r="63" spans="2:19" ht="7.5" customHeight="1" x14ac:dyDescent="0.25">
      <c r="B63" s="87"/>
      <c r="C63" s="52"/>
      <c r="D63" s="52"/>
      <c r="F63" s="91"/>
      <c r="G63" s="91"/>
      <c r="H63" s="52"/>
      <c r="J63" s="92"/>
      <c r="K63" s="92"/>
      <c r="M63" s="90"/>
    </row>
    <row r="64" spans="2:19" ht="7.5" customHeight="1" x14ac:dyDescent="0.2">
      <c r="B64" s="84"/>
      <c r="C64" s="84"/>
      <c r="D64" s="84"/>
      <c r="E64" s="84"/>
      <c r="F64" s="84"/>
      <c r="G64" s="84"/>
      <c r="H64" s="77"/>
      <c r="I64" s="77"/>
      <c r="J64" s="77"/>
      <c r="K64" s="77"/>
      <c r="L64" s="77"/>
      <c r="M64" s="84"/>
      <c r="N64" s="77"/>
      <c r="O64" s="77"/>
    </row>
    <row r="65" spans="2:16" ht="15.75" x14ac:dyDescent="0.25">
      <c r="B65" s="78" t="s">
        <v>99</v>
      </c>
      <c r="H65" s="52"/>
      <c r="I65" s="52"/>
      <c r="J65" s="52"/>
      <c r="K65" s="52"/>
      <c r="L65" s="52"/>
    </row>
    <row r="66" spans="2:16" x14ac:dyDescent="0.2">
      <c r="B66" s="85" t="s">
        <v>30</v>
      </c>
      <c r="C66" s="52"/>
      <c r="D66" s="52"/>
      <c r="E66" s="86"/>
      <c r="F66" s="257" t="s">
        <v>19</v>
      </c>
      <c r="G66" s="257"/>
      <c r="H66" s="52"/>
      <c r="I66" s="93" t="s">
        <v>66</v>
      </c>
    </row>
    <row r="67" spans="2:16" x14ac:dyDescent="0.2">
      <c r="B67" s="87" t="s">
        <v>21</v>
      </c>
      <c r="C67" s="52"/>
      <c r="D67" s="52"/>
      <c r="E67" s="52"/>
      <c r="F67" s="130">
        <v>0</v>
      </c>
      <c r="G67" s="130">
        <v>10</v>
      </c>
      <c r="H67" s="52"/>
      <c r="I67" s="87" t="s">
        <v>55</v>
      </c>
      <c r="J67" s="87"/>
      <c r="K67" s="94"/>
      <c r="L67" s="87"/>
      <c r="M67" s="124">
        <f>AvCEDamages/1000</f>
        <v>6</v>
      </c>
      <c r="N67" s="124">
        <f>AvCEDamages/1000</f>
        <v>6</v>
      </c>
    </row>
    <row r="68" spans="2:16" x14ac:dyDescent="0.2">
      <c r="B68" s="87" t="s">
        <v>20</v>
      </c>
      <c r="C68" s="52"/>
      <c r="D68" s="52"/>
      <c r="E68" s="52"/>
      <c r="F68" s="130">
        <v>0</v>
      </c>
      <c r="G68" s="130">
        <v>0</v>
      </c>
      <c r="H68" s="52"/>
      <c r="I68" s="95" t="s">
        <v>67</v>
      </c>
      <c r="M68" s="125">
        <v>50</v>
      </c>
      <c r="N68" s="125">
        <v>20</v>
      </c>
      <c r="O68" s="87" t="s">
        <v>8</v>
      </c>
    </row>
    <row r="69" spans="2:16" ht="15" customHeight="1" x14ac:dyDescent="0.2">
      <c r="B69" s="87" t="s">
        <v>22</v>
      </c>
      <c r="C69" s="52"/>
      <c r="D69" s="52"/>
      <c r="E69" s="52"/>
      <c r="F69" s="130">
        <v>0</v>
      </c>
      <c r="G69" s="130">
        <v>0</v>
      </c>
      <c r="H69" s="52"/>
      <c r="I69" s="270" t="s">
        <v>95</v>
      </c>
      <c r="J69" s="270"/>
      <c r="K69" s="270"/>
      <c r="L69" s="270"/>
      <c r="M69" s="124">
        <f>M67*VLOOKUP('Discount Rates &amp; Assumptions'!K39,'Discount Rates &amp; Assumptions'!$A$6:$D$105,3,FALSE)</f>
        <v>1.1835763061432307</v>
      </c>
      <c r="N69" s="124">
        <f>N67*VLOOKUP('Discount Rates &amp; Assumptions'!K38,'Discount Rates &amp; Assumptions'!$A$6:$D$105,3,FALSE)</f>
        <v>3.0153953065900234</v>
      </c>
    </row>
    <row r="70" spans="2:16" ht="28.5" x14ac:dyDescent="0.2">
      <c r="B70" s="52"/>
      <c r="C70" s="52"/>
      <c r="D70" s="96"/>
      <c r="E70" s="52"/>
      <c r="F70" s="97" t="s">
        <v>65</v>
      </c>
      <c r="G70" s="97" t="s">
        <v>64</v>
      </c>
      <c r="H70" s="52"/>
      <c r="I70" s="270"/>
      <c r="J70" s="270"/>
      <c r="K70" s="270"/>
      <c r="L70" s="270"/>
      <c r="M70" s="98" t="s">
        <v>65</v>
      </c>
      <c r="N70" s="98" t="s">
        <v>64</v>
      </c>
    </row>
    <row r="71" spans="2:16" x14ac:dyDescent="0.2">
      <c r="B71" s="99"/>
      <c r="C71" s="99"/>
      <c r="D71" s="99"/>
      <c r="E71" s="99"/>
      <c r="F71" s="88"/>
      <c r="G71" s="52"/>
      <c r="H71" s="52"/>
      <c r="I71" s="52"/>
      <c r="J71" s="52"/>
      <c r="K71" s="52"/>
      <c r="L71" s="52"/>
      <c r="M71" s="52"/>
    </row>
    <row r="72" spans="2:16" ht="15.75" x14ac:dyDescent="0.25">
      <c r="B72" s="52" t="s">
        <v>57</v>
      </c>
      <c r="C72" s="52"/>
      <c r="D72" s="52"/>
      <c r="E72" s="52"/>
      <c r="F72" s="52"/>
      <c r="G72" s="69" t="s">
        <v>96</v>
      </c>
      <c r="H72" s="52"/>
      <c r="K72" s="69" t="s">
        <v>73</v>
      </c>
      <c r="O72" s="90" t="s">
        <v>78</v>
      </c>
    </row>
    <row r="73" spans="2:16" ht="15.75" x14ac:dyDescent="0.25">
      <c r="B73" s="87" t="str">
        <f>B67</f>
        <v>20% most deprived areas</v>
      </c>
      <c r="C73" s="52"/>
      <c r="D73" s="52"/>
      <c r="F73" s="296">
        <f>-SUMPRODUCT($M$69:$N$69,F67:G67)</f>
        <v>-30.153953065900232</v>
      </c>
      <c r="G73" s="296"/>
      <c r="H73" s="52"/>
      <c r="J73" s="297">
        <f>F73*Duration</f>
        <v>-1266.4660287678098</v>
      </c>
      <c r="K73" s="297"/>
      <c r="M73" s="90" t="s">
        <v>76</v>
      </c>
      <c r="N73" s="298">
        <f>-F73*VLOOKUP(Duration,'Discount Rates &amp; Assumptions'!$A$6:$D$105,4,FALSE)</f>
        <v>691.6847074930015</v>
      </c>
      <c r="O73" s="298"/>
    </row>
    <row r="74" spans="2:16" ht="15.75" x14ac:dyDescent="0.25">
      <c r="B74" s="87" t="str">
        <f>B68</f>
        <v>21-40% most deprived areas</v>
      </c>
      <c r="C74" s="52"/>
      <c r="D74" s="52"/>
      <c r="F74" s="296">
        <f>-SUMPRODUCT($M$69:$N$69,F68:G68)</f>
        <v>0</v>
      </c>
      <c r="G74" s="296"/>
      <c r="H74" s="52"/>
      <c r="J74" s="297">
        <f>F74*Duration</f>
        <v>0</v>
      </c>
      <c r="K74" s="297"/>
      <c r="M74" s="90" t="s">
        <v>77</v>
      </c>
      <c r="N74" s="298">
        <f>-F74*VLOOKUP(Duration,'Discount Rates &amp; Assumptions'!$A$6:$D$105,4,FALSE)</f>
        <v>0</v>
      </c>
      <c r="O74" s="298"/>
    </row>
    <row r="75" spans="2:16" ht="15.75" x14ac:dyDescent="0.25">
      <c r="B75" s="87" t="str">
        <f>B69</f>
        <v>60% least deprived areas</v>
      </c>
      <c r="C75" s="52"/>
      <c r="D75" s="52"/>
      <c r="F75" s="296">
        <f>-SUMPRODUCT($M$69:$N$69,F69:G69)</f>
        <v>0</v>
      </c>
      <c r="G75" s="296"/>
      <c r="H75" s="52"/>
      <c r="J75" s="297">
        <f>F75*Duration</f>
        <v>0</v>
      </c>
      <c r="K75" s="297"/>
      <c r="M75" s="90" t="s">
        <v>91</v>
      </c>
      <c r="N75" s="298">
        <f>-F75*VLOOKUP(Duration,'Discount Rates &amp; Assumptions'!$A$6:$D$105,4,FALSE)</f>
        <v>0</v>
      </c>
      <c r="O75" s="298"/>
    </row>
    <row r="76" spans="2:16" ht="7.5" customHeight="1" x14ac:dyDescent="0.2">
      <c r="H76" s="52"/>
      <c r="I76" s="52"/>
      <c r="J76" s="52"/>
      <c r="K76" s="52"/>
      <c r="L76" s="52"/>
    </row>
    <row r="77" spans="2:16" ht="7.5" customHeight="1" x14ac:dyDescent="0.2">
      <c r="B77" s="84"/>
      <c r="C77" s="84"/>
      <c r="D77" s="84"/>
      <c r="E77" s="84"/>
      <c r="F77" s="84"/>
      <c r="G77" s="84"/>
      <c r="H77" s="77"/>
      <c r="I77" s="77"/>
      <c r="J77" s="77"/>
      <c r="K77" s="77"/>
      <c r="L77" s="77"/>
      <c r="M77" s="84"/>
      <c r="N77" s="77"/>
      <c r="O77" s="77"/>
    </row>
    <row r="78" spans="2:16" ht="15.75" x14ac:dyDescent="0.25">
      <c r="B78" s="78" t="s">
        <v>100</v>
      </c>
      <c r="H78" s="52"/>
      <c r="I78" s="52"/>
      <c r="J78" s="52"/>
      <c r="K78" s="52"/>
      <c r="L78" s="52"/>
    </row>
    <row r="79" spans="2:16" ht="15.75" x14ac:dyDescent="0.25">
      <c r="B79" s="52" t="s">
        <v>70</v>
      </c>
      <c r="C79" s="52"/>
      <c r="D79" s="52"/>
      <c r="E79" s="100"/>
      <c r="F79" s="261"/>
      <c r="G79" s="261"/>
      <c r="H79" s="65"/>
      <c r="I79" s="93"/>
      <c r="K79" s="101" t="s">
        <v>89</v>
      </c>
      <c r="L79" s="93"/>
      <c r="M79" s="93"/>
      <c r="N79" s="93"/>
      <c r="O79" s="90" t="s">
        <v>78</v>
      </c>
      <c r="P79" s="93"/>
    </row>
    <row r="80" spans="2:16" x14ac:dyDescent="0.2">
      <c r="B80" s="93" t="s">
        <v>68</v>
      </c>
      <c r="C80" s="171">
        <v>2</v>
      </c>
      <c r="D80" s="85" t="s">
        <v>12</v>
      </c>
      <c r="E80" s="65"/>
      <c r="F80" s="65"/>
      <c r="G80" s="65"/>
      <c r="H80" s="65"/>
      <c r="I80" s="52"/>
      <c r="J80" s="291">
        <f>'Discount Rates &amp; Assumptions'!K14/1000</f>
        <v>15</v>
      </c>
      <c r="K80" s="291"/>
      <c r="L80" s="93"/>
      <c r="M80" s="101" t="s">
        <v>68</v>
      </c>
      <c r="N80" s="292">
        <f>J80*C80</f>
        <v>30</v>
      </c>
      <c r="O80" s="292"/>
      <c r="P80" s="93"/>
    </row>
    <row r="81" spans="1:16" x14ac:dyDescent="0.2">
      <c r="B81" s="93" t="s">
        <v>4</v>
      </c>
      <c r="C81" s="171">
        <v>2</v>
      </c>
      <c r="D81" s="85" t="s">
        <v>11</v>
      </c>
      <c r="E81" s="65"/>
      <c r="F81" s="65"/>
      <c r="G81" s="65"/>
      <c r="H81" s="65"/>
      <c r="I81" s="52"/>
      <c r="J81" s="291">
        <f>'Discount Rates &amp; Assumptions'!K15/1000</f>
        <v>50</v>
      </c>
      <c r="K81" s="291"/>
      <c r="L81" s="93"/>
      <c r="M81" s="101" t="s">
        <v>4</v>
      </c>
      <c r="N81" s="292">
        <f>J81*C81</f>
        <v>100</v>
      </c>
      <c r="O81" s="292"/>
      <c r="P81" s="93"/>
    </row>
    <row r="82" spans="1:16" x14ac:dyDescent="0.2">
      <c r="B82" s="93" t="s">
        <v>69</v>
      </c>
      <c r="C82" s="171">
        <v>2</v>
      </c>
      <c r="D82" s="85" t="s">
        <v>10</v>
      </c>
      <c r="E82" s="52"/>
      <c r="F82" s="52"/>
      <c r="G82" s="52"/>
      <c r="H82" s="52"/>
      <c r="I82" s="52"/>
      <c r="J82" s="291">
        <f>'Discount Rates &amp; Assumptions'!K16/1000</f>
        <v>80</v>
      </c>
      <c r="K82" s="291"/>
      <c r="L82" s="93"/>
      <c r="M82" s="101" t="s">
        <v>69</v>
      </c>
      <c r="N82" s="292">
        <f>J82*C82</f>
        <v>160</v>
      </c>
      <c r="O82" s="292"/>
      <c r="P82" s="93"/>
    </row>
    <row r="83" spans="1:16" ht="15.75" x14ac:dyDescent="0.25">
      <c r="B83" s="52"/>
      <c r="C83" s="52"/>
      <c r="D83" s="85"/>
      <c r="E83" s="52"/>
      <c r="F83" s="52"/>
      <c r="G83" s="52"/>
      <c r="H83" s="52"/>
      <c r="I83" s="52"/>
      <c r="J83" s="52"/>
      <c r="K83" s="52"/>
      <c r="L83" s="93"/>
      <c r="M83" s="90" t="s">
        <v>3</v>
      </c>
      <c r="N83" s="293">
        <f>SUM(N80:O82)</f>
        <v>290</v>
      </c>
      <c r="O83" s="293"/>
      <c r="P83" s="93"/>
    </row>
    <row r="84" spans="1:16" ht="7.5" customHeight="1" x14ac:dyDescent="0.25">
      <c r="B84" s="52"/>
      <c r="C84" s="52"/>
      <c r="D84" s="96"/>
      <c r="E84" s="52"/>
      <c r="F84" s="52"/>
      <c r="G84" s="52"/>
      <c r="H84" s="52"/>
      <c r="I84" s="52"/>
      <c r="J84" s="52"/>
      <c r="K84" s="52"/>
      <c r="L84" s="93"/>
      <c r="M84" s="90"/>
      <c r="N84" s="93"/>
    </row>
    <row r="85" spans="1:16" ht="7.5" customHeight="1" x14ac:dyDescent="0.2">
      <c r="B85" s="77"/>
      <c r="C85" s="77"/>
      <c r="D85" s="102"/>
      <c r="E85" s="77"/>
      <c r="F85" s="77"/>
      <c r="G85" s="77"/>
      <c r="H85" s="77"/>
      <c r="I85" s="77"/>
      <c r="J85" s="77"/>
      <c r="K85" s="77"/>
      <c r="L85" s="103"/>
      <c r="M85" s="77"/>
      <c r="N85" s="77"/>
      <c r="O85" s="77"/>
    </row>
    <row r="86" spans="1:16" ht="15.75" x14ac:dyDescent="0.25">
      <c r="B86" s="78" t="s">
        <v>102</v>
      </c>
      <c r="C86" s="52"/>
      <c r="E86" s="52"/>
      <c r="F86" s="52"/>
      <c r="G86" s="52"/>
      <c r="H86" s="52"/>
      <c r="I86" s="52"/>
      <c r="J86" s="52"/>
      <c r="K86" s="52"/>
      <c r="L86" s="52"/>
      <c r="M86" s="52"/>
    </row>
    <row r="87" spans="1:16" x14ac:dyDescent="0.2">
      <c r="B87" s="104"/>
      <c r="C87" s="52"/>
      <c r="E87" s="52"/>
      <c r="F87" s="52"/>
      <c r="G87" s="52"/>
      <c r="H87" s="52"/>
      <c r="I87" s="52"/>
      <c r="J87" s="52"/>
      <c r="K87" s="52"/>
      <c r="L87" s="52"/>
      <c r="M87" s="52"/>
    </row>
    <row r="88" spans="1:16" x14ac:dyDescent="0.2">
      <c r="B88" s="93" t="s">
        <v>83</v>
      </c>
      <c r="C88" s="93"/>
      <c r="D88" s="93" t="s">
        <v>92</v>
      </c>
      <c r="F88" s="85" t="s">
        <v>71</v>
      </c>
      <c r="G88" s="85"/>
      <c r="H88" s="85"/>
      <c r="I88" s="85" t="s">
        <v>82</v>
      </c>
      <c r="J88" s="85"/>
      <c r="K88" s="52"/>
      <c r="L88" s="52"/>
      <c r="M88" s="52"/>
    </row>
    <row r="89" spans="1:16" x14ac:dyDescent="0.2">
      <c r="A89" s="149"/>
      <c r="B89" s="150" t="s">
        <v>2</v>
      </c>
      <c r="C89" s="151"/>
      <c r="D89" s="294">
        <f>IF(H29=0,0,IF(MAX((H29-SUM(D90:E96)),0)&gt;0,H29-SUM(D90:E96),"Ltd by high OM2,3,4 values"))</f>
        <v>1669.9704485078942</v>
      </c>
      <c r="E89" s="295"/>
      <c r="F89" s="148">
        <f>1/TargetBCRWLBs*100</f>
        <v>5.5555555555555554</v>
      </c>
      <c r="G89" s="149" t="s">
        <v>81</v>
      </c>
      <c r="H89" s="52"/>
      <c r="I89" s="287">
        <f>IF(D89="Ltd by high OM2,3,4 values",0,D89*F89/100)</f>
        <v>92.776136028216328</v>
      </c>
      <c r="J89" s="287"/>
      <c r="K89" s="52"/>
      <c r="L89" s="93"/>
      <c r="M89" s="52"/>
      <c r="N89" s="107"/>
    </row>
    <row r="90" spans="1:16" x14ac:dyDescent="0.2">
      <c r="B90" s="108" t="s">
        <v>1</v>
      </c>
      <c r="C90" s="109" t="s">
        <v>84</v>
      </c>
      <c r="D90" s="286">
        <f>N60</f>
        <v>1548.3448439991043</v>
      </c>
      <c r="E90" s="286"/>
      <c r="F90" s="126">
        <f>1/TargetMinBCR*DeprivedScalar20*100</f>
        <v>45</v>
      </c>
      <c r="G90" s="52"/>
      <c r="H90" s="52"/>
      <c r="I90" s="287">
        <f t="shared" ref="I90:I96" si="1">D90*F90/100</f>
        <v>696.75517979959693</v>
      </c>
      <c r="J90" s="287"/>
      <c r="K90" s="52"/>
      <c r="L90" s="52"/>
      <c r="M90" s="52"/>
      <c r="N90" s="107"/>
    </row>
    <row r="91" spans="1:16" x14ac:dyDescent="0.2">
      <c r="B91" s="110"/>
      <c r="C91" s="111" t="s">
        <v>80</v>
      </c>
      <c r="D91" s="286">
        <f>N61</f>
        <v>0</v>
      </c>
      <c r="E91" s="286"/>
      <c r="F91" s="126">
        <f>1/TargetMinBCR*DeprivedScalar40*100</f>
        <v>30.000000000000004</v>
      </c>
      <c r="G91" s="52"/>
      <c r="H91" s="52"/>
      <c r="I91" s="287">
        <f t="shared" si="1"/>
        <v>0</v>
      </c>
      <c r="J91" s="287"/>
      <c r="M91" s="93"/>
    </row>
    <row r="92" spans="1:16" x14ac:dyDescent="0.2">
      <c r="B92" s="112"/>
      <c r="C92" s="113" t="s">
        <v>88</v>
      </c>
      <c r="D92" s="286">
        <f>N62</f>
        <v>0</v>
      </c>
      <c r="E92" s="286"/>
      <c r="F92" s="126">
        <f>1/TargetMinBCR*DeprivedScalarOther*100</f>
        <v>20</v>
      </c>
      <c r="G92" s="52"/>
      <c r="H92" s="52"/>
      <c r="I92" s="287">
        <f t="shared" si="1"/>
        <v>0</v>
      </c>
      <c r="J92" s="287"/>
    </row>
    <row r="93" spans="1:16" x14ac:dyDescent="0.2">
      <c r="B93" s="108" t="s">
        <v>0</v>
      </c>
      <c r="C93" s="109" t="s">
        <v>84</v>
      </c>
      <c r="D93" s="286">
        <f>N73</f>
        <v>691.6847074930015</v>
      </c>
      <c r="E93" s="286"/>
      <c r="F93" s="126">
        <f>1/TargetMinBCR*DeprivedScalar20*100</f>
        <v>45</v>
      </c>
      <c r="G93" s="52"/>
      <c r="H93" s="52"/>
      <c r="I93" s="287">
        <f t="shared" si="1"/>
        <v>311.25811837185068</v>
      </c>
      <c r="J93" s="287"/>
    </row>
    <row r="94" spans="1:16" x14ac:dyDescent="0.2">
      <c r="B94" s="114"/>
      <c r="C94" s="111" t="s">
        <v>80</v>
      </c>
      <c r="D94" s="286">
        <f>N74</f>
        <v>0</v>
      </c>
      <c r="E94" s="286"/>
      <c r="F94" s="126">
        <f>1/TargetMinBCR*DeprivedScalar40*100</f>
        <v>30.000000000000004</v>
      </c>
      <c r="G94" s="52"/>
      <c r="H94" s="52"/>
      <c r="I94" s="287">
        <f t="shared" si="1"/>
        <v>0</v>
      </c>
      <c r="J94" s="287"/>
    </row>
    <row r="95" spans="1:16" x14ac:dyDescent="0.2">
      <c r="B95" s="112"/>
      <c r="C95" s="113" t="s">
        <v>88</v>
      </c>
      <c r="D95" s="286">
        <f>N75</f>
        <v>0</v>
      </c>
      <c r="E95" s="286"/>
      <c r="F95" s="126">
        <f>1/TargetMinBCR*DeprivedScalarOther*100</f>
        <v>20</v>
      </c>
      <c r="G95" s="52"/>
      <c r="H95" s="52"/>
      <c r="I95" s="287">
        <f t="shared" si="1"/>
        <v>0</v>
      </c>
      <c r="J95" s="287"/>
    </row>
    <row r="96" spans="1:16" x14ac:dyDescent="0.2">
      <c r="B96" s="105" t="s">
        <v>3</v>
      </c>
      <c r="C96" s="106"/>
      <c r="D96" s="286">
        <f>N83</f>
        <v>290</v>
      </c>
      <c r="E96" s="286"/>
      <c r="F96" s="126">
        <v>100</v>
      </c>
      <c r="G96" s="52"/>
      <c r="H96" s="52"/>
      <c r="I96" s="287">
        <f t="shared" si="1"/>
        <v>290</v>
      </c>
      <c r="J96" s="287"/>
      <c r="P96" s="133"/>
    </row>
    <row r="97" spans="2:16" ht="15.75" x14ac:dyDescent="0.25">
      <c r="B97" s="52" t="s">
        <v>7</v>
      </c>
      <c r="C97" s="52"/>
      <c r="D97" s="288">
        <f>SUM(D89:E96)</f>
        <v>4200</v>
      </c>
      <c r="E97" s="281"/>
      <c r="F97" s="52"/>
      <c r="G97" s="52"/>
      <c r="H97" s="52"/>
      <c r="I97" s="289">
        <f>SUM(I89:J96)</f>
        <v>1390.7894341996639</v>
      </c>
      <c r="J97" s="290"/>
      <c r="K97" s="273" t="s">
        <v>141</v>
      </c>
      <c r="L97" s="273"/>
      <c r="M97" s="273"/>
      <c r="N97" s="273"/>
      <c r="O97" s="273"/>
    </row>
    <row r="98" spans="2:16" x14ac:dyDescent="0.2">
      <c r="B98" s="52"/>
      <c r="C98" s="52"/>
      <c r="D98" s="52"/>
      <c r="E98" s="52"/>
      <c r="F98" s="52"/>
      <c r="G98" s="52"/>
      <c r="H98" s="52"/>
      <c r="I98" s="52"/>
      <c r="K98" s="273"/>
      <c r="L98" s="273"/>
      <c r="M98" s="273"/>
      <c r="N98" s="273"/>
      <c r="O98" s="273"/>
    </row>
    <row r="99" spans="2:16" s="93" customFormat="1" x14ac:dyDescent="0.2">
      <c r="B99" s="115" t="s">
        <v>104</v>
      </c>
      <c r="C99" s="77"/>
      <c r="D99" s="102"/>
      <c r="E99" s="77"/>
      <c r="F99" s="77"/>
      <c r="G99" s="77"/>
      <c r="H99" s="77"/>
      <c r="I99" s="77"/>
      <c r="J99" s="77"/>
      <c r="K99" s="77"/>
      <c r="L99" s="103"/>
      <c r="M99" s="77"/>
      <c r="N99" s="77"/>
      <c r="O99" s="77"/>
      <c r="P99" s="55"/>
    </row>
    <row r="100" spans="2:16" s="116" customFormat="1" ht="12.75" x14ac:dyDescent="0.2">
      <c r="B100" s="117" t="s">
        <v>105</v>
      </c>
    </row>
    <row r="101" spans="2:16" s="116" customFormat="1" ht="12.75" x14ac:dyDescent="0.2">
      <c r="B101" s="117" t="s">
        <v>111</v>
      </c>
    </row>
    <row r="102" spans="2:16" ht="15.75" x14ac:dyDescent="0.25">
      <c r="B102" s="118" t="s">
        <v>93</v>
      </c>
      <c r="C102" s="52"/>
      <c r="D102" s="52"/>
      <c r="E102" s="52"/>
      <c r="F102" s="52"/>
      <c r="G102" s="52"/>
      <c r="H102" s="52"/>
      <c r="I102" s="52"/>
      <c r="J102" s="52"/>
      <c r="K102" s="52"/>
      <c r="L102" s="52"/>
      <c r="M102" s="52"/>
    </row>
    <row r="103" spans="2:16" s="93" customFormat="1" ht="23.25" x14ac:dyDescent="0.35">
      <c r="I103" s="141"/>
    </row>
    <row r="104" spans="2:16" s="93" customFormat="1" ht="23.25" x14ac:dyDescent="0.35">
      <c r="B104" s="141"/>
      <c r="C104" s="140"/>
    </row>
    <row r="105" spans="2:16" s="93" customFormat="1" x14ac:dyDescent="0.2"/>
    <row r="106" spans="2:16" s="93" customFormat="1" x14ac:dyDescent="0.2"/>
    <row r="107" spans="2:16" s="93" customFormat="1" x14ac:dyDescent="0.2"/>
    <row r="108" spans="2:16" s="93" customFormat="1" x14ac:dyDescent="0.2"/>
    <row r="109" spans="2:16" s="93" customFormat="1" x14ac:dyDescent="0.2"/>
    <row r="110" spans="2:16" s="93" customFormat="1" x14ac:dyDescent="0.2"/>
    <row r="111" spans="2:16" s="93" customFormat="1" x14ac:dyDescent="0.2"/>
  </sheetData>
  <sheetProtection password="A377" sheet="1" objects="1" scenarios="1"/>
  <mergeCells count="59">
    <mergeCell ref="K97:O98"/>
    <mergeCell ref="D95:E95"/>
    <mergeCell ref="I95:J95"/>
    <mergeCell ref="D96:E96"/>
    <mergeCell ref="I96:J96"/>
    <mergeCell ref="D97:E97"/>
    <mergeCell ref="I97:J97"/>
    <mergeCell ref="D92:E92"/>
    <mergeCell ref="I92:J92"/>
    <mergeCell ref="D93:E93"/>
    <mergeCell ref="I93:J93"/>
    <mergeCell ref="D94:E94"/>
    <mergeCell ref="I94:J94"/>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F74:G74"/>
    <mergeCell ref="J74:K74"/>
    <mergeCell ref="N74:O74"/>
    <mergeCell ref="F75:G75"/>
    <mergeCell ref="J75:K75"/>
    <mergeCell ref="N75:O75"/>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Q17:V23"/>
    <mergeCell ref="J22:O22"/>
    <mergeCell ref="M50:O50"/>
    <mergeCell ref="B5:D5"/>
    <mergeCell ref="M8:O8"/>
    <mergeCell ref="M9:O9"/>
    <mergeCell ref="J17:O21"/>
    <mergeCell ref="J26:N27"/>
    <mergeCell ref="J30:N33"/>
    <mergeCell ref="J38:O39"/>
    <mergeCell ref="P38:U43"/>
    <mergeCell ref="J40:O46"/>
  </mergeCells>
  <conditionalFormatting sqref="B10 P26 Q17">
    <cfRule type="expression" dxfId="0" priority="1" stopIfTrue="1">
      <formula>LEFT($P$26,6)="ERROR!"</formula>
    </cfRule>
  </conditionalFormatting>
  <dataValidations count="1">
    <dataValidation type="list" allowBlank="1" showInputMessage="1" showErrorMessage="1" sqref="E47">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34</vt:i4>
      </vt:variant>
    </vt:vector>
  </HeadingPairs>
  <TitlesOfParts>
    <vt:vector size="43" baseType="lpstr">
      <vt:lpstr>PF Calculator</vt:lpstr>
      <vt:lpstr>PV Calculator</vt:lpstr>
      <vt:lpstr>Discount Rates &amp; Assumptions</vt:lpstr>
      <vt:lpstr>Version Control</vt:lpstr>
      <vt:lpstr>Sensitivity 1</vt:lpstr>
      <vt:lpstr>Sensitivity 2</vt:lpstr>
      <vt:lpstr>Sensitivity 3</vt:lpstr>
      <vt:lpstr>Sensitivity 4</vt:lpstr>
      <vt:lpstr>Sensitivity 5</vt:lpstr>
      <vt:lpstr>'Sensitivity 1'!AdjOMScore</vt:lpstr>
      <vt:lpstr>'Sensitivity 2'!AdjOMScore</vt:lpstr>
      <vt:lpstr>'Sensitivity 3'!AdjOMScore</vt:lpstr>
      <vt:lpstr>'Sensitivity 4'!AdjOMScore</vt:lpstr>
      <vt:lpstr>'Sensitivity 5'!AdjOMScore</vt:lpstr>
      <vt:lpstr>AdjOMScore</vt:lpstr>
      <vt:lpstr>'Sensitivity 1'!Authority</vt:lpstr>
      <vt:lpstr>'Sensitivity 2'!Authority</vt:lpstr>
      <vt:lpstr>'Sensitivity 3'!Authority</vt:lpstr>
      <vt:lpstr>'Sensitivity 4'!Authority</vt:lpstr>
      <vt:lpstr>'Sensitivity 5'!Authority</vt:lpstr>
      <vt:lpstr>Authority</vt:lpstr>
      <vt:lpstr>AvCEDamages</vt:lpstr>
      <vt:lpstr>AvFloodDamages</vt:lpstr>
      <vt:lpstr>DeprivedScalar20</vt:lpstr>
      <vt:lpstr>DeprivedScalar40</vt:lpstr>
      <vt:lpstr>DeprivedScalarOther</vt:lpstr>
      <vt:lpstr>'Sensitivity 1'!Duration</vt:lpstr>
      <vt:lpstr>'Sensitivity 2'!Duration</vt:lpstr>
      <vt:lpstr>'Sensitivity 3'!Duration</vt:lpstr>
      <vt:lpstr>'Sensitivity 4'!Duration</vt:lpstr>
      <vt:lpstr>'Sensitivity 5'!Duration</vt:lpstr>
      <vt:lpstr>Duration</vt:lpstr>
      <vt:lpstr>NPPThreshold</vt:lpstr>
      <vt:lpstr>'Discount Rates &amp; Assumptions'!Print_Area</vt:lpstr>
      <vt:lpstr>'Sensitivity 1'!RawOMScore</vt:lpstr>
      <vt:lpstr>'Sensitivity 2'!RawOMScore</vt:lpstr>
      <vt:lpstr>'Sensitivity 3'!RawOMScore</vt:lpstr>
      <vt:lpstr>'Sensitivity 4'!RawOMScore</vt:lpstr>
      <vt:lpstr>'Sensitivity 5'!RawOMScore</vt:lpstr>
      <vt:lpstr>RawOMScore</vt:lpstr>
      <vt:lpstr>RPThreshold</vt:lpstr>
      <vt:lpstr>TargetBCRWLBs</vt:lpstr>
      <vt:lpstr>TargetMinBCR</vt:lpstr>
    </vt:vector>
  </TitlesOfParts>
  <Company>Defra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Johns</dc:creator>
  <cp:lastModifiedBy>Environment Agency User</cp:lastModifiedBy>
  <cp:lastPrinted>2011-05-26T14:56:35Z</cp:lastPrinted>
  <dcterms:created xsi:type="dcterms:W3CDTF">2010-09-17T15:22:36Z</dcterms:created>
  <dcterms:modified xsi:type="dcterms:W3CDTF">2016-10-20T14:00:04Z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