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InkAnnotation="0" codeName="ThisWorkbook"/>
  <mc:AlternateContent xmlns:mc="http://schemas.openxmlformats.org/markup-compatibility/2006">
    <mc:Choice Requires="x15">
      <x15ac:absPath xmlns:x15ac="http://schemas.microsoft.com/office/spreadsheetml/2010/11/ac" url="/Users/matthall/Work/pafs/pafs_core/spec/fixtures/calculators/"/>
    </mc:Choice>
  </mc:AlternateContent>
  <xr:revisionPtr revIDLastSave="0" documentId="13_ncr:1_{8C13857A-F364-0449-9A69-FD2B862EE372}" xr6:coauthVersionLast="45" xr6:coauthVersionMax="45" xr10:uidLastSave="{00000000-0000-0000-0000-000000000000}"/>
  <workbookProtection workbookPassword="B0C5" lockStructure="1"/>
  <bookViews>
    <workbookView xWindow="0" yWindow="460" windowWidth="34400" windowHeight="2834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B13" i="5"/>
  <c r="AA14" i="5"/>
  <c r="AA13" i="5"/>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T61" i="5"/>
  <c r="T68" i="5"/>
  <c r="T73" i="5"/>
  <c r="T79" i="5"/>
  <c r="T84" i="5"/>
  <c r="V84" i="5" s="1"/>
  <c r="T89" i="5"/>
  <c r="T95" i="5"/>
  <c r="T100" i="5"/>
  <c r="T105" i="5"/>
  <c r="T111" i="5"/>
  <c r="T116" i="5"/>
  <c r="T121" i="5"/>
  <c r="T127" i="5"/>
  <c r="U30" i="5"/>
  <c r="U38" i="5"/>
  <c r="U46" i="5"/>
  <c r="U54" i="5"/>
  <c r="U62" i="5"/>
  <c r="U70" i="5"/>
  <c r="U78" i="5"/>
  <c r="U86" i="5"/>
  <c r="U94" i="5"/>
  <c r="U102" i="5"/>
  <c r="U110" i="5"/>
  <c r="U118" i="5"/>
  <c r="U126" i="5"/>
  <c r="T32" i="5"/>
  <c r="T40" i="5"/>
  <c r="T48" i="5"/>
  <c r="T56" i="5"/>
  <c r="V56" i="5" s="1"/>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T57" i="5"/>
  <c r="T65" i="5"/>
  <c r="T71" i="5"/>
  <c r="T76" i="5"/>
  <c r="V76" i="5" s="1"/>
  <c r="T81" i="5"/>
  <c r="T87" i="5"/>
  <c r="T92" i="5"/>
  <c r="T97" i="5"/>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T104" i="5"/>
  <c r="V104" i="5" s="1"/>
  <c r="T109" i="5"/>
  <c r="T115" i="5"/>
  <c r="T120" i="5"/>
  <c r="T125" i="5"/>
  <c r="V125" i="5" s="1"/>
  <c r="D17" i="5"/>
  <c r="V99" i="5" l="1"/>
  <c r="V91" i="5"/>
  <c r="V53" i="5"/>
  <c r="V49" i="5"/>
  <c r="V105" i="5"/>
  <c r="V97"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7"/>
  <c r="D103" i="17" s="1"/>
  <c r="H103" i="17" s="1"/>
  <c r="L89" i="10"/>
  <c r="D103" i="10" s="1"/>
  <c r="L89" i="20"/>
  <c r="D103" i="20" s="1"/>
  <c r="H103" i="20"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D99" i="20" s="1"/>
  <c r="O76" i="8"/>
  <c r="O76" i="20"/>
  <c r="O76" i="17"/>
  <c r="O76" i="19"/>
  <c r="O76" i="18"/>
  <c r="O76" i="10"/>
  <c r="R46" i="18"/>
  <c r="R47" i="18"/>
  <c r="R48" i="18"/>
  <c r="R47" i="10"/>
  <c r="D98" i="10" s="1"/>
  <c r="R48" i="10"/>
  <c r="R46" i="10"/>
  <c r="R46" i="19"/>
  <c r="R47" i="19"/>
  <c r="R48" i="19"/>
  <c r="R47" i="8"/>
  <c r="R46" i="8"/>
  <c r="R48" i="8"/>
  <c r="R46" i="17"/>
  <c r="R48" i="17"/>
  <c r="R47" i="17"/>
  <c r="AM28" i="4"/>
  <c r="D97" i="21" l="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<sst xmlns="http://schemas.openxmlformats.org/spreadsheetml/2006/main" count="1714" uniqueCount="439">
  <si>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</si>
  <si>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</si>
  <si>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</si>
  <si>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</si>
  <si>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</si>
  <si>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</si>
  <si>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</si>
  <si>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</si>
  <si>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</si>
  <si>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</si>
  <si>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</si>
  <si>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</si>
  <si>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</si>
  <si>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</si>
  <si>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</si>
  <si>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</si>
  <si>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</si>
  <si>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</si>
  <si>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</si>
  <si>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</si>
  <si>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</si>
  <si>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</si>
  <si>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</si>
  <si>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</si>
  <si>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</si>
  <si>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</si>
  <si>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</si>
  <si>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</si>
  <si>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</si>
  <si>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</si>
  <si>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</si>
  <si>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</si>
  <si>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</si>
  <si>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</si>
  <si>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</si>
  <si>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</si>
  <si>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</si>
  <si>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</si>
  <si>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</si>
  <si>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</si>
  <si>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</si>
  <si>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</si>
  <si>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</si>
  <si>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</si>
  <si>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</si>
  <si>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</si>
  <si>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</si>
  <si>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</si>
  <si>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</si>
  <si>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</si>
  <si>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</si>
  <si>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</si>
  <si>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</si>
  <si>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</si>
  <si>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</si>
  <si>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</si>
  <si>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</si>
  <si>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</si>
  <si>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</si>
  <si>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</si>
  <si>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</si>
  <si>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</si>
  <si>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</si>
  <si>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</si>
  <si>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</si>
  <si>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</si>
  <si>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</si>
  <si>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</si>
  <si>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</si>
  <si>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</si>
  <si>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</si>
  <si>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</si>
  <si>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</si>
  <si>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</si>
  <si>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</si>
  <si>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</si>
  <si>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</si>
  <si>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</si>
  <si>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</si>
  <si>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</si>
  <si>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</si>
  <si>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</si>
  <si>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</si>
  <si>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</si>
  <si>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</si>
  <si>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</si>
  <si>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</si>
  <si>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</si>
  <si>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</si>
  <si>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</si>
  <si>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</si>
  <si>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</si>
  <si>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</si>
  <si>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</si>
  <si>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</si>
  <si>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</si>
  <si>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</si>
  <si>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</si>
  <si>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</si>
  <si>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</si>
  <si>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</si>
  <si>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</si>
  <si>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</si>
  <si>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</si>
  <si>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</si>
  <si>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</si>
  <si>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</si>
  <si>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</si>
  <si>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</si>
  <si>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</si>
  <si>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</si>
  <si>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</si>
  <si>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</si>
  <si>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</si>
  <si>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</si>
  <si>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</si>
  <si>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</si>
  <si>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</si>
  <si>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</si>
  <si>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</si>
  <si>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</si>
  <si>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</si>
  <si>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</si>
  <si>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</si>
  <si>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</si>
  <si>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</si>
  <si>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</si>
  <si>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</si>
  <si>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</si>
  <si>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</si>
  <si>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</si>
  <si>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</si>
  <si>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</si>
  <si>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</si>
  <si>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</si>
  <si>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</si>
  <si>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</si>
  <si>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</si>
  <si>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</si>
  <si>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</si>
  <si>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</si>
  <si>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</si>
  <si>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</si>
  <si>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</si>
  <si>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</si>
  <si>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</si>
  <si>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</si>
  <si>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</si>
  <si>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</si>
  <si>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</si>
  <si>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</si>
  <si>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</si>
  <si>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</si>
  <si>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</si>
  <si>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</si>
  <si>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</si>
  <si>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</si>
  <si>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</si>
  <si>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</si>
  <si>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</si>
  <si>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</si>
  <si>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</si>
  <si>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</si>
  <si>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</si>
  <si>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</si>
  <si>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</si>
  <si>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</si>
  <si>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</si>
  <si>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</si>
  <si>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</si>
  <si>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</si>
  <si>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</si>
  <si>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</si>
  <si>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</si>
  <si>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</si>
  <si>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</si>
  <si>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</si>
  <si>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</si>
  <si>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</si>
  <si>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</si>
  <si>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</si>
  <si>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</si>
  <si>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</si>
  <si>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</si>
  <si>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</si>
  <si>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</si>
  <si>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</si>
  <si>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</si>
  <si>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</si>
  <si>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</si>
  <si>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</si>
  <si>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</si>
  <si>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</si>
  <si>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</si>
  <si>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</si>
  <si>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</si>
  <si>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</si>
  <si>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</si>
  <si>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</si>
  <si>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</si>
  <si>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</si>
  <si>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</si>
  <si>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</si>
  <si>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</si>
  <si>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</si>
  <si>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</si>
  <si>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</si>
  <si>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</si>
  <si>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</si>
  <si>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</si>
  <si>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</si>
  <si>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</si>
  <si>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</si>
  <si>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</si>
  <si>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</si>
  <si>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</si>
  <si>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</si>
  <si>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</si>
  <si>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</si>
  <si>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</si>
  <si>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</si>
  <si>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</si>
  <si>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</si>
  <si>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</si>
  <si>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</si>
  <si>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</si>
  <si>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</si>
  <si>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</si>
  <si>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</si>
  <si>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</si>
  <si>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</si>
  <si>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</si>
  <si>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</si>
  <si>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</si>
  <si>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</si>
  <si>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</si>
  <si>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</si>
  <si>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</si>
  <si>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</si>
  <si>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</si>
  <si>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</si>
  <si>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</si>
  <si>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</si>
  <si>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</si>
  <si>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</si>
  <si>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</si>
  <si>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</si>
  <si>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</si>
  <si>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</si>
  <si>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</si>
  <si>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</si>
  <si>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</si>
  <si>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</si>
  <si>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</si>
  <si>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</si>
  <si>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</si>
  <si>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</si>
  <si>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</si>
  <si>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</si>
  <si>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</si>
  <si>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</si>
  <si>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</si>
  <si>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</si>
  <si>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</si>
  <si>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</si>
  <si>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</si>
  <si>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</si>
  <si>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</si>
  <si>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</si>
  <si>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</si>
  <si>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</si>
  <si>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</si>
  <si>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</si>
  <si>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</si>
  <si>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</si>
  <si>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</si>
  <si>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</si>
  <si>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</si>
  <si>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</si>
  <si>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</si>
  <si>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</si>
  <si>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</si>
  <si>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</si>
  <si>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</si>
  <si>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</si>
  <si>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</si>
  <si>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</si>
  <si>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</si>
  <si>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</si>
  <si>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</si>
  <si>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</si>
  <si>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</si>
  <si>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</si>
  <si>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</si>
  <si>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</si>
  <si>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</si>
  <si>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</si>
  <si>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</si>
  <si>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</si>
  <si>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</si>
  <si>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</si>
  <si>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</si>
  <si>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</si>
  <si>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</si>
  <si>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</si>
  <si>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</si>
  <si>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</si>
  <si>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</si>
  <si>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</si>
  <si>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</si>
  <si>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</si>
  <si>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</si>
  <si>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</si>
  <si>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</si>
  <si>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</si>
  <si>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</si>
  <si>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</si>
  <si>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</si>
  <si>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</si>
  <si>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</si>
  <si>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</si>
  <si>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</si>
  <si>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</si>
  <si>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</si>
  <si>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</si>
  <si>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</si>
  <si>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</si>
  <si>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</si>
  <si>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</si>
  <si>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</si>
  <si>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</si>
  <si>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</si>
  <si>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</si>
  <si>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</si>
  <si>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</si>
  <si>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</si>
  <si>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</si>
  <si>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</si>
  <si>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</si>
  <si>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</si>
  <si>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</si>
  <si>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</si>
  <si>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</si>
  <si>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</si>
  <si>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</si>
  <si>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</si>
  <si>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</si>
  <si>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</si>
  <si>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</si>
  <si>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</si>
  <si>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</si>
  <si>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</si>
  <si>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</si>
  <si>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</si>
  <si>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</si>
  <si>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</si>
  <si>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</si>
  <si>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</si>
  <si>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</si>
  <si>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</si>
  <si>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</si>
  <si>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</si>
  <si>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</si>
  <si>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</si>
  <si>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</si>
  <si>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</si>
  <si>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</si>
  <si>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</si>
  <si>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</si>
  <si>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</si>
  <si>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</si>
  <si>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</si>
  <si>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</si>
  <si>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</si>
  <si>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</si>
  <si>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</si>
  <si>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</si>
  <si>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</si>
  <si>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</si>
  <si>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</si>
  <si>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</si>
  <si>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</si>
  <si>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</si>
  <si>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</si>
  <si>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</si>
  <si>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</si>
  <si>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</si>
  <si>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</si>
  <si>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</si>
  <si>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</si>
  <si>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</si>
  <si>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</si>
  <si>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</si>
  <si>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</si>
  <si>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</si>
  <si>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</si>
  <si>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</si>
  <si>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</si>
  <si>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</si>
  <si>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</si>
  <si>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</si>
  <si>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</si>
  <si>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</si>
  <si>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</si>
  <si>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</si>
  <si>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</si>
  <si>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</si>
  <si>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</si>
  <si>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</si>
  <si>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</si>
  <si>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</si>
  <si>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</si>
  <si>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</si>
  <si>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</si>
  <si>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</si>
  <si>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</si>
  <si>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</si>
  <si>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</si>
  <si>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</si>
  <si>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</si>
  <si>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</si>
  <si>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</si>
  <si>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</si>
  <si>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</si>
  <si>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</si>
  <si>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</si>
  <si>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</si>
  <si>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</si>
  <si>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</si>
  <si>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</si>
  <si>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</si>
  <si>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</si>
  <si>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</si>
  <si>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</si>
  <si>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</si>
  <si>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Yes</t>
  </si>
  <si>
    <t>OBC</t>
  </si>
  <si>
    <t>Environment Agency</t>
  </si>
  <si>
    <t>Some test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</si>
</sst>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71" fontId="4" fillId="13" borderId="25" xfId="0" applyNumberFormat="1"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71" fontId="4" fillId="13" borderId="1" xfId="0" applyNumberFormat="1" applyFont="1" applyFill="1" applyBorder="1" applyAlignment="1">
      <alignment horizontal="left" vertical="center"/>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164"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ov.uk/government/publications/the-green-book-appraisal-and-evaluation-in-central-govern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7109375" style="38" customWidth="1"/>
    <col min="2" max="2" width="20.7109375" style="38" bestFit="1" customWidth="1"/>
    <col min="3" max="3" width="79.140625" style="38" customWidth="1"/>
    <col min="4" max="4" width="2.71093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71093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91">
        <v>1</v>
      </c>
      <c r="F4" s="492" t="s">
        <v>363</v>
      </c>
      <c r="G4" s="492"/>
      <c r="H4" s="492"/>
      <c r="I4" s="492"/>
      <c r="J4" s="492"/>
      <c r="K4" s="492"/>
      <c r="L4" s="268"/>
    </row>
    <row r="5" spans="1:20" ht="24.75" customHeight="1" x14ac:dyDescent="0.2">
      <c r="A5" s="268"/>
      <c r="B5" s="485" t="s">
        <v>5</v>
      </c>
      <c r="C5" s="100" t="s">
        <v>244</v>
      </c>
      <c r="D5" s="276"/>
      <c r="E5" s="491"/>
      <c r="F5" s="492"/>
      <c r="G5" s="492"/>
      <c r="H5" s="492"/>
      <c r="I5" s="492"/>
      <c r="J5" s="492"/>
      <c r="K5" s="492"/>
      <c r="L5" s="268"/>
    </row>
    <row r="6" spans="1:20" ht="24.75" customHeight="1" x14ac:dyDescent="0.2">
      <c r="A6" s="268"/>
      <c r="B6" s="486"/>
      <c r="C6" s="101" t="s">
        <v>242</v>
      </c>
      <c r="D6" s="276"/>
      <c r="E6" s="491"/>
      <c r="F6" s="492"/>
      <c r="G6" s="492"/>
      <c r="H6" s="492"/>
      <c r="I6" s="492"/>
      <c r="J6" s="492"/>
      <c r="K6" s="492"/>
      <c r="L6" s="268"/>
    </row>
    <row r="7" spans="1:20" ht="24.75" customHeight="1" x14ac:dyDescent="0.2">
      <c r="A7" s="268"/>
      <c r="B7" s="486"/>
      <c r="C7" s="101" t="s">
        <v>243</v>
      </c>
      <c r="D7" s="276"/>
      <c r="E7" s="271"/>
      <c r="F7" s="268"/>
      <c r="G7" s="268"/>
      <c r="H7" s="268"/>
      <c r="I7" s="268"/>
      <c r="J7" s="268"/>
      <c r="K7" s="268"/>
      <c r="L7" s="268"/>
      <c r="T7" s="283"/>
    </row>
    <row r="8" spans="1:20" ht="24.75" customHeight="1" x14ac:dyDescent="0.2">
      <c r="A8" s="268"/>
      <c r="B8" s="486"/>
      <c r="C8" s="488" t="s">
        <v>357</v>
      </c>
      <c r="D8" s="277"/>
      <c r="E8" s="497">
        <v>2</v>
      </c>
      <c r="F8" s="492" t="s">
        <v>362</v>
      </c>
      <c r="G8" s="492"/>
      <c r="H8" s="492"/>
      <c r="I8" s="492"/>
      <c r="J8" s="492"/>
      <c r="K8" s="492"/>
      <c r="L8" s="268"/>
      <c r="T8" s="283"/>
    </row>
    <row r="9" spans="1:20" ht="24.75" customHeight="1" x14ac:dyDescent="0.2">
      <c r="A9" s="268"/>
      <c r="B9" s="486"/>
      <c r="C9" s="489"/>
      <c r="D9" s="277"/>
      <c r="E9" s="497"/>
      <c r="F9" s="492"/>
      <c r="G9" s="492"/>
      <c r="H9" s="492"/>
      <c r="I9" s="492"/>
      <c r="J9" s="492"/>
      <c r="K9" s="492"/>
      <c r="L9" s="268"/>
      <c r="T9" s="283"/>
    </row>
    <row r="10" spans="1:20" ht="24.75" customHeight="1" thickBot="1" x14ac:dyDescent="0.25">
      <c r="A10" s="268"/>
      <c r="B10" s="487"/>
      <c r="C10" s="490"/>
      <c r="D10" s="277"/>
      <c r="E10" s="497"/>
      <c r="F10" s="492"/>
      <c r="G10" s="492"/>
      <c r="H10" s="492"/>
      <c r="I10" s="492"/>
      <c r="J10" s="492"/>
      <c r="K10" s="492"/>
      <c r="L10" s="268"/>
      <c r="T10" s="283"/>
    </row>
    <row r="11" spans="1:20" ht="24.75" customHeight="1" x14ac:dyDescent="0.2">
      <c r="A11" s="268"/>
      <c r="B11" s="493" t="s">
        <v>4</v>
      </c>
      <c r="C11" s="495" t="s">
        <v>9</v>
      </c>
      <c r="D11" s="277"/>
      <c r="E11" s="271"/>
      <c r="F11" s="280"/>
      <c r="G11" s="280"/>
      <c r="H11" s="280"/>
      <c r="I11" s="280"/>
      <c r="J11" s="280"/>
      <c r="K11" s="280"/>
      <c r="L11" s="268"/>
      <c r="T11" s="283"/>
    </row>
    <row r="12" spans="1:20" ht="24.75" customHeight="1" thickBot="1" x14ac:dyDescent="0.25">
      <c r="A12" s="268"/>
      <c r="B12" s="494"/>
      <c r="C12" s="496"/>
      <c r="D12" s="275"/>
      <c r="E12" s="497">
        <v>3</v>
      </c>
      <c r="F12" s="498" t="s">
        <v>313</v>
      </c>
      <c r="G12" s="498"/>
      <c r="H12" s="498"/>
      <c r="I12" s="498"/>
      <c r="J12" s="498"/>
      <c r="K12" s="498"/>
      <c r="L12" s="268"/>
      <c r="T12" s="283"/>
    </row>
    <row r="13" spans="1:20" ht="24.75" customHeight="1" thickBot="1" x14ac:dyDescent="0.25">
      <c r="A13" s="268"/>
      <c r="B13" s="95" t="s">
        <v>6</v>
      </c>
      <c r="C13" s="96" t="s">
        <v>154</v>
      </c>
      <c r="D13" s="275"/>
      <c r="E13" s="497"/>
      <c r="F13" s="498"/>
      <c r="G13" s="498"/>
      <c r="H13" s="498"/>
      <c r="I13" s="498"/>
      <c r="J13" s="498"/>
      <c r="K13" s="498"/>
      <c r="L13" s="268"/>
      <c r="T13" s="283"/>
    </row>
    <row r="14" spans="1:20" ht="24.75" customHeight="1" thickBot="1" x14ac:dyDescent="0.25">
      <c r="A14" s="268"/>
      <c r="B14" s="95" t="s">
        <v>1</v>
      </c>
      <c r="C14" s="96" t="s">
        <v>154</v>
      </c>
      <c r="D14" s="275"/>
      <c r="E14" s="497"/>
      <c r="F14" s="498"/>
      <c r="G14" s="498"/>
      <c r="H14" s="498"/>
      <c r="I14" s="498"/>
      <c r="J14" s="498"/>
      <c r="K14" s="498"/>
      <c r="L14" s="268"/>
      <c r="T14" s="283"/>
    </row>
    <row r="15" spans="1:20" ht="24.75" customHeight="1" x14ac:dyDescent="0.2">
      <c r="A15" s="268"/>
      <c r="B15" s="470" t="s">
        <v>0</v>
      </c>
      <c r="C15" s="343" t="s">
        <v>358</v>
      </c>
      <c r="D15" s="278"/>
      <c r="E15" s="271"/>
      <c r="F15" s="281"/>
      <c r="G15" s="281"/>
      <c r="H15" s="281"/>
      <c r="I15" s="281"/>
      <c r="J15" s="281"/>
      <c r="K15" s="281"/>
      <c r="L15" s="268"/>
      <c r="T15" s="283"/>
    </row>
    <row r="16" spans="1:20" ht="24.75" customHeight="1" x14ac:dyDescent="0.2">
      <c r="A16" s="268"/>
      <c r="B16" s="471"/>
      <c r="C16" s="97" t="s">
        <v>240</v>
      </c>
      <c r="D16" s="278"/>
      <c r="E16" s="482">
        <v>5</v>
      </c>
      <c r="F16" s="473" t="s">
        <v>245</v>
      </c>
      <c r="G16" s="474"/>
      <c r="H16" s="474"/>
      <c r="I16" s="474"/>
      <c r="J16" s="474"/>
      <c r="K16" s="475"/>
      <c r="L16" s="268"/>
    </row>
    <row r="17" spans="1:13" ht="24.75" customHeight="1" x14ac:dyDescent="0.2">
      <c r="A17" s="268"/>
      <c r="B17" s="471"/>
      <c r="C17" s="339" t="s">
        <v>359</v>
      </c>
      <c r="D17" s="278"/>
      <c r="E17" s="483"/>
      <c r="F17" s="466" t="s">
        <v>361</v>
      </c>
      <c r="G17" s="467"/>
      <c r="H17" s="467"/>
      <c r="I17" s="467"/>
      <c r="J17" s="467"/>
      <c r="K17" s="468"/>
      <c r="L17" s="268"/>
    </row>
    <row r="18" spans="1:13" ht="24.75" customHeight="1" x14ac:dyDescent="0.2">
      <c r="A18" s="268"/>
      <c r="B18" s="471"/>
      <c r="C18" s="339" t="s">
        <v>360</v>
      </c>
      <c r="D18" s="278"/>
      <c r="E18" s="483"/>
      <c r="F18" s="466"/>
      <c r="G18" s="467"/>
      <c r="H18" s="467"/>
      <c r="I18" s="467"/>
      <c r="J18" s="467"/>
      <c r="K18" s="468"/>
      <c r="L18" s="268"/>
      <c r="M18" s="38" t="s">
        <v>397</v>
      </c>
    </row>
    <row r="19" spans="1:13" ht="24.75" customHeight="1" thickBot="1" x14ac:dyDescent="0.25">
      <c r="A19" s="268"/>
      <c r="B19" s="472"/>
      <c r="C19" s="98" t="s">
        <v>241</v>
      </c>
      <c r="D19" s="275"/>
      <c r="E19" s="483"/>
      <c r="F19" s="466" t="s">
        <v>398</v>
      </c>
      <c r="G19" s="467"/>
      <c r="H19" s="467"/>
      <c r="I19" s="467"/>
      <c r="J19" s="467"/>
      <c r="K19" s="468"/>
      <c r="L19" s="268"/>
      <c r="M19" s="38" t="s">
        <v>397</v>
      </c>
    </row>
    <row r="20" spans="1:13" ht="24.75" customHeight="1" thickBot="1" x14ac:dyDescent="0.25">
      <c r="A20" s="268"/>
      <c r="B20" s="95" t="s">
        <v>2</v>
      </c>
      <c r="C20" s="113" t="s">
        <v>155</v>
      </c>
      <c r="D20" s="279"/>
      <c r="E20" s="483"/>
      <c r="F20" s="479" t="s">
        <v>246</v>
      </c>
      <c r="G20" s="480"/>
      <c r="H20" s="480"/>
      <c r="I20" s="480"/>
      <c r="J20" s="480"/>
      <c r="K20" s="481"/>
      <c r="L20" s="268"/>
      <c r="M20" s="38" t="s">
        <v>397</v>
      </c>
    </row>
    <row r="21" spans="1:13" ht="24.75" customHeight="1" x14ac:dyDescent="0.2">
      <c r="A21" s="268"/>
      <c r="B21" s="469" t="s">
        <v>8</v>
      </c>
      <c r="C21" s="469"/>
      <c r="D21" s="268"/>
      <c r="E21" s="483"/>
      <c r="F21" s="460" t="s">
        <v>366</v>
      </c>
      <c r="G21" s="461"/>
      <c r="H21" s="461"/>
      <c r="I21" s="461"/>
      <c r="J21" s="461"/>
      <c r="K21" s="462"/>
      <c r="L21" s="268"/>
    </row>
    <row r="22" spans="1:13" ht="24.75" customHeight="1" x14ac:dyDescent="0.2">
      <c r="A22" s="268"/>
      <c r="B22" s="469"/>
      <c r="C22" s="469"/>
      <c r="D22" s="268"/>
      <c r="E22" s="483"/>
      <c r="F22" s="476" t="s">
        <v>323</v>
      </c>
      <c r="G22" s="477"/>
      <c r="H22" s="477"/>
      <c r="I22" s="477"/>
      <c r="J22" s="477"/>
      <c r="K22" s="478"/>
      <c r="L22" s="268"/>
    </row>
    <row r="23" spans="1:13" ht="24.75" customHeight="1" x14ac:dyDescent="0.2">
      <c r="A23" s="268"/>
      <c r="B23" s="268"/>
      <c r="C23" s="268"/>
      <c r="D23" s="268"/>
      <c r="E23" s="484"/>
      <c r="F23" s="463" t="s">
        <v>324</v>
      </c>
      <c r="G23" s="464"/>
      <c r="H23" s="464"/>
      <c r="I23" s="464"/>
      <c r="J23" s="464"/>
      <c r="K23" s="465"/>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45" t="s">
        <v>287</v>
      </c>
      <c r="C25" s="454" t="s">
        <v>364</v>
      </c>
      <c r="D25" s="455"/>
      <c r="E25" s="455"/>
      <c r="F25" s="455"/>
      <c r="G25" s="455"/>
      <c r="H25" s="455"/>
      <c r="I25" s="455"/>
      <c r="J25" s="455"/>
      <c r="K25" s="456"/>
      <c r="L25" s="268"/>
    </row>
    <row r="26" spans="1:13" x14ac:dyDescent="0.2">
      <c r="A26" s="268"/>
      <c r="B26" s="446"/>
      <c r="C26" s="457"/>
      <c r="D26" s="458"/>
      <c r="E26" s="458"/>
      <c r="F26" s="458"/>
      <c r="G26" s="458"/>
      <c r="H26" s="458"/>
      <c r="I26" s="458"/>
      <c r="J26" s="458"/>
      <c r="K26" s="459"/>
      <c r="L26" s="268"/>
    </row>
    <row r="27" spans="1:13" ht="24.75" customHeight="1" x14ac:dyDescent="0.2">
      <c r="A27" s="268"/>
      <c r="B27" s="446"/>
      <c r="C27" s="451"/>
      <c r="D27" s="452"/>
      <c r="E27" s="452"/>
      <c r="F27" s="452"/>
      <c r="G27" s="452"/>
      <c r="H27" s="452"/>
      <c r="I27" s="452"/>
      <c r="J27" s="452"/>
      <c r="K27" s="453"/>
      <c r="L27" s="268"/>
    </row>
    <row r="28" spans="1:13" ht="24.75" customHeight="1" x14ac:dyDescent="0.2">
      <c r="A28" s="268"/>
      <c r="B28" s="446"/>
      <c r="C28" s="451"/>
      <c r="D28" s="452"/>
      <c r="E28" s="452"/>
      <c r="F28" s="452"/>
      <c r="G28" s="452"/>
      <c r="H28" s="452"/>
      <c r="I28" s="452"/>
      <c r="J28" s="452"/>
      <c r="K28" s="453"/>
      <c r="L28" s="268"/>
    </row>
    <row r="29" spans="1:13" ht="24.75" customHeight="1" x14ac:dyDescent="0.2">
      <c r="A29" s="268"/>
      <c r="B29" s="446"/>
      <c r="C29" s="451"/>
      <c r="D29" s="452"/>
      <c r="E29" s="452"/>
      <c r="F29" s="452"/>
      <c r="G29" s="452"/>
      <c r="H29" s="452"/>
      <c r="I29" s="452"/>
      <c r="J29" s="452"/>
      <c r="K29" s="453"/>
      <c r="L29" s="268"/>
    </row>
    <row r="30" spans="1:13" ht="24.75" customHeight="1" x14ac:dyDescent="0.2">
      <c r="A30" s="268"/>
      <c r="B30" s="446"/>
      <c r="C30" s="451"/>
      <c r="D30" s="452"/>
      <c r="E30" s="452"/>
      <c r="F30" s="452"/>
      <c r="G30" s="452"/>
      <c r="H30" s="452"/>
      <c r="I30" s="452"/>
      <c r="J30" s="452"/>
      <c r="K30" s="453"/>
      <c r="L30" s="268"/>
    </row>
    <row r="31" spans="1:13" ht="24.75" customHeight="1" x14ac:dyDescent="0.2">
      <c r="A31" s="268"/>
      <c r="B31" s="446"/>
      <c r="C31" s="451"/>
      <c r="D31" s="452"/>
      <c r="E31" s="452"/>
      <c r="F31" s="452"/>
      <c r="G31" s="452"/>
      <c r="H31" s="452"/>
      <c r="I31" s="452"/>
      <c r="J31" s="452"/>
      <c r="K31" s="453"/>
      <c r="L31" s="268"/>
    </row>
    <row r="32" spans="1:13" ht="24.75" customHeight="1" x14ac:dyDescent="0.2">
      <c r="A32" s="268"/>
      <c r="B32" s="446"/>
      <c r="C32" s="451"/>
      <c r="D32" s="452"/>
      <c r="E32" s="452"/>
      <c r="F32" s="452"/>
      <c r="G32" s="452"/>
      <c r="H32" s="452"/>
      <c r="I32" s="452"/>
      <c r="J32" s="452"/>
      <c r="K32" s="453"/>
      <c r="L32" s="268"/>
    </row>
    <row r="33" spans="1:12" ht="24.75" customHeight="1" x14ac:dyDescent="0.2">
      <c r="A33" s="268"/>
      <c r="B33" s="446"/>
      <c r="C33" s="451"/>
      <c r="D33" s="452"/>
      <c r="E33" s="452"/>
      <c r="F33" s="452"/>
      <c r="G33" s="452"/>
      <c r="H33" s="452"/>
      <c r="I33" s="452"/>
      <c r="J33" s="452"/>
      <c r="K33" s="453"/>
      <c r="L33" s="268"/>
    </row>
    <row r="34" spans="1:12" ht="24.75" customHeight="1" x14ac:dyDescent="0.2">
      <c r="A34" s="268"/>
      <c r="B34" s="446"/>
      <c r="C34" s="451"/>
      <c r="D34" s="452"/>
      <c r="E34" s="452"/>
      <c r="F34" s="452"/>
      <c r="G34" s="452"/>
      <c r="H34" s="452"/>
      <c r="I34" s="452"/>
      <c r="J34" s="452"/>
      <c r="K34" s="453"/>
      <c r="L34" s="268"/>
    </row>
    <row r="35" spans="1:12" ht="24.75" customHeight="1" x14ac:dyDescent="0.2">
      <c r="A35" s="268"/>
      <c r="B35" s="447"/>
      <c r="C35" s="448"/>
      <c r="D35" s="449"/>
      <c r="E35" s="449"/>
      <c r="F35" s="449"/>
      <c r="G35" s="449"/>
      <c r="H35" s="449"/>
      <c r="I35" s="449"/>
      <c r="J35" s="449"/>
      <c r="K35" s="450"/>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f>'PF calculator'!D8</f>
        <v>0</v>
      </c>
      <c r="E8" s="1022"/>
      <c r="F8" s="1023"/>
      <c r="G8" s="396"/>
      <c r="H8" s="395"/>
      <c r="I8" s="395"/>
      <c r="J8" s="395"/>
      <c r="K8" s="970" t="s">
        <v>335</v>
      </c>
      <c r="L8" s="988"/>
      <c r="M8" s="1021">
        <f>'PF calculator'!M8</f>
        <v>1</v>
      </c>
      <c r="N8" s="1023"/>
      <c r="O8" s="1024" t="str">
        <f>'PF calculator'!O8:Q8</f>
        <v>Project benefit to cost ratio:</v>
      </c>
      <c r="P8" s="1025"/>
      <c r="Q8" s="1026"/>
      <c r="R8" s="397">
        <f>$E$39/$E$33</f>
        <v>10</v>
      </c>
      <c r="S8" s="398" t="s">
        <v>15</v>
      </c>
      <c r="T8" s="440"/>
      <c r="U8" s="77"/>
      <c r="V8" s="77"/>
    </row>
    <row r="9" spans="1:22" s="1" customFormat="1" ht="18.75" customHeight="1" thickBot="1" x14ac:dyDescent="0.25">
      <c r="A9" s="4"/>
      <c r="B9" s="970" t="s">
        <v>354</v>
      </c>
      <c r="C9" s="970"/>
      <c r="D9" s="1029">
        <f>'PF calculator'!D9</f>
        <v>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f>'PF calculator'!D10</f>
        <v>0</v>
      </c>
      <c r="E10" s="1035"/>
      <c r="F10" s="1035"/>
      <c r="G10" s="1035"/>
      <c r="H10" s="1035"/>
      <c r="I10" s="1036"/>
      <c r="J10" s="394"/>
      <c r="K10" s="395"/>
      <c r="L10" s="395"/>
      <c r="M10" s="395"/>
      <c r="N10" s="395"/>
      <c r="O10" s="1032" t="s">
        <v>129</v>
      </c>
      <c r="P10" s="1032"/>
      <c r="Q10" s="1033"/>
      <c r="R10" s="397">
        <f>IF($K$33&gt;0,$E$39/$K$33,"n/a")</f>
        <v>1.2820512820512822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226031.72645719303</v>
      </c>
      <c r="F19" s="1020"/>
      <c r="G19" s="395"/>
      <c r="H19" s="977" t="s">
        <v>65</v>
      </c>
      <c r="I19" s="977"/>
      <c r="J19" s="986"/>
      <c r="K19" s="1019">
        <f>IF(E23="low BCR","n/a",IF(E17="Yes",IF(D11="Environment Agency",E23/MAX(MAX(E33,E31)-K33,1),E19+K33/E31),IF(D11="Environment Agency",E23*0.45/MAX(MAX(E33,E31)-K33,1),E19+K33/E31)))</f>
        <v>2260317.2645719303</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2260317.2645719303</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v>
      </c>
      <c r="F28" s="975"/>
      <c r="G28" s="395"/>
      <c r="H28" s="970" t="s">
        <v>341</v>
      </c>
      <c r="I28" s="970"/>
      <c r="J28" s="971"/>
      <c r="K28" s="1008">
        <f>'PF calculator'!K28</f>
        <v>1</v>
      </c>
      <c r="L28" s="1009"/>
      <c r="M28" s="1008">
        <f>'PF calculator'!M28</f>
        <v>2</v>
      </c>
      <c r="N28" s="1009"/>
      <c r="O28" s="1008">
        <f>'PF calculator'!O28</f>
        <v>3</v>
      </c>
      <c r="P28" s="1009"/>
      <c r="Q28" s="1010" t="s">
        <v>102</v>
      </c>
      <c r="R28" s="1010"/>
      <c r="S28" s="1010"/>
      <c r="T28" s="439"/>
      <c r="U28" s="77"/>
      <c r="V28" s="77"/>
    </row>
    <row r="29" spans="1:22" s="1" customFormat="1" ht="18.75" customHeight="1" thickBot="1" x14ac:dyDescent="0.25">
      <c r="A29" s="4"/>
      <c r="B29" s="970" t="s">
        <v>338</v>
      </c>
      <c r="C29" s="970"/>
      <c r="D29" s="988"/>
      <c r="E29" s="974">
        <f>'PF calculator'!E29</f>
        <v>2</v>
      </c>
      <c r="F29" s="975"/>
      <c r="G29" s="395"/>
      <c r="H29" s="970" t="s">
        <v>342</v>
      </c>
      <c r="I29" s="970"/>
      <c r="J29" s="971"/>
      <c r="K29" s="1008">
        <f>'PF calculator'!K29</f>
        <v>4</v>
      </c>
      <c r="L29" s="1009"/>
      <c r="M29" s="1008">
        <f>'PF calculator'!M29</f>
        <v>5</v>
      </c>
      <c r="N29" s="1009"/>
      <c r="O29" s="1008">
        <f>'PF calculator'!O29</f>
        <v>6</v>
      </c>
      <c r="P29" s="1009"/>
      <c r="Q29" s="1005">
        <f>'PF calculator'!Q29</f>
        <v>0</v>
      </c>
      <c r="R29" s="1006"/>
      <c r="S29" s="1007"/>
      <c r="T29" s="439"/>
      <c r="U29" s="77"/>
      <c r="V29" s="77"/>
    </row>
    <row r="30" spans="1:22" s="1" customFormat="1" ht="18.75" customHeight="1" thickBot="1" x14ac:dyDescent="0.25">
      <c r="A30" s="4"/>
      <c r="B30" s="970" t="s">
        <v>339</v>
      </c>
      <c r="C30" s="970"/>
      <c r="D30" s="988"/>
      <c r="E30" s="974">
        <f>'PF calculator'!E30</f>
        <v>3</v>
      </c>
      <c r="F30" s="975"/>
      <c r="G30" s="395"/>
      <c r="H30" s="970" t="s">
        <v>343</v>
      </c>
      <c r="I30" s="970"/>
      <c r="J30" s="971"/>
      <c r="K30" s="1008">
        <f>'PF calculator'!K30</f>
        <v>7</v>
      </c>
      <c r="L30" s="1009"/>
      <c r="M30" s="1008">
        <f>'PF calculator'!M30</f>
        <v>8</v>
      </c>
      <c r="N30" s="1009"/>
      <c r="O30" s="1008">
        <f>'PF calculator'!O30</f>
        <v>9</v>
      </c>
      <c r="P30" s="1009"/>
      <c r="Q30" s="1005">
        <f>'PF calculator'!Q30</f>
        <v>0</v>
      </c>
      <c r="R30" s="1006"/>
      <c r="S30" s="1007"/>
      <c r="T30" s="440"/>
      <c r="U30" s="77"/>
      <c r="V30" s="77"/>
    </row>
    <row r="31" spans="1:22" s="1" customFormat="1" ht="18.75" customHeight="1" thickBot="1" x14ac:dyDescent="0.25">
      <c r="A31" s="4"/>
      <c r="B31" s="970" t="s">
        <v>69</v>
      </c>
      <c r="C31" s="970"/>
      <c r="D31" s="988"/>
      <c r="E31" s="996">
        <f>SUM(E28:E30)</f>
        <v>6</v>
      </c>
      <c r="F31" s="997"/>
      <c r="G31" s="395"/>
      <c r="H31" s="970" t="s">
        <v>344</v>
      </c>
      <c r="I31" s="970"/>
      <c r="J31" s="971"/>
      <c r="K31" s="1008">
        <f>'PF calculator'!K31</f>
        <v>10</v>
      </c>
      <c r="L31" s="1009"/>
      <c r="M31" s="1008">
        <f>'PF calculator'!M31</f>
        <v>11</v>
      </c>
      <c r="N31" s="1009"/>
      <c r="O31" s="1008">
        <f>'PF calculator'!O31</f>
        <v>12</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22</v>
      </c>
      <c r="L32" s="1004"/>
      <c r="M32" s="1003">
        <f>SUM(M28:N31)</f>
        <v>26</v>
      </c>
      <c r="N32" s="1004"/>
      <c r="O32" s="1003">
        <f>SUM(O28:P31)</f>
        <v>30</v>
      </c>
      <c r="P32" s="1004"/>
      <c r="Q32" s="395"/>
      <c r="R32" s="395"/>
      <c r="S32" s="395"/>
      <c r="T32" s="440"/>
      <c r="U32" s="77"/>
      <c r="V32" s="77"/>
    </row>
    <row r="33" spans="1:22" s="1" customFormat="1" ht="18.75" customHeight="1" thickBot="1" x14ac:dyDescent="0.25">
      <c r="A33" s="4"/>
      <c r="B33" s="970" t="s">
        <v>147</v>
      </c>
      <c r="C33" s="970"/>
      <c r="D33" s="988"/>
      <c r="E33" s="996">
        <f>SUM(E31:F32)</f>
        <v>10</v>
      </c>
      <c r="F33" s="997"/>
      <c r="G33" s="395"/>
      <c r="H33" s="970" t="s">
        <v>71</v>
      </c>
      <c r="I33" s="970"/>
      <c r="J33" s="988"/>
      <c r="K33" s="998">
        <f>IF(D11="Environment Agency",K32+M32+O32,K32+M32)</f>
        <v>78</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INT('PF calculator'!E38*0.75)</f>
        <v>75</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10</v>
      </c>
      <c r="H46" s="414">
        <f>'PF calculator'!H46</f>
        <v>11</v>
      </c>
      <c r="I46" s="414">
        <f>'PF calculator'!I46</f>
        <v>12</v>
      </c>
      <c r="J46" s="414">
        <f>'PF calculator'!J46</f>
        <v>13</v>
      </c>
      <c r="K46" s="395"/>
      <c r="L46" s="415">
        <f>IF(SUM(G46:J46)&lt;SUM(F51:J51),"n/a",F51)</f>
        <v>1</v>
      </c>
      <c r="M46" s="415">
        <f>IF(SUM(G46:J46)&lt;SUM(F51:J51),"n/a",G51-G46)</f>
        <v>-8</v>
      </c>
      <c r="N46" s="415">
        <f>IF(SUM(G46:J46)&lt;SUM(F51:J51),"n/a",H51-H46)</f>
        <v>-8</v>
      </c>
      <c r="O46" s="415">
        <f>IF(SUM(G46:J46)&lt;SUM(F51:J51),"n/a",I51-I46)</f>
        <v>-8</v>
      </c>
      <c r="P46" s="415">
        <f>IF(SUM(G46:J46)&lt;SUM(F51:J51),"n/a",J51-J46)</f>
        <v>-12</v>
      </c>
      <c r="Q46" s="395"/>
      <c r="R46" s="974">
        <f>-(SUMPRODUCT($M$46:$P$46,$M$52:$P$52))*(VLOOKUP($E$38,'Policy assumptions and formulae'!A10:D109,4,FALSE))</f>
        <v>840656.96494289732</v>
      </c>
      <c r="S46" s="985"/>
      <c r="T46" s="440"/>
      <c r="U46" s="77"/>
      <c r="V46" s="77"/>
    </row>
    <row r="47" spans="1:22" s="1" customFormat="1" ht="18.75" customHeight="1" thickBot="1" x14ac:dyDescent="0.25">
      <c r="A47" s="14"/>
      <c r="B47" s="970" t="s">
        <v>349</v>
      </c>
      <c r="C47" s="970"/>
      <c r="D47" s="970"/>
      <c r="E47" s="971"/>
      <c r="F47" s="413"/>
      <c r="G47" s="414">
        <f>'PF calculator'!G47</f>
        <v>20</v>
      </c>
      <c r="H47" s="414">
        <f>'PF calculator'!H47</f>
        <v>21</v>
      </c>
      <c r="I47" s="414">
        <f>'PF calculator'!I47</f>
        <v>22</v>
      </c>
      <c r="J47" s="414">
        <f>'PF calculator'!J47</f>
        <v>23</v>
      </c>
      <c r="K47" s="395"/>
      <c r="L47" s="415">
        <f>IF(SUM(G47:J47)&lt;SUM(F52:J52),"n/a",F52)</f>
        <v>10</v>
      </c>
      <c r="M47" s="415">
        <f>IF(SUM(G47:J47)&lt;SUM(F52:J52),"n/a",G52-G47)</f>
        <v>-9</v>
      </c>
      <c r="N47" s="415">
        <f>IF(SUM(G47:J47)&lt;SUM(F52:J52),"n/a",H52-H47)</f>
        <v>-9</v>
      </c>
      <c r="O47" s="415">
        <f>IF(SUM(G47:J47)&lt;SUM(F52:J52),"n/a",I52-I47)</f>
        <v>-9</v>
      </c>
      <c r="P47" s="415">
        <f>IF(SUM(G47:J47)&lt;SUM(F52:J52),"n/a",J52-J47)</f>
        <v>-22</v>
      </c>
      <c r="Q47" s="395"/>
      <c r="R47" s="974">
        <f>-(SUMPRODUCT($M$47:$P$47,$M$52:$P$52))*(VLOOKUP($E$38,'Policy assumptions and formulae'!A10:D109,4,FALSE))</f>
        <v>1325524.0726757101</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f>IF(SUM(G48:J48)&lt;SUM(F53:J53),"n/a",F53)</f>
        <v>20</v>
      </c>
      <c r="M48" s="415">
        <f>IF(SUM(G48:J48)&lt;SUM(F53:J53),"n/a",G53-G48)</f>
        <v>-9</v>
      </c>
      <c r="N48" s="415">
        <f>IF(SUM(G48:J48)&lt;SUM(F53:J53),"n/a",H53-H48)</f>
        <v>-9</v>
      </c>
      <c r="O48" s="415">
        <f>IF(SUM(G48:J48)&lt;SUM(F53:J53),"n/a",I53-I48)</f>
        <v>-9</v>
      </c>
      <c r="P48" s="415">
        <f>IF(SUM(G48:J48)&lt;SUM(F53:J53),"n/a",J53-J48)</f>
        <v>-32</v>
      </c>
      <c r="Q48" s="395"/>
      <c r="R48" s="974">
        <f>-(SUMPRODUCT($M$48:$P$48,$M$52:$P$52))*(VLOOKUP($E$38,'Policy assumptions and formulae'!A10:D109,4,FALSE))</f>
        <v>1772329.9398697696</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1</v>
      </c>
      <c r="G51" s="414">
        <f>'PF calculator'!G51</f>
        <v>2</v>
      </c>
      <c r="H51" s="414">
        <f>'PF calculator'!H51</f>
        <v>3</v>
      </c>
      <c r="I51" s="414">
        <f>'PF calculator'!I51</f>
        <v>4</v>
      </c>
      <c r="J51" s="414">
        <f>'PF calculator'!J51</f>
        <v>1</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10</v>
      </c>
      <c r="G52" s="414">
        <f>'PF calculator'!G52</f>
        <v>11</v>
      </c>
      <c r="H52" s="414">
        <f>'PF calculator'!H52</f>
        <v>12</v>
      </c>
      <c r="I52" s="414">
        <f>'PF calculator'!I52</f>
        <v>13</v>
      </c>
      <c r="J52" s="414">
        <f>'PF calculator'!J52</f>
        <v>1</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20</v>
      </c>
      <c r="G53" s="414">
        <f>'PF calculator'!G53</f>
        <v>21</v>
      </c>
      <c r="H53" s="414">
        <f>'PF calculator'!H53</f>
        <v>22</v>
      </c>
      <c r="I53" s="414">
        <f>'PF calculator'!I53</f>
        <v>23</v>
      </c>
      <c r="J53" s="414">
        <f>'PF calculator'!J53</f>
        <v>1</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t="str">
        <f>IF($E$58+$E$38&lt;2041,"Ltd by DoB",(-SUMPRODUCT($M$61:$P$61,$M$67:$P$67)*VLOOKUP($E$38,'Policy assumptions and formulae'!$A$10:$D$109,4,FALSE))-(-SUMPRODUCT($M$61:$P$61,$M$67:$P$67)*VLOOKUP((2040-$E$58),'Policy assumptions and formulae'!$A$10:$D$109,4,FALSE)))</f>
        <v>Ltd by DoB</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t="str">
        <f>IF($E$58+$E$38&lt;2041,"Ltd by DoB",(-SUMPRODUCT($M$62:$P$62,$M$67:$P$67)*VLOOKUP($E$38,'Policy assumptions and formulae'!$A$10:$D$109,4,FALSE))-(-SUMPRODUCT($M$62:$P$62,$M$67:$P$67)*VLOOKUP((2040-$E$58),'Policy assumptions and formulae'!$A$10:$D$109,4,FALSE)))</f>
        <v>Ltd by DoB</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74" t="str">
        <f>IF($E$58+$E$38&lt;2041,"Ltd by DoB",(-SUMPRODUCT($M$63:$P$63,$M$67:$P$67)*VLOOKUP($E$38,'Policy assumptions and formulae'!$A$10:$D$109,4,FALSE))-(-SUMPRODUCT($M$63:$P$63,$M$67:$P$67)*VLOOKUP((2040-$E$58),'Policy assumptions and formulae'!$A$10:$D$109,4,FALSE)))</f>
        <v>Ltd by DoB</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1</v>
      </c>
      <c r="G74" s="414">
        <f>'PF calculator'!G74</f>
        <v>2</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229978.65890233696</v>
      </c>
      <c r="S74" s="975"/>
      <c r="T74" s="440"/>
      <c r="U74" s="77"/>
      <c r="V74" s="77"/>
    </row>
    <row r="75" spans="1:22" s="1" customFormat="1" ht="18.75" customHeight="1" thickBot="1" x14ac:dyDescent="0.2">
      <c r="A75" s="4"/>
      <c r="B75" s="970" t="s">
        <v>349</v>
      </c>
      <c r="C75" s="970"/>
      <c r="D75" s="970"/>
      <c r="E75" s="971"/>
      <c r="F75" s="414">
        <f>'PF calculator'!F75</f>
        <v>3</v>
      </c>
      <c r="G75" s="414">
        <f>'PF calculator'!G75</f>
        <v>4</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497687.21075845993</v>
      </c>
      <c r="S75" s="975"/>
      <c r="T75" s="440"/>
      <c r="U75" s="77"/>
      <c r="V75" s="77"/>
    </row>
    <row r="76" spans="1:22" s="1" customFormat="1" ht="18.75" customHeight="1" thickBot="1" x14ac:dyDescent="0.2">
      <c r="A76" s="4"/>
      <c r="B76" s="970" t="s">
        <v>350</v>
      </c>
      <c r="C76" s="970"/>
      <c r="D76" s="970"/>
      <c r="E76" s="971"/>
      <c r="F76" s="414">
        <f>'PF calculator'!F76</f>
        <v>5</v>
      </c>
      <c r="G76" s="414">
        <f>'PF calculator'!G76</f>
        <v>6</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765395.7626145829</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9</v>
      </c>
      <c r="E83" s="426">
        <f>'PF calculator'!E83</f>
        <v>8</v>
      </c>
      <c r="F83" s="426">
        <f>'PF calculator'!F83</f>
        <v>7</v>
      </c>
      <c r="G83" s="961"/>
      <c r="H83" s="426">
        <f>'PF calculator'!H83</f>
        <v>6</v>
      </c>
      <c r="I83" s="426">
        <f>'PF calculator'!I83</f>
        <v>5</v>
      </c>
      <c r="J83" s="426">
        <f>'PF calculator'!J83</f>
        <v>4</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-1623521.224705138</v>
      </c>
      <c r="M83" s="932"/>
      <c r="N83" s="391"/>
      <c r="O83" s="423"/>
      <c r="P83" s="379" t="s">
        <v>379</v>
      </c>
      <c r="Q83" s="328"/>
      <c r="R83" s="967" t="s">
        <v>74</v>
      </c>
      <c r="S83" s="967"/>
      <c r="T83" s="439"/>
    </row>
    <row r="84" spans="1:22" ht="18.75" customHeight="1" thickBot="1" x14ac:dyDescent="0.25">
      <c r="A84" s="5"/>
      <c r="B84" s="957" t="s">
        <v>106</v>
      </c>
      <c r="C84" s="958"/>
      <c r="D84" s="426">
        <f>'PF calculator'!D84</f>
        <v>10</v>
      </c>
      <c r="E84" s="426">
        <f>'PF calculator'!E84</f>
        <v>9</v>
      </c>
      <c r="F84" s="426">
        <f>'PF calculator'!F84</f>
        <v>8</v>
      </c>
      <c r="G84" s="961"/>
      <c r="H84" s="426">
        <f>'PF calculator'!H84</f>
        <v>7</v>
      </c>
      <c r="I84" s="426">
        <f>'PF calculator'!I84</f>
        <v>6</v>
      </c>
      <c r="J84" s="426">
        <f>'PF calculator'!J84</f>
        <v>5</v>
      </c>
      <c r="K84" s="962"/>
      <c r="L84" s="931">
        <f>(((H84-D84)*'Policy assumptions and formulae'!AR13)+((I84-E84)*'Policy assumptions and formulae'!AS13)+((J84-F84)*'Policy assumptions and formulae'!AT13))*VLOOKUP($E$38,'Policy assumptions and formulae'!$A$10:$D$109,4,FALSE)</f>
        <v>-927364.77440277894</v>
      </c>
      <c r="M84" s="932"/>
      <c r="N84" s="968" t="s">
        <v>380</v>
      </c>
      <c r="O84" s="969"/>
      <c r="P84" s="427">
        <f>'PF calculator'!P84</f>
        <v>5</v>
      </c>
      <c r="Q84" s="328"/>
      <c r="R84" s="953">
        <f>(P84*'Policy assumptions and formulae'!AT23)*VLOOKUP($E$38,'Policy assumptions and formulae'!$A$10:$D$109,4,FALSE)</f>
        <v>1856417.2008062908</v>
      </c>
      <c r="S84" s="954"/>
      <c r="T84" s="439"/>
    </row>
    <row r="85" spans="1:22" ht="18.75" customHeight="1" thickBot="1" x14ac:dyDescent="0.25">
      <c r="A85" s="5"/>
      <c r="B85" s="957" t="s">
        <v>55</v>
      </c>
      <c r="C85" s="958"/>
      <c r="D85" s="426">
        <f>'PF calculator'!D85</f>
        <v>11</v>
      </c>
      <c r="E85" s="426">
        <f>'PF calculator'!E85</f>
        <v>10</v>
      </c>
      <c r="F85" s="426">
        <f>'PF calculator'!F85</f>
        <v>9</v>
      </c>
      <c r="G85" s="961"/>
      <c r="H85" s="426">
        <f>'PF calculator'!H85</f>
        <v>8</v>
      </c>
      <c r="I85" s="426">
        <f>'PF calculator'!I85</f>
        <v>7</v>
      </c>
      <c r="J85" s="426">
        <f>'PF calculator'!J85</f>
        <v>6</v>
      </c>
      <c r="K85" s="962"/>
      <c r="L85" s="931">
        <f>(((H85-D85)*'Policy assumptions and formulae'!AR14)+((I85-E85)*'Policy assumptions and formulae'!AS14)+((J85-F85)*'Policy assumptions and formulae'!AT14))*VLOOKUP($E$38,'Policy assumptions and formulae'!$A$10:$D$109,4,FALSE)</f>
        <v>-927364.77440277894</v>
      </c>
      <c r="M85" s="932"/>
      <c r="N85" s="968" t="s">
        <v>381</v>
      </c>
      <c r="O85" s="969"/>
      <c r="P85" s="427">
        <f>'PF calculator'!P85</f>
        <v>6</v>
      </c>
      <c r="Q85" s="328"/>
      <c r="R85" s="953">
        <f>(P85*'Policy assumptions and formulae'!AT24)*VLOOKUP($E$38,'Policy assumptions and formulae'!$A$10:$D$109,4,FALSE)</f>
        <v>1113850.3204837744</v>
      </c>
      <c r="S85" s="954"/>
      <c r="T85" s="439"/>
    </row>
    <row r="86" spans="1:22" ht="18.75" customHeight="1" thickBot="1" x14ac:dyDescent="0.25">
      <c r="A86" s="5"/>
      <c r="B86" s="957" t="s">
        <v>107</v>
      </c>
      <c r="C86" s="958"/>
      <c r="D86" s="426">
        <f>'PF calculator'!D86</f>
        <v>12</v>
      </c>
      <c r="E86" s="426">
        <f>'PF calculator'!E86</f>
        <v>11</v>
      </c>
      <c r="F86" s="426">
        <f>'PF calculator'!F86</f>
        <v>10</v>
      </c>
      <c r="G86" s="961"/>
      <c r="H86" s="426">
        <f>'PF calculator'!H86</f>
        <v>9</v>
      </c>
      <c r="I86" s="426">
        <f>'PF calculator'!I86</f>
        <v>8</v>
      </c>
      <c r="J86" s="426">
        <f>'PF calculator'!J86</f>
        <v>7</v>
      </c>
      <c r="K86" s="962"/>
      <c r="L86" s="931">
        <f>(((H86-D86)*'Policy assumptions and formulae'!AR15)+((I86-E86)*'Policy assumptions and formulae'!AS15)+((J86-F86)*'Policy assumptions and formulae'!AT15))*VLOOKUP($E$38,'Policy assumptions and formulae'!$A$10:$D$109,4,FALSE)</f>
        <v>-516421.51222429541</v>
      </c>
      <c r="M86" s="932"/>
      <c r="N86" s="963" t="s">
        <v>352</v>
      </c>
      <c r="O86" s="964"/>
      <c r="P86" s="427">
        <f>'PF calculator'!P86</f>
        <v>7</v>
      </c>
      <c r="Q86" s="328"/>
      <c r="R86" s="953">
        <f>(P86*'Policy assumptions and formulae'!AT25)*VLOOKUP($E$38,'Policy assumptions and formulae'!$A$10:$D$109,4,FALSE)</f>
        <v>649746.02028220182</v>
      </c>
      <c r="S86" s="954"/>
      <c r="T86" s="439"/>
    </row>
    <row r="87" spans="1:22" ht="18.75" customHeight="1" thickBot="1" x14ac:dyDescent="0.25">
      <c r="A87" s="5"/>
      <c r="B87" s="957" t="s">
        <v>108</v>
      </c>
      <c r="C87" s="958"/>
      <c r="D87" s="426">
        <f>'PF calculator'!D87</f>
        <v>13</v>
      </c>
      <c r="E87" s="426">
        <f>'PF calculator'!E87</f>
        <v>12</v>
      </c>
      <c r="F87" s="426">
        <f>'PF calculator'!F87</f>
        <v>11</v>
      </c>
      <c r="G87" s="961"/>
      <c r="H87" s="426">
        <f>'PF calculator'!H87</f>
        <v>10</v>
      </c>
      <c r="I87" s="426">
        <f>'PF calculator'!I87</f>
        <v>9</v>
      </c>
      <c r="J87" s="426">
        <f>'PF calculator'!J87</f>
        <v>8</v>
      </c>
      <c r="K87" s="962"/>
      <c r="L87" s="931">
        <f>(((H87-D87)*'Policy assumptions and formulae'!AR16)+((I87-E87)*'Policy assumptions and formulae'!AS16)+((J87-F87)*'Policy assumptions and formulae'!AT16))*VLOOKUP($E$38,'Policy assumptions and formulae'!$A$10:$D$109,4,FALSE)</f>
        <v>-55692.516024188721</v>
      </c>
      <c r="M87" s="932"/>
      <c r="N87" s="963"/>
      <c r="O87" s="964"/>
      <c r="P87" s="329"/>
      <c r="Q87" s="328"/>
      <c r="R87" s="330"/>
      <c r="S87" s="330"/>
      <c r="T87" s="439"/>
    </row>
    <row r="88" spans="1:22" ht="18.75" customHeight="1" thickBot="1" x14ac:dyDescent="0.25">
      <c r="A88" s="5"/>
      <c r="B88" s="957" t="s">
        <v>329</v>
      </c>
      <c r="C88" s="958"/>
      <c r="D88" s="426">
        <f>'PF calculator'!D88</f>
        <v>14</v>
      </c>
      <c r="E88" s="426">
        <f>'PF calculator'!E88</f>
        <v>13</v>
      </c>
      <c r="F88" s="426">
        <f>'PF calculator'!F88</f>
        <v>12</v>
      </c>
      <c r="G88" s="961"/>
      <c r="H88" s="426">
        <f>'PF calculator'!H88</f>
        <v>11</v>
      </c>
      <c r="I88" s="426">
        <f>'PF calculator'!I88</f>
        <v>10</v>
      </c>
      <c r="J88" s="426">
        <f>'PF calculator'!J88</f>
        <v>9</v>
      </c>
      <c r="K88" s="962"/>
      <c r="L88" s="931">
        <f>(((H88-D88)*'Policy assumptions and formulae'!AR17)+((I88-E88)*'Policy assumptions and formulae'!AS17)+((J88-F88)*'Policy assumptions and formulae'!AT17))*VLOOKUP($E$38,'Policy assumptions and formulae'!$A$10:$D$109,4,FALSE)</f>
        <v>-355250.74615429476</v>
      </c>
      <c r="M88" s="932"/>
      <c r="N88" s="391"/>
      <c r="O88" s="391"/>
      <c r="P88" s="391"/>
      <c r="Q88" s="391"/>
      <c r="R88" s="391"/>
      <c r="S88" s="391"/>
      <c r="T88" s="439"/>
    </row>
    <row r="89" spans="1:22" ht="18.75" customHeight="1" thickBot="1" x14ac:dyDescent="0.25">
      <c r="A89" s="5"/>
      <c r="B89" s="957" t="s">
        <v>109</v>
      </c>
      <c r="C89" s="958"/>
      <c r="D89" s="426">
        <f>'PF calculator'!D89</f>
        <v>15</v>
      </c>
      <c r="E89" s="426">
        <f>'PF calculator'!E89</f>
        <v>14</v>
      </c>
      <c r="F89" s="426">
        <f>'PF calculator'!F89</f>
        <v>13</v>
      </c>
      <c r="G89" s="961"/>
      <c r="H89" s="426">
        <f>'PF calculator'!H89</f>
        <v>12</v>
      </c>
      <c r="I89" s="426">
        <f>'PF calculator'!I89</f>
        <v>11</v>
      </c>
      <c r="J89" s="426">
        <f>'PF calculator'!J89</f>
        <v>10</v>
      </c>
      <c r="K89" s="962"/>
      <c r="L89" s="931">
        <f>(((H89-D89)*'Policy assumptions and formulae'!AR18)+((I89-E89)*'Policy assumptions and formulae'!AS18)+((J89-F89)*'Policy assumptions and formulae'!AT18))*VLOOKUP($E$38,'Policy assumptions and formulae'!$A$10:$D$109,4,FALSE)</f>
        <v>-516421.51222429541</v>
      </c>
      <c r="M89" s="932"/>
      <c r="N89" s="428"/>
      <c r="O89" s="428"/>
      <c r="P89" s="331"/>
      <c r="Q89" s="328"/>
      <c r="R89" s="332"/>
      <c r="S89" s="332"/>
      <c r="T89" s="439"/>
    </row>
    <row r="90" spans="1:22" ht="18.75" customHeight="1" thickBot="1" x14ac:dyDescent="0.25">
      <c r="A90" s="5"/>
      <c r="B90" s="957" t="s">
        <v>110</v>
      </c>
      <c r="C90" s="958"/>
      <c r="D90" s="426">
        <f>'PF calculator'!D90</f>
        <v>16</v>
      </c>
      <c r="E90" s="426">
        <f>'PF calculator'!E90</f>
        <v>15</v>
      </c>
      <c r="F90" s="426">
        <f>'PF calculator'!F90</f>
        <v>14</v>
      </c>
      <c r="G90" s="961"/>
      <c r="H90" s="426">
        <f>'PF calculator'!H90</f>
        <v>13</v>
      </c>
      <c r="I90" s="426">
        <f>'PF calculator'!I90</f>
        <v>12</v>
      </c>
      <c r="J90" s="426">
        <f>'PF calculator'!J90</f>
        <v>11</v>
      </c>
      <c r="K90" s="962"/>
      <c r="L90" s="931">
        <f>(((H90-D90)*'Policy assumptions and formulae'!AR19)+((I90-E90)*'Policy assumptions and formulae'!AS19)+((J90-F90)*'Policy assumptions and formulae'!AT19))*VLOOKUP($E$38,'Policy assumptions and formulae'!$A$10:$D$109,4,FALSE)</f>
        <v>-11813.564005130942</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100</v>
      </c>
      <c r="E96" s="956"/>
      <c r="F96" s="945">
        <f>'PF calculator'!G96</f>
        <v>20</v>
      </c>
      <c r="G96" s="946"/>
      <c r="H96" s="943">
        <f t="shared" ref="H96:H102" si="0">D96*(F96/100)</f>
        <v>20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840656.96494289732</v>
      </c>
      <c r="E97" s="944"/>
      <c r="F97" s="945">
        <f>'PF calculator'!G97</f>
        <v>45</v>
      </c>
      <c r="G97" s="946"/>
      <c r="H97" s="943">
        <f t="shared" si="0"/>
        <v>378295.63422430382</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1325524.0726757101</v>
      </c>
      <c r="E98" s="944"/>
      <c r="F98" s="945">
        <f>'PF calculator'!G98</f>
        <v>30</v>
      </c>
      <c r="G98" s="946"/>
      <c r="H98" s="943">
        <f t="shared" si="0"/>
        <v>397657.221802713</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1772329.9398697696</v>
      </c>
      <c r="E99" s="944"/>
      <c r="F99" s="945">
        <f>'PF calculator'!G99</f>
        <v>20</v>
      </c>
      <c r="G99" s="946"/>
      <c r="H99" s="943">
        <f t="shared" si="0"/>
        <v>354465.98797395395</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229978.65890233696</v>
      </c>
      <c r="E100" s="944"/>
      <c r="F100" s="945">
        <f>'PF calculator'!G100</f>
        <v>45</v>
      </c>
      <c r="G100" s="946"/>
      <c r="H100" s="943">
        <f t="shared" si="0"/>
        <v>103490.39650605163</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497687.21075845993</v>
      </c>
      <c r="E101" s="944"/>
      <c r="F101" s="945">
        <f>'PF calculator'!G101</f>
        <v>30</v>
      </c>
      <c r="G101" s="946"/>
      <c r="H101" s="943">
        <f t="shared" si="0"/>
        <v>149306.16322753797</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765395.7626145829</v>
      </c>
      <c r="E102" s="944"/>
      <c r="F102" s="945">
        <f>'PF calculator'!G102</f>
        <v>20</v>
      </c>
      <c r="G102" s="946"/>
      <c r="H102" s="943">
        <f t="shared" si="0"/>
        <v>153079.15252291659</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str">
        <f>IF(SUM(L83:M90)&lt;0,"Ltd by negative OM4 values",SUM(L83:M90))</f>
        <v>Ltd by negative OM4 values</v>
      </c>
      <c r="E103" s="1063"/>
      <c r="F103" s="945">
        <f>'PF calculator'!G103</f>
        <v>20</v>
      </c>
      <c r="G103" s="946"/>
      <c r="H103" s="943">
        <f>IF(D103="Ltd by negative OM4 values",0,D103*(F103/100))</f>
        <v>0</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3620013.5415722672</v>
      </c>
      <c r="E104" s="950"/>
      <c r="F104" s="945">
        <f>'PF calculator'!G104</f>
        <v>20</v>
      </c>
      <c r="G104" s="946"/>
      <c r="H104" s="943">
        <f>D104*(F104/100)</f>
        <v>724002.70831445348</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9051686.1513360236</v>
      </c>
      <c r="E105" s="943"/>
      <c r="F105" s="1059" t="str">
        <f>'PF calculator'!F105:G105</f>
        <v>pv max. eligible GiA</v>
      </c>
      <c r="G105" s="1060"/>
      <c r="H105" s="1061">
        <f>SUM(H95:I104)</f>
        <v>2260317.2645719303</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f>'PF calculator'!D8</f>
        <v>0</v>
      </c>
      <c r="E8" s="1022"/>
      <c r="F8" s="1023"/>
      <c r="G8" s="396"/>
      <c r="H8" s="395"/>
      <c r="I8" s="395"/>
      <c r="J8" s="395"/>
      <c r="K8" s="970" t="s">
        <v>335</v>
      </c>
      <c r="L8" s="988"/>
      <c r="M8" s="1021">
        <f>'PF calculator'!M8</f>
        <v>1</v>
      </c>
      <c r="N8" s="1023"/>
      <c r="O8" s="1024" t="str">
        <f>'PF calculator'!O8:Q8</f>
        <v>Project benefit to cost ratio:</v>
      </c>
      <c r="P8" s="1025"/>
      <c r="Q8" s="1026"/>
      <c r="R8" s="397">
        <f>$E$39/$E$33</f>
        <v>10</v>
      </c>
      <c r="S8" s="398" t="s">
        <v>15</v>
      </c>
      <c r="T8" s="440"/>
      <c r="U8" s="77"/>
      <c r="V8" s="77"/>
    </row>
    <row r="9" spans="1:22" s="1" customFormat="1" ht="18.75" customHeight="1" thickBot="1" x14ac:dyDescent="0.25">
      <c r="A9" s="4"/>
      <c r="B9" s="970" t="s">
        <v>354</v>
      </c>
      <c r="C9" s="970"/>
      <c r="D9" s="1029">
        <f>'PF calculator'!D9</f>
        <v>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25">
      <c r="A10" s="4"/>
      <c r="B10" s="970" t="s">
        <v>332</v>
      </c>
      <c r="C10" s="988"/>
      <c r="D10" s="1034">
        <f>'PF calculator'!D10</f>
        <v>0</v>
      </c>
      <c r="E10" s="1035"/>
      <c r="F10" s="1035"/>
      <c r="G10" s="1035"/>
      <c r="H10" s="1035"/>
      <c r="I10" s="1036"/>
      <c r="J10" s="394"/>
      <c r="K10" s="395"/>
      <c r="L10" s="395"/>
      <c r="M10" s="395"/>
      <c r="N10" s="395"/>
      <c r="O10" s="1032" t="s">
        <v>129</v>
      </c>
      <c r="P10" s="1032"/>
      <c r="Q10" s="1033"/>
      <c r="R10" s="397">
        <f>IF($K$33&gt;0,$E$39/$K$33,"n/a")</f>
        <v>1.2820512820512822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BCR","n/a",0.45*$E$23/MAX($E$33,$E$31))</f>
        <v>107991.29842382701</v>
      </c>
      <c r="F19" s="1020"/>
      <c r="G19" s="395"/>
      <c r="H19" s="977" t="s">
        <v>65</v>
      </c>
      <c r="I19" s="977"/>
      <c r="J19" s="986"/>
      <c r="K19" s="1019">
        <f>IF(E23="low BCR","n/a",IF(E17="Yes",IF(D11="Environment Agency",E23/MAX(MAX(E33,E31)-K33,1),E19+K33/E31),IF(D11="Environment Agency",E23*0.45/MAX(MAX(E33,E31)-K33,1),E19+K33/E31)))</f>
        <v>1079912.9842382702</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2399806.6316406005</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v>
      </c>
      <c r="F28" s="975"/>
      <c r="G28" s="395"/>
      <c r="H28" s="970" t="s">
        <v>341</v>
      </c>
      <c r="I28" s="970"/>
      <c r="J28" s="971"/>
      <c r="K28" s="1008">
        <f>'PF calculator'!K28</f>
        <v>1</v>
      </c>
      <c r="L28" s="1009"/>
      <c r="M28" s="1008">
        <f>'PF calculator'!M28</f>
        <v>2</v>
      </c>
      <c r="N28" s="1009"/>
      <c r="O28" s="1008">
        <f>'PF calculator'!O28</f>
        <v>3</v>
      </c>
      <c r="P28" s="1009"/>
      <c r="Q28" s="1010" t="s">
        <v>102</v>
      </c>
      <c r="R28" s="1010"/>
      <c r="S28" s="1010"/>
      <c r="T28" s="439"/>
      <c r="U28" s="77"/>
      <c r="V28" s="77"/>
    </row>
    <row r="29" spans="1:22" s="1" customFormat="1" ht="18.75" customHeight="1" thickBot="1" x14ac:dyDescent="0.25">
      <c r="A29" s="4"/>
      <c r="B29" s="970" t="s">
        <v>338</v>
      </c>
      <c r="C29" s="970"/>
      <c r="D29" s="988"/>
      <c r="E29" s="974">
        <f>'PF calculator'!E29</f>
        <v>2</v>
      </c>
      <c r="F29" s="975"/>
      <c r="G29" s="395"/>
      <c r="H29" s="970" t="s">
        <v>342</v>
      </c>
      <c r="I29" s="970"/>
      <c r="J29" s="971"/>
      <c r="K29" s="1008">
        <f>'PF calculator'!K29</f>
        <v>4</v>
      </c>
      <c r="L29" s="1009"/>
      <c r="M29" s="1008">
        <f>'PF calculator'!M29</f>
        <v>5</v>
      </c>
      <c r="N29" s="1009"/>
      <c r="O29" s="1008">
        <f>'PF calculator'!O29</f>
        <v>6</v>
      </c>
      <c r="P29" s="1009"/>
      <c r="Q29" s="1005">
        <f>'PF calculator'!Q29</f>
        <v>0</v>
      </c>
      <c r="R29" s="1006"/>
      <c r="S29" s="1007"/>
      <c r="T29" s="439"/>
      <c r="U29" s="77"/>
      <c r="V29" s="77"/>
    </row>
    <row r="30" spans="1:22" s="1" customFormat="1" ht="18.75" customHeight="1" thickBot="1" x14ac:dyDescent="0.25">
      <c r="A30" s="4"/>
      <c r="B30" s="970" t="s">
        <v>339</v>
      </c>
      <c r="C30" s="970"/>
      <c r="D30" s="988"/>
      <c r="E30" s="974">
        <f>'PF calculator'!E30</f>
        <v>3</v>
      </c>
      <c r="F30" s="975"/>
      <c r="G30" s="395"/>
      <c r="H30" s="970" t="s">
        <v>343</v>
      </c>
      <c r="I30" s="970"/>
      <c r="J30" s="971"/>
      <c r="K30" s="1008">
        <f>'PF calculator'!K30</f>
        <v>7</v>
      </c>
      <c r="L30" s="1009"/>
      <c r="M30" s="1008">
        <f>'PF calculator'!M30</f>
        <v>8</v>
      </c>
      <c r="N30" s="1009"/>
      <c r="O30" s="1008">
        <f>'PF calculator'!O30</f>
        <v>9</v>
      </c>
      <c r="P30" s="1009"/>
      <c r="Q30" s="1005">
        <f>'PF calculator'!Q30</f>
        <v>0</v>
      </c>
      <c r="R30" s="1006"/>
      <c r="S30" s="1007"/>
      <c r="T30" s="440"/>
      <c r="U30" s="77"/>
      <c r="V30" s="77"/>
    </row>
    <row r="31" spans="1:22" s="1" customFormat="1" ht="18.75" customHeight="1" thickBot="1" x14ac:dyDescent="0.25">
      <c r="A31" s="4"/>
      <c r="B31" s="970" t="s">
        <v>69</v>
      </c>
      <c r="C31" s="970"/>
      <c r="D31" s="988"/>
      <c r="E31" s="996">
        <f>SUM(E28:E30)</f>
        <v>6</v>
      </c>
      <c r="F31" s="997"/>
      <c r="G31" s="395"/>
      <c r="H31" s="970" t="s">
        <v>344</v>
      </c>
      <c r="I31" s="970"/>
      <c r="J31" s="971"/>
      <c r="K31" s="1008">
        <f>'PF calculator'!K31</f>
        <v>10</v>
      </c>
      <c r="L31" s="1009"/>
      <c r="M31" s="1008">
        <f>'PF calculator'!M31</f>
        <v>11</v>
      </c>
      <c r="N31" s="1009"/>
      <c r="O31" s="1008">
        <f>'PF calculator'!O31</f>
        <v>12</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22</v>
      </c>
      <c r="L32" s="1004"/>
      <c r="M32" s="1003">
        <f>SUM(M28:N31)</f>
        <v>26</v>
      </c>
      <c r="N32" s="1004"/>
      <c r="O32" s="1003">
        <f>SUM(O28:P31)</f>
        <v>30</v>
      </c>
      <c r="P32" s="1004"/>
      <c r="Q32" s="395"/>
      <c r="R32" s="395"/>
      <c r="S32" s="395"/>
      <c r="T32" s="440"/>
      <c r="U32" s="77"/>
      <c r="V32" s="77"/>
    </row>
    <row r="33" spans="1:22" s="1" customFormat="1" ht="18.75" customHeight="1" thickBot="1" x14ac:dyDescent="0.25">
      <c r="A33" s="4"/>
      <c r="B33" s="970" t="s">
        <v>147</v>
      </c>
      <c r="C33" s="970"/>
      <c r="D33" s="988"/>
      <c r="E33" s="996">
        <f>SUM(E31:F32)</f>
        <v>10</v>
      </c>
      <c r="F33" s="997"/>
      <c r="G33" s="395"/>
      <c r="H33" s="970" t="s">
        <v>71</v>
      </c>
      <c r="I33" s="970"/>
      <c r="J33" s="988"/>
      <c r="K33" s="998">
        <f>IF(D11="Environment Agency",K32+M32+O32,K32+M32)</f>
        <v>78</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100</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10</v>
      </c>
      <c r="H46" s="414">
        <f>'PF calculator'!H46</f>
        <v>11</v>
      </c>
      <c r="I46" s="414">
        <f>'PF calculator'!I46</f>
        <v>12</v>
      </c>
      <c r="J46" s="414">
        <f>'PF calculator'!J46</f>
        <v>13</v>
      </c>
      <c r="K46" s="395"/>
      <c r="L46" s="415">
        <f>IF(SUM(G46:J46)&lt;SUM(F51:J51),"n/a",F51)</f>
        <v>1</v>
      </c>
      <c r="M46" s="415">
        <f>IF(SUM(G46:J46)&lt;SUM(F51:J51),"n/a",G51-G46)</f>
        <v>-8</v>
      </c>
      <c r="N46" s="415">
        <f>IF(SUM(G46:J46)&lt;SUM(F51:J51),"n/a",H51-H46)</f>
        <v>-8</v>
      </c>
      <c r="O46" s="415">
        <f>IF(SUM(G46:J46)&lt;SUM(F51:J51),"n/a",I51-I46)</f>
        <v>-8</v>
      </c>
      <c r="P46" s="415">
        <f>IF(SUM(G46:J46)&lt;SUM(F51:J51),"n/a",J51-J46)</f>
        <v>-12</v>
      </c>
      <c r="Q46" s="395"/>
      <c r="R46" s="974">
        <f>-(SUMPRODUCT($M$46:$P$46,$M$52:$P$52))*(VLOOKUP($E$38,'Policy assumptions and formulae'!A10:D109,4,FALSE))</f>
        <v>892536.2950645315</v>
      </c>
      <c r="S46" s="985"/>
      <c r="T46" s="440"/>
      <c r="U46" s="77"/>
      <c r="V46" s="77"/>
    </row>
    <row r="47" spans="1:22" s="1" customFormat="1" ht="18.75" customHeight="1" thickBot="1" x14ac:dyDescent="0.25">
      <c r="A47" s="14"/>
      <c r="B47" s="970" t="s">
        <v>349</v>
      </c>
      <c r="C47" s="970"/>
      <c r="D47" s="970"/>
      <c r="E47" s="971"/>
      <c r="F47" s="413"/>
      <c r="G47" s="414">
        <f>'PF calculator'!G47</f>
        <v>20</v>
      </c>
      <c r="H47" s="414">
        <f>'PF calculator'!H47</f>
        <v>21</v>
      </c>
      <c r="I47" s="414">
        <f>'PF calculator'!I47</f>
        <v>22</v>
      </c>
      <c r="J47" s="414">
        <f>'PF calculator'!J47</f>
        <v>23</v>
      </c>
      <c r="K47" s="395"/>
      <c r="L47" s="415">
        <f>IF(SUM(G47:J47)&lt;SUM(F52:J52),"n/a",F52)</f>
        <v>10</v>
      </c>
      <c r="M47" s="415">
        <f>IF(SUM(G47:J47)&lt;SUM(F52:J52),"n/a",G52-G47)</f>
        <v>-9</v>
      </c>
      <c r="N47" s="415">
        <f>IF(SUM(G47:J47)&lt;SUM(F52:J52),"n/a",H52-H47)</f>
        <v>-9</v>
      </c>
      <c r="O47" s="415">
        <f>IF(SUM(G47:J47)&lt;SUM(F52:J52),"n/a",I52-I47)</f>
        <v>-9</v>
      </c>
      <c r="P47" s="415">
        <f>IF(SUM(G47:J47)&lt;SUM(F52:J52),"n/a",J52-J47)</f>
        <v>-22</v>
      </c>
      <c r="Q47" s="395"/>
      <c r="R47" s="974">
        <f>-(SUMPRODUCT($M$47:$P$47,$M$52:$P$52))*(VLOOKUP($E$38,'Policy assumptions and formulae'!A10:D109,4,FALSE))</f>
        <v>1407325.9298163184</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f>IF(SUM(G48:J48)&lt;SUM(F53:J53),"n/a",F53)</f>
        <v>20</v>
      </c>
      <c r="M48" s="415">
        <f>IF(SUM(G48:J48)&lt;SUM(F53:J53),"n/a",G53-G48)</f>
        <v>-9</v>
      </c>
      <c r="N48" s="415">
        <f>IF(SUM(G48:J48)&lt;SUM(F53:J53),"n/a",H53-H48)</f>
        <v>-9</v>
      </c>
      <c r="O48" s="415">
        <f>IF(SUM(G48:J48)&lt;SUM(F53:J53),"n/a",I53-I48)</f>
        <v>-9</v>
      </c>
      <c r="P48" s="415">
        <f>IF(SUM(G48:J48)&lt;SUM(F53:J53),"n/a",J53-J48)</f>
        <v>-32</v>
      </c>
      <c r="Q48" s="395"/>
      <c r="R48" s="974">
        <f>-(SUMPRODUCT($M$48:$P$48,$M$52:$P$52))*(VLOOKUP($E$38,'Policy assumptions and formulae'!A10:D109,4,FALSE))</f>
        <v>1881705.4567206956</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1</v>
      </c>
      <c r="G51" s="414">
        <f>'PF calculator'!G51</f>
        <v>2</v>
      </c>
      <c r="H51" s="414">
        <f>'PF calculator'!H51</f>
        <v>3</v>
      </c>
      <c r="I51" s="414">
        <f>'PF calculator'!I51</f>
        <v>4</v>
      </c>
      <c r="J51" s="414">
        <f>'PF calculator'!J51</f>
        <v>1</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10</v>
      </c>
      <c r="G52" s="414">
        <f>'PF calculator'!G52</f>
        <v>11</v>
      </c>
      <c r="H52" s="414">
        <f>'PF calculator'!H52</f>
        <v>12</v>
      </c>
      <c r="I52" s="414">
        <f>'PF calculator'!I52</f>
        <v>13</v>
      </c>
      <c r="J52" s="414">
        <f>'PF calculator'!J52</f>
        <v>1</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20</v>
      </c>
      <c r="G53" s="414">
        <f>'PF calculator'!G53</f>
        <v>21</v>
      </c>
      <c r="H53" s="414">
        <f>'PF calculator'!H53</f>
        <v>22</v>
      </c>
      <c r="I53" s="414">
        <f>'PF calculator'!I53</f>
        <v>23</v>
      </c>
      <c r="J53" s="414">
        <f>'PF calculator'!J53</f>
        <v>1</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t="str">
        <f>IF($E$58+$E$38&lt;2041,"Ltd by DoB",(-SUMPRODUCT($M$61:$P$61,$M$67:$P$67)*VLOOKUP($E$38,'Policy assumptions and formulae'!$A$10:$D$109,4,FALSE))-(-SUMPRODUCT($M$61:$P$61,$M$67:$P$67)*VLOOKUP((2040-$E$58),'Policy assumptions and formulae'!$A$10:$D$109,4,FALSE)))</f>
        <v>Ltd by DoB</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t="str">
        <f>IF($E$58+$E$38&lt;2041,"Ltd by DoB",(-SUMPRODUCT($M$62:$P$62,$M$67:$P$67)*VLOOKUP($E$38,'Policy assumptions and formulae'!$A$10:$D$109,4,FALSE))-(-SUMPRODUCT($M$62:$P$62,$M$67:$P$67)*VLOOKUP((2040-$E$58),'Policy assumptions and formulae'!$A$10:$D$109,4,FALSE)))</f>
        <v>Ltd by DoB</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74" t="str">
        <f>IF($E$58+$E$38&lt;2041,"Ltd by DoB",(-SUMPRODUCT($M$63:$P$63,$M$67:$P$67)*VLOOKUP($E$38,'Policy assumptions and formulae'!$A$10:$D$109,4,FALSE))-(-SUMPRODUCT($M$63:$P$63,$M$67:$P$67)*VLOOKUP((2040-$E$58),'Policy assumptions and formulae'!$A$10:$D$109,4,FALSE)))</f>
        <v>Ltd by DoB</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1</v>
      </c>
      <c r="G74" s="414">
        <f>'PF calculator'!G74</f>
        <v>2</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244171.29545169987</v>
      </c>
      <c r="S74" s="975"/>
      <c r="T74" s="440"/>
      <c r="U74" s="77"/>
      <c r="V74" s="77"/>
    </row>
    <row r="75" spans="1:22" s="1" customFormat="1" ht="18.75" customHeight="1" thickBot="1" x14ac:dyDescent="0.2">
      <c r="A75" s="4"/>
      <c r="B75" s="970" t="s">
        <v>349</v>
      </c>
      <c r="C75" s="970"/>
      <c r="D75" s="970"/>
      <c r="E75" s="971"/>
      <c r="F75" s="414">
        <f>'PF calculator'!F75</f>
        <v>3</v>
      </c>
      <c r="G75" s="414">
        <f>'PF calculator'!G75</f>
        <v>4</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528400.90276481514</v>
      </c>
      <c r="S75" s="975"/>
      <c r="T75" s="440"/>
      <c r="U75" s="77"/>
      <c r="V75" s="77"/>
    </row>
    <row r="76" spans="1:22" s="1" customFormat="1" ht="18.75" customHeight="1" thickBot="1" x14ac:dyDescent="0.2">
      <c r="A76" s="4"/>
      <c r="B76" s="970" t="s">
        <v>350</v>
      </c>
      <c r="C76" s="970"/>
      <c r="D76" s="970"/>
      <c r="E76" s="971"/>
      <c r="F76" s="414">
        <f>'PF calculator'!F76</f>
        <v>5</v>
      </c>
      <c r="G76" s="414">
        <f>'PF calculator'!G76</f>
        <v>6</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812630.51007793052</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9</v>
      </c>
      <c r="E83" s="426">
        <f>'PF calculator'!E83</f>
        <v>8</v>
      </c>
      <c r="F83" s="426">
        <f>'PF calculator'!F83</f>
        <v>7</v>
      </c>
      <c r="G83" s="961"/>
      <c r="H83" s="426">
        <f>'PF calculator'!H83</f>
        <v>6</v>
      </c>
      <c r="I83" s="426">
        <f>'PF calculator'!I83</f>
        <v>5</v>
      </c>
      <c r="J83" s="426">
        <f>'PF calculator'!J83</f>
        <v>4</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-1723713.33288767</v>
      </c>
      <c r="M83" s="932"/>
      <c r="N83" s="391"/>
      <c r="O83" s="423"/>
      <c r="P83" s="379" t="s">
        <v>379</v>
      </c>
      <c r="Q83" s="328"/>
      <c r="R83" s="967" t="s">
        <v>74</v>
      </c>
      <c r="S83" s="967"/>
      <c r="T83" s="439"/>
    </row>
    <row r="84" spans="1:22" ht="18.75" customHeight="1" thickBot="1" x14ac:dyDescent="0.25">
      <c r="A84" s="5"/>
      <c r="B84" s="957" t="s">
        <v>106</v>
      </c>
      <c r="C84" s="958"/>
      <c r="D84" s="426">
        <f>'PF calculator'!D84</f>
        <v>10</v>
      </c>
      <c r="E84" s="426">
        <f>'PF calculator'!E84</f>
        <v>9</v>
      </c>
      <c r="F84" s="426">
        <f>'PF calculator'!F84</f>
        <v>8</v>
      </c>
      <c r="G84" s="961"/>
      <c r="H84" s="426">
        <f>'PF calculator'!H84</f>
        <v>7</v>
      </c>
      <c r="I84" s="426">
        <f>'PF calculator'!I84</f>
        <v>6</v>
      </c>
      <c r="J84" s="426">
        <f>'PF calculator'!J84</f>
        <v>5</v>
      </c>
      <c r="K84" s="962"/>
      <c r="L84" s="931">
        <f>(((H84-D84)*'Policy assumptions and formulae'!AR13)+((I84-E84)*'Policy assumptions and formulae'!AS13)+((J84-F84)*'Policy assumptions and formulae'!AT13))*VLOOKUP($E$38,'Policy assumptions and formulae'!$A$10:$D$109,4,FALSE)</f>
        <v>-984595.08983552456</v>
      </c>
      <c r="M84" s="932"/>
      <c r="N84" s="968" t="s">
        <v>380</v>
      </c>
      <c r="O84" s="969"/>
      <c r="P84" s="427">
        <f>'PF calculator'!P84</f>
        <v>5</v>
      </c>
      <c r="Q84" s="328"/>
      <c r="R84" s="953">
        <f>(P84*'Policy assumptions and formulae'!AT23)*VLOOKUP($E$38,'Policy assumptions and formulae'!$A$10:$D$109,4,FALSE)</f>
        <v>1970981.9814723877</v>
      </c>
      <c r="S84" s="954"/>
      <c r="T84" s="439"/>
    </row>
    <row r="85" spans="1:22" ht="18.75" customHeight="1" thickBot="1" x14ac:dyDescent="0.25">
      <c r="A85" s="5"/>
      <c r="B85" s="957" t="s">
        <v>55</v>
      </c>
      <c r="C85" s="958"/>
      <c r="D85" s="426">
        <f>'PF calculator'!D85</f>
        <v>11</v>
      </c>
      <c r="E85" s="426">
        <f>'PF calculator'!E85</f>
        <v>10</v>
      </c>
      <c r="F85" s="426">
        <f>'PF calculator'!F85</f>
        <v>9</v>
      </c>
      <c r="G85" s="961"/>
      <c r="H85" s="426">
        <f>'PF calculator'!H85</f>
        <v>8</v>
      </c>
      <c r="I85" s="426">
        <f>'PF calculator'!I85</f>
        <v>7</v>
      </c>
      <c r="J85" s="426">
        <f>'PF calculator'!J85</f>
        <v>6</v>
      </c>
      <c r="K85" s="962"/>
      <c r="L85" s="931">
        <f>(((H85-D85)*'Policy assumptions and formulae'!AR14)+((I85-E85)*'Policy assumptions and formulae'!AS14)+((J85-F85)*'Policy assumptions and formulae'!AT14))*VLOOKUP($E$38,'Policy assumptions and formulae'!$A$10:$D$109,4,FALSE)</f>
        <v>-984595.08983552456</v>
      </c>
      <c r="M85" s="932"/>
      <c r="N85" s="968" t="s">
        <v>381</v>
      </c>
      <c r="O85" s="969"/>
      <c r="P85" s="427">
        <f>'PF calculator'!P85</f>
        <v>6</v>
      </c>
      <c r="Q85" s="328"/>
      <c r="R85" s="953">
        <f>(P85*'Policy assumptions and formulae'!AT24)*VLOOKUP($E$38,'Policy assumptions and formulae'!$A$10:$D$109,4,FALSE)</f>
        <v>1182589.1888834327</v>
      </c>
      <c r="S85" s="954"/>
      <c r="T85" s="439"/>
    </row>
    <row r="86" spans="1:22" ht="18.75" customHeight="1" thickBot="1" x14ac:dyDescent="0.25">
      <c r="A86" s="5"/>
      <c r="B86" s="957" t="s">
        <v>107</v>
      </c>
      <c r="C86" s="958"/>
      <c r="D86" s="426">
        <f>'PF calculator'!D86</f>
        <v>12</v>
      </c>
      <c r="E86" s="426">
        <f>'PF calculator'!E86</f>
        <v>11</v>
      </c>
      <c r="F86" s="426">
        <f>'PF calculator'!F86</f>
        <v>10</v>
      </c>
      <c r="G86" s="961"/>
      <c r="H86" s="426">
        <f>'PF calculator'!H86</f>
        <v>9</v>
      </c>
      <c r="I86" s="426">
        <f>'PF calculator'!I86</f>
        <v>8</v>
      </c>
      <c r="J86" s="426">
        <f>'PF calculator'!J86</f>
        <v>7</v>
      </c>
      <c r="K86" s="962"/>
      <c r="L86" s="931">
        <f>(((H86-D86)*'Policy assumptions and formulae'!AR15)+((I86-E86)*'Policy assumptions and formulae'!AS15)+((J86-F86)*'Policy assumptions and formulae'!AT15))*VLOOKUP($E$38,'Policy assumptions and formulae'!$A$10:$D$109,4,FALSE)</f>
        <v>-548291.35120959149</v>
      </c>
      <c r="M86" s="932"/>
      <c r="N86" s="963" t="s">
        <v>352</v>
      </c>
      <c r="O86" s="964"/>
      <c r="P86" s="427">
        <f>'PF calculator'!P86</f>
        <v>7</v>
      </c>
      <c r="Q86" s="328"/>
      <c r="R86" s="953">
        <f>(P86*'Policy assumptions and formulae'!AT25)*VLOOKUP($E$38,'Policy assumptions and formulae'!$A$10:$D$109,4,FALSE)</f>
        <v>689843.69351533568</v>
      </c>
      <c r="S86" s="954"/>
      <c r="T86" s="439"/>
    </row>
    <row r="87" spans="1:22" ht="18.75" customHeight="1" thickBot="1" x14ac:dyDescent="0.25">
      <c r="A87" s="5"/>
      <c r="B87" s="957" t="s">
        <v>108</v>
      </c>
      <c r="C87" s="958"/>
      <c r="D87" s="426">
        <f>'PF calculator'!D87</f>
        <v>13</v>
      </c>
      <c r="E87" s="426">
        <f>'PF calculator'!E87</f>
        <v>12</v>
      </c>
      <c r="F87" s="426">
        <f>'PF calculator'!F87</f>
        <v>11</v>
      </c>
      <c r="G87" s="961"/>
      <c r="H87" s="426">
        <f>'PF calculator'!H87</f>
        <v>10</v>
      </c>
      <c r="I87" s="426">
        <f>'PF calculator'!I87</f>
        <v>9</v>
      </c>
      <c r="J87" s="426">
        <f>'PF calculator'!J87</f>
        <v>8</v>
      </c>
      <c r="K87" s="962"/>
      <c r="L87" s="931">
        <f>(((H87-D87)*'Policy assumptions and formulae'!AR16)+((I87-E87)*'Policy assumptions and formulae'!AS16)+((J87-F87)*'Policy assumptions and formulae'!AT16))*VLOOKUP($E$38,'Policy assumptions and formulae'!$A$10:$D$109,4,FALSE)</f>
        <v>-59129.459444171633</v>
      </c>
      <c r="M87" s="932"/>
      <c r="N87" s="963"/>
      <c r="O87" s="964"/>
      <c r="P87" s="329"/>
      <c r="Q87" s="328"/>
      <c r="R87" s="330"/>
      <c r="S87" s="330"/>
      <c r="T87" s="439"/>
    </row>
    <row r="88" spans="1:22" ht="18.75" customHeight="1" thickBot="1" x14ac:dyDescent="0.25">
      <c r="A88" s="5"/>
      <c r="B88" s="957" t="s">
        <v>329</v>
      </c>
      <c r="C88" s="958"/>
      <c r="D88" s="426">
        <f>'PF calculator'!D88</f>
        <v>14</v>
      </c>
      <c r="E88" s="426">
        <f>'PF calculator'!E88</f>
        <v>13</v>
      </c>
      <c r="F88" s="426">
        <f>'PF calculator'!F88</f>
        <v>12</v>
      </c>
      <c r="G88" s="961"/>
      <c r="H88" s="426">
        <f>'PF calculator'!H88</f>
        <v>11</v>
      </c>
      <c r="I88" s="426">
        <f>'PF calculator'!I88</f>
        <v>10</v>
      </c>
      <c r="J88" s="426">
        <f>'PF calculator'!J88</f>
        <v>9</v>
      </c>
      <c r="K88" s="962"/>
      <c r="L88" s="931">
        <f>(((H88-D88)*'Policy assumptions and formulae'!AR17)+((I88-E88)*'Policy assumptions and formulae'!AS17)+((J88-F88)*'Policy assumptions and formulae'!AT17))*VLOOKUP($E$38,'Policy assumptions and formulae'!$A$10:$D$109,4,FALSE)</f>
        <v>-377174.27918176149</v>
      </c>
      <c r="M88" s="932"/>
      <c r="N88" s="391"/>
      <c r="O88" s="391"/>
      <c r="P88" s="391"/>
      <c r="Q88" s="391"/>
      <c r="R88" s="391"/>
      <c r="S88" s="391"/>
      <c r="T88" s="439"/>
    </row>
    <row r="89" spans="1:22" ht="18.75" customHeight="1" thickBot="1" x14ac:dyDescent="0.25">
      <c r="A89" s="5"/>
      <c r="B89" s="957" t="s">
        <v>109</v>
      </c>
      <c r="C89" s="958"/>
      <c r="D89" s="426">
        <f>'PF calculator'!D89</f>
        <v>15</v>
      </c>
      <c r="E89" s="426">
        <f>'PF calculator'!E89</f>
        <v>14</v>
      </c>
      <c r="F89" s="426">
        <f>'PF calculator'!F89</f>
        <v>13</v>
      </c>
      <c r="G89" s="961"/>
      <c r="H89" s="426">
        <f>'PF calculator'!H89</f>
        <v>12</v>
      </c>
      <c r="I89" s="426">
        <f>'PF calculator'!I89</f>
        <v>11</v>
      </c>
      <c r="J89" s="426">
        <f>'PF calculator'!J89</f>
        <v>10</v>
      </c>
      <c r="K89" s="962"/>
      <c r="L89" s="931">
        <f>(((H89-D89)*'Policy assumptions and formulae'!AR18)+((I89-E89)*'Policy assumptions and formulae'!AS18)+((J89-F89)*'Policy assumptions and formulae'!AT18))*VLOOKUP($E$38,'Policy assumptions and formulae'!$A$10:$D$109,4,FALSE)</f>
        <v>-548291.35120959149</v>
      </c>
      <c r="M89" s="932"/>
      <c r="N89" s="428"/>
      <c r="O89" s="428"/>
      <c r="P89" s="331"/>
      <c r="Q89" s="328"/>
      <c r="R89" s="332"/>
      <c r="S89" s="332"/>
      <c r="T89" s="439"/>
    </row>
    <row r="90" spans="1:22" ht="18.75" customHeight="1" thickBot="1" x14ac:dyDescent="0.25">
      <c r="A90" s="5"/>
      <c r="B90" s="957" t="s">
        <v>110</v>
      </c>
      <c r="C90" s="958"/>
      <c r="D90" s="426">
        <f>'PF calculator'!D90</f>
        <v>16</v>
      </c>
      <c r="E90" s="426">
        <f>'PF calculator'!E90</f>
        <v>15</v>
      </c>
      <c r="F90" s="426">
        <f>'PF calculator'!F90</f>
        <v>14</v>
      </c>
      <c r="G90" s="961"/>
      <c r="H90" s="426">
        <f>'PF calculator'!H90</f>
        <v>13</v>
      </c>
      <c r="I90" s="426">
        <f>'PF calculator'!I90</f>
        <v>12</v>
      </c>
      <c r="J90" s="426">
        <f>'PF calculator'!J90</f>
        <v>11</v>
      </c>
      <c r="K90" s="962"/>
      <c r="L90" s="931">
        <f>(((H90-D90)*'Policy assumptions and formulae'!AR19)+((I90-E90)*'Policy assumptions and formulae'!AS19)+((J90-F90)*'Policy assumptions and formulae'!AT19))*VLOOKUP($E$38,'Policy assumptions and formulae'!$A$10:$D$109,4,FALSE)</f>
        <v>-12542.61260936974</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35">
        <f>IF(D95="Ltd by high OM1b,2,3,4 values",0,D95*(F95/100))</f>
        <v>0</v>
      </c>
      <c r="I95" s="936"/>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100</v>
      </c>
      <c r="E96" s="956"/>
      <c r="F96" s="945">
        <f>'PF calculator'!G96</f>
        <v>20</v>
      </c>
      <c r="G96" s="946"/>
      <c r="H96" s="935">
        <f t="shared" ref="H96:H102" si="0">D96*(F96/100)</f>
        <v>20</v>
      </c>
      <c r="I96" s="936"/>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892536.2950645315</v>
      </c>
      <c r="E97" s="944"/>
      <c r="F97" s="945">
        <f>'PF calculator'!G97</f>
        <v>45</v>
      </c>
      <c r="G97" s="946"/>
      <c r="H97" s="943">
        <f t="shared" si="0"/>
        <v>401641.33277903916</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1407325.9298163184</v>
      </c>
      <c r="E98" s="944"/>
      <c r="F98" s="945">
        <f>'PF calculator'!G98</f>
        <v>30</v>
      </c>
      <c r="G98" s="946"/>
      <c r="H98" s="943">
        <f t="shared" si="0"/>
        <v>422197.77894489554</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1881705.4567206956</v>
      </c>
      <c r="E99" s="944"/>
      <c r="F99" s="945">
        <f>'PF calculator'!G99</f>
        <v>20</v>
      </c>
      <c r="G99" s="946"/>
      <c r="H99" s="943">
        <f t="shared" si="0"/>
        <v>376341.09134413913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244171.29545169987</v>
      </c>
      <c r="E100" s="944"/>
      <c r="F100" s="945">
        <f>'PF calculator'!G100</f>
        <v>45</v>
      </c>
      <c r="G100" s="946"/>
      <c r="H100" s="943">
        <f t="shared" si="0"/>
        <v>109877.08295326495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528400.90276481514</v>
      </c>
      <c r="E101" s="944"/>
      <c r="F101" s="945">
        <f>'PF calculator'!G101</f>
        <v>30</v>
      </c>
      <c r="G101" s="946"/>
      <c r="H101" s="943">
        <f t="shared" si="0"/>
        <v>158520.27082944455</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812630.51007793052</v>
      </c>
      <c r="E102" s="944"/>
      <c r="F102" s="945">
        <f>'PF calculator'!G102</f>
        <v>20</v>
      </c>
      <c r="G102" s="946"/>
      <c r="H102" s="943">
        <f t="shared" si="0"/>
        <v>162526.1020155861</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str">
        <f>IF(SUM(L83:M90)&lt;0,"Ltd by negative OM4 values",SUM(L83:M90))</f>
        <v>Ltd by negative OM4 values</v>
      </c>
      <c r="E103" s="1063"/>
      <c r="F103" s="945">
        <f>'PF calculator'!G103</f>
        <v>20</v>
      </c>
      <c r="G103" s="946"/>
      <c r="H103" s="943">
        <f>IF(D103="Ltd by negative OM4 values",0,D103*(F103/100))</f>
        <v>0</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3843414.8638711558</v>
      </c>
      <c r="E104" s="950"/>
      <c r="F104" s="945">
        <f>'PF calculator'!G104</f>
        <v>20</v>
      </c>
      <c r="G104" s="946"/>
      <c r="H104" s="943">
        <f>D104*(F104/100)</f>
        <v>768682.97277423122</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9610285.2537671458</v>
      </c>
      <c r="E105" s="943"/>
      <c r="F105" s="1059" t="str">
        <f>'PF calculator'!F105:G105</f>
        <v>pv max. eligible GiA</v>
      </c>
      <c r="G105" s="1060"/>
      <c r="H105" s="1061">
        <f>SUM(H95:I104)</f>
        <v>2399806.6316406005</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f>'PF calculator'!D8</f>
        <v>0</v>
      </c>
      <c r="E8" s="1022"/>
      <c r="F8" s="1023"/>
      <c r="G8" s="396"/>
      <c r="H8" s="395"/>
      <c r="I8" s="395"/>
      <c r="J8" s="395"/>
      <c r="K8" s="970" t="s">
        <v>335</v>
      </c>
      <c r="L8" s="988"/>
      <c r="M8" s="1021">
        <f>'PF calculator'!M8</f>
        <v>1</v>
      </c>
      <c r="N8" s="1023"/>
      <c r="O8" s="1024" t="str">
        <f>'PF calculator'!O8:Q8</f>
        <v>Project benefit to cost ratio:</v>
      </c>
      <c r="P8" s="1025"/>
      <c r="Q8" s="1026"/>
      <c r="R8" s="397">
        <f>$E$39/$E$33</f>
        <v>10</v>
      </c>
      <c r="S8" s="398" t="s">
        <v>15</v>
      </c>
      <c r="T8" s="440"/>
      <c r="U8" s="77"/>
      <c r="V8" s="77"/>
    </row>
    <row r="9" spans="1:22" s="1" customFormat="1" ht="18.75" customHeight="1" thickBot="1" x14ac:dyDescent="0.25">
      <c r="A9" s="4"/>
      <c r="B9" s="970" t="s">
        <v>354</v>
      </c>
      <c r="C9" s="970"/>
      <c r="D9" s="1029">
        <f>'PF calculator'!D9</f>
        <v>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f>'PF calculator'!D10</f>
        <v>0</v>
      </c>
      <c r="E10" s="1035"/>
      <c r="F10" s="1035"/>
      <c r="G10" s="1035"/>
      <c r="H10" s="1035"/>
      <c r="I10" s="1036"/>
      <c r="J10" s="394"/>
      <c r="K10" s="395"/>
      <c r="L10" s="395"/>
      <c r="M10" s="395"/>
      <c r="N10" s="395"/>
      <c r="O10" s="1032" t="s">
        <v>129</v>
      </c>
      <c r="P10" s="1032"/>
      <c r="Q10" s="1033"/>
      <c r="R10" s="397">
        <f>IF($K$33&gt;0,$E$39/$K$33,"n/a")</f>
        <v>1.2820512820512822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239980.66316406004</v>
      </c>
      <c r="F19" s="1020"/>
      <c r="G19" s="395"/>
      <c r="H19" s="977" t="s">
        <v>65</v>
      </c>
      <c r="I19" s="977"/>
      <c r="J19" s="986"/>
      <c r="K19" s="1019">
        <f>IF(E23="low BCR","n/a",IF(E17="Yes",IF(D11="Environment Agency",E23/MAX(MAX(E33,E31)-K33,1),E19+K33/E31),IF(D11="Environment Agency",E23*0.45/MAX(MAX(E33,E31)-K33,1),E19+K33/E31)))</f>
        <v>2399806.6316406005</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2399806.6316406005</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v>
      </c>
      <c r="F28" s="975"/>
      <c r="G28" s="395"/>
      <c r="H28" s="970" t="s">
        <v>341</v>
      </c>
      <c r="I28" s="970"/>
      <c r="J28" s="971"/>
      <c r="K28" s="1008">
        <f>'PF calculator'!K28</f>
        <v>1</v>
      </c>
      <c r="L28" s="1009"/>
      <c r="M28" s="1008">
        <f>'PF calculator'!M28</f>
        <v>2</v>
      </c>
      <c r="N28" s="1009"/>
      <c r="O28" s="1008">
        <f>'PF calculator'!O28</f>
        <v>3</v>
      </c>
      <c r="P28" s="1009"/>
      <c r="Q28" s="1010" t="s">
        <v>102</v>
      </c>
      <c r="R28" s="1010"/>
      <c r="S28" s="1010"/>
      <c r="T28" s="439"/>
      <c r="U28" s="77"/>
      <c r="V28" s="77"/>
    </row>
    <row r="29" spans="1:22" s="1" customFormat="1" ht="18.75" customHeight="1" thickBot="1" x14ac:dyDescent="0.25">
      <c r="A29" s="4"/>
      <c r="B29" s="970" t="s">
        <v>338</v>
      </c>
      <c r="C29" s="970"/>
      <c r="D29" s="988"/>
      <c r="E29" s="974">
        <f>'PF calculator'!E29</f>
        <v>2</v>
      </c>
      <c r="F29" s="975"/>
      <c r="G29" s="395"/>
      <c r="H29" s="970" t="s">
        <v>342</v>
      </c>
      <c r="I29" s="970"/>
      <c r="J29" s="971"/>
      <c r="K29" s="1008">
        <f>'PF calculator'!K29</f>
        <v>4</v>
      </c>
      <c r="L29" s="1009"/>
      <c r="M29" s="1008">
        <f>'PF calculator'!M29</f>
        <v>5</v>
      </c>
      <c r="N29" s="1009"/>
      <c r="O29" s="1008">
        <f>'PF calculator'!O29</f>
        <v>6</v>
      </c>
      <c r="P29" s="1009"/>
      <c r="Q29" s="1005">
        <f>'PF calculator'!Q29</f>
        <v>0</v>
      </c>
      <c r="R29" s="1006"/>
      <c r="S29" s="1007"/>
      <c r="T29" s="439"/>
      <c r="U29" s="77"/>
      <c r="V29" s="77"/>
    </row>
    <row r="30" spans="1:22" s="1" customFormat="1" ht="18.75" customHeight="1" thickBot="1" x14ac:dyDescent="0.25">
      <c r="A30" s="4"/>
      <c r="B30" s="970" t="s">
        <v>339</v>
      </c>
      <c r="C30" s="970"/>
      <c r="D30" s="988"/>
      <c r="E30" s="974">
        <f>'PF calculator'!E30</f>
        <v>3</v>
      </c>
      <c r="F30" s="975"/>
      <c r="G30" s="395"/>
      <c r="H30" s="970" t="s">
        <v>343</v>
      </c>
      <c r="I30" s="970"/>
      <c r="J30" s="971"/>
      <c r="K30" s="1008">
        <f>'PF calculator'!K30</f>
        <v>7</v>
      </c>
      <c r="L30" s="1009"/>
      <c r="M30" s="1008">
        <f>'PF calculator'!M30</f>
        <v>8</v>
      </c>
      <c r="N30" s="1009"/>
      <c r="O30" s="1008">
        <f>'PF calculator'!O30</f>
        <v>9</v>
      </c>
      <c r="P30" s="1009"/>
      <c r="Q30" s="1005">
        <f>'PF calculator'!Q30</f>
        <v>0</v>
      </c>
      <c r="R30" s="1006"/>
      <c r="S30" s="1007"/>
      <c r="T30" s="440"/>
      <c r="U30" s="77"/>
      <c r="V30" s="77"/>
    </row>
    <row r="31" spans="1:22" s="1" customFormat="1" ht="18.75" customHeight="1" thickBot="1" x14ac:dyDescent="0.25">
      <c r="A31" s="4"/>
      <c r="B31" s="970" t="s">
        <v>69</v>
      </c>
      <c r="C31" s="970"/>
      <c r="D31" s="988"/>
      <c r="E31" s="996">
        <f>SUM(E28:E30)</f>
        <v>6</v>
      </c>
      <c r="F31" s="997"/>
      <c r="G31" s="395"/>
      <c r="H31" s="970" t="s">
        <v>344</v>
      </c>
      <c r="I31" s="970"/>
      <c r="J31" s="971"/>
      <c r="K31" s="1008">
        <f>'PF calculator'!K31</f>
        <v>10</v>
      </c>
      <c r="L31" s="1009"/>
      <c r="M31" s="1008">
        <f>'PF calculator'!M31</f>
        <v>11</v>
      </c>
      <c r="N31" s="1009"/>
      <c r="O31" s="1008">
        <f>'PF calculator'!O31</f>
        <v>12</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22</v>
      </c>
      <c r="L32" s="1004"/>
      <c r="M32" s="1003">
        <f>SUM(M28:N31)</f>
        <v>26</v>
      </c>
      <c r="N32" s="1004"/>
      <c r="O32" s="1003">
        <f>SUM(O28:P31)</f>
        <v>30</v>
      </c>
      <c r="P32" s="1004"/>
      <c r="Q32" s="395"/>
      <c r="R32" s="395"/>
      <c r="S32" s="395"/>
      <c r="T32" s="440"/>
      <c r="U32" s="77"/>
      <c r="V32" s="77"/>
    </row>
    <row r="33" spans="1:22" s="1" customFormat="1" ht="18.75" customHeight="1" thickBot="1" x14ac:dyDescent="0.25">
      <c r="A33" s="4"/>
      <c r="B33" s="970" t="s">
        <v>147</v>
      </c>
      <c r="C33" s="970"/>
      <c r="D33" s="988"/>
      <c r="E33" s="996">
        <f>SUM(E31:F32)</f>
        <v>10</v>
      </c>
      <c r="F33" s="997"/>
      <c r="G33" s="395"/>
      <c r="H33" s="970" t="s">
        <v>71</v>
      </c>
      <c r="I33" s="970"/>
      <c r="J33" s="988"/>
      <c r="K33" s="998">
        <f>IF(D11="Environment Agency",K32+M32+O32,K32+M32)</f>
        <v>78</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100</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10</v>
      </c>
      <c r="H46" s="414">
        <f>'PF calculator'!H46</f>
        <v>11</v>
      </c>
      <c r="I46" s="414">
        <f>'PF calculator'!I46</f>
        <v>12</v>
      </c>
      <c r="J46" s="414">
        <f>'PF calculator'!J46</f>
        <v>13</v>
      </c>
      <c r="K46" s="395"/>
      <c r="L46" s="415">
        <f>IF(SUM(G46:J46)&lt;SUM(F51:J51),"n/a",F51)</f>
        <v>1</v>
      </c>
      <c r="M46" s="415">
        <f>IF(SUM(G46:J46)&lt;SUM(F51:J51),"n/a",G51-G46)</f>
        <v>-8</v>
      </c>
      <c r="N46" s="415">
        <f>IF(SUM(G46:J46)&lt;SUM(F51:J51),"n/a",H51-H46)</f>
        <v>-8</v>
      </c>
      <c r="O46" s="415">
        <f>IF(SUM(G46:J46)&lt;SUM(F51:J51),"n/a",I51-I46)</f>
        <v>-8</v>
      </c>
      <c r="P46" s="415">
        <f>IF(SUM(G46:J46)&lt;SUM(F51:J51),"n/a",J51-J46)</f>
        <v>-12</v>
      </c>
      <c r="Q46" s="395"/>
      <c r="R46" s="974">
        <f>-(SUMPRODUCT($M$46:$P$46,$M$52:$P$52))*(VLOOKUP($E$38,'Policy assumptions and formulae'!A10:D109,4,FALSE))</f>
        <v>892536.2950645315</v>
      </c>
      <c r="S46" s="985"/>
      <c r="T46" s="440"/>
      <c r="U46" s="77"/>
      <c r="V46" s="77"/>
    </row>
    <row r="47" spans="1:22" s="1" customFormat="1" ht="18.75" customHeight="1" thickBot="1" x14ac:dyDescent="0.25">
      <c r="A47" s="14"/>
      <c r="B47" s="970" t="s">
        <v>349</v>
      </c>
      <c r="C47" s="970"/>
      <c r="D47" s="970"/>
      <c r="E47" s="971"/>
      <c r="F47" s="413"/>
      <c r="G47" s="414">
        <f>'PF calculator'!G47</f>
        <v>20</v>
      </c>
      <c r="H47" s="414">
        <f>'PF calculator'!H47</f>
        <v>21</v>
      </c>
      <c r="I47" s="414">
        <f>'PF calculator'!I47</f>
        <v>22</v>
      </c>
      <c r="J47" s="414">
        <f>'PF calculator'!J47</f>
        <v>23</v>
      </c>
      <c r="K47" s="395"/>
      <c r="L47" s="415">
        <f>IF(SUM(G47:J47)&lt;SUM(F52:J52),"n/a",F52)</f>
        <v>10</v>
      </c>
      <c r="M47" s="415">
        <f>IF(SUM(G47:J47)&lt;SUM(F52:J52),"n/a",G52-G47)</f>
        <v>-9</v>
      </c>
      <c r="N47" s="415">
        <f>IF(SUM(G47:J47)&lt;SUM(F52:J52),"n/a",H52-H47)</f>
        <v>-9</v>
      </c>
      <c r="O47" s="415">
        <f>IF(SUM(G47:J47)&lt;SUM(F52:J52),"n/a",I52-I47)</f>
        <v>-9</v>
      </c>
      <c r="P47" s="415">
        <f>IF(SUM(G47:J47)&lt;SUM(F52:J52),"n/a",J52-J47)</f>
        <v>-22</v>
      </c>
      <c r="Q47" s="395"/>
      <c r="R47" s="974">
        <f>-(SUMPRODUCT($M$47:$P$47,$M$52:$P$52))*(VLOOKUP($E$38,'Policy assumptions and formulae'!A10:D109,4,FALSE))</f>
        <v>1407325.9298163184</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f>IF(SUM(G48:J48)&lt;SUM(F53:J53),"n/a",F53)</f>
        <v>20</v>
      </c>
      <c r="M48" s="415">
        <f>IF(SUM(G48:J48)&lt;SUM(F53:J53),"n/a",G53-G48)</f>
        <v>-9</v>
      </c>
      <c r="N48" s="415">
        <f>IF(SUM(G48:J48)&lt;SUM(F53:J53),"n/a",H53-H48)</f>
        <v>-9</v>
      </c>
      <c r="O48" s="415">
        <f>IF(SUM(G48:J48)&lt;SUM(F53:J53),"n/a",I53-I48)</f>
        <v>-9</v>
      </c>
      <c r="P48" s="415">
        <f>IF(SUM(G48:J48)&lt;SUM(F53:J53),"n/a",J53-J48)</f>
        <v>-32</v>
      </c>
      <c r="Q48" s="395"/>
      <c r="R48" s="974">
        <f>-(SUMPRODUCT($M$48:$P$48,$M$52:$P$52))*(VLOOKUP($E$38,'Policy assumptions and formulae'!A10:D109,4,FALSE))</f>
        <v>1881705.4567206956</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1</v>
      </c>
      <c r="G51" s="414">
        <f>'PF calculator'!G51</f>
        <v>2</v>
      </c>
      <c r="H51" s="414">
        <f>'PF calculator'!H51</f>
        <v>3</v>
      </c>
      <c r="I51" s="414">
        <f>'PF calculator'!I51</f>
        <v>4</v>
      </c>
      <c r="J51" s="414">
        <f>'PF calculator'!J51</f>
        <v>1</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10</v>
      </c>
      <c r="G52" s="414">
        <f>'PF calculator'!G52</f>
        <v>11</v>
      </c>
      <c r="H52" s="414">
        <f>'PF calculator'!H52</f>
        <v>12</v>
      </c>
      <c r="I52" s="414">
        <f>'PF calculator'!I52</f>
        <v>13</v>
      </c>
      <c r="J52" s="414">
        <f>'PF calculator'!J52</f>
        <v>1</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20</v>
      </c>
      <c r="G53" s="414">
        <f>'PF calculator'!G53</f>
        <v>21</v>
      </c>
      <c r="H53" s="414">
        <f>'PF calculator'!H53</f>
        <v>22</v>
      </c>
      <c r="I53" s="414">
        <f>'PF calculator'!I53</f>
        <v>23</v>
      </c>
      <c r="J53" s="414">
        <f>'PF calculator'!J53</f>
        <v>1</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t="str">
        <f>IF($E$58+$E$38&lt;2041,"Ltd by DoB",(-SUMPRODUCT($M$61:$P$61,$M$67:$P$67)*VLOOKUP($E$38,'Policy assumptions and formulae'!$A$10:$D$109,4,FALSE))-(-SUMPRODUCT($M$61:$P$61,$M$67:$P$67)*VLOOKUP((2040-$E$58),'Policy assumptions and formulae'!$A$10:$D$109,4,FALSE)))</f>
        <v>Ltd by DoB</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t="str">
        <f>IF($E$58+$E$38&lt;2041,"Ltd by DoB",(-SUMPRODUCT($M$62:$P$62,$M$67:$P$67)*VLOOKUP($E$38,'Policy assumptions and formulae'!$A$10:$D$109,4,FALSE))-(-SUMPRODUCT($M$62:$P$62,$M$67:$P$67)*VLOOKUP((2040-$E$58),'Policy assumptions and formulae'!$A$10:$D$109,4,FALSE)))</f>
        <v>Ltd by DoB</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74" t="str">
        <f>IF($E$58+$E$38&lt;2041,"Ltd by DoB",(-SUMPRODUCT($M$63:$P$63,$M$67:$P$67)*VLOOKUP($E$38,'Policy assumptions and formulae'!$A$10:$D$109,4,FALSE))-(-SUMPRODUCT($M$63:$P$63,$M$67:$P$67)*VLOOKUP((2040-$E$58),'Policy assumptions and formulae'!$A$10:$D$109,4,FALSE)))</f>
        <v>Ltd by DoB</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351</v>
      </c>
      <c r="C68" s="970"/>
      <c r="D68" s="970"/>
      <c r="E68" s="971"/>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1</v>
      </c>
      <c r="G74" s="414">
        <f>'PF calculator'!G74</f>
        <v>2</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244171.29545169987</v>
      </c>
      <c r="S74" s="975"/>
      <c r="T74" s="440"/>
      <c r="U74" s="77"/>
      <c r="V74" s="77"/>
    </row>
    <row r="75" spans="1:22" s="1" customFormat="1" ht="18.75" customHeight="1" thickBot="1" x14ac:dyDescent="0.2">
      <c r="A75" s="4"/>
      <c r="B75" s="970" t="s">
        <v>349</v>
      </c>
      <c r="C75" s="970"/>
      <c r="D75" s="970"/>
      <c r="E75" s="971"/>
      <c r="F75" s="414">
        <f>'PF calculator'!F75</f>
        <v>3</v>
      </c>
      <c r="G75" s="414">
        <f>'PF calculator'!G75</f>
        <v>4</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528400.90276481514</v>
      </c>
      <c r="S75" s="975"/>
      <c r="T75" s="440"/>
      <c r="U75" s="77"/>
      <c r="V75" s="77"/>
    </row>
    <row r="76" spans="1:22" s="1" customFormat="1" ht="18.75" customHeight="1" thickBot="1" x14ac:dyDescent="0.2">
      <c r="A76" s="4"/>
      <c r="B76" s="970" t="s">
        <v>350</v>
      </c>
      <c r="C76" s="970"/>
      <c r="D76" s="970"/>
      <c r="E76" s="971"/>
      <c r="F76" s="414">
        <f>'PF calculator'!F76</f>
        <v>5</v>
      </c>
      <c r="G76" s="414">
        <f>'PF calculator'!G76</f>
        <v>6</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812630.51007793052</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9</v>
      </c>
      <c r="E83" s="426">
        <f>'PF calculator'!E83</f>
        <v>8</v>
      </c>
      <c r="F83" s="426">
        <f>'PF calculator'!F83</f>
        <v>7</v>
      </c>
      <c r="G83" s="961"/>
      <c r="H83" s="426">
        <f>'PF calculator'!H83</f>
        <v>6</v>
      </c>
      <c r="I83" s="444">
        <f>'PF calculator'!I83+('PF calculator'!J83*0.25)</f>
        <v>6</v>
      </c>
      <c r="J83" s="444">
        <f>'PF calculator'!J83*0.75</f>
        <v>3</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-1859890.2697893986</v>
      </c>
      <c r="M83" s="932"/>
      <c r="N83" s="391"/>
      <c r="O83" s="423"/>
      <c r="P83" s="379" t="s">
        <v>379</v>
      </c>
      <c r="Q83" s="328"/>
      <c r="R83" s="967" t="s">
        <v>74</v>
      </c>
      <c r="S83" s="967"/>
      <c r="T83" s="439"/>
    </row>
    <row r="84" spans="1:22" ht="18.75" customHeight="1" thickBot="1" x14ac:dyDescent="0.25">
      <c r="A84" s="5"/>
      <c r="B84" s="957" t="s">
        <v>106</v>
      </c>
      <c r="C84" s="958"/>
      <c r="D84" s="426">
        <f>'PF calculator'!D84</f>
        <v>10</v>
      </c>
      <c r="E84" s="426">
        <f>'PF calculator'!E84</f>
        <v>9</v>
      </c>
      <c r="F84" s="426">
        <f>'PF calculator'!F84</f>
        <v>8</v>
      </c>
      <c r="G84" s="961"/>
      <c r="H84" s="426">
        <f>'PF calculator'!H84</f>
        <v>7</v>
      </c>
      <c r="I84" s="444">
        <f>'PF calculator'!I84+('PF calculator'!J84*0.25)</f>
        <v>7.25</v>
      </c>
      <c r="J84" s="444">
        <f>'PF calculator'!J84*0.75</f>
        <v>3.75</v>
      </c>
      <c r="K84" s="962"/>
      <c r="L84" s="931">
        <f>(((H84-D84)*'Policy assumptions and formulae'!AR13)+((I84-E84)*'Policy assumptions and formulae'!AS13)+((J84-F84)*'Policy assumptions and formulae'!AT13))*VLOOKUP($E$38,'Policy assumptions and formulae'!$A$10:$D$109,4,FALSE)</f>
        <v>-1096955.9944611285</v>
      </c>
      <c r="M84" s="932"/>
      <c r="N84" s="968" t="s">
        <v>380</v>
      </c>
      <c r="O84" s="969"/>
      <c r="P84" s="427">
        <f>'PF calculator'!P84</f>
        <v>5</v>
      </c>
      <c r="Q84" s="328"/>
      <c r="R84" s="953">
        <f>(P84*'Policy assumptions and formulae'!AT23)*VLOOKUP($E$38,'Policy assumptions and formulae'!$A$10:$D$109,4,FALSE)</f>
        <v>1970981.9814723877</v>
      </c>
      <c r="S84" s="954"/>
      <c r="T84" s="439"/>
    </row>
    <row r="85" spans="1:22" ht="18.75" customHeight="1" thickBot="1" x14ac:dyDescent="0.25">
      <c r="A85" s="5"/>
      <c r="B85" s="957" t="s">
        <v>55</v>
      </c>
      <c r="C85" s="958"/>
      <c r="D85" s="426">
        <f>'PF calculator'!D85</f>
        <v>11</v>
      </c>
      <c r="E85" s="426">
        <f>'PF calculator'!E85</f>
        <v>10</v>
      </c>
      <c r="F85" s="426">
        <f>'PF calculator'!F85</f>
        <v>9</v>
      </c>
      <c r="G85" s="961"/>
      <c r="H85" s="426">
        <f>'PF calculator'!H85</f>
        <v>8</v>
      </c>
      <c r="I85" s="444">
        <f>'PF calculator'!I85+('PF calculator'!J85*0.25)</f>
        <v>8.5</v>
      </c>
      <c r="J85" s="444">
        <f>'PF calculator'!J85*0.75</f>
        <v>4.5</v>
      </c>
      <c r="K85" s="962"/>
      <c r="L85" s="931">
        <f>(((H85-D85)*'Policy assumptions and formulae'!AR14)+((I85-E85)*'Policy assumptions and formulae'!AS14)+((J85-F85)*'Policy assumptions and formulae'!AT14))*VLOOKUP($E$38,'Policy assumptions and formulae'!$A$10:$D$109,4,FALSE)</f>
        <v>-1119428.1753862493</v>
      </c>
      <c r="M85" s="932"/>
      <c r="N85" s="968" t="s">
        <v>381</v>
      </c>
      <c r="O85" s="969"/>
      <c r="P85" s="427">
        <f>'PF calculator'!P85</f>
        <v>6</v>
      </c>
      <c r="Q85" s="328"/>
      <c r="R85" s="953">
        <f>(P85*'Policy assumptions and formulae'!AT24)*VLOOKUP($E$38,'Policy assumptions and formulae'!$A$10:$D$109,4,FALSE)</f>
        <v>1182589.1888834327</v>
      </c>
      <c r="S85" s="954"/>
      <c r="T85" s="439"/>
    </row>
    <row r="86" spans="1:22" ht="18.75" customHeight="1" thickBot="1" x14ac:dyDescent="0.25">
      <c r="A86" s="5"/>
      <c r="B86" s="957" t="s">
        <v>107</v>
      </c>
      <c r="C86" s="958"/>
      <c r="D86" s="426">
        <f>'PF calculator'!D86</f>
        <v>12</v>
      </c>
      <c r="E86" s="426">
        <f>'PF calculator'!E86</f>
        <v>11</v>
      </c>
      <c r="F86" s="426">
        <f>'PF calculator'!F86</f>
        <v>10</v>
      </c>
      <c r="G86" s="961"/>
      <c r="H86" s="426">
        <f>'PF calculator'!H86</f>
        <v>9</v>
      </c>
      <c r="I86" s="444">
        <f>'PF calculator'!I86+('PF calculator'!J86*0.25)</f>
        <v>9.75</v>
      </c>
      <c r="J86" s="444">
        <f>'PF calculator'!J86*0.75</f>
        <v>5.25</v>
      </c>
      <c r="K86" s="962"/>
      <c r="L86" s="931">
        <f>(((H86-D86)*'Policy assumptions and formulae'!AR15)+((I86-E86)*'Policy assumptions and formulae'!AS15)+((J86-F86)*'Policy assumptions and formulae'!AT15))*VLOOKUP($E$38,'Policy assumptions and formulae'!$A$10:$D$109,4,FALSE)</f>
        <v>-619888.76485474373</v>
      </c>
      <c r="M86" s="932"/>
      <c r="N86" s="963" t="s">
        <v>352</v>
      </c>
      <c r="O86" s="964"/>
      <c r="P86" s="427">
        <f>'PF calculator'!P86</f>
        <v>7</v>
      </c>
      <c r="Q86" s="328"/>
      <c r="R86" s="953">
        <f>(P86*'Policy assumptions and formulae'!AT25)*VLOOKUP($E$38,'Policy assumptions and formulae'!$A$10:$D$109,4,FALSE)</f>
        <v>689843.69351533568</v>
      </c>
      <c r="S86" s="954"/>
      <c r="T86" s="439"/>
    </row>
    <row r="87" spans="1:22" ht="18.75" customHeight="1" thickBot="1" x14ac:dyDescent="0.25">
      <c r="A87" s="5"/>
      <c r="B87" s="957" t="s">
        <v>108</v>
      </c>
      <c r="C87" s="958"/>
      <c r="D87" s="426">
        <f>'PF calculator'!D87</f>
        <v>13</v>
      </c>
      <c r="E87" s="426">
        <f>'PF calculator'!E87</f>
        <v>12</v>
      </c>
      <c r="F87" s="426">
        <f>'PF calculator'!F87</f>
        <v>11</v>
      </c>
      <c r="G87" s="961"/>
      <c r="H87" s="426">
        <f>'PF calculator'!H87</f>
        <v>10</v>
      </c>
      <c r="I87" s="444">
        <f>'PF calculator'!I87+('PF calculator'!J87*0.25)</f>
        <v>11</v>
      </c>
      <c r="J87" s="444">
        <f>'PF calculator'!J87*0.75</f>
        <v>6</v>
      </c>
      <c r="K87" s="962"/>
      <c r="L87" s="931">
        <f>(((H87-D87)*'Policy assumptions and formulae'!AR16)+((I87-E87)*'Policy assumptions and formulae'!AS16)+((J87-F87)*'Policy assumptions and formulae'!AT16))*VLOOKUP($E$38,'Policy assumptions and formulae'!$A$10:$D$109,4,FALSE)</f>
        <v>-81825.615594459741</v>
      </c>
      <c r="M87" s="932"/>
      <c r="N87" s="963"/>
      <c r="O87" s="964"/>
      <c r="P87" s="329"/>
      <c r="Q87" s="328"/>
      <c r="R87" s="330"/>
      <c r="S87" s="330"/>
      <c r="T87" s="439"/>
    </row>
    <row r="88" spans="1:22" ht="18.75" customHeight="1" thickBot="1" x14ac:dyDescent="0.25">
      <c r="A88" s="5"/>
      <c r="B88" s="957" t="s">
        <v>329</v>
      </c>
      <c r="C88" s="958"/>
      <c r="D88" s="426">
        <f>'PF calculator'!D88</f>
        <v>14</v>
      </c>
      <c r="E88" s="426">
        <f>'PF calculator'!E88</f>
        <v>13</v>
      </c>
      <c r="F88" s="426">
        <f>'PF calculator'!F88</f>
        <v>12</v>
      </c>
      <c r="G88" s="961"/>
      <c r="H88" s="426">
        <f>'PF calculator'!H88</f>
        <v>11</v>
      </c>
      <c r="I88" s="444">
        <f>'PF calculator'!I88+('PF calculator'!J88*0.25)</f>
        <v>12.25</v>
      </c>
      <c r="J88" s="444">
        <f>'PF calculator'!J88*0.75</f>
        <v>6.75</v>
      </c>
      <c r="K88" s="962"/>
      <c r="L88" s="931">
        <f>(((H88-D88)*'Policy assumptions and formulae'!AR17)+((I88-E88)*'Policy assumptions and formulae'!AS17)+((J88-F88)*'Policy assumptions and formulae'!AT17))*VLOOKUP($E$38,'Policy assumptions and formulae'!$A$10:$D$109,4,FALSE)</f>
        <v>-465868.46834801894</v>
      </c>
      <c r="M88" s="932"/>
      <c r="N88" s="391"/>
      <c r="O88" s="391"/>
      <c r="P88" s="391"/>
      <c r="Q88" s="391"/>
      <c r="R88" s="391"/>
      <c r="S88" s="391"/>
      <c r="T88" s="439"/>
    </row>
    <row r="89" spans="1:22" ht="18.75" customHeight="1" thickBot="1" x14ac:dyDescent="0.25">
      <c r="A89" s="5"/>
      <c r="B89" s="957" t="s">
        <v>109</v>
      </c>
      <c r="C89" s="958"/>
      <c r="D89" s="426">
        <f>'PF calculator'!D89</f>
        <v>15</v>
      </c>
      <c r="E89" s="426">
        <f>'PF calculator'!E89</f>
        <v>14</v>
      </c>
      <c r="F89" s="426">
        <f>'PF calculator'!F89</f>
        <v>13</v>
      </c>
      <c r="G89" s="961"/>
      <c r="H89" s="426">
        <f>'PF calculator'!H89</f>
        <v>12</v>
      </c>
      <c r="I89" s="444">
        <f>'PF calculator'!I89+('PF calculator'!J89*0.25)</f>
        <v>13.5</v>
      </c>
      <c r="J89" s="444">
        <f>'PF calculator'!J89*0.75</f>
        <v>7.5</v>
      </c>
      <c r="K89" s="962"/>
      <c r="L89" s="931">
        <f>(((H89-D89)*'Policy assumptions and formulae'!AR18)+((I89-E89)*'Policy assumptions and formulae'!AS18)+((J89-F89)*'Policy assumptions and formulae'!AT18))*VLOOKUP($E$38,'Policy assumptions and formulae'!$A$10:$D$109,4,FALSE)</f>
        <v>-650573.37070266623</v>
      </c>
      <c r="M89" s="932"/>
      <c r="N89" s="428"/>
      <c r="O89" s="428"/>
      <c r="P89" s="331"/>
      <c r="Q89" s="328"/>
      <c r="R89" s="332"/>
      <c r="S89" s="332"/>
      <c r="T89" s="439"/>
    </row>
    <row r="90" spans="1:22" ht="18.75" customHeight="1" thickBot="1" x14ac:dyDescent="0.25">
      <c r="A90" s="5"/>
      <c r="B90" s="957" t="s">
        <v>110</v>
      </c>
      <c r="C90" s="958"/>
      <c r="D90" s="426">
        <f>'PF calculator'!D90</f>
        <v>16</v>
      </c>
      <c r="E90" s="426">
        <f>'PF calculator'!E90</f>
        <v>15</v>
      </c>
      <c r="F90" s="426">
        <f>'PF calculator'!F90</f>
        <v>14</v>
      </c>
      <c r="G90" s="961"/>
      <c r="H90" s="426">
        <f>'PF calculator'!H90</f>
        <v>13</v>
      </c>
      <c r="I90" s="444">
        <f>'PF calculator'!I90+('PF calculator'!J90*0.25)</f>
        <v>14.75</v>
      </c>
      <c r="J90" s="444">
        <f>'PF calculator'!J90*0.75</f>
        <v>8.25</v>
      </c>
      <c r="K90" s="962"/>
      <c r="L90" s="931">
        <f>(((H90-D90)*'Policy assumptions and formulae'!AR19)+((I90-E90)*'Policy assumptions and formulae'!AS19)+((J90-F90)*'Policy assumptions and formulae'!AT19))*VLOOKUP($E$38,'Policy assumptions and formulae'!$A$10:$D$109,4,FALSE)</f>
        <v>-13363.855101649902</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100</v>
      </c>
      <c r="E96" s="956"/>
      <c r="F96" s="945">
        <f>'PF calculator'!G96</f>
        <v>20</v>
      </c>
      <c r="G96" s="946"/>
      <c r="H96" s="943">
        <f t="shared" ref="H96:H102" si="0">D96*(F96/100)</f>
        <v>20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892536.2950645315</v>
      </c>
      <c r="E97" s="944"/>
      <c r="F97" s="945">
        <f>'PF calculator'!G97</f>
        <v>45</v>
      </c>
      <c r="G97" s="946"/>
      <c r="H97" s="943">
        <f t="shared" si="0"/>
        <v>401641.33277903916</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1407325.9298163184</v>
      </c>
      <c r="E98" s="944"/>
      <c r="F98" s="945">
        <f>'PF calculator'!G98</f>
        <v>30</v>
      </c>
      <c r="G98" s="946"/>
      <c r="H98" s="943">
        <f t="shared" si="0"/>
        <v>422197.77894489554</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1881705.4567206956</v>
      </c>
      <c r="E99" s="944"/>
      <c r="F99" s="945">
        <f>'PF calculator'!G99</f>
        <v>20</v>
      </c>
      <c r="G99" s="946"/>
      <c r="H99" s="943">
        <f t="shared" si="0"/>
        <v>376341.09134413913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244171.29545169987</v>
      </c>
      <c r="E100" s="944"/>
      <c r="F100" s="945">
        <f>'PF calculator'!G100</f>
        <v>45</v>
      </c>
      <c r="G100" s="946"/>
      <c r="H100" s="943">
        <f t="shared" si="0"/>
        <v>109877.08295326495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528400.90276481514</v>
      </c>
      <c r="E101" s="944"/>
      <c r="F101" s="945">
        <f>'PF calculator'!G101</f>
        <v>30</v>
      </c>
      <c r="G101" s="946"/>
      <c r="H101" s="943">
        <f t="shared" si="0"/>
        <v>158520.27082944455</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812630.51007793052</v>
      </c>
      <c r="E102" s="944"/>
      <c r="F102" s="945">
        <f>'PF calculator'!G102</f>
        <v>20</v>
      </c>
      <c r="G102" s="946"/>
      <c r="H102" s="943">
        <f t="shared" si="0"/>
        <v>162526.1020155861</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str">
        <f>IF(SUM(L83:M90)&lt;0,"Ltd by negative OM4 values",SUM(L83:M90))</f>
        <v>Ltd by negative OM4 values</v>
      </c>
      <c r="E103" s="1063"/>
      <c r="F103" s="945">
        <f>'PF calculator'!G103</f>
        <v>20</v>
      </c>
      <c r="G103" s="946"/>
      <c r="H103" s="943">
        <f>IF(D103="Ltd by negative OM4 values",0,D103*(F103/100))</f>
        <v>0</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3843414.8638711558</v>
      </c>
      <c r="E104" s="950"/>
      <c r="F104" s="945">
        <f>'PF calculator'!G104</f>
        <v>20</v>
      </c>
      <c r="G104" s="946"/>
      <c r="H104" s="943">
        <f>D104*(F104/100)</f>
        <v>768682.97277423122</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9610285.2537671458</v>
      </c>
      <c r="E105" s="943"/>
      <c r="F105" s="1059" t="str">
        <f>'PF calculator'!F105:G105</f>
        <v>pv max. eligible GiA</v>
      </c>
      <c r="G105" s="1060"/>
      <c r="H105" s="1061">
        <f>SUM(H95:I104)</f>
        <v>2399806.6316406005</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A5" zoomScale="136" zoomScaleNormal="60" workbookViewId="0">
      <selection activeCell="L38" sqref="L38:R39"/>
    </sheetView>
  </sheetViews>
  <sheetFormatPr baseColWidth="10" defaultColWidth="8.85546875" defaultRowHeight="16" x14ac:dyDescent="0.2"/>
  <cols>
    <col min="1" max="1" width="0.5703125" style="9" customWidth="1"/>
    <col min="2" max="19" width="10.7109375" style="3" customWidth="1"/>
    <col min="20" max="20" width="0.5703125" style="9" customWidth="1"/>
    <col min="21" max="21" width="8.85546875" style="39"/>
    <col min="22" max="22" width="8.85546875" style="1"/>
    <col min="23" max="16384" width="8.85546875" style="3"/>
  </cols>
  <sheetData>
    <row r="1" spans="1:21" ht="20" x14ac:dyDescent="0.2">
      <c r="A1" s="260"/>
      <c r="B1" s="589" t="s">
        <v>318</v>
      </c>
      <c r="C1" s="589"/>
      <c r="D1" s="589"/>
      <c r="E1" s="589"/>
      <c r="F1" s="589"/>
      <c r="G1" s="589"/>
      <c r="H1" s="589"/>
      <c r="I1" s="589"/>
      <c r="J1" s="589"/>
      <c r="K1" s="589"/>
      <c r="L1" s="589"/>
      <c r="M1" s="589"/>
      <c r="N1" s="589"/>
      <c r="O1" s="589"/>
      <c r="P1" s="589"/>
      <c r="Q1" s="589"/>
      <c r="R1" s="589"/>
      <c r="S1" s="589"/>
      <c r="T1" s="260"/>
    </row>
    <row r="2" spans="1:21" ht="33" x14ac:dyDescent="0.2">
      <c r="A2" s="250"/>
      <c r="B2" s="590" t="s">
        <v>57</v>
      </c>
      <c r="C2" s="590"/>
      <c r="D2" s="590"/>
      <c r="E2" s="590"/>
      <c r="F2" s="590"/>
      <c r="G2" s="590"/>
      <c r="H2" s="590"/>
      <c r="I2" s="590"/>
      <c r="J2" s="590"/>
      <c r="K2" s="590"/>
      <c r="L2" s="590"/>
      <c r="M2" s="590"/>
      <c r="N2" s="590"/>
      <c r="O2" s="590"/>
      <c r="P2" s="590"/>
      <c r="Q2" s="590"/>
      <c r="R2" s="590"/>
      <c r="S2" s="590"/>
      <c r="T2" s="251"/>
    </row>
    <row r="3" spans="1:21" ht="23" x14ac:dyDescent="0.2">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25">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25">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25">
      <c r="A7" s="254"/>
      <c r="B7" s="501" t="s">
        <v>328</v>
      </c>
      <c r="C7" s="501"/>
      <c r="D7" s="626" t="s">
        <v>438</v>
      </c>
      <c r="E7" s="627"/>
      <c r="F7" s="627"/>
      <c r="G7" s="627"/>
      <c r="H7" s="627"/>
      <c r="I7" s="628"/>
      <c r="J7" s="142"/>
      <c r="K7" s="499" t="s">
        <v>334</v>
      </c>
      <c r="L7" s="500"/>
      <c r="M7" s="629" t="s">
        <v>436</v>
      </c>
      <c r="N7" s="630"/>
      <c r="O7" s="145"/>
      <c r="P7" s="143"/>
      <c r="Q7" s="143"/>
      <c r="R7" s="619"/>
      <c r="S7" s="619"/>
      <c r="T7" s="255"/>
      <c r="U7" s="39"/>
    </row>
    <row r="8" spans="1:21" s="1" customFormat="1" ht="18.75" customHeight="1" thickBot="1" x14ac:dyDescent="0.25">
      <c r="A8" s="254"/>
      <c r="B8" s="501" t="s">
        <v>330</v>
      </c>
      <c r="C8" s="501"/>
      <c r="D8" s="602"/>
      <c r="E8" s="603"/>
      <c r="F8" s="604"/>
      <c r="G8" s="150"/>
      <c r="H8" s="143"/>
      <c r="I8" s="143"/>
      <c r="J8" s="143"/>
      <c r="K8" s="499" t="s">
        <v>335</v>
      </c>
      <c r="L8" s="500"/>
      <c r="M8" s="605">
        <v>1</v>
      </c>
      <c r="N8" s="606"/>
      <c r="O8" s="595" t="s">
        <v>372</v>
      </c>
      <c r="P8" s="596"/>
      <c r="Q8" s="597"/>
      <c r="R8" s="123">
        <f>$E$39/$E$33</f>
        <v>10</v>
      </c>
      <c r="S8" s="124" t="s">
        <v>15</v>
      </c>
      <c r="T8" s="255"/>
      <c r="U8" s="39"/>
    </row>
    <row r="9" spans="1:21" s="1" customFormat="1" ht="18.75" customHeight="1" thickBot="1" x14ac:dyDescent="0.25">
      <c r="A9" s="254"/>
      <c r="B9" s="499" t="s">
        <v>331</v>
      </c>
      <c r="C9" s="499"/>
      <c r="D9" s="611"/>
      <c r="E9" s="612"/>
      <c r="F9" s="613"/>
      <c r="G9" s="150"/>
      <c r="H9" s="143"/>
      <c r="I9" s="143"/>
      <c r="J9" s="143"/>
      <c r="K9" s="144"/>
      <c r="L9" s="144"/>
      <c r="M9" s="144"/>
      <c r="N9" s="144"/>
      <c r="O9" s="593" t="s">
        <v>128</v>
      </c>
      <c r="P9" s="593"/>
      <c r="Q9" s="594"/>
      <c r="R9" s="125" t="str">
        <f>IFERROR(($E$39/MIN(($K$21+$K$23),$E$33)),"n/a")</f>
        <v>n/a</v>
      </c>
      <c r="S9" s="124" t="s">
        <v>15</v>
      </c>
      <c r="T9" s="255"/>
      <c r="U9" s="39"/>
    </row>
    <row r="10" spans="1:21" s="1" customFormat="1" ht="18.75" customHeight="1" thickBot="1" x14ac:dyDescent="0.25">
      <c r="A10" s="254"/>
      <c r="B10" s="501" t="s">
        <v>332</v>
      </c>
      <c r="C10" s="502"/>
      <c r="D10" s="614"/>
      <c r="E10" s="615"/>
      <c r="F10" s="615"/>
      <c r="G10" s="615"/>
      <c r="H10" s="615"/>
      <c r="I10" s="616"/>
      <c r="J10" s="145"/>
      <c r="K10" s="146"/>
      <c r="L10" s="146"/>
      <c r="M10" s="146"/>
      <c r="N10" s="146"/>
      <c r="O10" s="593" t="s">
        <v>129</v>
      </c>
      <c r="P10" s="593"/>
      <c r="Q10" s="594"/>
      <c r="R10" s="125">
        <f>IF($K$33&gt;0,$E$39/$K$33,"n/a")</f>
        <v>1.2820512820512822</v>
      </c>
      <c r="S10" s="124" t="s">
        <v>15</v>
      </c>
      <c r="T10" s="255"/>
      <c r="U10" s="39"/>
    </row>
    <row r="11" spans="1:21" s="1" customFormat="1" ht="18.75" customHeight="1" thickBot="1" x14ac:dyDescent="0.25">
      <c r="A11" s="254"/>
      <c r="B11" s="501" t="s">
        <v>333</v>
      </c>
      <c r="C11" s="502"/>
      <c r="D11" s="607" t="s">
        <v>437</v>
      </c>
      <c r="E11" s="608"/>
      <c r="F11" s="609"/>
      <c r="G11" s="151"/>
      <c r="H11" s="143"/>
      <c r="I11" s="143"/>
      <c r="J11" s="143"/>
      <c r="K11" s="146"/>
      <c r="L11" s="146"/>
      <c r="M11" s="146"/>
      <c r="N11" s="146"/>
      <c r="O11" s="143"/>
      <c r="P11" s="143"/>
      <c r="Q11" s="147"/>
      <c r="R11" s="148"/>
      <c r="S11" s="143"/>
      <c r="T11" s="255"/>
      <c r="U11" s="39"/>
    </row>
    <row r="12" spans="1:21" ht="18.75" customHeight="1" x14ac:dyDescent="0.2">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
      </c>
      <c r="Q12" s="631"/>
      <c r="R12" s="631"/>
      <c r="S12" s="631"/>
      <c r="T12" s="253"/>
    </row>
    <row r="13" spans="1:21" ht="18.75" customHeight="1" x14ac:dyDescent="0.2">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16" t="s">
        <v>336</v>
      </c>
      <c r="C17" s="516"/>
      <c r="D17" s="517"/>
      <c r="E17" s="624" t="s">
        <v>435</v>
      </c>
      <c r="F17" s="625"/>
      <c r="G17" s="544" t="str">
        <f>IF(R8&lt;1,"",IF(Strategic_Approach="No","GiA reduced to 45% of maximum to avoid risk of double counting benefits","See guidance.  Evidence provided in the business case"))</f>
        <v>See guidance.  Evidence provided in the business case</v>
      </c>
      <c r="H17" s="544"/>
      <c r="I17" s="544"/>
      <c r="J17" s="544"/>
      <c r="K17" s="155"/>
      <c r="L17" s="155"/>
      <c r="M17" s="144"/>
      <c r="N17" s="144"/>
      <c r="O17" s="144"/>
      <c r="P17" s="144"/>
      <c r="Q17" s="144"/>
      <c r="R17" s="144"/>
      <c r="S17" s="144"/>
      <c r="T17" s="253"/>
    </row>
    <row r="18" spans="1:21" ht="9" customHeight="1" thickBot="1" x14ac:dyDescent="0.25">
      <c r="A18" s="252"/>
      <c r="B18" s="143"/>
      <c r="C18" s="143"/>
      <c r="D18" s="143"/>
      <c r="E18" s="143"/>
      <c r="F18" s="143"/>
      <c r="G18" s="544"/>
      <c r="H18" s="544"/>
      <c r="I18" s="544"/>
      <c r="J18" s="544"/>
      <c r="K18" s="143"/>
      <c r="L18" s="143"/>
      <c r="M18" s="617" t="str">
        <f>IF(R8&lt;1,"",IF(K33&lt;E21,"Insufficient contributions to secure FCERM GiA",IF(K19&lt;1.05,"Review maturity of the risk contingency and any contributions to minimise the risk of exceeding FCERM GiA limits","")))</f>
        <v/>
      </c>
      <c r="N18" s="617"/>
      <c r="O18" s="617"/>
      <c r="P18" s="617"/>
      <c r="Q18" s="617"/>
      <c r="R18" s="617"/>
      <c r="S18" s="144"/>
      <c r="T18" s="253"/>
    </row>
    <row r="19" spans="1:21" ht="18.75" customHeight="1" thickBot="1" x14ac:dyDescent="0.25">
      <c r="A19" s="252"/>
      <c r="B19" s="527" t="s">
        <v>64</v>
      </c>
      <c r="C19" s="527"/>
      <c r="D19" s="528"/>
      <c r="E19" s="620">
        <f>IF(E23="low BCR","n/a",IF(Strategic_Approach="Yes",$E$23/MAX($E$33,$E$31),0.45*$E$23/MAX($E$33,$E$31)))</f>
        <v>119962.64285725269</v>
      </c>
      <c r="F19" s="621"/>
      <c r="G19" s="143"/>
      <c r="H19" s="527" t="s">
        <v>65</v>
      </c>
      <c r="I19" s="527"/>
      <c r="J19" s="528"/>
      <c r="K19" s="622">
        <f>IF(E23="low BCR","n/a",IF(Strategic_Approach="Yes",IF(D11="Environment Agency",E23/MAX(MAX(E33,E31)-K33,1),E19+K33/E31),IF(D11="Environment Agency",E23*0.45/MAX(MAX(E33,E31)-K33,1),E19+K33/E31)))</f>
        <v>1199626.4285725269</v>
      </c>
      <c r="L19" s="623"/>
      <c r="M19" s="617"/>
      <c r="N19" s="617"/>
      <c r="O19" s="617"/>
      <c r="P19" s="617"/>
      <c r="Q19" s="617"/>
      <c r="R19" s="617"/>
      <c r="S19" s="144"/>
      <c r="T19" s="253"/>
    </row>
    <row r="20" spans="1:21" ht="9" customHeight="1" thickBot="1" x14ac:dyDescent="0.25">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25">
      <c r="A21" s="252"/>
      <c r="B21" s="499" t="s">
        <v>130</v>
      </c>
      <c r="C21" s="499"/>
      <c r="D21" s="500"/>
      <c r="E21" s="507">
        <f>IF(E23="low BCR","n/a",ROUNDUP((IF(Strategic_Approach="Yes",MAX(IF(D11="Environment Agency",MAX(E33,E31)-MIN(E23,E33),E31*(1-(E19))),0),IF(D11="Environment Agency",MAX(E33,E31)-MIN(E23*0.45,E33),E31*(1-(E19))))),0))</f>
        <v>0</v>
      </c>
      <c r="F21" s="508"/>
      <c r="G21" s="143"/>
      <c r="H21" s="499" t="s">
        <v>66</v>
      </c>
      <c r="I21" s="499"/>
      <c r="J21" s="500"/>
      <c r="K21" s="535">
        <f>IF(E23="low BCR","n/a",IF(ROUNDUP(K19,4)&lt;100%,0,IF(K32+M32&gt;E31,0,E31-(K32+M32))))</f>
        <v>0</v>
      </c>
      <c r="L21" s="536"/>
      <c r="M21" s="542" t="str">
        <f>IF(R8&lt;1,"",IF(M18="Insufficient contributions to secure FCERM GiA","",IF(K21&gt;E23,"Insufficient eligible FCERM GiA towards cost for approval",IF(K32+M32&gt;=E31,"No FCERM GiA required",""))))</f>
        <v>No FCERM GiA required</v>
      </c>
      <c r="N21" s="543"/>
      <c r="O21" s="543"/>
      <c r="P21" s="543"/>
      <c r="Q21" s="543"/>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16" t="s">
        <v>67</v>
      </c>
      <c r="C23" s="516"/>
      <c r="D23" s="517"/>
      <c r="E23" s="507">
        <f>IF(R8&lt;1,"low BCR",H105)</f>
        <v>1199626.4285725269</v>
      </c>
      <c r="F23" s="508"/>
      <c r="G23" s="143"/>
      <c r="H23" s="499" t="s">
        <v>68</v>
      </c>
      <c r="I23" s="499"/>
      <c r="J23" s="500"/>
      <c r="K23" s="535">
        <f>IF(E23="low BCR","n/a",IF(D11="Environment Agency",(IF(ROUNDUP(K19,4)&lt;100%,0,IF(E32-O32&gt;E23,0,IF(O32&lt;E32,E32-O32,0)))),0))</f>
        <v>0</v>
      </c>
      <c r="L23" s="536"/>
      <c r="M23" s="533" t="str">
        <f>IF(K23="n/a","",IF(D11="Environment Agency",IF(E32-O32&gt;E23,"Insufficient eligible FCERM GiA towards future costs",""),"Other RMAs not eligible for FCERM GiA towards future costs"))</f>
        <v/>
      </c>
      <c r="N23" s="534"/>
      <c r="O23" s="534"/>
      <c r="P23" s="534"/>
      <c r="Q23" s="534"/>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
      <c r="A26" s="252"/>
      <c r="B26" s="140"/>
      <c r="C26" s="140"/>
      <c r="D26" s="140"/>
      <c r="E26" s="140"/>
      <c r="F26" s="140"/>
      <c r="G26" s="140"/>
      <c r="H26" s="157"/>
      <c r="I26" s="140"/>
      <c r="J26" s="140"/>
      <c r="K26" s="539" t="s">
        <v>100</v>
      </c>
      <c r="L26" s="539"/>
      <c r="M26" s="539" t="s">
        <v>98</v>
      </c>
      <c r="N26" s="539"/>
      <c r="O26" s="539" t="s">
        <v>99</v>
      </c>
      <c r="P26" s="539"/>
      <c r="Q26" s="140"/>
      <c r="R26" s="140"/>
      <c r="S26" s="140"/>
      <c r="T26" s="253"/>
    </row>
    <row r="27" spans="1:21" ht="18.75" customHeight="1" thickBot="1" x14ac:dyDescent="0.25">
      <c r="A27" s="252"/>
      <c r="B27" s="600" t="str">
        <f>IF(OR(M7="Pre-SOC",M7="SOC",M7="Change (before OBC)",M7="OBC"),"Estimated project costs","Project costs")</f>
        <v>Estimated project costs</v>
      </c>
      <c r="C27" s="600"/>
      <c r="D27" s="600"/>
      <c r="E27" s="601" t="s">
        <v>97</v>
      </c>
      <c r="F27" s="601"/>
      <c r="G27" s="140"/>
      <c r="H27" s="541" t="str">
        <f>IF(M7="Pre-SOC","Estimated contributions",IF(OR(M7="Pre-SOC",M7="SOC",M7="Change (before OBC)",M7="OBC"),"Contributions proposed to date","Contributions secured to date"))</f>
        <v>Contributions proposed to date</v>
      </c>
      <c r="I27" s="541"/>
      <c r="J27" s="541"/>
      <c r="K27" s="540"/>
      <c r="L27" s="540"/>
      <c r="M27" s="540"/>
      <c r="N27" s="540"/>
      <c r="O27" s="540"/>
      <c r="P27" s="540"/>
      <c r="Q27" s="140"/>
      <c r="R27" s="140"/>
      <c r="S27" s="140"/>
      <c r="T27" s="253"/>
    </row>
    <row r="28" spans="1:21" s="1" customFormat="1" ht="18.75" customHeight="1" thickBot="1" x14ac:dyDescent="0.25">
      <c r="A28" s="254"/>
      <c r="B28" s="499" t="s">
        <v>337</v>
      </c>
      <c r="C28" s="499"/>
      <c r="D28" s="500"/>
      <c r="E28" s="513">
        <v>1</v>
      </c>
      <c r="F28" s="514"/>
      <c r="G28" s="143"/>
      <c r="H28" s="499" t="s">
        <v>341</v>
      </c>
      <c r="I28" s="499"/>
      <c r="J28" s="515"/>
      <c r="K28" s="503">
        <v>1</v>
      </c>
      <c r="L28" s="504"/>
      <c r="M28" s="503">
        <v>2</v>
      </c>
      <c r="N28" s="504"/>
      <c r="O28" s="503">
        <v>3</v>
      </c>
      <c r="P28" s="504"/>
      <c r="Q28" s="555" t="s">
        <v>368</v>
      </c>
      <c r="R28" s="555"/>
      <c r="S28" s="555"/>
      <c r="T28" s="253"/>
      <c r="U28" s="39"/>
    </row>
    <row r="29" spans="1:21" s="1" customFormat="1" ht="18.75" customHeight="1" thickBot="1" x14ac:dyDescent="0.25">
      <c r="A29" s="254"/>
      <c r="B29" s="499" t="s">
        <v>338</v>
      </c>
      <c r="C29" s="499"/>
      <c r="D29" s="500"/>
      <c r="E29" s="513">
        <v>2</v>
      </c>
      <c r="F29" s="514"/>
      <c r="G29" s="143"/>
      <c r="H29" s="499" t="s">
        <v>342</v>
      </c>
      <c r="I29" s="499"/>
      <c r="J29" s="515"/>
      <c r="K29" s="503">
        <v>4</v>
      </c>
      <c r="L29" s="504"/>
      <c r="M29" s="503">
        <v>5</v>
      </c>
      <c r="N29" s="504"/>
      <c r="O29" s="503">
        <v>6</v>
      </c>
      <c r="P29" s="504"/>
      <c r="Q29" s="549"/>
      <c r="R29" s="550"/>
      <c r="S29" s="551"/>
      <c r="T29" s="253"/>
      <c r="U29" s="39"/>
    </row>
    <row r="30" spans="1:21" s="1" customFormat="1" ht="18.75" customHeight="1" thickBot="1" x14ac:dyDescent="0.25">
      <c r="A30" s="254"/>
      <c r="B30" s="499" t="s">
        <v>339</v>
      </c>
      <c r="C30" s="499"/>
      <c r="D30" s="500"/>
      <c r="E30" s="513">
        <v>3</v>
      </c>
      <c r="F30" s="514"/>
      <c r="G30" s="143"/>
      <c r="H30" s="499" t="s">
        <v>343</v>
      </c>
      <c r="I30" s="499"/>
      <c r="J30" s="515"/>
      <c r="K30" s="503">
        <v>7</v>
      </c>
      <c r="L30" s="504"/>
      <c r="M30" s="503">
        <v>8</v>
      </c>
      <c r="N30" s="504"/>
      <c r="O30" s="503">
        <v>9</v>
      </c>
      <c r="P30" s="504"/>
      <c r="Q30" s="549"/>
      <c r="R30" s="550"/>
      <c r="S30" s="551"/>
      <c r="T30" s="255"/>
      <c r="U30" s="39"/>
    </row>
    <row r="31" spans="1:21" s="1" customFormat="1" ht="18.75" customHeight="1" thickBot="1" x14ac:dyDescent="0.25">
      <c r="A31" s="254"/>
      <c r="B31" s="501" t="s">
        <v>69</v>
      </c>
      <c r="C31" s="501"/>
      <c r="D31" s="502"/>
      <c r="E31" s="511">
        <f>SUM(E28:E30)</f>
        <v>6</v>
      </c>
      <c r="F31" s="512"/>
      <c r="G31" s="143"/>
      <c r="H31" s="499" t="s">
        <v>344</v>
      </c>
      <c r="I31" s="499"/>
      <c r="J31" s="515"/>
      <c r="K31" s="505">
        <v>10</v>
      </c>
      <c r="L31" s="506"/>
      <c r="M31" s="505">
        <v>11</v>
      </c>
      <c r="N31" s="506"/>
      <c r="O31" s="505">
        <v>12</v>
      </c>
      <c r="P31" s="506"/>
      <c r="Q31" s="552"/>
      <c r="R31" s="553"/>
      <c r="S31" s="554"/>
      <c r="T31" s="255"/>
      <c r="U31" s="39"/>
    </row>
    <row r="32" spans="1:21" s="1" customFormat="1" ht="18.75" customHeight="1" thickBot="1" x14ac:dyDescent="0.25">
      <c r="A32" s="254"/>
      <c r="B32" s="499" t="s">
        <v>340</v>
      </c>
      <c r="C32" s="499"/>
      <c r="D32" s="500"/>
      <c r="E32" s="513">
        <v>4</v>
      </c>
      <c r="F32" s="514"/>
      <c r="G32" s="143"/>
      <c r="H32" s="516" t="s">
        <v>70</v>
      </c>
      <c r="I32" s="516"/>
      <c r="J32" s="517"/>
      <c r="K32" s="509">
        <f>SUM(K28:L31)</f>
        <v>22</v>
      </c>
      <c r="L32" s="510"/>
      <c r="M32" s="509">
        <f>SUM(M28:N31)</f>
        <v>26</v>
      </c>
      <c r="N32" s="510"/>
      <c r="O32" s="509">
        <f>SUM(O28:P31)</f>
        <v>30</v>
      </c>
      <c r="P32" s="510"/>
      <c r="Q32" s="143"/>
      <c r="R32" s="143"/>
      <c r="S32" s="143"/>
      <c r="T32" s="255"/>
      <c r="U32" s="39"/>
    </row>
    <row r="33" spans="1:32" s="1" customFormat="1" ht="18.75" customHeight="1" thickBot="1" x14ac:dyDescent="0.25">
      <c r="A33" s="254"/>
      <c r="B33" s="499" t="s">
        <v>147</v>
      </c>
      <c r="C33" s="499"/>
      <c r="D33" s="500"/>
      <c r="E33" s="507">
        <f>SUM(E31:F32)</f>
        <v>10</v>
      </c>
      <c r="F33" s="508"/>
      <c r="G33" s="143"/>
      <c r="H33" s="499" t="s">
        <v>71</v>
      </c>
      <c r="I33" s="499"/>
      <c r="J33" s="500"/>
      <c r="K33" s="507">
        <f>IF(D11="Environment Agency",K32+M32+O32,K32+M32)</f>
        <v>78</v>
      </c>
      <c r="L33" s="508"/>
      <c r="M33" s="544" t="str">
        <f>IF(E32&gt;0,IF(D11="Environment Agency","","Contributions to future costs are not included in GiA calculation.  Other RMAs are encouraged to secure contributions towards future costs, separately"),"")</f>
        <v/>
      </c>
      <c r="N33" s="544"/>
      <c r="O33" s="544"/>
      <c r="P33" s="544"/>
      <c r="Q33" s="544"/>
      <c r="R33" s="544"/>
      <c r="S33" s="544"/>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545"/>
      <c r="N34" s="545"/>
      <c r="O34" s="545"/>
      <c r="P34" s="545"/>
      <c r="Q34" s="545"/>
      <c r="R34" s="545"/>
      <c r="S34" s="545"/>
      <c r="T34" s="253"/>
      <c r="Z34" s="312"/>
      <c r="AA34" s="312"/>
      <c r="AB34" s="312"/>
      <c r="AC34" s="312"/>
      <c r="AD34" s="312"/>
      <c r="AE34" s="312"/>
      <c r="AF34" s="9"/>
    </row>
    <row r="35" spans="1:32" ht="18.75" customHeight="1" x14ac:dyDescent="0.2">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499" t="s">
        <v>345</v>
      </c>
      <c r="C37" s="499"/>
      <c r="D37" s="500"/>
      <c r="E37" s="513">
        <v>100</v>
      </c>
      <c r="F37" s="514"/>
      <c r="G37" s="143"/>
      <c r="H37" s="537" t="s">
        <v>346</v>
      </c>
      <c r="I37" s="537"/>
      <c r="J37" s="538"/>
      <c r="K37" s="267" t="s">
        <v>435</v>
      </c>
      <c r="L37" s="533" t="str">
        <f>IF(OR(M7="Pre-SOC",M7="SOC",M7="Change (before OBC)"),"Not required",IF(K37="No","By not completing the economic summary sheet FCERM GiA may be delayed",""))</f>
        <v/>
      </c>
      <c r="M37" s="534"/>
      <c r="N37" s="534"/>
      <c r="O37" s="534"/>
      <c r="P37" s="534"/>
      <c r="Q37" s="534"/>
      <c r="R37" s="534"/>
      <c r="S37" s="159"/>
      <c r="T37" s="255"/>
      <c r="U37" s="39"/>
    </row>
    <row r="38" spans="1:32" s="1" customFormat="1" ht="18.75" customHeight="1" thickBot="1" x14ac:dyDescent="0.25">
      <c r="A38" s="254"/>
      <c r="B38" s="527" t="s">
        <v>369</v>
      </c>
      <c r="C38" s="527"/>
      <c r="D38" s="528"/>
      <c r="E38" s="531">
        <v>100</v>
      </c>
      <c r="F38" s="532"/>
      <c r="G38" s="143"/>
      <c r="H38" s="499" t="s">
        <v>347</v>
      </c>
      <c r="I38" s="499"/>
      <c r="J38" s="500"/>
      <c r="K38" s="267" t="s">
        <v>94</v>
      </c>
      <c r="L38" s="518" t="str">
        <f>IF(OR(M7="Pre-SOC",M7="SOC",M7="Change (before OBC)"),"Not required",IF(K38="No","Economic data (annual benefits and costs) for all short-list options is required in business cases from OBC onwards",""))</f>
        <v>Economic data (annual benefits and costs) for all short-list options is required in business cases from OBC onwards</v>
      </c>
      <c r="M38" s="519"/>
      <c r="N38" s="519"/>
      <c r="O38" s="519"/>
      <c r="P38" s="519"/>
      <c r="Q38" s="519"/>
      <c r="R38" s="519"/>
      <c r="S38" s="159"/>
      <c r="T38" s="255"/>
      <c r="U38" s="39"/>
    </row>
    <row r="39" spans="1:32" s="1" customFormat="1" ht="18.75" customHeight="1" thickBot="1" x14ac:dyDescent="0.25">
      <c r="A39" s="254"/>
      <c r="B39" s="527" t="s">
        <v>370</v>
      </c>
      <c r="C39" s="527"/>
      <c r="D39" s="528"/>
      <c r="E39" s="556">
        <v>100</v>
      </c>
      <c r="F39" s="557"/>
      <c r="G39" s="522" t="str">
        <f>IF(OR(M7="OBC",M7="FBC",M7="Change (after OBC)"),IF(E39='Economic summary'!B12,"","OM1a not equal to Economic summary"),"")</f>
        <v>OM1a not equal to Economic summary</v>
      </c>
      <c r="H39" s="523"/>
      <c r="I39" s="523"/>
      <c r="J39" s="523"/>
      <c r="K39" s="158"/>
      <c r="L39" s="519"/>
      <c r="M39" s="519"/>
      <c r="N39" s="519"/>
      <c r="O39" s="519"/>
      <c r="P39" s="519"/>
      <c r="Q39" s="519"/>
      <c r="R39" s="519"/>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638" t="s">
        <v>371</v>
      </c>
      <c r="C41" s="638"/>
      <c r="D41" s="638"/>
      <c r="E41" s="558">
        <v>100</v>
      </c>
      <c r="F41" s="559"/>
      <c r="G41" s="143"/>
      <c r="H41" s="179"/>
      <c r="I41" s="179"/>
      <c r="J41" s="179"/>
      <c r="K41" s="179"/>
      <c r="L41" s="180"/>
      <c r="M41" s="180"/>
      <c r="N41" s="180"/>
      <c r="O41" s="180"/>
      <c r="P41" s="180"/>
      <c r="Q41" s="180"/>
      <c r="R41" s="180"/>
      <c r="S41" s="143"/>
      <c r="T41" s="253"/>
    </row>
    <row r="42" spans="1:32" ht="13.5" customHeight="1" thickBot="1" x14ac:dyDescent="0.25">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16" t="s">
        <v>132</v>
      </c>
      <c r="C45" s="516"/>
      <c r="D45" s="516"/>
      <c r="E45" s="516"/>
      <c r="F45" s="521" t="s">
        <v>72</v>
      </c>
      <c r="G45" s="521"/>
      <c r="H45" s="521"/>
      <c r="I45" s="521"/>
      <c r="J45" s="521"/>
      <c r="K45" s="143"/>
      <c r="L45" s="521" t="s">
        <v>73</v>
      </c>
      <c r="M45" s="521"/>
      <c r="N45" s="521"/>
      <c r="O45" s="521"/>
      <c r="P45" s="521"/>
      <c r="Q45" s="143"/>
      <c r="R45" s="546" t="s">
        <v>74</v>
      </c>
      <c r="S45" s="546"/>
      <c r="T45" s="253"/>
    </row>
    <row r="46" spans="1:32" s="1" customFormat="1" ht="18.75" customHeight="1" thickBot="1" x14ac:dyDescent="0.25">
      <c r="A46" s="256"/>
      <c r="B46" s="499" t="s">
        <v>348</v>
      </c>
      <c r="C46" s="499"/>
      <c r="D46" s="499"/>
      <c r="E46" s="515"/>
      <c r="F46" s="126"/>
      <c r="G46" s="102">
        <v>10</v>
      </c>
      <c r="H46" s="102">
        <v>11</v>
      </c>
      <c r="I46" s="102">
        <v>12</v>
      </c>
      <c r="J46" s="102">
        <v>13</v>
      </c>
      <c r="K46" s="143"/>
      <c r="L46" s="127" t="str">
        <f>IF(SUM(G46:J46)&lt;&gt;SUM(F51:J51),"n/a",F51)</f>
        <v>n/a</v>
      </c>
      <c r="M46" s="127" t="str">
        <f>IF(SUM(G46:J46)&lt;&gt;SUM(F51:J51),"n/a",G51-G46)</f>
        <v>n/a</v>
      </c>
      <c r="N46" s="127" t="str">
        <f>IF(SUM(G46:J46)&lt;&gt;SUM(F51:J51),"n/a",H51-H46)</f>
        <v>n/a</v>
      </c>
      <c r="O46" s="127" t="str">
        <f>IF(SUM(G46:J46)&lt;&gt;SUM(F51:J51),"n/a",I51-I46)</f>
        <v>n/a</v>
      </c>
      <c r="P46" s="127" t="str">
        <f>IF(SUM(G46:J46)&lt;&gt;SUM(F51:J51),"n/a",J51-J46)</f>
        <v>n/a</v>
      </c>
      <c r="Q46" s="143"/>
      <c r="R46" s="509">
        <f>-(SUMPRODUCT($M$46:$P$46,$M$52:$P$52))*(VLOOKUP($E$38,'Policy assumptions and formulae'!A10:D109,4,FALSE))</f>
        <v>0</v>
      </c>
      <c r="S46" s="547"/>
      <c r="T46" s="255"/>
      <c r="U46" s="39"/>
    </row>
    <row r="47" spans="1:32" s="1" customFormat="1" ht="18.75" customHeight="1" thickBot="1" x14ac:dyDescent="0.25">
      <c r="A47" s="256"/>
      <c r="B47" s="499" t="s">
        <v>349</v>
      </c>
      <c r="C47" s="499"/>
      <c r="D47" s="499"/>
      <c r="E47" s="515"/>
      <c r="F47" s="126"/>
      <c r="G47" s="102">
        <v>20</v>
      </c>
      <c r="H47" s="102">
        <v>21</v>
      </c>
      <c r="I47" s="102">
        <v>22</v>
      </c>
      <c r="J47" s="102">
        <v>23</v>
      </c>
      <c r="K47" s="143"/>
      <c r="L47" s="127" t="str">
        <f>IF(SUM(G47:J47)&lt;&gt;SUM(F52:J52),"n/a",F52)</f>
        <v>n/a</v>
      </c>
      <c r="M47" s="127" t="str">
        <f>IF(SUM(G47:J47)&lt;&gt;SUM(F52:J52),"n/a",G52-G47)</f>
        <v>n/a</v>
      </c>
      <c r="N47" s="127" t="str">
        <f>IF(SUM(G47:J47)&lt;&gt;SUM(F52:J52),"n/a",H52-H47)</f>
        <v>n/a</v>
      </c>
      <c r="O47" s="127" t="str">
        <f>IF(SUM(G47:J47)&lt;&gt;SUM(F52:J52),"n/a",I52-I47)</f>
        <v>n/a</v>
      </c>
      <c r="P47" s="127" t="str">
        <f>IF(SUM(G47:J47)&lt;&gt;SUM(F52:J52),"n/a",J52-J47)</f>
        <v>n/a</v>
      </c>
      <c r="Q47" s="143"/>
      <c r="R47" s="509">
        <f>-(SUMPRODUCT($M$47:$P$47,$M$52:$P$52))*(VLOOKUP($E$38,'Policy assumptions and formulae'!A10:D109,4,FALSE))</f>
        <v>0</v>
      </c>
      <c r="S47" s="547"/>
      <c r="T47" s="255"/>
      <c r="U47" s="39"/>
    </row>
    <row r="48" spans="1:32" s="1" customFormat="1" ht="18.75" customHeight="1" thickBot="1" x14ac:dyDescent="0.25">
      <c r="A48" s="256"/>
      <c r="B48" s="499" t="s">
        <v>350</v>
      </c>
      <c r="C48" s="499"/>
      <c r="D48" s="499"/>
      <c r="E48" s="515"/>
      <c r="F48" s="126"/>
      <c r="G48" s="102">
        <v>30</v>
      </c>
      <c r="H48" s="102">
        <v>31</v>
      </c>
      <c r="I48" s="102">
        <v>32</v>
      </c>
      <c r="J48" s="102">
        <v>33</v>
      </c>
      <c r="K48" s="143"/>
      <c r="L48" s="127" t="str">
        <f>IF(SUM(G48:J48)&lt;&gt;SUM(F53:J53),"n/a",F53)</f>
        <v>n/a</v>
      </c>
      <c r="M48" s="127" t="str">
        <f>IF(SUM(G48:J48)&lt;&gt;SUM(F53:J53),"n/a",G53-G48)</f>
        <v>n/a</v>
      </c>
      <c r="N48" s="127" t="str">
        <f>IF(SUM(G48:J48)&lt;&gt;SUM(F53:J53),"n/a",H53-H48)</f>
        <v>n/a</v>
      </c>
      <c r="O48" s="127" t="str">
        <f>IF(SUM(G48:J48)&lt;&gt;SUM(F53:J53),"n/a",I53-I48)</f>
        <v>n/a</v>
      </c>
      <c r="P48" s="127" t="str">
        <f>IF(SUM(G48:J48)&lt;&gt;SUM(F53:J53),"n/a",J53-J48)</f>
        <v>n/a</v>
      </c>
      <c r="Q48" s="143"/>
      <c r="R48" s="509">
        <f>-(SUMPRODUCT($M$48:$P$48,$M$52:$P$52))*(VLOOKUP($E$38,'Policy assumptions and formulae'!A10:D109,4,FALSE))</f>
        <v>0</v>
      </c>
      <c r="S48" s="547"/>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
      <c r="A51" s="252"/>
      <c r="B51" s="499" t="s">
        <v>348</v>
      </c>
      <c r="C51" s="499"/>
      <c r="D51" s="499"/>
      <c r="E51" s="515"/>
      <c r="F51" s="102">
        <v>1</v>
      </c>
      <c r="G51" s="102">
        <v>2</v>
      </c>
      <c r="H51" s="102">
        <v>3</v>
      </c>
      <c r="I51" s="102">
        <v>4</v>
      </c>
      <c r="J51" s="102">
        <v>1</v>
      </c>
      <c r="K51" s="143"/>
      <c r="L51" s="581"/>
      <c r="M51" s="581"/>
      <c r="N51" s="581"/>
      <c r="O51" s="581"/>
      <c r="P51" s="581"/>
      <c r="Q51" s="140"/>
      <c r="R51" s="140"/>
      <c r="S51" s="140"/>
      <c r="T51" s="253"/>
    </row>
    <row r="52" spans="1:21" ht="18.75" customHeight="1" x14ac:dyDescent="0.2">
      <c r="A52" s="252"/>
      <c r="B52" s="499" t="s">
        <v>349</v>
      </c>
      <c r="C52" s="499"/>
      <c r="D52" s="499"/>
      <c r="E52" s="515"/>
      <c r="F52" s="102">
        <v>10</v>
      </c>
      <c r="G52" s="102">
        <v>11</v>
      </c>
      <c r="H52" s="102">
        <v>12</v>
      </c>
      <c r="I52" s="102">
        <v>13</v>
      </c>
      <c r="J52" s="102">
        <v>1</v>
      </c>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499" t="s">
        <v>351</v>
      </c>
      <c r="C53" s="499"/>
      <c r="D53" s="499"/>
      <c r="E53" s="515"/>
      <c r="F53" s="102">
        <v>20</v>
      </c>
      <c r="G53" s="102">
        <v>21</v>
      </c>
      <c r="H53" s="102">
        <v>22</v>
      </c>
      <c r="I53" s="102">
        <v>23</v>
      </c>
      <c r="J53" s="102">
        <v>1</v>
      </c>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Error. Total households at risk today and at risk after project completion are not equal.</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560" t="s">
        <v>182</v>
      </c>
      <c r="M54" s="560"/>
      <c r="N54" s="560"/>
      <c r="O54" s="560"/>
      <c r="P54" s="560"/>
      <c r="Q54" s="560"/>
      <c r="R54" s="560"/>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568" t="s">
        <v>392</v>
      </c>
      <c r="C58" s="568"/>
      <c r="D58" s="568"/>
      <c r="E58" s="651"/>
      <c r="F58" s="652"/>
      <c r="G58" s="162" t="str">
        <f>IF($E$58+$E$38&lt;2040,"OM2 (2040) FCERM GiA eligibility is not applicable","")</f>
        <v>OM2 (2040) FCERM GiA eligibility is not applicable</v>
      </c>
      <c r="H58" s="143"/>
      <c r="I58" s="143"/>
      <c r="J58" s="143"/>
      <c r="K58" s="143"/>
      <c r="L58" s="143"/>
      <c r="M58" s="143"/>
      <c r="N58" s="143"/>
      <c r="O58" s="143"/>
      <c r="P58" s="143"/>
      <c r="Q58" s="143"/>
      <c r="R58" s="143"/>
      <c r="S58" s="143"/>
      <c r="T58" s="255"/>
      <c r="U58" s="39"/>
    </row>
    <row r="59" spans="1:21" ht="7.5" customHeight="1" x14ac:dyDescent="0.2">
      <c r="A59" s="252"/>
      <c r="B59" s="568"/>
      <c r="C59" s="568"/>
      <c r="D59" s="568"/>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16" t="s">
        <v>132</v>
      </c>
      <c r="C60" s="516"/>
      <c r="D60" s="516"/>
      <c r="E60" s="516"/>
      <c r="F60" s="521" t="s">
        <v>78</v>
      </c>
      <c r="G60" s="521"/>
      <c r="H60" s="521"/>
      <c r="I60" s="521"/>
      <c r="J60" s="521"/>
      <c r="K60" s="143"/>
      <c r="L60" s="521" t="s">
        <v>73</v>
      </c>
      <c r="M60" s="521"/>
      <c r="N60" s="521"/>
      <c r="O60" s="521"/>
      <c r="P60" s="521"/>
      <c r="Q60" s="143"/>
      <c r="R60" s="546" t="s">
        <v>74</v>
      </c>
      <c r="S60" s="546"/>
      <c r="T60" s="253"/>
    </row>
    <row r="61" spans="1:21" ht="18.75" customHeight="1" thickBot="1" x14ac:dyDescent="0.25">
      <c r="A61" s="252"/>
      <c r="B61" s="499" t="s">
        <v>348</v>
      </c>
      <c r="C61" s="499"/>
      <c r="D61" s="499"/>
      <c r="E61" s="515"/>
      <c r="F61" s="126"/>
      <c r="G61" s="103"/>
      <c r="H61" s="103"/>
      <c r="I61" s="103"/>
      <c r="J61" s="103"/>
      <c r="K61" s="143"/>
      <c r="L61" s="127">
        <f>IF(SUM(G61:J61)&lt;&gt;SUM(F66:J66),"n/a",F66)</f>
        <v>0</v>
      </c>
      <c r="M61" s="127">
        <f>IF(SUM(G61:J61)&lt;&gt;SUM(F66:J66),"n/a",G66-G61)</f>
        <v>0</v>
      </c>
      <c r="N61" s="127">
        <f>IF(SUM(G61:J61)&lt;&gt;SUM(F66:J66),"n/a",H66-H61)</f>
        <v>0</v>
      </c>
      <c r="O61" s="127">
        <f>IF(SUM(G61:J61)&lt;&gt;SUM(F66:J66),"n/a",I66-I61)</f>
        <v>0</v>
      </c>
      <c r="P61" s="127">
        <f>IF(SUM(G61:J61)&lt;&gt;SUM(F66:J66),"n/a",J66-J61)</f>
        <v>0</v>
      </c>
      <c r="Q61" s="143"/>
      <c r="R61" s="509" t="str">
        <f>IF($E$58+$E$38&lt;2041,"Ltd by DoB",(-SUMPRODUCT($M$61:$P$61,$M$67:$P$67)*VLOOKUP($E$38,'Policy assumptions and formulae'!$A$10:$D$109,4,FALSE))-(-SUMPRODUCT($M$61:$P$61,$M$67:$P$67)*VLOOKUP((2040-$E$58),'Policy assumptions and formulae'!$A$10:$D$109,4,FALSE)))</f>
        <v>Ltd by DoB</v>
      </c>
      <c r="S61" s="547"/>
      <c r="T61" s="253"/>
    </row>
    <row r="62" spans="1:21" ht="18.75" customHeight="1" thickBot="1" x14ac:dyDescent="0.25">
      <c r="A62" s="252"/>
      <c r="B62" s="499" t="s">
        <v>349</v>
      </c>
      <c r="C62" s="499"/>
      <c r="D62" s="499"/>
      <c r="E62" s="515"/>
      <c r="F62" s="126"/>
      <c r="G62" s="103"/>
      <c r="H62" s="103"/>
      <c r="I62" s="103"/>
      <c r="J62" s="103"/>
      <c r="K62" s="143"/>
      <c r="L62" s="127">
        <f>IF(SUM(G62:J62)&lt;&gt;SUM(F67:J67),"n/a",F67)</f>
        <v>0</v>
      </c>
      <c r="M62" s="127">
        <f>IF(SUM(G62:J62)&lt;&gt;SUM(F67:J67),"n/a",G67-G62)</f>
        <v>0</v>
      </c>
      <c r="N62" s="127">
        <f>IF(SUM(G62:J62)&lt;&gt;SUM(F67:J67),"n/a",H67-H62)</f>
        <v>0</v>
      </c>
      <c r="O62" s="127">
        <f>IF(SUM(G62:J62)&lt;&gt;SUM(F67:J67),"n/a",I67-I62)</f>
        <v>0</v>
      </c>
      <c r="P62" s="127">
        <f>IF(SUM(G62:J62)&lt;&gt;SUM(F67:J67),"n/a",J67-J62)</f>
        <v>0</v>
      </c>
      <c r="Q62" s="143"/>
      <c r="R62" s="509" t="str">
        <f>IF($E$58+$E$38&lt;2041,"Ltd by DoB",(-SUMPRODUCT($M$62:$P$62,$M$67:$P$67)*VLOOKUP($E$38,'Policy assumptions and formulae'!$A$10:$D$109,4,FALSE))-(-SUMPRODUCT($M$62:$P$62,$M$67:$P$67)*VLOOKUP((2040-$E$58),'Policy assumptions and formulae'!$A$10:$D$109,4,FALSE)))</f>
        <v>Ltd by DoB</v>
      </c>
      <c r="S62" s="547"/>
      <c r="T62" s="253"/>
    </row>
    <row r="63" spans="1:21" ht="18.75" customHeight="1" thickBot="1" x14ac:dyDescent="0.25">
      <c r="A63" s="252"/>
      <c r="B63" s="499" t="s">
        <v>350</v>
      </c>
      <c r="C63" s="499"/>
      <c r="D63" s="499"/>
      <c r="E63" s="515"/>
      <c r="F63" s="126"/>
      <c r="G63" s="103"/>
      <c r="H63" s="103"/>
      <c r="I63" s="103"/>
      <c r="J63" s="103"/>
      <c r="K63" s="143"/>
      <c r="L63" s="127">
        <f>IF(SUM(G63:J63)&lt;&gt;SUM(F68:J68),"n/a",F68)</f>
        <v>0</v>
      </c>
      <c r="M63" s="127">
        <f>IF(SUM(G63:J63)&lt;&gt;SUM(F68:J68),"n/a",G68-G63)</f>
        <v>0</v>
      </c>
      <c r="N63" s="127">
        <f>IF(SUM(G63:J63)&lt;&gt;SUM(F68:J68),"n/a",H68-H63)</f>
        <v>0</v>
      </c>
      <c r="O63" s="127">
        <f>IF(SUM(G63:J63)&lt;&gt;SUM(F68:J68),"n/a",I68-I63)</f>
        <v>0</v>
      </c>
      <c r="P63" s="127">
        <f>IF(SUM(G63:J63)&lt;&gt;SUM(F68:J68),"n/a",J68-J63)</f>
        <v>0</v>
      </c>
      <c r="Q63" s="143"/>
      <c r="R63" s="509" t="str">
        <f>IF($E$58+$E$38&lt;2041,"Ltd by DoB",(-SUMPRODUCT($M$63:$P$63,$M$67:$P$67)*VLOOKUP($E$38,'Policy assumptions and formulae'!$A$10:$D$109,4,FALSE))-(-SUMPRODUCT($M$63:$P$63,$M$67:$P$67)*VLOOKUP((2040-$E$58),'Policy assumptions and formulae'!$A$10:$D$109,4,FALSE)))</f>
        <v>Ltd by DoB</v>
      </c>
      <c r="S63" s="547"/>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
      <c r="A66" s="252"/>
      <c r="B66" s="499" t="s">
        <v>348</v>
      </c>
      <c r="C66" s="499"/>
      <c r="D66" s="499"/>
      <c r="E66" s="515"/>
      <c r="F66" s="103"/>
      <c r="G66" s="103"/>
      <c r="H66" s="103"/>
      <c r="I66" s="103"/>
      <c r="J66" s="103"/>
      <c r="K66" s="143"/>
      <c r="L66" s="581"/>
      <c r="M66" s="581"/>
      <c r="N66" s="581"/>
      <c r="O66" s="581"/>
      <c r="P66" s="581"/>
      <c r="Q66" s="143"/>
      <c r="R66" s="143"/>
      <c r="S66" s="143"/>
      <c r="T66" s="253"/>
    </row>
    <row r="67" spans="1:21" ht="18.75" customHeight="1" x14ac:dyDescent="0.2">
      <c r="A67" s="252"/>
      <c r="B67" s="499" t="s">
        <v>349</v>
      </c>
      <c r="C67" s="499"/>
      <c r="D67" s="499"/>
      <c r="E67" s="515"/>
      <c r="F67" s="103"/>
      <c r="G67" s="103"/>
      <c r="H67" s="103"/>
      <c r="I67" s="103"/>
      <c r="J67" s="103"/>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499" t="s">
        <v>350</v>
      </c>
      <c r="C68" s="499"/>
      <c r="D68" s="499"/>
      <c r="E68" s="515"/>
      <c r="F68" s="103"/>
      <c r="G68" s="103"/>
      <c r="H68" s="103"/>
      <c r="I68" s="103"/>
      <c r="J68" s="103"/>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560" t="s">
        <v>182</v>
      </c>
      <c r="M69" s="560"/>
      <c r="N69" s="560"/>
      <c r="O69" s="560"/>
      <c r="P69" s="560"/>
      <c r="Q69" s="560"/>
      <c r="R69" s="560"/>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16" t="s">
        <v>132</v>
      </c>
      <c r="C73" s="516"/>
      <c r="D73" s="516"/>
      <c r="E73" s="516"/>
      <c r="F73" s="521" t="s">
        <v>72</v>
      </c>
      <c r="G73" s="521"/>
      <c r="H73" s="143"/>
      <c r="I73" s="143"/>
      <c r="J73" s="640" t="s">
        <v>122</v>
      </c>
      <c r="K73" s="640"/>
      <c r="L73" s="640"/>
      <c r="M73" s="640"/>
      <c r="N73" s="143"/>
      <c r="O73" s="143"/>
      <c r="P73" s="143"/>
      <c r="Q73" s="143"/>
      <c r="R73" s="546" t="s">
        <v>74</v>
      </c>
      <c r="S73" s="546"/>
      <c r="T73" s="253"/>
    </row>
    <row r="74" spans="1:21" s="1" customFormat="1" ht="18.75" customHeight="1" thickBot="1" x14ac:dyDescent="0.2">
      <c r="A74" s="254"/>
      <c r="B74" s="499" t="s">
        <v>348</v>
      </c>
      <c r="C74" s="499"/>
      <c r="D74" s="499"/>
      <c r="E74" s="515"/>
      <c r="F74" s="103">
        <v>1</v>
      </c>
      <c r="G74" s="103">
        <v>2</v>
      </c>
      <c r="H74" s="143"/>
      <c r="I74" s="143"/>
      <c r="J74" s="529" t="s">
        <v>123</v>
      </c>
      <c r="K74" s="529"/>
      <c r="L74" s="529"/>
      <c r="M74" s="530"/>
      <c r="N74" s="129">
        <f>'Policy assumptions and formulae'!$AJ$7</f>
        <v>6800</v>
      </c>
      <c r="O74" s="129">
        <f>'Policy assumptions and formulae'!$AJ$7</f>
        <v>6800</v>
      </c>
      <c r="P74" s="165"/>
      <c r="Q74" s="143"/>
      <c r="R74" s="509">
        <f>SUMPRODUCT($N$76:$O$76,$F$74:$G$74)*VLOOKUP($E$38,'Policy assumptions and formulae'!$A$10:$D$109,4,FALSE)</f>
        <v>244171.29545169987</v>
      </c>
      <c r="S74" s="510"/>
      <c r="T74" s="255"/>
      <c r="U74" s="39"/>
    </row>
    <row r="75" spans="1:21" s="1" customFormat="1" ht="18.75" customHeight="1" thickBot="1" x14ac:dyDescent="0.2">
      <c r="A75" s="254"/>
      <c r="B75" s="499" t="s">
        <v>349</v>
      </c>
      <c r="C75" s="499"/>
      <c r="D75" s="499"/>
      <c r="E75" s="515"/>
      <c r="F75" s="103">
        <v>3</v>
      </c>
      <c r="G75" s="103">
        <v>4</v>
      </c>
      <c r="H75" s="143"/>
      <c r="I75" s="143"/>
      <c r="J75" s="578" t="s">
        <v>124</v>
      </c>
      <c r="K75" s="578"/>
      <c r="L75" s="578"/>
      <c r="M75" s="579"/>
      <c r="N75" s="130">
        <f>'Policy assumptions and formulae'!AJ28</f>
        <v>50</v>
      </c>
      <c r="O75" s="130">
        <f>'Policy assumptions and formulae'!AJ26</f>
        <v>20</v>
      </c>
      <c r="P75" s="166" t="s">
        <v>121</v>
      </c>
      <c r="Q75" s="143"/>
      <c r="R75" s="509">
        <f>SUMPRODUCT($N$76:$O$76,$F$75:$G$75)*VLOOKUP($E$38,'Policy assumptions and formulae'!$A$10:$D$109,4,FALSE)</f>
        <v>528400.90276481514</v>
      </c>
      <c r="S75" s="510"/>
      <c r="T75" s="255"/>
      <c r="U75" s="39"/>
    </row>
    <row r="76" spans="1:21" s="1" customFormat="1" ht="18.75" customHeight="1" thickBot="1" x14ac:dyDescent="0.2">
      <c r="A76" s="254"/>
      <c r="B76" s="499" t="s">
        <v>350</v>
      </c>
      <c r="C76" s="499"/>
      <c r="D76" s="499"/>
      <c r="E76" s="515"/>
      <c r="F76" s="103">
        <v>5</v>
      </c>
      <c r="G76" s="103">
        <v>6</v>
      </c>
      <c r="H76" s="143"/>
      <c r="I76" s="143"/>
      <c r="J76" s="548" t="s">
        <v>125</v>
      </c>
      <c r="K76" s="548"/>
      <c r="L76" s="548"/>
      <c r="M76" s="548"/>
      <c r="N76" s="129">
        <f>'Policy assumptions and formulae'!$AM$28</f>
        <v>1341.3864802956614</v>
      </c>
      <c r="O76" s="129">
        <f>'Policy assumptions and formulae'!$AM$26</f>
        <v>3417.4480141353602</v>
      </c>
      <c r="P76" s="167"/>
      <c r="Q76" s="143"/>
      <c r="R76" s="509">
        <f>SUMPRODUCT($N$76:$O$76,$F$76:$G$76)*VLOOKUP($E$38,'Policy assumptions and formulae'!$A$10:$D$109,4,FALSE)</f>
        <v>812630.51007793052</v>
      </c>
      <c r="S76" s="510"/>
      <c r="T76" s="255"/>
      <c r="U76" s="39"/>
    </row>
    <row r="77" spans="1:21" ht="30" x14ac:dyDescent="0.15">
      <c r="A77" s="252"/>
      <c r="B77" s="143"/>
      <c r="C77" s="143"/>
      <c r="D77" s="143"/>
      <c r="E77" s="143"/>
      <c r="F77" s="161" t="s">
        <v>415</v>
      </c>
      <c r="G77" s="161" t="s">
        <v>80</v>
      </c>
      <c r="H77" s="143"/>
      <c r="I77" s="143"/>
      <c r="J77" s="548"/>
      <c r="K77" s="548"/>
      <c r="L77" s="548"/>
      <c r="M77" s="548"/>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565" t="s">
        <v>393</v>
      </c>
      <c r="E81" s="566"/>
      <c r="F81" s="566"/>
      <c r="G81" s="565" t="s">
        <v>394</v>
      </c>
      <c r="H81" s="566"/>
      <c r="I81" s="566"/>
      <c r="J81" s="566"/>
      <c r="K81" s="566"/>
      <c r="L81" s="140"/>
      <c r="M81" s="140"/>
      <c r="N81" s="140"/>
      <c r="O81" s="140"/>
      <c r="P81" s="140"/>
      <c r="Q81" s="140"/>
      <c r="R81" s="140"/>
      <c r="S81" s="140"/>
      <c r="T81" s="253"/>
    </row>
    <row r="82" spans="1:21" ht="18.75" customHeight="1" thickBot="1" x14ac:dyDescent="0.2">
      <c r="A82" s="252"/>
      <c r="B82" s="656" t="s">
        <v>384</v>
      </c>
      <c r="C82" s="656"/>
      <c r="D82" s="169" t="s">
        <v>325</v>
      </c>
      <c r="E82" s="169" t="s">
        <v>326</v>
      </c>
      <c r="F82" s="169" t="s">
        <v>327</v>
      </c>
      <c r="G82" s="157"/>
      <c r="H82" s="169" t="s">
        <v>325</v>
      </c>
      <c r="I82" s="169" t="s">
        <v>326</v>
      </c>
      <c r="J82" s="169" t="s">
        <v>327</v>
      </c>
      <c r="K82" s="140"/>
      <c r="L82" s="526" t="s">
        <v>74</v>
      </c>
      <c r="M82" s="526"/>
      <c r="N82" s="566" t="s">
        <v>385</v>
      </c>
      <c r="O82" s="566"/>
      <c r="P82" s="566"/>
      <c r="Q82" s="566"/>
      <c r="R82" s="566"/>
      <c r="S82" s="140"/>
      <c r="T82" s="253"/>
      <c r="U82" s="336"/>
    </row>
    <row r="83" spans="1:21" ht="18.75" customHeight="1" thickBot="1" x14ac:dyDescent="0.25">
      <c r="A83" s="252"/>
      <c r="B83" s="524" t="s">
        <v>105</v>
      </c>
      <c r="C83" s="525"/>
      <c r="D83" s="104">
        <v>9</v>
      </c>
      <c r="E83" s="104">
        <v>8</v>
      </c>
      <c r="F83" s="104">
        <v>7</v>
      </c>
      <c r="G83" s="586"/>
      <c r="H83" s="104">
        <v>6</v>
      </c>
      <c r="I83" s="104">
        <v>5</v>
      </c>
      <c r="J83" s="104">
        <v>4</v>
      </c>
      <c r="K83" s="567" t="str">
        <f>IF(SUM(D83:F90)&lt;&gt;SUM(H83:J90),"Error in net change habitat","")</f>
        <v>Error in net change habitat</v>
      </c>
      <c r="L83" s="584">
        <f>(((H83-D83)*'Policy assumptions and formulae'!AR12)+((I83-E83)*'Policy assumptions and formulae'!AS12)+((J83-F83)*'Policy assumptions and formulae'!AT12))*VLOOKUP($E$38,'Policy assumptions and formulae'!$A$10:$D$109,4,FALSE)</f>
        <v>-1723713.33288767</v>
      </c>
      <c r="M83" s="585"/>
      <c r="N83" s="140"/>
      <c r="O83" s="168"/>
      <c r="P83" s="322" t="s">
        <v>379</v>
      </c>
      <c r="Q83" s="323"/>
      <c r="R83" s="641" t="s">
        <v>74</v>
      </c>
      <c r="S83" s="641"/>
      <c r="T83" s="253"/>
    </row>
    <row r="84" spans="1:21" ht="18.75" customHeight="1" thickBot="1" x14ac:dyDescent="0.25">
      <c r="A84" s="252"/>
      <c r="B84" s="524" t="s">
        <v>106</v>
      </c>
      <c r="C84" s="525"/>
      <c r="D84" s="104">
        <v>10</v>
      </c>
      <c r="E84" s="104">
        <v>9</v>
      </c>
      <c r="F84" s="104">
        <v>8</v>
      </c>
      <c r="G84" s="586"/>
      <c r="H84" s="104">
        <v>7</v>
      </c>
      <c r="I84" s="104">
        <v>6</v>
      </c>
      <c r="J84" s="104">
        <v>5</v>
      </c>
      <c r="K84" s="567"/>
      <c r="L84" s="584">
        <f>(((H84-D84)*'Policy assumptions and formulae'!AR13)+((I84-E84)*'Policy assumptions and formulae'!AS13)+((J84-F84)*'Policy assumptions and formulae'!AT13))*VLOOKUP($E$38,'Policy assumptions and formulae'!$A$10:$D$109,4,FALSE)</f>
        <v>-984595.08983552456</v>
      </c>
      <c r="M84" s="585"/>
      <c r="N84" s="563" t="s">
        <v>380</v>
      </c>
      <c r="O84" s="564"/>
      <c r="P84" s="319">
        <v>5</v>
      </c>
      <c r="Q84" s="323"/>
      <c r="R84" s="561">
        <f>(P84*'Policy assumptions and formulae'!AT23)*VLOOKUP($E$38,'Policy assumptions and formulae'!$A$10:$D$109,4,FALSE)</f>
        <v>1970981.9814723877</v>
      </c>
      <c r="S84" s="562"/>
      <c r="T84" s="253"/>
    </row>
    <row r="85" spans="1:21" ht="18.75" customHeight="1" thickBot="1" x14ac:dyDescent="0.25">
      <c r="A85" s="252"/>
      <c r="B85" s="524" t="s">
        <v>55</v>
      </c>
      <c r="C85" s="525"/>
      <c r="D85" s="104">
        <v>11</v>
      </c>
      <c r="E85" s="104">
        <v>10</v>
      </c>
      <c r="F85" s="104">
        <v>9</v>
      </c>
      <c r="G85" s="586"/>
      <c r="H85" s="104">
        <v>8</v>
      </c>
      <c r="I85" s="104">
        <v>7</v>
      </c>
      <c r="J85" s="104">
        <v>6</v>
      </c>
      <c r="K85" s="567"/>
      <c r="L85" s="584">
        <f>(((H85-D85)*'Policy assumptions and formulae'!AR14)+((I85-E85)*'Policy assumptions and formulae'!AS14)+((J85-F85)*'Policy assumptions and formulae'!AT14))*VLOOKUP($E$38,'Policy assumptions and formulae'!$A$10:$D$109,4,FALSE)</f>
        <v>-984595.08983552456</v>
      </c>
      <c r="M85" s="585"/>
      <c r="N85" s="563" t="s">
        <v>381</v>
      </c>
      <c r="O85" s="564"/>
      <c r="P85" s="320">
        <v>6</v>
      </c>
      <c r="Q85" s="323"/>
      <c r="R85" s="561">
        <f>(P85*'Policy assumptions and formulae'!AT24)*VLOOKUP($E$38,'Policy assumptions and formulae'!$A$10:$D$109,4,FALSE)</f>
        <v>1182589.1888834327</v>
      </c>
      <c r="S85" s="562"/>
      <c r="T85" s="253"/>
    </row>
    <row r="86" spans="1:21" ht="18.75" customHeight="1" thickBot="1" x14ac:dyDescent="0.25">
      <c r="A86" s="252"/>
      <c r="B86" s="524" t="s">
        <v>107</v>
      </c>
      <c r="C86" s="525"/>
      <c r="D86" s="104">
        <v>12</v>
      </c>
      <c r="E86" s="104">
        <v>11</v>
      </c>
      <c r="F86" s="104">
        <v>10</v>
      </c>
      <c r="G86" s="586"/>
      <c r="H86" s="104">
        <v>9</v>
      </c>
      <c r="I86" s="104">
        <v>8</v>
      </c>
      <c r="J86" s="104">
        <v>7</v>
      </c>
      <c r="K86" s="567"/>
      <c r="L86" s="584">
        <f>(((H86-D86)*'Policy assumptions and formulae'!AR15)+((I86-E86)*'Policy assumptions and formulae'!AS15)+((J86-F86)*'Policy assumptions and formulae'!AT15))*VLOOKUP($E$38,'Policy assumptions and formulae'!$A$10:$D$109,4,FALSE)</f>
        <v>-548291.35120959149</v>
      </c>
      <c r="M86" s="585"/>
      <c r="N86" s="587" t="s">
        <v>352</v>
      </c>
      <c r="O86" s="588"/>
      <c r="P86" s="319">
        <v>7</v>
      </c>
      <c r="Q86" s="323"/>
      <c r="R86" s="561">
        <f>(P86*'Policy assumptions and formulae'!AT25)*VLOOKUP($E$38,'Policy assumptions and formulae'!$A$10:$D$109,4,FALSE)</f>
        <v>689843.69351533568</v>
      </c>
      <c r="S86" s="562"/>
      <c r="T86" s="253"/>
    </row>
    <row r="87" spans="1:21" ht="18.75" customHeight="1" thickBot="1" x14ac:dyDescent="0.25">
      <c r="A87" s="252"/>
      <c r="B87" s="524" t="s">
        <v>108</v>
      </c>
      <c r="C87" s="525"/>
      <c r="D87" s="104">
        <v>13</v>
      </c>
      <c r="E87" s="104">
        <v>12</v>
      </c>
      <c r="F87" s="104">
        <v>11</v>
      </c>
      <c r="G87" s="586"/>
      <c r="H87" s="104">
        <v>10</v>
      </c>
      <c r="I87" s="104">
        <v>9</v>
      </c>
      <c r="J87" s="104">
        <v>8</v>
      </c>
      <c r="K87" s="567"/>
      <c r="L87" s="584">
        <f>(((H87-D87)*'Policy assumptions and formulae'!AR16)+((I87-E87)*'Policy assumptions and formulae'!AS16)+((J87-F87)*'Policy assumptions and formulae'!AT16))*VLOOKUP($E$38,'Policy assumptions and formulae'!$A$10:$D$109,4,FALSE)</f>
        <v>-59129.459444171633</v>
      </c>
      <c r="M87" s="585"/>
      <c r="N87" s="587"/>
      <c r="O87" s="588"/>
      <c r="P87" s="324"/>
      <c r="Q87" s="323"/>
      <c r="R87" s="325"/>
      <c r="S87" s="325"/>
      <c r="T87" s="253"/>
    </row>
    <row r="88" spans="1:21" ht="18.75" customHeight="1" thickBot="1" x14ac:dyDescent="0.25">
      <c r="A88" s="252"/>
      <c r="B88" s="524" t="s">
        <v>329</v>
      </c>
      <c r="C88" s="525"/>
      <c r="D88" s="104">
        <v>14</v>
      </c>
      <c r="E88" s="104">
        <v>13</v>
      </c>
      <c r="F88" s="104">
        <v>12</v>
      </c>
      <c r="G88" s="586"/>
      <c r="H88" s="104">
        <v>11</v>
      </c>
      <c r="I88" s="104">
        <v>10</v>
      </c>
      <c r="J88" s="104">
        <v>9</v>
      </c>
      <c r="K88" s="567"/>
      <c r="L88" s="584">
        <f>(((H88-D88)*'Policy assumptions and formulae'!AR17)+((I88-E88)*'Policy assumptions and formulae'!AS17)+((J88-F88)*'Policy assumptions and formulae'!AT17))*VLOOKUP($E$38,'Policy assumptions and formulae'!$A$10:$D$109,4,FALSE)</f>
        <v>-377174.27918176149</v>
      </c>
      <c r="M88" s="585"/>
      <c r="N88" s="140"/>
      <c r="O88" s="140"/>
      <c r="P88" s="140"/>
      <c r="Q88" s="140"/>
      <c r="R88" s="140"/>
      <c r="S88" s="140"/>
      <c r="T88" s="253"/>
    </row>
    <row r="89" spans="1:21" ht="18.75" customHeight="1" thickBot="1" x14ac:dyDescent="0.25">
      <c r="A89" s="252"/>
      <c r="B89" s="524" t="s">
        <v>109</v>
      </c>
      <c r="C89" s="525"/>
      <c r="D89" s="104">
        <v>15</v>
      </c>
      <c r="E89" s="104">
        <v>14</v>
      </c>
      <c r="F89" s="104">
        <v>13</v>
      </c>
      <c r="G89" s="586"/>
      <c r="H89" s="104">
        <v>12</v>
      </c>
      <c r="I89" s="104">
        <v>11</v>
      </c>
      <c r="J89" s="104">
        <v>10</v>
      </c>
      <c r="K89" s="567"/>
      <c r="L89" s="584">
        <f>(((H89-D89)*'Policy assumptions and formulae'!AR18)+((I89-E89)*'Policy assumptions and formulae'!AS18)+((J89-F89)*'Policy assumptions and formulae'!AT18))*VLOOKUP($E$38,'Policy assumptions and formulae'!$A$10:$D$109,4,FALSE)</f>
        <v>-548291.35120959149</v>
      </c>
      <c r="M89" s="585"/>
      <c r="N89" s="326"/>
      <c r="O89" s="326"/>
      <c r="P89" s="321"/>
      <c r="Q89" s="323"/>
      <c r="R89" s="327"/>
      <c r="S89" s="327"/>
      <c r="T89" s="253"/>
    </row>
    <row r="90" spans="1:21" ht="18.75" customHeight="1" thickBot="1" x14ac:dyDescent="0.25">
      <c r="A90" s="252"/>
      <c r="B90" s="524" t="s">
        <v>110</v>
      </c>
      <c r="C90" s="525"/>
      <c r="D90" s="104">
        <v>16</v>
      </c>
      <c r="E90" s="104">
        <v>15</v>
      </c>
      <c r="F90" s="104">
        <v>14</v>
      </c>
      <c r="G90" s="586"/>
      <c r="H90" s="104">
        <v>13</v>
      </c>
      <c r="I90" s="104">
        <v>12</v>
      </c>
      <c r="J90" s="104">
        <v>11</v>
      </c>
      <c r="K90" s="567"/>
      <c r="L90" s="584">
        <f>(((H90-D90)*'Policy assumptions and formulae'!AR19)+((I90-E90)*'Policy assumptions and formulae'!AS19)+((J90-F90)*'Policy assumptions and formulae'!AT19))*VLOOKUP($E$38,'Policy assumptions and formulae'!$A$10:$D$109,4,FALSE)</f>
        <v>-12542.61260936974</v>
      </c>
      <c r="M90" s="585"/>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
      <c r="A95" s="254"/>
      <c r="B95" s="171" t="s">
        <v>299</v>
      </c>
      <c r="C95" s="172" t="s">
        <v>103</v>
      </c>
      <c r="D95" s="635" t="str">
        <f>IF(E39=0,0,IF(MAX((E39-SUM(D96:E104)),0)&gt;0,E39-SUM(D96:D104),"Ltd by high OM1b,2,3,4 values"))</f>
        <v>Ltd by high OM1b,2,3,4 values</v>
      </c>
      <c r="E95" s="636"/>
      <c r="F95" s="131">
        <f>IF(D95="Ltd by high OM1b,2,3,4 values",0,D95/$D$105)</f>
        <v>0</v>
      </c>
      <c r="G95" s="132">
        <f>'Policy assumptions and formulae'!Q10</f>
        <v>6</v>
      </c>
      <c r="H95" s="583">
        <f>IF(D95="Ltd by high OM1b,2,3,4 values",0,D95*(G95/100))</f>
        <v>0</v>
      </c>
      <c r="I95" s="574"/>
      <c r="J95" s="131">
        <f>H95/$H$105</f>
        <v>0</v>
      </c>
      <c r="K95" s="157"/>
      <c r="L95" s="537" t="s">
        <v>151</v>
      </c>
      <c r="M95" s="537"/>
      <c r="N95" s="537"/>
      <c r="O95" s="573"/>
      <c r="P95" s="135">
        <f>E19</f>
        <v>119962.64285725269</v>
      </c>
      <c r="Q95" s="574">
        <f>E21</f>
        <v>0</v>
      </c>
      <c r="R95" s="575"/>
      <c r="S95" s="136">
        <f>IF(Q95="n/a","n/a",IF(D11="Environment Agency",Q95/$E$33,Q95/$E$31))</f>
        <v>0</v>
      </c>
      <c r="T95" s="255"/>
      <c r="U95" s="39"/>
    </row>
    <row r="96" spans="1:21" s="1" customFormat="1" ht="18.75" customHeight="1" x14ac:dyDescent="0.2">
      <c r="A96" s="254"/>
      <c r="B96" s="176" t="s">
        <v>300</v>
      </c>
      <c r="C96" s="173" t="s">
        <v>156</v>
      </c>
      <c r="D96" s="653">
        <f>E41</f>
        <v>100</v>
      </c>
      <c r="E96" s="654"/>
      <c r="F96" s="131">
        <f t="shared" ref="F96:F104" si="0">D96/$D$105</f>
        <v>1.842055672830083E-5</v>
      </c>
      <c r="G96" s="133">
        <f>'Policy assumptions and formulae'!Q7*'Policy assumptions and formulae'!X20</f>
        <v>20</v>
      </c>
      <c r="H96" s="583">
        <f>D96*(G96/100)</f>
        <v>20</v>
      </c>
      <c r="I96" s="574"/>
      <c r="J96" s="131">
        <f t="shared" ref="J96:J104" si="1">H96/$H$105</f>
        <v>1.6671856774444882E-5</v>
      </c>
      <c r="K96" s="157"/>
      <c r="L96" s="571" t="s">
        <v>252</v>
      </c>
      <c r="M96" s="571"/>
      <c r="N96" s="571"/>
      <c r="O96" s="572"/>
      <c r="P96" s="135">
        <f>'SA1'!$E$19</f>
        <v>191984.53053124805</v>
      </c>
      <c r="Q96" s="569">
        <f>'SA1'!$E$21</f>
        <v>0</v>
      </c>
      <c r="R96" s="570"/>
      <c r="S96" s="136">
        <f>IF(Q96="n/a","n/a",$Q$96/'SA1'!$E$33)</f>
        <v>0</v>
      </c>
      <c r="T96" s="255"/>
      <c r="U96" s="39"/>
    </row>
    <row r="97" spans="1:21" s="1" customFormat="1" ht="18.75" customHeight="1" x14ac:dyDescent="0.2">
      <c r="A97" s="254"/>
      <c r="B97" s="655" t="s">
        <v>87</v>
      </c>
      <c r="C97" s="174" t="s">
        <v>88</v>
      </c>
      <c r="D97" s="635">
        <f>IF(R61="Ltd by DoB",R46,R46+R61)</f>
        <v>0</v>
      </c>
      <c r="E97" s="636"/>
      <c r="F97" s="131">
        <f t="shared" si="0"/>
        <v>0</v>
      </c>
      <c r="G97" s="132">
        <f>'Policy assumptions and formulae'!X$10*'Policy assumptions and formulae'!X$16</f>
        <v>45</v>
      </c>
      <c r="H97" s="583">
        <f t="shared" ref="H97:H104" si="2">D97*(G97/100)</f>
        <v>0</v>
      </c>
      <c r="I97" s="574"/>
      <c r="J97" s="131">
        <f t="shared" si="1"/>
        <v>0</v>
      </c>
      <c r="K97" s="157"/>
      <c r="L97" s="571" t="s">
        <v>253</v>
      </c>
      <c r="M97" s="571"/>
      <c r="N97" s="571"/>
      <c r="O97" s="572"/>
      <c r="P97" s="135" t="str">
        <f>IF(SUM(H97:I99)&gt;0,'SA2'!$E$19,"N/A")</f>
        <v>N/A</v>
      </c>
      <c r="Q97" s="569" t="str">
        <f>IF(SUM(H97:I99)&gt;0,'SA2'!$E$21,"No OM2 contribution")</f>
        <v>No OM2 contribution</v>
      </c>
      <c r="R97" s="570"/>
      <c r="S97" s="136" t="str">
        <f>IF(Q97="No OM2 contribution","n/a",$Q$97/'SA2'!$E$33)</f>
        <v>n/a</v>
      </c>
      <c r="T97" s="255"/>
      <c r="U97" s="39"/>
    </row>
    <row r="98" spans="1:21" s="1" customFormat="1" ht="18.75" customHeight="1" x14ac:dyDescent="0.2">
      <c r="A98" s="254"/>
      <c r="B98" s="655"/>
      <c r="C98" s="174" t="s">
        <v>89</v>
      </c>
      <c r="D98" s="635">
        <f>IF(R62="Ltd by DoB",R47,R47+R62)</f>
        <v>0</v>
      </c>
      <c r="E98" s="636"/>
      <c r="F98" s="131">
        <f t="shared" si="0"/>
        <v>0</v>
      </c>
      <c r="G98" s="132">
        <f>'Policy assumptions and formulae'!X$10*'Policy assumptions and formulae'!X$18</f>
        <v>30</v>
      </c>
      <c r="H98" s="583">
        <f t="shared" si="2"/>
        <v>0</v>
      </c>
      <c r="I98" s="574"/>
      <c r="J98" s="131">
        <f t="shared" si="1"/>
        <v>0</v>
      </c>
      <c r="K98" s="157"/>
      <c r="L98" s="571" t="s">
        <v>254</v>
      </c>
      <c r="M98" s="571"/>
      <c r="N98" s="571"/>
      <c r="O98" s="572"/>
      <c r="P98" s="135">
        <f>IF(SUM(H100:I102)&gt;0,'SA3'!$E$19,"N/A")</f>
        <v>229750.96347499514</v>
      </c>
      <c r="Q98" s="569">
        <f>IF(SUM(H100:I102)&gt;0,'SA3'!$E$21,"No OM3 contribution")</f>
        <v>0</v>
      </c>
      <c r="R98" s="570"/>
      <c r="S98" s="136">
        <f>IF(Q98="No OM3 contribution","n/a",$Q$98/'SA3'!$E$33)</f>
        <v>0</v>
      </c>
      <c r="T98" s="255"/>
      <c r="U98" s="39"/>
    </row>
    <row r="99" spans="1:21" s="1" customFormat="1" ht="18.75" customHeight="1" x14ac:dyDescent="0.2">
      <c r="A99" s="254"/>
      <c r="B99" s="655"/>
      <c r="C99" s="174" t="s">
        <v>90</v>
      </c>
      <c r="D99" s="635">
        <f>IF(R63="Ltd by DoB",R48,R48+R63)</f>
        <v>0</v>
      </c>
      <c r="E99" s="636"/>
      <c r="F99" s="131">
        <f t="shared" si="0"/>
        <v>0</v>
      </c>
      <c r="G99" s="132">
        <f>'Policy assumptions and formulae'!X$10*'Policy assumptions and formulae'!X$20</f>
        <v>20</v>
      </c>
      <c r="H99" s="583">
        <f t="shared" si="2"/>
        <v>0</v>
      </c>
      <c r="I99" s="574"/>
      <c r="J99" s="131">
        <f t="shared" si="1"/>
        <v>0</v>
      </c>
      <c r="K99" s="157"/>
      <c r="L99" s="571" t="s">
        <v>255</v>
      </c>
      <c r="M99" s="571"/>
      <c r="N99" s="571"/>
      <c r="O99" s="572"/>
      <c r="P99" s="135">
        <f>'SA4'!$E$19</f>
        <v>239980.66316406004</v>
      </c>
      <c r="Q99" s="569">
        <f>'SA4'!$E$21</f>
        <v>0</v>
      </c>
      <c r="R99" s="570"/>
      <c r="S99" s="136">
        <f>IF(Q99="n/a","n/a",$Q$99/'SA4'!$E$33)</f>
        <v>0</v>
      </c>
      <c r="T99" s="255"/>
      <c r="U99" s="39"/>
    </row>
    <row r="100" spans="1:21" s="1" customFormat="1" ht="18.75" customHeight="1" x14ac:dyDescent="0.2">
      <c r="A100" s="254"/>
      <c r="B100" s="655" t="s">
        <v>91</v>
      </c>
      <c r="C100" s="174" t="s">
        <v>88</v>
      </c>
      <c r="D100" s="635">
        <f>R74</f>
        <v>244171.29545169987</v>
      </c>
      <c r="E100" s="636"/>
      <c r="F100" s="131">
        <f t="shared" si="0"/>
        <v>4.4977711992907399E-2</v>
      </c>
      <c r="G100" s="132">
        <f>'Policy assumptions and formulae'!X$10*'Policy assumptions and formulae'!X$16</f>
        <v>45</v>
      </c>
      <c r="H100" s="583">
        <f t="shared" si="2"/>
        <v>109877.08295326495</v>
      </c>
      <c r="I100" s="574"/>
      <c r="J100" s="131">
        <f t="shared" si="1"/>
        <v>9.1592749489531625E-2</v>
      </c>
      <c r="K100" s="157"/>
      <c r="L100" s="571" t="s">
        <v>256</v>
      </c>
      <c r="M100" s="571"/>
      <c r="N100" s="571"/>
      <c r="O100" s="572"/>
      <c r="P100" s="135">
        <f>'SA5'!$E$19</f>
        <v>226031.72645719303</v>
      </c>
      <c r="Q100" s="569">
        <f>'SA5'!$E$21</f>
        <v>0</v>
      </c>
      <c r="R100" s="570"/>
      <c r="S100" s="136">
        <f>IF(Q100="n/a","n/a",$Q$100/'SA5'!$E$33)</f>
        <v>0</v>
      </c>
      <c r="T100" s="255"/>
      <c r="U100" s="39"/>
    </row>
    <row r="101" spans="1:21" s="1" customFormat="1" ht="18.75" customHeight="1" x14ac:dyDescent="0.2">
      <c r="A101" s="254"/>
      <c r="B101" s="655"/>
      <c r="C101" s="174" t="s">
        <v>89</v>
      </c>
      <c r="D101" s="635">
        <f>R75</f>
        <v>528400.90276481514</v>
      </c>
      <c r="E101" s="636"/>
      <c r="F101" s="131">
        <f t="shared" si="0"/>
        <v>9.7334388046646472E-2</v>
      </c>
      <c r="G101" s="132">
        <f>'Policy assumptions and formulae'!X$10*'Policy assumptions and formulae'!X$18</f>
        <v>30</v>
      </c>
      <c r="H101" s="583">
        <f t="shared" si="2"/>
        <v>158520.27082944455</v>
      </c>
      <c r="I101" s="574"/>
      <c r="J101" s="131">
        <f t="shared" si="1"/>
        <v>0.13214136255573561</v>
      </c>
      <c r="K101" s="157"/>
      <c r="L101" s="571" t="s">
        <v>257</v>
      </c>
      <c r="M101" s="571"/>
      <c r="N101" s="571"/>
      <c r="O101" s="572"/>
      <c r="P101" s="135">
        <f>'SA6'!$E$19</f>
        <v>107991.29842382701</v>
      </c>
      <c r="Q101" s="569">
        <f>'SA6'!$E$21</f>
        <v>0</v>
      </c>
      <c r="R101" s="570"/>
      <c r="S101" s="136">
        <f>IF(Q101="n/a","n/a",$Q$101/'SA6'!$E$33)</f>
        <v>0</v>
      </c>
      <c r="T101" s="255"/>
      <c r="U101" s="39"/>
    </row>
    <row r="102" spans="1:21" s="1" customFormat="1" ht="18.75" customHeight="1" x14ac:dyDescent="0.2">
      <c r="A102" s="254"/>
      <c r="B102" s="655"/>
      <c r="C102" s="174" t="s">
        <v>90</v>
      </c>
      <c r="D102" s="635">
        <f>R76</f>
        <v>812630.51007793052</v>
      </c>
      <c r="E102" s="636"/>
      <c r="F102" s="131">
        <f t="shared" si="0"/>
        <v>0.14969106410038557</v>
      </c>
      <c r="G102" s="132">
        <f>'Policy assumptions and formulae'!X$10*'Policy assumptions and formulae'!X$20</f>
        <v>20</v>
      </c>
      <c r="H102" s="583">
        <f t="shared" si="2"/>
        <v>162526.1020155861</v>
      </c>
      <c r="I102" s="574"/>
      <c r="J102" s="131">
        <f t="shared" si="1"/>
        <v>0.13548059474563345</v>
      </c>
      <c r="K102" s="157"/>
      <c r="L102" s="571" t="s">
        <v>258</v>
      </c>
      <c r="M102" s="571"/>
      <c r="N102" s="571"/>
      <c r="O102" s="572"/>
      <c r="P102" s="135">
        <f>IF(SUM(H103:I104)&gt;0,'SA7'!E19,"N/A")</f>
        <v>239980.66316406004</v>
      </c>
      <c r="Q102" s="569">
        <f>IF(SUM(H103:I104)&gt;0,'SA7'!$E$21,"No OM4 contribution")</f>
        <v>0</v>
      </c>
      <c r="R102" s="570"/>
      <c r="S102" s="136">
        <f>IF(Q102="No OM4 contribution","n/a",$Q$102/'SA7'!$E$33)</f>
        <v>0</v>
      </c>
      <c r="T102" s="255"/>
      <c r="U102" s="39"/>
    </row>
    <row r="103" spans="1:21" s="1" customFormat="1" ht="18.75" customHeight="1" x14ac:dyDescent="0.2">
      <c r="A103" s="254"/>
      <c r="B103" s="649" t="s">
        <v>92</v>
      </c>
      <c r="C103" s="175" t="s">
        <v>118</v>
      </c>
      <c r="D103" s="657" t="str">
        <f>IF(SUM(L83:M90)&lt;0,"Ltd by negative OM4 values",SUM(L83:M90))</f>
        <v>Ltd by negative OM4 values</v>
      </c>
      <c r="E103" s="657"/>
      <c r="F103" s="131">
        <f>IF(D103="Ltd by negative OM4 values",0,D103/$D$105)</f>
        <v>0</v>
      </c>
      <c r="G103" s="132">
        <f>'Policy assumptions and formulae'!AT7</f>
        <v>20</v>
      </c>
      <c r="H103" s="583">
        <f>IF(D103="Ltd by negative OM4 values",0,D103*(G103/100))</f>
        <v>0</v>
      </c>
      <c r="I103" s="574"/>
      <c r="J103" s="131">
        <f t="shared" si="1"/>
        <v>0</v>
      </c>
      <c r="K103" s="157"/>
      <c r="L103" s="157"/>
      <c r="M103" s="157"/>
      <c r="N103" s="157"/>
      <c r="O103" s="157"/>
      <c r="P103" s="157"/>
      <c r="Q103" s="157"/>
      <c r="R103" s="157"/>
      <c r="S103" s="157"/>
      <c r="T103" s="255"/>
      <c r="U103" s="39"/>
    </row>
    <row r="104" spans="1:21" s="1" customFormat="1" ht="18.75" customHeight="1" thickBot="1" x14ac:dyDescent="0.25">
      <c r="A104" s="254"/>
      <c r="B104" s="650"/>
      <c r="C104" s="177" t="s">
        <v>119</v>
      </c>
      <c r="D104" s="633">
        <f>SUM(R84:S86)</f>
        <v>3843414.8638711558</v>
      </c>
      <c r="E104" s="634"/>
      <c r="F104" s="131">
        <f t="shared" si="0"/>
        <v>0.70797841530333228</v>
      </c>
      <c r="G104" s="134">
        <f>'Policy assumptions and formulae'!AT7</f>
        <v>20</v>
      </c>
      <c r="H104" s="583">
        <f t="shared" si="2"/>
        <v>768682.97277423122</v>
      </c>
      <c r="I104" s="574"/>
      <c r="J104" s="131">
        <f t="shared" si="1"/>
        <v>0.64076862135232482</v>
      </c>
      <c r="K104" s="157"/>
      <c r="L104" s="157"/>
      <c r="M104" s="157"/>
      <c r="N104" s="157"/>
      <c r="O104" s="157"/>
      <c r="P104" s="157"/>
      <c r="Q104" s="157"/>
      <c r="R104" s="157"/>
      <c r="S104" s="157"/>
      <c r="T104" s="255"/>
      <c r="U104" s="39"/>
    </row>
    <row r="105" spans="1:21" s="1" customFormat="1" ht="18.75" customHeight="1" thickBot="1" x14ac:dyDescent="0.25">
      <c r="A105" s="254"/>
      <c r="B105" s="642" t="s">
        <v>93</v>
      </c>
      <c r="C105" s="643"/>
      <c r="D105" s="644">
        <f>SUM(D95:E104)</f>
        <v>5428717.572165601</v>
      </c>
      <c r="E105" s="644"/>
      <c r="F105" s="645" t="s">
        <v>321</v>
      </c>
      <c r="G105" s="646"/>
      <c r="H105" s="647">
        <f>SUM(H95:I104)</f>
        <v>1199626.4285725269</v>
      </c>
      <c r="I105" s="648"/>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59" orientation="portrait"/>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28515625" style="84" customWidth="1"/>
    <col min="4" max="4" width="35.28515625" style="84" customWidth="1"/>
    <col min="5" max="5" width="1.7109375" style="84" customWidth="1"/>
    <col min="6" max="6" width="51.7109375" style="87" bestFit="1" customWidth="1"/>
    <col min="7" max="7" width="19" style="84" customWidth="1"/>
    <col min="8" max="8" width="35.140625" style="84" customWidth="1"/>
    <col min="9" max="9" width="1.7109375" style="84" customWidth="1"/>
    <col min="10" max="16384" width="8.85546875" style="84"/>
  </cols>
  <sheetData>
    <row r="1" spans="1:19" ht="33" x14ac:dyDescent="0.2">
      <c r="A1" s="678" t="s">
        <v>57</v>
      </c>
      <c r="B1" s="678"/>
      <c r="C1" s="678"/>
      <c r="D1" s="678"/>
      <c r="E1" s="678"/>
      <c r="F1" s="678"/>
      <c r="G1" s="678"/>
      <c r="H1" s="678"/>
      <c r="I1" s="678"/>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83" t="s">
        <v>247</v>
      </c>
      <c r="B4" s="683"/>
      <c r="C4" s="683"/>
      <c r="D4" s="683"/>
      <c r="E4" s="683"/>
      <c r="F4" s="683"/>
      <c r="G4" s="683"/>
      <c r="H4" s="683"/>
      <c r="I4" s="261"/>
    </row>
    <row r="5" spans="1:19" x14ac:dyDescent="0.2">
      <c r="A5" s="683"/>
      <c r="B5" s="683"/>
      <c r="C5" s="683"/>
      <c r="D5" s="683"/>
      <c r="E5" s="683"/>
      <c r="F5" s="683"/>
      <c r="G5" s="683"/>
      <c r="H5" s="683"/>
      <c r="I5" s="182"/>
    </row>
    <row r="6" spans="1:19" x14ac:dyDescent="0.2">
      <c r="A6" s="683"/>
      <c r="B6" s="683"/>
      <c r="C6" s="683"/>
      <c r="D6" s="683"/>
      <c r="E6" s="683"/>
      <c r="F6" s="683"/>
      <c r="G6" s="683"/>
      <c r="H6" s="683"/>
      <c r="I6" s="182"/>
    </row>
    <row r="7" spans="1:19" ht="15" customHeight="1" x14ac:dyDescent="0.2">
      <c r="A7" s="674" t="s">
        <v>310</v>
      </c>
      <c r="B7" s="674"/>
      <c r="C7" s="674"/>
      <c r="D7" s="674"/>
      <c r="E7" s="674"/>
      <c r="F7" s="674"/>
      <c r="G7" s="674"/>
      <c r="H7" s="674"/>
      <c r="I7" s="182"/>
    </row>
    <row r="8" spans="1:19" ht="15" customHeight="1" x14ac:dyDescent="0.2">
      <c r="A8" s="674"/>
      <c r="B8" s="674"/>
      <c r="C8" s="674"/>
      <c r="D8" s="674"/>
      <c r="E8" s="674"/>
      <c r="F8" s="674"/>
      <c r="G8" s="674"/>
      <c r="H8" s="674"/>
      <c r="I8" s="182"/>
    </row>
    <row r="9" spans="1:19" ht="15.75" customHeight="1" x14ac:dyDescent="0.2">
      <c r="A9" s="674"/>
      <c r="B9" s="674"/>
      <c r="C9" s="674"/>
      <c r="D9" s="674"/>
      <c r="E9" s="674"/>
      <c r="F9" s="674"/>
      <c r="G9" s="674"/>
      <c r="H9" s="674"/>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75" t="s">
        <v>386</v>
      </c>
      <c r="G12" s="676"/>
      <c r="H12" s="677"/>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58"/>
      <c r="G15" s="658"/>
      <c r="H15" s="658"/>
      <c r="I15" s="182"/>
    </row>
    <row r="16" spans="1:19" ht="17" thickBot="1" x14ac:dyDescent="0.25">
      <c r="A16" s="356" t="s">
        <v>186</v>
      </c>
      <c r="B16" s="357">
        <v>0</v>
      </c>
      <c r="C16" s="358" t="e">
        <f t="shared" ref="C16:C32" si="0">B16/$B$12</f>
        <v>#DIV/0!</v>
      </c>
      <c r="D16" s="359"/>
      <c r="E16" s="182"/>
      <c r="F16" s="679" t="s">
        <v>205</v>
      </c>
      <c r="G16" s="680"/>
      <c r="H16" s="681"/>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58"/>
      <c r="G19" s="658"/>
      <c r="H19" s="658"/>
      <c r="I19" s="182"/>
    </row>
    <row r="20" spans="1:9" ht="17" thickBot="1" x14ac:dyDescent="0.25">
      <c r="A20" s="356" t="s">
        <v>190</v>
      </c>
      <c r="B20" s="357">
        <v>0</v>
      </c>
      <c r="C20" s="358" t="e">
        <f t="shared" si="0"/>
        <v>#DIV/0!</v>
      </c>
      <c r="D20" s="359"/>
      <c r="E20" s="182"/>
      <c r="F20" s="679" t="s">
        <v>208</v>
      </c>
      <c r="G20" s="680"/>
      <c r="H20" s="681"/>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58"/>
      <c r="G25" s="658"/>
      <c r="H25" s="658"/>
      <c r="I25" s="182"/>
    </row>
    <row r="26" spans="1:9" ht="17" thickBot="1" x14ac:dyDescent="0.25">
      <c r="A26" s="356" t="s">
        <v>196</v>
      </c>
      <c r="B26" s="357">
        <v>0</v>
      </c>
      <c r="C26" s="358" t="e">
        <f t="shared" si="0"/>
        <v>#DIV/0!</v>
      </c>
      <c r="D26" s="359"/>
      <c r="E26" s="182"/>
      <c r="F26" s="679" t="s">
        <v>213</v>
      </c>
      <c r="G26" s="680"/>
      <c r="H26" s="681"/>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58"/>
      <c r="G32" s="658"/>
      <c r="H32" s="658"/>
      <c r="I32" s="182"/>
    </row>
    <row r="33" spans="1:9" ht="17" thickBot="1" x14ac:dyDescent="0.25">
      <c r="A33" s="668" t="s">
        <v>236</v>
      </c>
      <c r="B33" s="668"/>
      <c r="C33" s="668"/>
      <c r="D33" s="668"/>
      <c r="E33" s="182"/>
      <c r="F33" s="679" t="s">
        <v>219</v>
      </c>
      <c r="G33" s="680"/>
      <c r="H33" s="681"/>
      <c r="I33" s="182"/>
    </row>
    <row r="34" spans="1:9" x14ac:dyDescent="0.2">
      <c r="A34" s="668"/>
      <c r="B34" s="668"/>
      <c r="C34" s="668"/>
      <c r="D34" s="668"/>
      <c r="E34" s="182"/>
      <c r="F34" s="114" t="s">
        <v>220</v>
      </c>
      <c r="G34" s="120"/>
      <c r="H34" s="115"/>
      <c r="I34" s="182"/>
    </row>
    <row r="35" spans="1:9" x14ac:dyDescent="0.2">
      <c r="A35" s="669" t="s">
        <v>237</v>
      </c>
      <c r="B35" s="669"/>
      <c r="C35" s="669"/>
      <c r="D35" s="669"/>
      <c r="E35" s="182"/>
      <c r="F35" s="116" t="s">
        <v>221</v>
      </c>
      <c r="G35" s="122"/>
      <c r="H35" s="117"/>
      <c r="I35" s="182"/>
    </row>
    <row r="36" spans="1:9" ht="17" thickBot="1" x14ac:dyDescent="0.25">
      <c r="A36" s="669" t="s">
        <v>238</v>
      </c>
      <c r="B36" s="669"/>
      <c r="C36" s="669"/>
      <c r="D36" s="669"/>
      <c r="E36" s="182"/>
      <c r="F36" s="118" t="s">
        <v>222</v>
      </c>
      <c r="G36" s="121"/>
      <c r="H36" s="119"/>
      <c r="I36" s="182"/>
    </row>
    <row r="37" spans="1:9" ht="21" thickBot="1" x14ac:dyDescent="0.25">
      <c r="A37" s="362" t="s">
        <v>311</v>
      </c>
      <c r="B37" s="363" t="s">
        <v>199</v>
      </c>
      <c r="C37" s="364" t="s">
        <v>296</v>
      </c>
      <c r="D37" s="365" t="s">
        <v>239</v>
      </c>
      <c r="E37" s="182"/>
      <c r="F37" s="658"/>
      <c r="G37" s="658"/>
      <c r="H37" s="658"/>
      <c r="I37" s="182"/>
    </row>
    <row r="38" spans="1:9" ht="17" thickBot="1" x14ac:dyDescent="0.25">
      <c r="A38" s="382"/>
      <c r="B38" s="366">
        <v>0</v>
      </c>
      <c r="C38" s="367" t="e">
        <f>B38/SUM($B$38:$B$48)</f>
        <v>#DIV/0!</v>
      </c>
      <c r="D38" s="368"/>
      <c r="E38" s="182"/>
      <c r="F38" s="679" t="s">
        <v>223</v>
      </c>
      <c r="G38" s="680"/>
      <c r="H38" s="681"/>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58"/>
      <c r="G45" s="658"/>
      <c r="H45" s="658"/>
      <c r="I45" s="182"/>
    </row>
    <row r="46" spans="1:9" ht="17" thickBot="1" x14ac:dyDescent="0.25">
      <c r="A46" s="380"/>
      <c r="B46" s="369">
        <v>0</v>
      </c>
      <c r="C46" s="370" t="e">
        <f t="shared" si="1"/>
        <v>#DIV/0!</v>
      </c>
      <c r="D46" s="371"/>
      <c r="E46" s="182"/>
      <c r="F46" s="679" t="s">
        <v>193</v>
      </c>
      <c r="G46" s="680"/>
      <c r="H46" s="681"/>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70" t="s">
        <v>248</v>
      </c>
      <c r="B50" s="671"/>
      <c r="C50" s="672"/>
      <c r="D50" s="673"/>
      <c r="E50" s="182"/>
      <c r="F50" s="658"/>
      <c r="G50" s="658"/>
      <c r="H50" s="658"/>
      <c r="I50" s="182"/>
    </row>
    <row r="51" spans="1:9" ht="17" thickBot="1" x14ac:dyDescent="0.25">
      <c r="A51" s="659"/>
      <c r="B51" s="660"/>
      <c r="C51" s="660"/>
      <c r="D51" s="661"/>
      <c r="E51" s="182"/>
      <c r="F51" s="679" t="s">
        <v>233</v>
      </c>
      <c r="G51" s="680"/>
      <c r="H51" s="681"/>
      <c r="I51" s="182"/>
    </row>
    <row r="52" spans="1:9" x14ac:dyDescent="0.2">
      <c r="A52" s="662"/>
      <c r="B52" s="663"/>
      <c r="C52" s="663"/>
      <c r="D52" s="664"/>
      <c r="E52" s="182"/>
      <c r="F52" s="114" t="s">
        <v>234</v>
      </c>
      <c r="G52" s="120"/>
      <c r="H52" s="115"/>
      <c r="I52" s="182"/>
    </row>
    <row r="53" spans="1:9" ht="17" thickBot="1" x14ac:dyDescent="0.25">
      <c r="A53" s="662"/>
      <c r="B53" s="663"/>
      <c r="C53" s="663"/>
      <c r="D53" s="664"/>
      <c r="E53" s="182"/>
      <c r="F53" s="118" t="s">
        <v>235</v>
      </c>
      <c r="G53" s="121"/>
      <c r="H53" s="119"/>
      <c r="I53" s="182"/>
    </row>
    <row r="54" spans="1:9" ht="17" thickBot="1" x14ac:dyDescent="0.25">
      <c r="A54" s="662"/>
      <c r="B54" s="663"/>
      <c r="C54" s="663"/>
      <c r="D54" s="664"/>
      <c r="E54" s="182"/>
      <c r="F54" s="682"/>
      <c r="G54" s="682"/>
      <c r="H54" s="682"/>
      <c r="I54" s="182"/>
    </row>
    <row r="55" spans="1:9" ht="17" thickBot="1" x14ac:dyDescent="0.25">
      <c r="A55" s="662"/>
      <c r="B55" s="663"/>
      <c r="C55" s="663"/>
      <c r="D55" s="664"/>
      <c r="E55" s="182"/>
      <c r="F55" s="675" t="s">
        <v>388</v>
      </c>
      <c r="G55" s="676"/>
      <c r="H55" s="677"/>
      <c r="I55" s="182"/>
    </row>
    <row r="56" spans="1:9" x14ac:dyDescent="0.2">
      <c r="A56" s="662"/>
      <c r="B56" s="663"/>
      <c r="C56" s="663"/>
      <c r="D56" s="664"/>
      <c r="E56" s="182"/>
      <c r="F56" s="384"/>
      <c r="G56" s="120"/>
      <c r="H56" s="115"/>
      <c r="I56" s="182"/>
    </row>
    <row r="57" spans="1:9" x14ac:dyDescent="0.2">
      <c r="A57" s="662"/>
      <c r="B57" s="663"/>
      <c r="C57" s="663"/>
      <c r="D57" s="664"/>
      <c r="E57" s="182"/>
      <c r="F57" s="384"/>
      <c r="G57" s="120"/>
      <c r="H57" s="115"/>
      <c r="I57" s="182"/>
    </row>
    <row r="58" spans="1:9" x14ac:dyDescent="0.2">
      <c r="A58" s="662"/>
      <c r="B58" s="663"/>
      <c r="C58" s="663"/>
      <c r="D58" s="664"/>
      <c r="E58" s="182"/>
      <c r="F58" s="384"/>
      <c r="G58" s="120"/>
      <c r="H58" s="115"/>
      <c r="I58" s="182"/>
    </row>
    <row r="59" spans="1:9" x14ac:dyDescent="0.2">
      <c r="A59" s="662"/>
      <c r="B59" s="663"/>
      <c r="C59" s="663"/>
      <c r="D59" s="664"/>
      <c r="E59" s="182"/>
      <c r="F59" s="384"/>
      <c r="G59" s="120"/>
      <c r="H59" s="115"/>
      <c r="I59" s="182"/>
    </row>
    <row r="60" spans="1:9" x14ac:dyDescent="0.2">
      <c r="A60" s="662"/>
      <c r="B60" s="663"/>
      <c r="C60" s="663"/>
      <c r="D60" s="664"/>
      <c r="E60" s="182"/>
      <c r="F60" s="384"/>
      <c r="G60" s="120"/>
      <c r="H60" s="115"/>
      <c r="I60" s="182"/>
    </row>
    <row r="61" spans="1:9" x14ac:dyDescent="0.2">
      <c r="A61" s="662"/>
      <c r="B61" s="663"/>
      <c r="C61" s="663"/>
      <c r="D61" s="664"/>
      <c r="E61" s="182"/>
      <c r="F61" s="384"/>
      <c r="G61" s="120"/>
      <c r="H61" s="115"/>
      <c r="I61" s="182"/>
    </row>
    <row r="62" spans="1:9" x14ac:dyDescent="0.2">
      <c r="A62" s="662"/>
      <c r="B62" s="663"/>
      <c r="C62" s="663"/>
      <c r="D62" s="664"/>
      <c r="E62" s="182"/>
      <c r="F62" s="384"/>
      <c r="G62" s="120"/>
      <c r="H62" s="115"/>
      <c r="I62" s="182"/>
    </row>
    <row r="63" spans="1:9" x14ac:dyDescent="0.2">
      <c r="A63" s="662"/>
      <c r="B63" s="663"/>
      <c r="C63" s="663"/>
      <c r="D63" s="664"/>
      <c r="E63" s="182"/>
      <c r="F63" s="385"/>
      <c r="G63" s="122"/>
      <c r="H63" s="117"/>
      <c r="I63" s="182"/>
    </row>
    <row r="64" spans="1:9" x14ac:dyDescent="0.2">
      <c r="A64" s="662"/>
      <c r="B64" s="663"/>
      <c r="C64" s="663"/>
      <c r="D64" s="664"/>
      <c r="E64" s="182"/>
      <c r="F64" s="386"/>
      <c r="G64" s="337"/>
      <c r="H64" s="338"/>
      <c r="I64" s="182"/>
    </row>
    <row r="65" spans="1:9" ht="17" thickBot="1" x14ac:dyDescent="0.25">
      <c r="A65" s="665"/>
      <c r="B65" s="666"/>
      <c r="C65" s="666"/>
      <c r="D65" s="66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7109375" style="1" customWidth="1"/>
    <col min="6" max="9" width="8.85546875" style="1"/>
    <col min="10" max="10" width="4.28515625" style="1" bestFit="1" customWidth="1"/>
    <col min="11" max="11" width="4.42578125" style="1" bestFit="1" customWidth="1"/>
    <col min="12" max="12" width="2.7109375" style="1" customWidth="1"/>
    <col min="13" max="16" width="8.85546875" style="1" customWidth="1"/>
    <col min="17" max="17" width="4.42578125" style="1" customWidth="1"/>
    <col min="18" max="18" width="5.28515625" style="1" customWidth="1"/>
    <col min="19" max="19" width="2.7109375" style="1" customWidth="1"/>
    <col min="20" max="25" width="8.85546875" style="1" customWidth="1"/>
    <col min="26" max="30" width="10" style="1" customWidth="1"/>
    <col min="31" max="31" width="2.7109375" style="1" customWidth="1"/>
    <col min="32" max="40" width="8.85546875" style="1" customWidth="1"/>
    <col min="41" max="41" width="2.7109375" style="1" customWidth="1"/>
    <col min="42" max="42" width="8.85546875" style="1" customWidth="1"/>
    <col min="43" max="43" width="15.140625" style="1" customWidth="1"/>
    <col min="44" max="44" width="13" style="1" customWidth="1"/>
    <col min="45" max="45" width="13.7109375" style="1" customWidth="1"/>
    <col min="46" max="46" width="8.85546875" style="1" customWidth="1"/>
    <col min="47" max="47" width="10.42578125" style="1" customWidth="1"/>
    <col min="48" max="48" width="2.7109375" style="1" customWidth="1"/>
    <col min="49" max="16384" width="8.85546875" style="1"/>
  </cols>
  <sheetData>
    <row r="1" spans="1:48" ht="33" x14ac:dyDescent="0.2">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25">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
      <c r="A9" s="284">
        <v>0</v>
      </c>
      <c r="B9" s="285"/>
      <c r="C9" s="286">
        <v>1</v>
      </c>
      <c r="D9" s="287">
        <v>1</v>
      </c>
      <c r="E9" s="305"/>
      <c r="F9" s="537"/>
      <c r="G9" s="537"/>
      <c r="H9" s="537"/>
      <c r="I9" s="537"/>
      <c r="J9" s="537"/>
      <c r="K9" s="537"/>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25">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25">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xr:uid="{00000000-0004-0000-0300-000000000000}"/>
  </hyperlinks>
  <pageMargins left="0.7" right="0.7" top="0.75" bottom="0.75" header="0.3" footer="0.3"/>
  <pageSetup paperSize="9" scale="17" orientation="portrait"/>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7109375" style="79" customWidth="1"/>
    <col min="2" max="2" width="20" style="80" customWidth="1"/>
    <col min="3" max="3" width="20" style="18" customWidth="1"/>
    <col min="4" max="4" width="19.85546875" style="77" customWidth="1"/>
    <col min="5" max="5" width="5.28515625" style="77" customWidth="1"/>
    <col min="6" max="7" width="13.7109375" style="77" customWidth="1"/>
    <col min="8" max="9" width="20" style="77" customWidth="1"/>
    <col min="10" max="10" width="19.85546875" style="77" customWidth="1"/>
    <col min="11" max="12" width="5.42578125" style="77" customWidth="1"/>
    <col min="13" max="13" width="13.7109375" style="77" customWidth="1"/>
    <col min="14" max="16" width="19.85546875" style="77" customWidth="1"/>
    <col min="17" max="17" width="5.42578125" style="77" customWidth="1"/>
    <col min="18" max="19" width="13.7109375" style="77" customWidth="1"/>
    <col min="20" max="22" width="19.85546875" style="77" customWidth="1"/>
    <col min="23" max="23" width="4.28515625" style="77" customWidth="1"/>
    <col min="24" max="24" width="13.7109375" style="77" customWidth="1"/>
    <col min="25" max="26" width="17.140625" style="77" customWidth="1"/>
    <col min="27" max="27" width="13.7109375" style="77" customWidth="1"/>
    <col min="28" max="30" width="18.85546875" style="77" customWidth="1"/>
    <col min="31" max="31" width="10.140625" style="77" bestFit="1" customWidth="1"/>
    <col min="32" max="32" width="15.710937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25">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25">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25">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25">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25">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25">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f>'PF calculator'!D8</f>
        <v>0</v>
      </c>
      <c r="E8" s="1022"/>
      <c r="F8" s="1023"/>
      <c r="G8" s="396"/>
      <c r="H8" s="395"/>
      <c r="I8" s="395"/>
      <c r="J8" s="395"/>
      <c r="K8" s="970" t="s">
        <v>335</v>
      </c>
      <c r="L8" s="988"/>
      <c r="M8" s="1021">
        <f>'PF calculator'!M8</f>
        <v>1</v>
      </c>
      <c r="N8" s="1023"/>
      <c r="O8" s="1024" t="str">
        <f>'PF calculator'!O8:Q8</f>
        <v>Project benefit to cost ratio:</v>
      </c>
      <c r="P8" s="1025"/>
      <c r="Q8" s="1026"/>
      <c r="R8" s="397">
        <f>$E$39/$E$33</f>
        <v>8</v>
      </c>
      <c r="S8" s="398" t="s">
        <v>15</v>
      </c>
      <c r="T8" s="12"/>
    </row>
    <row r="9" spans="1:20" s="1" customFormat="1" ht="18.75" customHeight="1" thickBot="1" x14ac:dyDescent="0.25">
      <c r="A9" s="4"/>
      <c r="B9" s="970" t="s">
        <v>354</v>
      </c>
      <c r="C9" s="970"/>
      <c r="D9" s="1029">
        <f>'PF calculator'!D9</f>
        <v>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f>'PF calculator'!D10</f>
        <v>0</v>
      </c>
      <c r="E10" s="1035"/>
      <c r="F10" s="1035"/>
      <c r="G10" s="1035"/>
      <c r="H10" s="1035"/>
      <c r="I10" s="1036"/>
      <c r="J10" s="394"/>
      <c r="K10" s="395"/>
      <c r="L10" s="395"/>
      <c r="M10" s="395"/>
      <c r="N10" s="395"/>
      <c r="O10" s="1032" t="s">
        <v>129</v>
      </c>
      <c r="P10" s="1032"/>
      <c r="Q10" s="1033"/>
      <c r="R10" s="397">
        <f>IF($K$33&gt;0,$E$39/$K$33,"n/a")</f>
        <v>1.2820512820512822</v>
      </c>
      <c r="S10" s="398" t="s">
        <v>15</v>
      </c>
      <c r="T10" s="12"/>
    </row>
    <row r="11" spans="1:20"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191984.53053124805</v>
      </c>
      <c r="F19" s="1020"/>
      <c r="G19" s="395"/>
      <c r="H19" s="977" t="s">
        <v>65</v>
      </c>
      <c r="I19" s="977"/>
      <c r="J19" s="986"/>
      <c r="K19" s="1019">
        <f>IF(E23="low BCR","n/a",IF(E17="Yes",IF(D11="Environment Agency",E23/MAX(MAX(E33,E31)-K33,1),E19+K33/E31),IF(D11="Environment Agency",E23*0.45/MAX(MAX(E33,E31)-K33,1),E19+K33/E31)))</f>
        <v>2399806.6316406005</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2399806.6316406005</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1001">
        <f>'PF calculator'!E28*1.25</f>
        <v>1.25</v>
      </c>
      <c r="F28" s="1002"/>
      <c r="G28" s="395"/>
      <c r="H28" s="970" t="s">
        <v>341</v>
      </c>
      <c r="I28" s="970"/>
      <c r="J28" s="971"/>
      <c r="K28" s="1008">
        <f>'PF calculator'!K28</f>
        <v>1</v>
      </c>
      <c r="L28" s="1009"/>
      <c r="M28" s="1008">
        <f>'PF calculator'!M28</f>
        <v>2</v>
      </c>
      <c r="N28" s="1009"/>
      <c r="O28" s="1008">
        <f>'PF calculator'!O28</f>
        <v>3</v>
      </c>
      <c r="P28" s="1009"/>
      <c r="Q28" s="1010" t="str">
        <f>'PF calculator'!Q28:S28</f>
        <v>Contributor(s) or Fund(s)</v>
      </c>
      <c r="R28" s="1010"/>
      <c r="S28" s="1010"/>
      <c r="T28" s="11"/>
    </row>
    <row r="29" spans="1:20" s="1" customFormat="1" ht="18.75" customHeight="1" thickBot="1" x14ac:dyDescent="0.25">
      <c r="A29" s="4"/>
      <c r="B29" s="970" t="s">
        <v>338</v>
      </c>
      <c r="C29" s="970"/>
      <c r="D29" s="988"/>
      <c r="E29" s="1001">
        <f>'PF calculator'!E29*1.25</f>
        <v>2.5</v>
      </c>
      <c r="F29" s="1002"/>
      <c r="G29" s="395"/>
      <c r="H29" s="970" t="s">
        <v>342</v>
      </c>
      <c r="I29" s="970"/>
      <c r="J29" s="971"/>
      <c r="K29" s="1008">
        <f>'PF calculator'!K29</f>
        <v>4</v>
      </c>
      <c r="L29" s="1009"/>
      <c r="M29" s="1008">
        <f>'PF calculator'!M29</f>
        <v>5</v>
      </c>
      <c r="N29" s="1009"/>
      <c r="O29" s="1008">
        <f>'PF calculator'!O29</f>
        <v>6</v>
      </c>
      <c r="P29" s="1009"/>
      <c r="Q29" s="1005">
        <f>'PF calculator'!Q29</f>
        <v>0</v>
      </c>
      <c r="R29" s="1006"/>
      <c r="S29" s="1007"/>
      <c r="T29" s="11"/>
    </row>
    <row r="30" spans="1:20" s="1" customFormat="1" ht="18.75" customHeight="1" thickBot="1" x14ac:dyDescent="0.25">
      <c r="A30" s="4"/>
      <c r="B30" s="970" t="s">
        <v>339</v>
      </c>
      <c r="C30" s="970"/>
      <c r="D30" s="988"/>
      <c r="E30" s="1001">
        <f>'PF calculator'!E30*1.25</f>
        <v>3.75</v>
      </c>
      <c r="F30" s="1002"/>
      <c r="G30" s="395"/>
      <c r="H30" s="970" t="s">
        <v>343</v>
      </c>
      <c r="I30" s="970"/>
      <c r="J30" s="971"/>
      <c r="K30" s="1008">
        <f>'PF calculator'!K30</f>
        <v>7</v>
      </c>
      <c r="L30" s="1009"/>
      <c r="M30" s="1008">
        <f>'PF calculator'!M30</f>
        <v>8</v>
      </c>
      <c r="N30" s="1009"/>
      <c r="O30" s="1008">
        <f>'PF calculator'!O30</f>
        <v>9</v>
      </c>
      <c r="P30" s="1009"/>
      <c r="Q30" s="1005">
        <f>'PF calculator'!Q30</f>
        <v>0</v>
      </c>
      <c r="R30" s="1006"/>
      <c r="S30" s="1007"/>
      <c r="T30" s="12"/>
    </row>
    <row r="31" spans="1:20" s="1" customFormat="1" ht="18.75" customHeight="1" thickBot="1" x14ac:dyDescent="0.25">
      <c r="A31" s="4"/>
      <c r="B31" s="970" t="s">
        <v>69</v>
      </c>
      <c r="C31" s="970"/>
      <c r="D31" s="988"/>
      <c r="E31" s="996">
        <f>SUM(E28:E30)</f>
        <v>7.5</v>
      </c>
      <c r="F31" s="997"/>
      <c r="G31" s="395"/>
      <c r="H31" s="970" t="s">
        <v>344</v>
      </c>
      <c r="I31" s="970"/>
      <c r="J31" s="971"/>
      <c r="K31" s="1008">
        <f>'PF calculator'!K31</f>
        <v>10</v>
      </c>
      <c r="L31" s="1009"/>
      <c r="M31" s="1008">
        <f>'PF calculator'!M31</f>
        <v>11</v>
      </c>
      <c r="N31" s="1009"/>
      <c r="O31" s="1008">
        <f>'PF calculator'!O31</f>
        <v>12</v>
      </c>
      <c r="P31" s="1009"/>
      <c r="Q31" s="1005">
        <f>'PF calculator'!Q31</f>
        <v>0</v>
      </c>
      <c r="R31" s="1006"/>
      <c r="S31" s="1007"/>
      <c r="T31" s="12"/>
    </row>
    <row r="32" spans="1:20" s="1" customFormat="1" ht="18.75" customHeight="1" thickBot="1" x14ac:dyDescent="0.25">
      <c r="A32" s="4"/>
      <c r="B32" s="970" t="s">
        <v>340</v>
      </c>
      <c r="C32" s="970"/>
      <c r="D32" s="988"/>
      <c r="E32" s="1001">
        <f>'PF calculator'!E32*1.25</f>
        <v>5</v>
      </c>
      <c r="F32" s="1002"/>
      <c r="G32" s="395"/>
      <c r="H32" s="977" t="s">
        <v>70</v>
      </c>
      <c r="I32" s="977"/>
      <c r="J32" s="986"/>
      <c r="K32" s="1003">
        <f>SUM(K28:L31)</f>
        <v>22</v>
      </c>
      <c r="L32" s="1004"/>
      <c r="M32" s="1003">
        <f>SUM(M28:N31)</f>
        <v>26</v>
      </c>
      <c r="N32" s="1004"/>
      <c r="O32" s="1003">
        <f>SUM(O28:P31)</f>
        <v>30</v>
      </c>
      <c r="P32" s="1004"/>
      <c r="Q32" s="395"/>
      <c r="R32" s="395"/>
      <c r="S32" s="395"/>
      <c r="T32" s="12"/>
    </row>
    <row r="33" spans="1:20" s="1" customFormat="1" ht="18.75" customHeight="1" thickBot="1" x14ac:dyDescent="0.25">
      <c r="A33" s="4"/>
      <c r="B33" s="970" t="s">
        <v>147</v>
      </c>
      <c r="C33" s="970"/>
      <c r="D33" s="988"/>
      <c r="E33" s="996">
        <f>SUM(E31:F32)</f>
        <v>12.5</v>
      </c>
      <c r="F33" s="997"/>
      <c r="G33" s="395"/>
      <c r="H33" s="970" t="s">
        <v>71</v>
      </c>
      <c r="I33" s="970"/>
      <c r="J33" s="988"/>
      <c r="K33" s="998">
        <f>IF(D11="Environment Agency",K32+M32+O32,K32+M32)</f>
        <v>78</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10</v>
      </c>
      <c r="H46" s="414">
        <f>'PF calculator'!H46</f>
        <v>11</v>
      </c>
      <c r="I46" s="414">
        <f>'PF calculator'!I46</f>
        <v>12</v>
      </c>
      <c r="J46" s="414">
        <f>'PF calculator'!J46</f>
        <v>13</v>
      </c>
      <c r="K46" s="395"/>
      <c r="L46" s="415">
        <f>IF(SUM(G46:J46)&lt;SUM(F51:J51),"n/a",F51)</f>
        <v>1</v>
      </c>
      <c r="M46" s="415">
        <f>IF(SUM(G46:J46)&lt;SUM(F51:J51),"n/a",G51-G46)</f>
        <v>-8</v>
      </c>
      <c r="N46" s="415">
        <f>IF(SUM(G46:J46)&lt;SUM(F51:J51),"n/a",H51-H46)</f>
        <v>-8</v>
      </c>
      <c r="O46" s="415">
        <f>IF(SUM(G46:J46)&lt;SUM(F51:J51),"n/a",I51-I46)</f>
        <v>-8</v>
      </c>
      <c r="P46" s="415">
        <f>IF(SUM(G46:J46)&lt;SUM(F51:J51),"n/a",J51-J46)</f>
        <v>-12</v>
      </c>
      <c r="Q46" s="395"/>
      <c r="R46" s="974">
        <f>-(SUMPRODUCT($M$46:$P$46,$M$52:$P$52))*(VLOOKUP($E$38,'Policy assumptions and formulae'!A10:D109,4,FALSE))</f>
        <v>892536.2950645315</v>
      </c>
      <c r="S46" s="985"/>
      <c r="T46" s="12"/>
    </row>
    <row r="47" spans="1:20" s="1" customFormat="1" ht="18.75" customHeight="1" thickBot="1" x14ac:dyDescent="0.25">
      <c r="A47" s="14"/>
      <c r="B47" s="970" t="s">
        <v>349</v>
      </c>
      <c r="C47" s="970"/>
      <c r="D47" s="970"/>
      <c r="E47" s="971"/>
      <c r="F47" s="413"/>
      <c r="G47" s="414">
        <f>'PF calculator'!G47</f>
        <v>20</v>
      </c>
      <c r="H47" s="414">
        <f>'PF calculator'!H47</f>
        <v>21</v>
      </c>
      <c r="I47" s="414">
        <f>'PF calculator'!I47</f>
        <v>22</v>
      </c>
      <c r="J47" s="414">
        <f>'PF calculator'!J47</f>
        <v>23</v>
      </c>
      <c r="K47" s="395"/>
      <c r="L47" s="415">
        <f>IF(SUM(G47:J47)&lt;SUM(F52:J52),"n/a",F52)</f>
        <v>10</v>
      </c>
      <c r="M47" s="415">
        <f>IF(SUM(G47:J47)&lt;SUM(F52:J52),"n/a",G52-G47)</f>
        <v>-9</v>
      </c>
      <c r="N47" s="415">
        <f>IF(SUM(G47:J47)&lt;SUM(F52:J52),"n/a",H52-H47)</f>
        <v>-9</v>
      </c>
      <c r="O47" s="415">
        <f>IF(SUM(G47:J47)&lt;SUM(F52:J52),"n/a",I52-I47)</f>
        <v>-9</v>
      </c>
      <c r="P47" s="415">
        <f>IF(SUM(G47:J47)&lt;SUM(F52:J52),"n/a",J52-J47)</f>
        <v>-22</v>
      </c>
      <c r="Q47" s="395"/>
      <c r="R47" s="974">
        <f>-(SUMPRODUCT($M$47:$P$47,$M$52:$P$52))*(VLOOKUP($E$38,'Policy assumptions and formulae'!A10:D109,4,FALSE))</f>
        <v>1407325.9298163184</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f>IF(SUM(G48:J48)&lt;SUM(F53:J53),"n/a",F53)</f>
        <v>20</v>
      </c>
      <c r="M48" s="415">
        <f>IF(SUM(G48:J48)&lt;SUM(F53:J53),"n/a",G53-G48)</f>
        <v>-9</v>
      </c>
      <c r="N48" s="415">
        <f>IF(SUM(G48:J48)&lt;SUM(F53:J53),"n/a",H53-H48)</f>
        <v>-9</v>
      </c>
      <c r="O48" s="415">
        <f>IF(SUM(G48:J48)&lt;SUM(F53:J53),"n/a",I53-I48)</f>
        <v>-9</v>
      </c>
      <c r="P48" s="415">
        <f>IF(SUM(G48:J48)&lt;SUM(F53:J53),"n/a",J53-J48)</f>
        <v>-32</v>
      </c>
      <c r="Q48" s="395"/>
      <c r="R48" s="974">
        <f>-(SUMPRODUCT($M$48:$P$48,$M$52:$P$52))*(VLOOKUP($E$38,'Policy assumptions and formulae'!A10:D109,4,FALSE))</f>
        <v>1881705.4567206956</v>
      </c>
      <c r="S48" s="98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1</v>
      </c>
      <c r="G51" s="414">
        <f>'PF calculator'!G51</f>
        <v>2</v>
      </c>
      <c r="H51" s="414">
        <f>'PF calculator'!H51</f>
        <v>3</v>
      </c>
      <c r="I51" s="414">
        <f>'PF calculator'!I51</f>
        <v>4</v>
      </c>
      <c r="J51" s="414">
        <f>'PF calculator'!J51</f>
        <v>1</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10</v>
      </c>
      <c r="G52" s="414">
        <f>'PF calculator'!G52</f>
        <v>11</v>
      </c>
      <c r="H52" s="414">
        <f>'PF calculator'!H52</f>
        <v>12</v>
      </c>
      <c r="I52" s="414">
        <f>'PF calculator'!I52</f>
        <v>13</v>
      </c>
      <c r="J52" s="414">
        <f>'PF calculator'!J52</f>
        <v>1</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20</v>
      </c>
      <c r="G53" s="414">
        <f>'PF calculator'!G53</f>
        <v>21</v>
      </c>
      <c r="H53" s="414">
        <f>'PF calculator'!H53</f>
        <v>22</v>
      </c>
      <c r="I53" s="414">
        <f>'PF calculator'!I53</f>
        <v>23</v>
      </c>
      <c r="J53" s="414">
        <f>'PF calculator'!J53</f>
        <v>1</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0</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t="str">
        <f>IF($E$58+$E$38&lt;2041,"Ltd by DoB",(-SUMPRODUCT($M$61:$P$61,$M$67:$P$67)*VLOOKUP($E$38,'Policy assumptions and formulae'!$A$10:$D$109,4,FALSE))-(-SUMPRODUCT($M$61:$P$61,$M$67:$P$67)*VLOOKUP((2040-$E$58),'Policy assumptions and formulae'!$A$10:$D$109,4,FALSE)))</f>
        <v>Ltd by DoB</v>
      </c>
      <c r="S61" s="985"/>
      <c r="T61" s="11"/>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t="str">
        <f>IF($E$58+$E$38&lt;2041,"Ltd by DoB",(-SUMPRODUCT($M$62:$P$62,$M$67:$P$67)*VLOOKUP($E$38,'Policy assumptions and formulae'!$A$10:$D$109,4,FALSE))-(-SUMPRODUCT($M$62:$P$62,$M$67:$P$67)*VLOOKUP((2040-$E$58),'Policy assumptions and formulae'!$A$10:$D$109,4,FALSE)))</f>
        <v>Ltd by DoB</v>
      </c>
      <c r="S62" s="985"/>
      <c r="T62" s="11"/>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74" t="str">
        <f>IF($E$58+$E$38&lt;2041,"Ltd by DoB",(-SUMPRODUCT($M$63:$P$63,$M$67:$P$67)*VLOOKUP($E$38,'Policy assumptions and formulae'!$A$10:$D$109,4,FALSE))-(-SUMPRODUCT($M$63:$P$63,$M$67:$P$67)*VLOOKUP((2040-$E$58),'Policy assumptions and formulae'!$A$10:$D$109,4,FALSE)))</f>
        <v>Ltd by DoB</v>
      </c>
      <c r="S63" s="98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14">
        <f>'PF calculator'!F74</f>
        <v>1</v>
      </c>
      <c r="G74" s="414">
        <f>'PF calculator'!G74</f>
        <v>2</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244171.29545169987</v>
      </c>
      <c r="S74" s="975"/>
      <c r="T74" s="12"/>
    </row>
    <row r="75" spans="1:20" s="1" customFormat="1" ht="18.75" customHeight="1" thickBot="1" x14ac:dyDescent="0.2">
      <c r="A75" s="4"/>
      <c r="B75" s="970" t="s">
        <v>349</v>
      </c>
      <c r="C75" s="970"/>
      <c r="D75" s="970"/>
      <c r="E75" s="971"/>
      <c r="F75" s="414">
        <f>'PF calculator'!F75</f>
        <v>3</v>
      </c>
      <c r="G75" s="414">
        <f>'PF calculator'!G75</f>
        <v>4</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528400.90276481514</v>
      </c>
      <c r="S75" s="975"/>
      <c r="T75" s="12"/>
    </row>
    <row r="76" spans="1:20" s="1" customFormat="1" ht="18.75" customHeight="1" thickBot="1" x14ac:dyDescent="0.2">
      <c r="A76" s="4"/>
      <c r="B76" s="970" t="s">
        <v>350</v>
      </c>
      <c r="C76" s="970"/>
      <c r="D76" s="970"/>
      <c r="E76" s="971"/>
      <c r="F76" s="414">
        <f>'PF calculator'!F76</f>
        <v>5</v>
      </c>
      <c r="G76" s="414">
        <f>'PF calculator'!G76</f>
        <v>6</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812630.51007793052</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9</v>
      </c>
      <c r="E83" s="426">
        <f>'PF calculator'!E83</f>
        <v>8</v>
      </c>
      <c r="F83" s="426">
        <f>'PF calculator'!F83</f>
        <v>7</v>
      </c>
      <c r="G83" s="961"/>
      <c r="H83" s="426">
        <f>'PF calculator'!H83</f>
        <v>6</v>
      </c>
      <c r="I83" s="426">
        <f>'PF calculator'!I83</f>
        <v>5</v>
      </c>
      <c r="J83" s="426">
        <f>'PF calculator'!J83</f>
        <v>4</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-1723713.33288767</v>
      </c>
      <c r="M83" s="932"/>
      <c r="N83" s="391"/>
      <c r="O83" s="423"/>
      <c r="P83" s="379" t="s">
        <v>379</v>
      </c>
      <c r="Q83" s="328"/>
      <c r="R83" s="967" t="s">
        <v>74</v>
      </c>
      <c r="S83" s="967"/>
      <c r="T83" s="11"/>
    </row>
    <row r="84" spans="1:20" ht="18.75" customHeight="1" thickBot="1" x14ac:dyDescent="0.25">
      <c r="A84" s="5"/>
      <c r="B84" s="957" t="s">
        <v>106</v>
      </c>
      <c r="C84" s="958"/>
      <c r="D84" s="426">
        <f>'PF calculator'!D84</f>
        <v>10</v>
      </c>
      <c r="E84" s="426">
        <f>'PF calculator'!E84</f>
        <v>9</v>
      </c>
      <c r="F84" s="426">
        <f>'PF calculator'!F84</f>
        <v>8</v>
      </c>
      <c r="G84" s="961"/>
      <c r="H84" s="426">
        <f>'PF calculator'!H84</f>
        <v>7</v>
      </c>
      <c r="I84" s="426">
        <f>'PF calculator'!I84</f>
        <v>6</v>
      </c>
      <c r="J84" s="426">
        <f>'PF calculator'!J84</f>
        <v>5</v>
      </c>
      <c r="K84" s="962"/>
      <c r="L84" s="931">
        <f>(((H84-D84)*'Policy assumptions and formulae'!AR13)+((I84-E84)*'Policy assumptions and formulae'!AS13)+((J84-F84)*'Policy assumptions and formulae'!AT13))*VLOOKUP($E$38,'Policy assumptions and formulae'!$A$10:$D$109,4,FALSE)</f>
        <v>-984595.08983552456</v>
      </c>
      <c r="M84" s="932"/>
      <c r="N84" s="968" t="s">
        <v>380</v>
      </c>
      <c r="O84" s="969"/>
      <c r="P84" s="427">
        <f>'PF calculator'!P84</f>
        <v>5</v>
      </c>
      <c r="Q84" s="328"/>
      <c r="R84" s="953">
        <f>(P84*'Policy assumptions and formulae'!AT23)*VLOOKUP($E$38,'Policy assumptions and formulae'!$A$10:$D$109,4,FALSE)</f>
        <v>1970981.9814723877</v>
      </c>
      <c r="S84" s="954"/>
      <c r="T84" s="11"/>
    </row>
    <row r="85" spans="1:20" ht="18.75" customHeight="1" thickBot="1" x14ac:dyDescent="0.25">
      <c r="A85" s="5"/>
      <c r="B85" s="957" t="s">
        <v>55</v>
      </c>
      <c r="C85" s="958"/>
      <c r="D85" s="426">
        <f>'PF calculator'!D85</f>
        <v>11</v>
      </c>
      <c r="E85" s="426">
        <f>'PF calculator'!E85</f>
        <v>10</v>
      </c>
      <c r="F85" s="426">
        <f>'PF calculator'!F85</f>
        <v>9</v>
      </c>
      <c r="G85" s="961"/>
      <c r="H85" s="426">
        <f>'PF calculator'!H85</f>
        <v>8</v>
      </c>
      <c r="I85" s="426">
        <f>'PF calculator'!I85</f>
        <v>7</v>
      </c>
      <c r="J85" s="426">
        <f>'PF calculator'!J85</f>
        <v>6</v>
      </c>
      <c r="K85" s="962"/>
      <c r="L85" s="931">
        <f>(((H85-D85)*'Policy assumptions and formulae'!AR14)+((I85-E85)*'Policy assumptions and formulae'!AS14)+((J85-F85)*'Policy assumptions and formulae'!AT14))*VLOOKUP($E$38,'Policy assumptions and formulae'!$A$10:$D$109,4,FALSE)</f>
        <v>-984595.08983552456</v>
      </c>
      <c r="M85" s="932"/>
      <c r="N85" s="968" t="s">
        <v>381</v>
      </c>
      <c r="O85" s="969"/>
      <c r="P85" s="427">
        <f>'PF calculator'!P85</f>
        <v>6</v>
      </c>
      <c r="Q85" s="328"/>
      <c r="R85" s="953">
        <f>(P85*'Policy assumptions and formulae'!AT24)*VLOOKUP($E$38,'Policy assumptions and formulae'!$A$10:$D$109,4,FALSE)</f>
        <v>1182589.1888834327</v>
      </c>
      <c r="S85" s="954"/>
      <c r="T85" s="11"/>
    </row>
    <row r="86" spans="1:20" ht="18.75" customHeight="1" thickBot="1" x14ac:dyDescent="0.25">
      <c r="A86" s="5"/>
      <c r="B86" s="957" t="s">
        <v>107</v>
      </c>
      <c r="C86" s="958"/>
      <c r="D86" s="426">
        <f>'PF calculator'!D86</f>
        <v>12</v>
      </c>
      <c r="E86" s="426">
        <f>'PF calculator'!E86</f>
        <v>11</v>
      </c>
      <c r="F86" s="426">
        <f>'PF calculator'!F86</f>
        <v>10</v>
      </c>
      <c r="G86" s="961"/>
      <c r="H86" s="426">
        <f>'PF calculator'!H86</f>
        <v>9</v>
      </c>
      <c r="I86" s="426">
        <f>'PF calculator'!I86</f>
        <v>8</v>
      </c>
      <c r="J86" s="426">
        <f>'PF calculator'!J86</f>
        <v>7</v>
      </c>
      <c r="K86" s="962"/>
      <c r="L86" s="931">
        <f>(((H86-D86)*'Policy assumptions and formulae'!AR15)+((I86-E86)*'Policy assumptions and formulae'!AS15)+((J86-F86)*'Policy assumptions and formulae'!AT15))*VLOOKUP($E$38,'Policy assumptions and formulae'!$A$10:$D$109,4,FALSE)</f>
        <v>-548291.35120959149</v>
      </c>
      <c r="M86" s="932"/>
      <c r="N86" s="963" t="s">
        <v>352</v>
      </c>
      <c r="O86" s="964"/>
      <c r="P86" s="427">
        <f>'PF calculator'!P86</f>
        <v>7</v>
      </c>
      <c r="Q86" s="328"/>
      <c r="R86" s="953">
        <f>(P86*'Policy assumptions and formulae'!AT25)*VLOOKUP($E$38,'Policy assumptions and formulae'!$A$10:$D$109,4,FALSE)</f>
        <v>689843.69351533568</v>
      </c>
      <c r="S86" s="954"/>
      <c r="T86" s="11"/>
    </row>
    <row r="87" spans="1:20" ht="18.75" customHeight="1" thickBot="1" x14ac:dyDescent="0.25">
      <c r="A87" s="5"/>
      <c r="B87" s="957" t="s">
        <v>108</v>
      </c>
      <c r="C87" s="958"/>
      <c r="D87" s="426">
        <f>'PF calculator'!D87</f>
        <v>13</v>
      </c>
      <c r="E87" s="426">
        <f>'PF calculator'!E87</f>
        <v>12</v>
      </c>
      <c r="F87" s="426">
        <f>'PF calculator'!F87</f>
        <v>11</v>
      </c>
      <c r="G87" s="961"/>
      <c r="H87" s="426">
        <f>'PF calculator'!H87</f>
        <v>10</v>
      </c>
      <c r="I87" s="426">
        <f>'PF calculator'!I87</f>
        <v>9</v>
      </c>
      <c r="J87" s="426">
        <f>'PF calculator'!J87</f>
        <v>8</v>
      </c>
      <c r="K87" s="962"/>
      <c r="L87" s="931">
        <f>(((H87-D87)*'Policy assumptions and formulae'!AR16)+((I87-E87)*'Policy assumptions and formulae'!AS16)+((J87-F87)*'Policy assumptions and formulae'!AT16))*VLOOKUP($E$38,'Policy assumptions and formulae'!$A$10:$D$109,4,FALSE)</f>
        <v>-59129.459444171633</v>
      </c>
      <c r="M87" s="932"/>
      <c r="N87" s="963"/>
      <c r="O87" s="964"/>
      <c r="P87" s="329"/>
      <c r="Q87" s="328"/>
      <c r="R87" s="330"/>
      <c r="S87" s="330"/>
      <c r="T87" s="11"/>
    </row>
    <row r="88" spans="1:20" ht="18.75" customHeight="1" thickBot="1" x14ac:dyDescent="0.25">
      <c r="A88" s="5"/>
      <c r="B88" s="957" t="s">
        <v>329</v>
      </c>
      <c r="C88" s="958"/>
      <c r="D88" s="426">
        <f>'PF calculator'!D88</f>
        <v>14</v>
      </c>
      <c r="E88" s="426">
        <f>'PF calculator'!E88</f>
        <v>13</v>
      </c>
      <c r="F88" s="426">
        <f>'PF calculator'!F88</f>
        <v>12</v>
      </c>
      <c r="G88" s="961"/>
      <c r="H88" s="426">
        <f>'PF calculator'!H88</f>
        <v>11</v>
      </c>
      <c r="I88" s="426">
        <f>'PF calculator'!I88</f>
        <v>10</v>
      </c>
      <c r="J88" s="426">
        <f>'PF calculator'!J88</f>
        <v>9</v>
      </c>
      <c r="K88" s="962"/>
      <c r="L88" s="931">
        <f>(((H88-D88)*'Policy assumptions and formulae'!AR17)+((I88-E88)*'Policy assumptions and formulae'!AS17)+((J88-F88)*'Policy assumptions and formulae'!AT17))*VLOOKUP($E$38,'Policy assumptions and formulae'!$A$10:$D$109,4,FALSE)</f>
        <v>-377174.27918176149</v>
      </c>
      <c r="M88" s="932"/>
      <c r="N88" s="391"/>
      <c r="O88" s="391"/>
      <c r="P88" s="391"/>
      <c r="Q88" s="391"/>
      <c r="R88" s="391"/>
      <c r="S88" s="391"/>
      <c r="T88" s="11"/>
    </row>
    <row r="89" spans="1:20" ht="18.75" customHeight="1" thickBot="1" x14ac:dyDescent="0.25">
      <c r="A89" s="5"/>
      <c r="B89" s="957" t="s">
        <v>109</v>
      </c>
      <c r="C89" s="958"/>
      <c r="D89" s="426">
        <f>'PF calculator'!D89</f>
        <v>15</v>
      </c>
      <c r="E89" s="426">
        <f>'PF calculator'!E89</f>
        <v>14</v>
      </c>
      <c r="F89" s="426">
        <f>'PF calculator'!F89</f>
        <v>13</v>
      </c>
      <c r="G89" s="961"/>
      <c r="H89" s="426">
        <f>'PF calculator'!H89</f>
        <v>12</v>
      </c>
      <c r="I89" s="426">
        <f>'PF calculator'!I89</f>
        <v>11</v>
      </c>
      <c r="J89" s="426">
        <f>'PF calculator'!J89</f>
        <v>10</v>
      </c>
      <c r="K89" s="962"/>
      <c r="L89" s="931">
        <f>(((H89-D89)*'Policy assumptions and formulae'!AR18)+((I89-E89)*'Policy assumptions and formulae'!AS18)+((J89-F89)*'Policy assumptions and formulae'!AT18))*VLOOKUP($E$38,'Policy assumptions and formulae'!$A$10:$D$109,4,FALSE)</f>
        <v>-548291.35120959149</v>
      </c>
      <c r="M89" s="932"/>
      <c r="N89" s="428"/>
      <c r="O89" s="428"/>
      <c r="P89" s="331"/>
      <c r="Q89" s="328"/>
      <c r="R89" s="332"/>
      <c r="S89" s="332"/>
      <c r="T89" s="11"/>
    </row>
    <row r="90" spans="1:20" ht="18.75" customHeight="1" thickBot="1" x14ac:dyDescent="0.25">
      <c r="A90" s="5"/>
      <c r="B90" s="957" t="s">
        <v>110</v>
      </c>
      <c r="C90" s="958"/>
      <c r="D90" s="426">
        <f>'PF calculator'!D90</f>
        <v>16</v>
      </c>
      <c r="E90" s="426">
        <f>'PF calculator'!E90</f>
        <v>15</v>
      </c>
      <c r="F90" s="426">
        <f>'PF calculator'!F90</f>
        <v>14</v>
      </c>
      <c r="G90" s="961"/>
      <c r="H90" s="426">
        <f>'PF calculator'!H90</f>
        <v>13</v>
      </c>
      <c r="I90" s="426">
        <f>'PF calculator'!I90</f>
        <v>12</v>
      </c>
      <c r="J90" s="426">
        <f>'PF calculator'!J90</f>
        <v>11</v>
      </c>
      <c r="K90" s="962"/>
      <c r="L90" s="931">
        <f>(((H90-D90)*'Policy assumptions and formulae'!AR19)+((I90-E90)*'Policy assumptions and formulae'!AS19)+((J90-F90)*'Policy assumptions and formulae'!AT19))*VLOOKUP($E$38,'Policy assumptions and formulae'!$A$10:$D$109,4,FALSE)</f>
        <v>-12542.61260936974</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str">
        <f>IF(E39=0,0,IF(MAX((E39-SUM(D96:E104)),0)&gt;0,E39-SUM(D96:D104),"Ltd by high OM1b,2,3,4 values"))</f>
        <v>Ltd by high OM1b,2,3,4 values</v>
      </c>
      <c r="E95" s="936"/>
      <c r="F95" s="945">
        <f>'PF calculator'!G95</f>
        <v>6</v>
      </c>
      <c r="G95" s="946"/>
      <c r="H95" s="935">
        <f>IF(D95="Ltd by high OM1b,2,3,4 values",0,D95*(F95/100))</f>
        <v>0</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100</v>
      </c>
      <c r="E96" s="956"/>
      <c r="F96" s="945">
        <f>'PF calculator'!G96</f>
        <v>20</v>
      </c>
      <c r="G96" s="946"/>
      <c r="H96" s="935">
        <f t="shared" ref="H96:H102" si="0">D96*(F96/100)</f>
        <v>20</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43">
        <f>IF(R61="Ltd by DoB",R46,R46+R61)</f>
        <v>892536.2950645315</v>
      </c>
      <c r="E97" s="944"/>
      <c r="F97" s="945">
        <f>'PF calculator'!G97</f>
        <v>45</v>
      </c>
      <c r="G97" s="946"/>
      <c r="H97" s="935">
        <f t="shared" si="0"/>
        <v>401641.33277903916</v>
      </c>
      <c r="I97" s="936"/>
      <c r="J97" s="328"/>
      <c r="K97" s="328"/>
      <c r="L97" s="328"/>
      <c r="M97" s="328"/>
      <c r="N97" s="328"/>
      <c r="O97" s="328"/>
      <c r="P97" s="328"/>
      <c r="Q97" s="328"/>
      <c r="R97" s="328"/>
      <c r="S97" s="328"/>
      <c r="T97" s="12"/>
    </row>
    <row r="98" spans="1:20" s="1" customFormat="1" ht="18.75" customHeight="1" x14ac:dyDescent="0.2">
      <c r="A98" s="4"/>
      <c r="B98" s="941"/>
      <c r="C98" s="433" t="s">
        <v>89</v>
      </c>
      <c r="D98" s="943">
        <f>IF(R62="Ltd by DoB",R47,R47+R62)</f>
        <v>1407325.9298163184</v>
      </c>
      <c r="E98" s="944"/>
      <c r="F98" s="945">
        <f>'PF calculator'!G98</f>
        <v>30</v>
      </c>
      <c r="G98" s="946"/>
      <c r="H98" s="935">
        <f t="shared" si="0"/>
        <v>422197.77894489554</v>
      </c>
      <c r="I98" s="936"/>
      <c r="J98" s="328"/>
      <c r="K98" s="328"/>
      <c r="L98" s="328"/>
      <c r="M98" s="328"/>
      <c r="N98" s="328"/>
      <c r="O98" s="328"/>
      <c r="P98" s="328"/>
      <c r="Q98" s="328"/>
      <c r="R98" s="328"/>
      <c r="S98" s="328"/>
      <c r="T98" s="12"/>
    </row>
    <row r="99" spans="1:20" s="1" customFormat="1" ht="18.75" customHeight="1" x14ac:dyDescent="0.2">
      <c r="A99" s="4"/>
      <c r="B99" s="942"/>
      <c r="C99" s="433" t="s">
        <v>90</v>
      </c>
      <c r="D99" s="943">
        <f>IF(R63="Ltd by DoB",R48,R48+R63)</f>
        <v>1881705.4567206956</v>
      </c>
      <c r="E99" s="944"/>
      <c r="F99" s="945">
        <f>'PF calculator'!G99</f>
        <v>20</v>
      </c>
      <c r="G99" s="946"/>
      <c r="H99" s="935">
        <f t="shared" si="0"/>
        <v>376341.09134413913</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f>R74</f>
        <v>244171.29545169987</v>
      </c>
      <c r="E100" s="936"/>
      <c r="F100" s="945">
        <f>'PF calculator'!G100</f>
        <v>45</v>
      </c>
      <c r="G100" s="946"/>
      <c r="H100" s="935">
        <f t="shared" si="0"/>
        <v>109877.08295326495</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f>R75</f>
        <v>528400.90276481514</v>
      </c>
      <c r="E101" s="936"/>
      <c r="F101" s="945">
        <f>'PF calculator'!G101</f>
        <v>30</v>
      </c>
      <c r="G101" s="946"/>
      <c r="H101" s="935">
        <f t="shared" si="0"/>
        <v>158520.27082944455</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f>R76</f>
        <v>812630.51007793052</v>
      </c>
      <c r="E102" s="936"/>
      <c r="F102" s="945">
        <f>'PF calculator'!G102</f>
        <v>20</v>
      </c>
      <c r="G102" s="946"/>
      <c r="H102" s="935">
        <f t="shared" si="0"/>
        <v>162526.1020155861</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str">
        <f>IF(SUM(L83:M90)&lt;0,"Ltd by negative OM4 values",SUM(L83:M90))</f>
        <v>Ltd by negative OM4 values</v>
      </c>
      <c r="E103" s="950"/>
      <c r="F103" s="945">
        <f>'PF calculator'!G103</f>
        <v>20</v>
      </c>
      <c r="G103" s="946"/>
      <c r="H103" s="935">
        <f>IF(D103="Ltd by negative OM4 values",0,D103*(F103/100))</f>
        <v>0</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3843414.8638711558</v>
      </c>
      <c r="E104" s="950"/>
      <c r="F104" s="945">
        <f>'PF calculator'!G104</f>
        <v>20</v>
      </c>
      <c r="G104" s="946"/>
      <c r="H104" s="951">
        <f>D104*(F104/100)</f>
        <v>768682.97277423122</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f>SUM(D95:E104)</f>
        <v>9610285.2537671458</v>
      </c>
      <c r="E105" s="936"/>
      <c r="F105" s="937" t="str">
        <f>'PF calculator'!F105:G105</f>
        <v>pv max. eligible GiA</v>
      </c>
      <c r="G105" s="938"/>
      <c r="H105" s="939">
        <f>SUM(H95:I104)</f>
        <v>2399806.6316406005</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f>'PF calculator'!D8</f>
        <v>0</v>
      </c>
      <c r="E8" s="1022"/>
      <c r="F8" s="1023"/>
      <c r="G8" s="396"/>
      <c r="H8" s="395"/>
      <c r="I8" s="395"/>
      <c r="J8" s="395"/>
      <c r="K8" s="970" t="s">
        <v>335</v>
      </c>
      <c r="L8" s="988"/>
      <c r="M8" s="1021">
        <f>'PF calculator'!M8</f>
        <v>1</v>
      </c>
      <c r="N8" s="1023"/>
      <c r="O8" s="1024" t="str">
        <f>'PF calculator'!O8:Q8</f>
        <v>Project benefit to cost ratio:</v>
      </c>
      <c r="P8" s="1025"/>
      <c r="Q8" s="1026"/>
      <c r="R8" s="397">
        <f>$E$39/$E$33</f>
        <v>10</v>
      </c>
      <c r="S8" s="398" t="s">
        <v>15</v>
      </c>
      <c r="T8" s="12"/>
    </row>
    <row r="9" spans="1:20" s="1" customFormat="1" ht="18.75" customHeight="1" thickBot="1" x14ac:dyDescent="0.25">
      <c r="A9" s="4"/>
      <c r="B9" s="970" t="s">
        <v>354</v>
      </c>
      <c r="C9" s="970"/>
      <c r="D9" s="1034">
        <f>'PF calculator'!D9</f>
        <v>0</v>
      </c>
      <c r="E9" s="1035"/>
      <c r="F9" s="1036"/>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f>'PF calculator'!D10</f>
        <v>0</v>
      </c>
      <c r="E10" s="1035"/>
      <c r="F10" s="1035"/>
      <c r="G10" s="1035"/>
      <c r="H10" s="1035"/>
      <c r="I10" s="1036"/>
      <c r="J10" s="394"/>
      <c r="K10" s="395"/>
      <c r="L10" s="395"/>
      <c r="M10" s="395"/>
      <c r="N10" s="395"/>
      <c r="O10" s="1032" t="s">
        <v>129</v>
      </c>
      <c r="P10" s="1032"/>
      <c r="Q10" s="1033"/>
      <c r="R10" s="397">
        <f>IF($K$33&gt;0,$E$39/$K$33,"n/a")</f>
        <v>1.2820512820512822</v>
      </c>
      <c r="S10" s="398" t="s">
        <v>15</v>
      </c>
      <c r="T10" s="12"/>
    </row>
    <row r="11" spans="1:20"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222982.06344998657</v>
      </c>
      <c r="F19" s="1020"/>
      <c r="G19" s="395"/>
      <c r="H19" s="977" t="s">
        <v>65</v>
      </c>
      <c r="I19" s="977"/>
      <c r="J19" s="986"/>
      <c r="K19" s="1019">
        <f>IF(E23="low BCR","n/a",IF(E17="Yes",IF(D11="Environment Agency",E23/MAX(MAX(E33,E31)-K33,1),E19+K33/E31),IF(D11="Environment Agency",E23*0.45/MAX(MAX(E33,E31)-K33,1),E19+K33/E31)))</f>
        <v>2229820.6344998656</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2229820.6344998656</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v>
      </c>
      <c r="F28" s="975"/>
      <c r="G28" s="395"/>
      <c r="H28" s="970" t="s">
        <v>341</v>
      </c>
      <c r="I28" s="970"/>
      <c r="J28" s="971"/>
      <c r="K28" s="1008">
        <f>'PF calculator'!K28</f>
        <v>1</v>
      </c>
      <c r="L28" s="1009"/>
      <c r="M28" s="1008">
        <f>'PF calculator'!M28</f>
        <v>2</v>
      </c>
      <c r="N28" s="1009"/>
      <c r="O28" s="1008">
        <f>'PF calculator'!O28</f>
        <v>3</v>
      </c>
      <c r="P28" s="1009"/>
      <c r="Q28" s="1055" t="str">
        <f>'PF calculator'!Q28:S28</f>
        <v>Contributor(s) or Fund(s)</v>
      </c>
      <c r="R28" s="1010"/>
      <c r="S28" s="1010"/>
      <c r="T28" s="11"/>
    </row>
    <row r="29" spans="1:20" s="1" customFormat="1" ht="18.75" customHeight="1" thickBot="1" x14ac:dyDescent="0.25">
      <c r="A29" s="4"/>
      <c r="B29" s="970" t="s">
        <v>338</v>
      </c>
      <c r="C29" s="970"/>
      <c r="D29" s="988"/>
      <c r="E29" s="974">
        <f>'PF calculator'!E29</f>
        <v>2</v>
      </c>
      <c r="F29" s="975"/>
      <c r="G29" s="395"/>
      <c r="H29" s="970" t="s">
        <v>342</v>
      </c>
      <c r="I29" s="970"/>
      <c r="J29" s="971"/>
      <c r="K29" s="1008">
        <f>'PF calculator'!K29</f>
        <v>4</v>
      </c>
      <c r="L29" s="1009"/>
      <c r="M29" s="1008">
        <f>'PF calculator'!M29</f>
        <v>5</v>
      </c>
      <c r="N29" s="1009"/>
      <c r="O29" s="1008">
        <f>'PF calculator'!O29</f>
        <v>6</v>
      </c>
      <c r="P29" s="1009"/>
      <c r="Q29" s="1005">
        <f>'PF calculator'!Q29</f>
        <v>0</v>
      </c>
      <c r="R29" s="1006"/>
      <c r="S29" s="1007"/>
      <c r="T29" s="11"/>
    </row>
    <row r="30" spans="1:20" s="1" customFormat="1" ht="18.75" customHeight="1" thickBot="1" x14ac:dyDescent="0.25">
      <c r="A30" s="4"/>
      <c r="B30" s="970" t="s">
        <v>339</v>
      </c>
      <c r="C30" s="970"/>
      <c r="D30" s="988"/>
      <c r="E30" s="974">
        <f>'PF calculator'!E30</f>
        <v>3</v>
      </c>
      <c r="F30" s="975"/>
      <c r="G30" s="395"/>
      <c r="H30" s="970" t="s">
        <v>343</v>
      </c>
      <c r="I30" s="970"/>
      <c r="J30" s="971"/>
      <c r="K30" s="1008">
        <f>'PF calculator'!K30</f>
        <v>7</v>
      </c>
      <c r="L30" s="1009"/>
      <c r="M30" s="1008">
        <f>'PF calculator'!M30</f>
        <v>8</v>
      </c>
      <c r="N30" s="1009"/>
      <c r="O30" s="1008">
        <f>'PF calculator'!O30</f>
        <v>9</v>
      </c>
      <c r="P30" s="1009"/>
      <c r="Q30" s="1005">
        <f>'PF calculator'!Q30</f>
        <v>0</v>
      </c>
      <c r="R30" s="1006"/>
      <c r="S30" s="1007"/>
      <c r="T30" s="12"/>
    </row>
    <row r="31" spans="1:20" s="1" customFormat="1" ht="18.75" customHeight="1" thickBot="1" x14ac:dyDescent="0.25">
      <c r="A31" s="4"/>
      <c r="B31" s="970" t="s">
        <v>69</v>
      </c>
      <c r="C31" s="970"/>
      <c r="D31" s="988"/>
      <c r="E31" s="996">
        <f>SUM(E28:E30)</f>
        <v>6</v>
      </c>
      <c r="F31" s="997"/>
      <c r="G31" s="395"/>
      <c r="H31" s="970" t="s">
        <v>344</v>
      </c>
      <c r="I31" s="970"/>
      <c r="J31" s="971"/>
      <c r="K31" s="1053">
        <f>'PF calculator'!K31</f>
        <v>10</v>
      </c>
      <c r="L31" s="1054"/>
      <c r="M31" s="1053">
        <f>'PF calculator'!M31</f>
        <v>11</v>
      </c>
      <c r="N31" s="1054"/>
      <c r="O31" s="1053">
        <f>'PF calculator'!O31</f>
        <v>12</v>
      </c>
      <c r="P31" s="1054"/>
      <c r="Q31" s="1005">
        <f>'PF calculator'!Q31</f>
        <v>0</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22</v>
      </c>
      <c r="L32" s="1004"/>
      <c r="M32" s="1003">
        <f>SUM(M28:N31)</f>
        <v>26</v>
      </c>
      <c r="N32" s="1004"/>
      <c r="O32" s="1003">
        <f>SUM(O28:P31)</f>
        <v>30</v>
      </c>
      <c r="P32" s="1004"/>
      <c r="Q32" s="395"/>
      <c r="R32" s="395"/>
      <c r="S32" s="395"/>
      <c r="T32" s="12"/>
    </row>
    <row r="33" spans="1:20" s="1" customFormat="1" ht="18.75" customHeight="1" thickBot="1" x14ac:dyDescent="0.25">
      <c r="A33" s="4"/>
      <c r="B33" s="970" t="s">
        <v>147</v>
      </c>
      <c r="C33" s="970"/>
      <c r="D33" s="988"/>
      <c r="E33" s="996">
        <f>SUM(E31:F32)</f>
        <v>10</v>
      </c>
      <c r="F33" s="997"/>
      <c r="G33" s="395"/>
      <c r="H33" s="970" t="s">
        <v>71</v>
      </c>
      <c r="I33" s="970"/>
      <c r="J33" s="988"/>
      <c r="K33" s="998">
        <f>IF(D11="Environment Agency",K32+M32+O32,K32+M32)</f>
        <v>78</v>
      </c>
      <c r="L33" s="999"/>
      <c r="M33" s="1052"/>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25">
      <c r="A46" s="14"/>
      <c r="B46" s="970" t="s">
        <v>348</v>
      </c>
      <c r="C46" s="970"/>
      <c r="D46" s="970"/>
      <c r="E46" s="971"/>
      <c r="F46" s="413"/>
      <c r="G46" s="414">
        <f>'PF calculator'!G46</f>
        <v>10</v>
      </c>
      <c r="H46" s="414">
        <f>'PF calculator'!H46</f>
        <v>11</v>
      </c>
      <c r="I46" s="436">
        <f>'PF calculator'!I46+('PF calculator'!J46*0.5)</f>
        <v>18.5</v>
      </c>
      <c r="J46" s="436">
        <f>'PF calculator'!J46*0.5</f>
        <v>6.5</v>
      </c>
      <c r="K46" s="395"/>
      <c r="L46" s="415">
        <f>IF(SUM(G46:J46)&lt;SUM(F51:J51),"n/a",F51)</f>
        <v>1</v>
      </c>
      <c r="M46" s="415">
        <f>IF(SUM(G46:J46)&lt;SUM(F51:J51),"n/a",G51-G46)</f>
        <v>-8</v>
      </c>
      <c r="N46" s="415">
        <f>IF(SUM(G46:J46)&lt;SUM(F51:J51),"n/a",H51-H46)</f>
        <v>-8</v>
      </c>
      <c r="O46" s="415">
        <f>IF(SUM(G46:J46)&lt;SUM(F51:J51),"n/a",I51-I46)</f>
        <v>-14.5</v>
      </c>
      <c r="P46" s="415">
        <f>IF(SUM(G46:J46)&lt;SUM(F51:J51),"n/a",J51-J46)</f>
        <v>-5.5</v>
      </c>
      <c r="Q46" s="395"/>
      <c r="R46" s="974">
        <f>-(SUMPRODUCT($M$46:$P$46,$M$52:$P$52))*(VLOOKUP($E$38,'Policy assumptions and formulae'!A10:D109,4,FALSE))</f>
        <v>778333.81636532955</v>
      </c>
      <c r="S46" s="975"/>
      <c r="T46" s="12"/>
    </row>
    <row r="47" spans="1:20" s="1" customFormat="1" ht="18.75" customHeight="1" thickBot="1" x14ac:dyDescent="0.25">
      <c r="A47" s="14"/>
      <c r="B47" s="970" t="s">
        <v>349</v>
      </c>
      <c r="C47" s="970"/>
      <c r="D47" s="970"/>
      <c r="E47" s="971"/>
      <c r="F47" s="413"/>
      <c r="G47" s="414">
        <f>'PF calculator'!G47</f>
        <v>20</v>
      </c>
      <c r="H47" s="414">
        <f>'PF calculator'!H47</f>
        <v>21</v>
      </c>
      <c r="I47" s="436">
        <f>'PF calculator'!I47+('PF calculator'!J47*0.5)</f>
        <v>33.5</v>
      </c>
      <c r="J47" s="436">
        <f>'PF calculator'!J47*0.5</f>
        <v>11.5</v>
      </c>
      <c r="K47" s="395"/>
      <c r="L47" s="415">
        <f>IF(SUM(G47:J47)&lt;SUM(F52:J52),"n/a",F52)</f>
        <v>10</v>
      </c>
      <c r="M47" s="415">
        <f>IF(SUM(G47:J47)&lt;SUM(F52:J52),"n/a",G52-G47)</f>
        <v>-9</v>
      </c>
      <c r="N47" s="415">
        <f>IF(SUM(G47:J47)&lt;SUM(F52:J52),"n/a",H52-H47)</f>
        <v>-9</v>
      </c>
      <c r="O47" s="415">
        <f>IF(SUM(G47:J47)&lt;SUM(F52:J52),"n/a",I52-I47)</f>
        <v>-20.5</v>
      </c>
      <c r="P47" s="415">
        <f>IF(SUM(G47:J47)&lt;SUM(F52:J52),"n/a",J52-J47)</f>
        <v>-10.5</v>
      </c>
      <c r="Q47" s="395"/>
      <c r="R47" s="974">
        <f>-(SUMPRODUCT($M$47:$P$47,$M$52:$P$52))*(VLOOKUP($E$38,'Policy assumptions and formulae'!A10:D109,4,FALSE))</f>
        <v>1205275.390579269</v>
      </c>
      <c r="S47" s="975"/>
      <c r="T47" s="12"/>
    </row>
    <row r="48" spans="1:20" s="1" customFormat="1" ht="18.75" customHeight="1" thickBot="1" x14ac:dyDescent="0.25">
      <c r="A48" s="14"/>
      <c r="B48" s="970" t="s">
        <v>350</v>
      </c>
      <c r="C48" s="970"/>
      <c r="D48" s="970"/>
      <c r="E48" s="971"/>
      <c r="F48" s="413"/>
      <c r="G48" s="414">
        <f>'PF calculator'!G48</f>
        <v>30</v>
      </c>
      <c r="H48" s="414">
        <f>'PF calculator'!H48</f>
        <v>31</v>
      </c>
      <c r="I48" s="436">
        <f>'PF calculator'!I48+('PF calculator'!J48*0.5)</f>
        <v>48.5</v>
      </c>
      <c r="J48" s="436">
        <f>'PF calculator'!J48*0.5</f>
        <v>16.5</v>
      </c>
      <c r="K48" s="395"/>
      <c r="L48" s="415">
        <f>IF(SUM(G48:J48)&lt;SUM(F53:J53),"n/a",F53)</f>
        <v>20</v>
      </c>
      <c r="M48" s="415">
        <f>IF(SUM(G48:J48)&lt;SUM(F53:J53),"n/a",G53-G48)</f>
        <v>-9</v>
      </c>
      <c r="N48" s="415">
        <f>IF(SUM(G48:J48)&lt;SUM(F53:J53),"n/a",H53-H48)</f>
        <v>-9</v>
      </c>
      <c r="O48" s="415">
        <f>IF(SUM(G48:J48)&lt;SUM(F53:J53),"n/a",I53-I48)</f>
        <v>-25.5</v>
      </c>
      <c r="P48" s="415">
        <f>IF(SUM(G48:J48)&lt;SUM(F53:J53),"n/a",J53-J48)</f>
        <v>-15.5</v>
      </c>
      <c r="Q48" s="395"/>
      <c r="R48" s="974">
        <f>-(SUMPRODUCT($M$48:$P$48,$M$52:$P$52))*(VLOOKUP($E$38,'Policy assumptions and formulae'!A10:D109,4,FALSE))</f>
        <v>1591806.8569457983</v>
      </c>
      <c r="S48" s="97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1</v>
      </c>
      <c r="G51" s="414">
        <f>'PF calculator'!G51</f>
        <v>2</v>
      </c>
      <c r="H51" s="414">
        <f>'PF calculator'!H51</f>
        <v>3</v>
      </c>
      <c r="I51" s="414">
        <f>'PF calculator'!I51</f>
        <v>4</v>
      </c>
      <c r="J51" s="414">
        <f>'PF calculator'!J51</f>
        <v>1</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10</v>
      </c>
      <c r="G52" s="414">
        <f>'PF calculator'!G52</f>
        <v>11</v>
      </c>
      <c r="H52" s="414">
        <f>'PF calculator'!H52</f>
        <v>12</v>
      </c>
      <c r="I52" s="414">
        <f>'PF calculator'!I52</f>
        <v>13</v>
      </c>
      <c r="J52" s="414">
        <f>'PF calculator'!J52</f>
        <v>1</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20</v>
      </c>
      <c r="G53" s="414">
        <f>'PF calculator'!G53</f>
        <v>21</v>
      </c>
      <c r="H53" s="414">
        <f>'PF calculator'!H53</f>
        <v>22</v>
      </c>
      <c r="I53" s="414">
        <f>'PF calculator'!I53</f>
        <v>23</v>
      </c>
      <c r="J53" s="414">
        <f>'PF calculator'!J53</f>
        <v>1</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0</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t="str">
        <f>IF($E$58+$E$38&lt;2041,"Ltd by DoB",(-SUMPRODUCT($M$61:$P$61,$M$67:$P$67)*VLOOKUP($E$38,'Policy assumptions and formulae'!$A$10:$D$109,4,FALSE))-(-SUMPRODUCT($M$61:$P$61,$M$67:$P$67)*VLOOKUP((2040-$E$58),'Policy assumptions and formulae'!$A$10:$D$109,4,FALSE)))</f>
        <v>Ltd by DoB</v>
      </c>
      <c r="S61" s="975"/>
      <c r="T61" s="11"/>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t="str">
        <f>IF($E$58+$E$38&lt;2041,"Ltd by DoB",(-SUMPRODUCT($M$62:$P$62,$M$67:$P$67)*VLOOKUP($E$38,'Policy assumptions and formulae'!$A$10:$D$109,4,FALSE))-(-SUMPRODUCT($M$62:$P$62,$M$67:$P$67)*VLOOKUP((2040-$E$58),'Policy assumptions and formulae'!$A$10:$D$109,4,FALSE)))</f>
        <v>Ltd by DoB</v>
      </c>
      <c r="S62" s="975"/>
      <c r="T62" s="11"/>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74" t="str">
        <f>IF($E$58+$E$38&lt;2041,"Ltd by DoB",(-SUMPRODUCT($M$63:$P$63,$M$67:$P$67)*VLOOKUP($E$38,'Policy assumptions and formulae'!$A$10:$D$109,4,FALSE))-(-SUMPRODUCT($M$63:$P$63,$M$67:$P$67)*VLOOKUP((2040-$E$58),'Policy assumptions and formulae'!$A$10:$D$109,4,FALSE)))</f>
        <v>Ltd by DoB</v>
      </c>
      <c r="S63" s="97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2">
      <c r="A74" s="4"/>
      <c r="B74" s="970" t="s">
        <v>348</v>
      </c>
      <c r="C74" s="970"/>
      <c r="D74" s="970"/>
      <c r="E74" s="971"/>
      <c r="F74" s="414">
        <f>'PF calculator'!F74</f>
        <v>1</v>
      </c>
      <c r="G74" s="414">
        <f>'PF calculator'!G74</f>
        <v>2</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244171.29545169987</v>
      </c>
      <c r="S74" s="975"/>
      <c r="T74" s="12"/>
    </row>
    <row r="75" spans="1:20" s="1" customFormat="1" ht="18.75" customHeight="1" thickBot="1" x14ac:dyDescent="0.2">
      <c r="A75" s="4"/>
      <c r="B75" s="970" t="s">
        <v>349</v>
      </c>
      <c r="C75" s="970"/>
      <c r="D75" s="970"/>
      <c r="E75" s="971"/>
      <c r="F75" s="414">
        <f>'PF calculator'!F75</f>
        <v>3</v>
      </c>
      <c r="G75" s="414">
        <f>'PF calculator'!G75</f>
        <v>4</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528400.90276481514</v>
      </c>
      <c r="S75" s="975"/>
      <c r="T75" s="12"/>
    </row>
    <row r="76" spans="1:20" s="1" customFormat="1" ht="18.75" customHeight="1" thickBot="1" x14ac:dyDescent="0.2">
      <c r="A76" s="4"/>
      <c r="B76" s="970" t="s">
        <v>350</v>
      </c>
      <c r="C76" s="970"/>
      <c r="D76" s="970"/>
      <c r="E76" s="971"/>
      <c r="F76" s="414">
        <f>'PF calculator'!F76</f>
        <v>5</v>
      </c>
      <c r="G76" s="414">
        <f>'PF calculator'!G76</f>
        <v>6</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812630.51007793052</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9</v>
      </c>
      <c r="E83" s="426">
        <f>'PF calculator'!E83</f>
        <v>8</v>
      </c>
      <c r="F83" s="426">
        <f>'PF calculator'!F83</f>
        <v>7</v>
      </c>
      <c r="G83" s="961"/>
      <c r="H83" s="426">
        <f>'PF calculator'!H83</f>
        <v>6</v>
      </c>
      <c r="I83" s="426">
        <f>'PF calculator'!I83</f>
        <v>5</v>
      </c>
      <c r="J83" s="426">
        <f>'PF calculator'!J83</f>
        <v>4</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-1723713.33288767</v>
      </c>
      <c r="M83" s="932"/>
      <c r="N83" s="391"/>
      <c r="O83" s="423"/>
      <c r="P83" s="379" t="s">
        <v>379</v>
      </c>
      <c r="Q83" s="328"/>
      <c r="R83" s="1050" t="s">
        <v>74</v>
      </c>
      <c r="S83" s="1050"/>
      <c r="T83" s="11"/>
    </row>
    <row r="84" spans="1:20" ht="18.75" customHeight="1" thickBot="1" x14ac:dyDescent="0.25">
      <c r="A84" s="5"/>
      <c r="B84" s="957" t="s">
        <v>106</v>
      </c>
      <c r="C84" s="958"/>
      <c r="D84" s="426">
        <f>'PF calculator'!D84</f>
        <v>10</v>
      </c>
      <c r="E84" s="426">
        <f>'PF calculator'!E84</f>
        <v>9</v>
      </c>
      <c r="F84" s="426">
        <f>'PF calculator'!F84</f>
        <v>8</v>
      </c>
      <c r="G84" s="961"/>
      <c r="H84" s="426">
        <f>'PF calculator'!H84</f>
        <v>7</v>
      </c>
      <c r="I84" s="426">
        <f>'PF calculator'!I84</f>
        <v>6</v>
      </c>
      <c r="J84" s="426">
        <f>'PF calculator'!J84</f>
        <v>5</v>
      </c>
      <c r="K84" s="962"/>
      <c r="L84" s="931">
        <f>(((H84-D84)*'Policy assumptions and formulae'!AR13)+((I84-E84)*'Policy assumptions and formulae'!AS13)+((J84-F84)*'Policy assumptions and formulae'!AT13))*VLOOKUP($E$38,'Policy assumptions and formulae'!$A$10:$D$109,4,FALSE)</f>
        <v>-984595.08983552456</v>
      </c>
      <c r="M84" s="932"/>
      <c r="N84" s="968" t="s">
        <v>380</v>
      </c>
      <c r="O84" s="969"/>
      <c r="P84" s="427">
        <f>'PF calculator'!P84</f>
        <v>5</v>
      </c>
      <c r="Q84" s="328"/>
      <c r="R84" s="953">
        <f>(P84*'Policy assumptions and formulae'!AT23)*VLOOKUP($E$38,'Policy assumptions and formulae'!$A$10:$D$109,4,FALSE)</f>
        <v>1970981.9814723877</v>
      </c>
      <c r="S84" s="954"/>
      <c r="T84" s="11"/>
    </row>
    <row r="85" spans="1:20" ht="18.75" customHeight="1" thickBot="1" x14ac:dyDescent="0.25">
      <c r="A85" s="5"/>
      <c r="B85" s="957" t="s">
        <v>55</v>
      </c>
      <c r="C85" s="958"/>
      <c r="D85" s="426">
        <f>'PF calculator'!D85</f>
        <v>11</v>
      </c>
      <c r="E85" s="426">
        <f>'PF calculator'!E85</f>
        <v>10</v>
      </c>
      <c r="F85" s="426">
        <f>'PF calculator'!F85</f>
        <v>9</v>
      </c>
      <c r="G85" s="961"/>
      <c r="H85" s="426">
        <f>'PF calculator'!H85</f>
        <v>8</v>
      </c>
      <c r="I85" s="426">
        <f>'PF calculator'!I85</f>
        <v>7</v>
      </c>
      <c r="J85" s="426">
        <f>'PF calculator'!J85</f>
        <v>6</v>
      </c>
      <c r="K85" s="962"/>
      <c r="L85" s="931">
        <f>(((H85-D85)*'Policy assumptions and formulae'!AR14)+((I85-E85)*'Policy assumptions and formulae'!AS14)+((J85-F85)*'Policy assumptions and formulae'!AT14))*VLOOKUP($E$38,'Policy assumptions and formulae'!$A$10:$D$109,4,FALSE)</f>
        <v>-984595.08983552456</v>
      </c>
      <c r="M85" s="932"/>
      <c r="N85" s="968" t="s">
        <v>381</v>
      </c>
      <c r="O85" s="969"/>
      <c r="P85" s="427">
        <f>'PF calculator'!P85</f>
        <v>6</v>
      </c>
      <c r="Q85" s="328"/>
      <c r="R85" s="953">
        <f>(P85*'Policy assumptions and formulae'!AT24)*VLOOKUP($E$38,'Policy assumptions and formulae'!$A$10:$D$109,4,FALSE)</f>
        <v>1182589.1888834327</v>
      </c>
      <c r="S85" s="954"/>
      <c r="T85" s="11"/>
    </row>
    <row r="86" spans="1:20" ht="18.75" customHeight="1" thickBot="1" x14ac:dyDescent="0.25">
      <c r="A86" s="5"/>
      <c r="B86" s="957" t="s">
        <v>107</v>
      </c>
      <c r="C86" s="958"/>
      <c r="D86" s="426">
        <f>'PF calculator'!D86</f>
        <v>12</v>
      </c>
      <c r="E86" s="426">
        <f>'PF calculator'!E86</f>
        <v>11</v>
      </c>
      <c r="F86" s="426">
        <f>'PF calculator'!F86</f>
        <v>10</v>
      </c>
      <c r="G86" s="961"/>
      <c r="H86" s="426">
        <f>'PF calculator'!H86</f>
        <v>9</v>
      </c>
      <c r="I86" s="426">
        <f>'PF calculator'!I86</f>
        <v>8</v>
      </c>
      <c r="J86" s="426">
        <f>'PF calculator'!J86</f>
        <v>7</v>
      </c>
      <c r="K86" s="962"/>
      <c r="L86" s="931">
        <f>(((H86-D86)*'Policy assumptions and formulae'!AR15)+((I86-E86)*'Policy assumptions and formulae'!AS15)+((J86-F86)*'Policy assumptions and formulae'!AT15))*VLOOKUP($E$38,'Policy assumptions and formulae'!$A$10:$D$109,4,FALSE)</f>
        <v>-548291.35120959149</v>
      </c>
      <c r="M86" s="932"/>
      <c r="N86" s="963" t="s">
        <v>352</v>
      </c>
      <c r="O86" s="964"/>
      <c r="P86" s="427">
        <f>'PF calculator'!P86</f>
        <v>7</v>
      </c>
      <c r="Q86" s="328"/>
      <c r="R86" s="953">
        <f>(P86*'Policy assumptions and formulae'!AT25)*VLOOKUP($E$38,'Policy assumptions and formulae'!$A$10:$D$109,4,FALSE)</f>
        <v>689843.69351533568</v>
      </c>
      <c r="S86" s="954"/>
      <c r="T86" s="11"/>
    </row>
    <row r="87" spans="1:20" ht="18.75" customHeight="1" thickBot="1" x14ac:dyDescent="0.25">
      <c r="A87" s="5"/>
      <c r="B87" s="957" t="s">
        <v>108</v>
      </c>
      <c r="C87" s="958"/>
      <c r="D87" s="426">
        <f>'PF calculator'!D87</f>
        <v>13</v>
      </c>
      <c r="E87" s="426">
        <f>'PF calculator'!E87</f>
        <v>12</v>
      </c>
      <c r="F87" s="426">
        <f>'PF calculator'!F87</f>
        <v>11</v>
      </c>
      <c r="G87" s="961"/>
      <c r="H87" s="426">
        <f>'PF calculator'!H87</f>
        <v>10</v>
      </c>
      <c r="I87" s="426">
        <f>'PF calculator'!I87</f>
        <v>9</v>
      </c>
      <c r="J87" s="426">
        <f>'PF calculator'!J87</f>
        <v>8</v>
      </c>
      <c r="K87" s="962"/>
      <c r="L87" s="931">
        <f>(((H87-D87)*'Policy assumptions and formulae'!AR16)+((I87-E87)*'Policy assumptions and formulae'!AS16)+((J87-F87)*'Policy assumptions and formulae'!AT16))*VLOOKUP($E$38,'Policy assumptions and formulae'!$A$10:$D$109,4,FALSE)</f>
        <v>-59129.459444171633</v>
      </c>
      <c r="M87" s="932"/>
      <c r="N87" s="963"/>
      <c r="O87" s="964"/>
      <c r="P87" s="329"/>
      <c r="Q87" s="328"/>
      <c r="R87" s="330"/>
      <c r="S87" s="330"/>
      <c r="T87" s="11"/>
    </row>
    <row r="88" spans="1:20" ht="18.75" customHeight="1" thickBot="1" x14ac:dyDescent="0.25">
      <c r="A88" s="5"/>
      <c r="B88" s="957" t="s">
        <v>329</v>
      </c>
      <c r="C88" s="958"/>
      <c r="D88" s="426">
        <f>'PF calculator'!D88</f>
        <v>14</v>
      </c>
      <c r="E88" s="426">
        <f>'PF calculator'!E88</f>
        <v>13</v>
      </c>
      <c r="F88" s="426">
        <f>'PF calculator'!F88</f>
        <v>12</v>
      </c>
      <c r="G88" s="961"/>
      <c r="H88" s="426">
        <f>'PF calculator'!H88</f>
        <v>11</v>
      </c>
      <c r="I88" s="426">
        <f>'PF calculator'!I88</f>
        <v>10</v>
      </c>
      <c r="J88" s="426">
        <f>'PF calculator'!J88</f>
        <v>9</v>
      </c>
      <c r="K88" s="962"/>
      <c r="L88" s="931">
        <f>(((H88-D88)*'Policy assumptions and formulae'!AR17)+((I88-E88)*'Policy assumptions and formulae'!AS17)+((J88-F88)*'Policy assumptions and formulae'!AT17))*VLOOKUP($E$38,'Policy assumptions and formulae'!$A$10:$D$109,4,FALSE)</f>
        <v>-377174.27918176149</v>
      </c>
      <c r="M88" s="932"/>
      <c r="N88" s="391"/>
      <c r="O88" s="391"/>
      <c r="P88" s="391"/>
      <c r="Q88" s="391"/>
      <c r="R88" s="391"/>
      <c r="S88" s="391"/>
      <c r="T88" s="11"/>
    </row>
    <row r="89" spans="1:20" ht="18.75" customHeight="1" thickBot="1" x14ac:dyDescent="0.25">
      <c r="A89" s="5"/>
      <c r="B89" s="957" t="s">
        <v>109</v>
      </c>
      <c r="C89" s="958"/>
      <c r="D89" s="426">
        <f>'PF calculator'!D89</f>
        <v>15</v>
      </c>
      <c r="E89" s="426">
        <f>'PF calculator'!E89</f>
        <v>14</v>
      </c>
      <c r="F89" s="426">
        <f>'PF calculator'!F89</f>
        <v>13</v>
      </c>
      <c r="G89" s="961"/>
      <c r="H89" s="426">
        <f>'PF calculator'!H89</f>
        <v>12</v>
      </c>
      <c r="I89" s="426">
        <f>'PF calculator'!I89</f>
        <v>11</v>
      </c>
      <c r="J89" s="426">
        <f>'PF calculator'!J89</f>
        <v>10</v>
      </c>
      <c r="K89" s="962"/>
      <c r="L89" s="931">
        <f>(((H89-D89)*'Policy assumptions and formulae'!AR18)+((I89-E89)*'Policy assumptions and formulae'!AS18)+((J89-F89)*'Policy assumptions and formulae'!AT18))*VLOOKUP($E$38,'Policy assumptions and formulae'!$A$10:$D$109,4,FALSE)</f>
        <v>-548291.35120959149</v>
      </c>
      <c r="M89" s="932"/>
      <c r="N89" s="428"/>
      <c r="O89" s="428"/>
      <c r="P89" s="331"/>
      <c r="Q89" s="328"/>
      <c r="R89" s="332"/>
      <c r="S89" s="332"/>
      <c r="T89" s="11"/>
    </row>
    <row r="90" spans="1:20" ht="18.75" customHeight="1" thickBot="1" x14ac:dyDescent="0.25">
      <c r="A90" s="5"/>
      <c r="B90" s="957" t="s">
        <v>110</v>
      </c>
      <c r="C90" s="958"/>
      <c r="D90" s="426">
        <f>'PF calculator'!D90</f>
        <v>16</v>
      </c>
      <c r="E90" s="426">
        <f>'PF calculator'!E90</f>
        <v>15</v>
      </c>
      <c r="F90" s="426">
        <f>'PF calculator'!F90</f>
        <v>14</v>
      </c>
      <c r="G90" s="961"/>
      <c r="H90" s="426">
        <f>'PF calculator'!H90</f>
        <v>13</v>
      </c>
      <c r="I90" s="426">
        <f>'PF calculator'!I90</f>
        <v>12</v>
      </c>
      <c r="J90" s="426">
        <f>'PF calculator'!J90</f>
        <v>11</v>
      </c>
      <c r="K90" s="962"/>
      <c r="L90" s="931">
        <f>(((H90-D90)*'Policy assumptions and formulae'!AR19)+((I90-E90)*'Policy assumptions and formulae'!AS19)+((J90-F90)*'Policy assumptions and formulae'!AT19))*VLOOKUP($E$38,'Policy assumptions and formulae'!$A$10:$D$109,4,FALSE)</f>
        <v>-12542.61260936974</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str">
        <f>IF(E39=0,0,IF(MAX((E39-SUM(D96:E104)),0)&gt;0,E39-SUM(D96:D104),"Ltd by high OM1b,2,3,4 values"))</f>
        <v>Ltd by high OM1b,2,3,4 values</v>
      </c>
      <c r="E95" s="936"/>
      <c r="F95" s="945">
        <f>'PF calculator'!G95</f>
        <v>6</v>
      </c>
      <c r="G95" s="946"/>
      <c r="H95" s="935">
        <f>IF(D95="Ltd by high OM1b,2,3,4 values",0,D95*(F95/100))</f>
        <v>0</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100</v>
      </c>
      <c r="E96" s="956"/>
      <c r="F96" s="945">
        <f>'PF calculator'!G96</f>
        <v>20</v>
      </c>
      <c r="G96" s="946"/>
      <c r="H96" s="935">
        <f t="shared" ref="H96:H102" si="0">D96*(F96/100)</f>
        <v>20</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35">
        <f>IF(R61="Ltd by DoB",R46,R46+R61)</f>
        <v>778333.81636532955</v>
      </c>
      <c r="E97" s="936"/>
      <c r="F97" s="945">
        <f>'PF calculator'!G97</f>
        <v>45</v>
      </c>
      <c r="G97" s="946"/>
      <c r="H97" s="935">
        <f t="shared" si="0"/>
        <v>350250.2173643983</v>
      </c>
      <c r="I97" s="936"/>
      <c r="J97" s="328"/>
      <c r="K97" s="328"/>
      <c r="L97" s="328"/>
      <c r="M97" s="328"/>
      <c r="N97" s="328"/>
      <c r="O97" s="328"/>
      <c r="P97" s="328"/>
      <c r="Q97" s="328"/>
      <c r="R97" s="328"/>
      <c r="S97" s="328"/>
      <c r="T97" s="12"/>
    </row>
    <row r="98" spans="1:20" s="1" customFormat="1" ht="18.75" customHeight="1" x14ac:dyDescent="0.2">
      <c r="A98" s="4"/>
      <c r="B98" s="941"/>
      <c r="C98" s="433" t="s">
        <v>89</v>
      </c>
      <c r="D98" s="935">
        <f>IF(R62="Ltd by DoB",R47,R47+R62)</f>
        <v>1205275.390579269</v>
      </c>
      <c r="E98" s="936"/>
      <c r="F98" s="945">
        <f>'PF calculator'!G98</f>
        <v>30</v>
      </c>
      <c r="G98" s="946"/>
      <c r="H98" s="935">
        <f t="shared" si="0"/>
        <v>361582.61717378069</v>
      </c>
      <c r="I98" s="936"/>
      <c r="J98" s="328"/>
      <c r="K98" s="328"/>
      <c r="L98" s="328"/>
      <c r="M98" s="328"/>
      <c r="N98" s="328"/>
      <c r="O98" s="328"/>
      <c r="P98" s="328"/>
      <c r="Q98" s="328"/>
      <c r="R98" s="328"/>
      <c r="S98" s="328"/>
      <c r="T98" s="12"/>
    </row>
    <row r="99" spans="1:20" s="1" customFormat="1" ht="18.75" customHeight="1" x14ac:dyDescent="0.2">
      <c r="A99" s="4"/>
      <c r="B99" s="942"/>
      <c r="C99" s="433" t="s">
        <v>90</v>
      </c>
      <c r="D99" s="935">
        <f>IF(R63="Ltd by DoB",R48,R48+R63)</f>
        <v>1591806.8569457983</v>
      </c>
      <c r="E99" s="936"/>
      <c r="F99" s="945">
        <f>'PF calculator'!G99</f>
        <v>20</v>
      </c>
      <c r="G99" s="946"/>
      <c r="H99" s="935">
        <f t="shared" si="0"/>
        <v>318361.3713891597</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f>R74</f>
        <v>244171.29545169987</v>
      </c>
      <c r="E100" s="936"/>
      <c r="F100" s="945">
        <f>'PF calculator'!G100</f>
        <v>45</v>
      </c>
      <c r="G100" s="946"/>
      <c r="H100" s="935">
        <f t="shared" si="0"/>
        <v>109877.08295326495</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f>R75</f>
        <v>528400.90276481514</v>
      </c>
      <c r="E101" s="936"/>
      <c r="F101" s="945">
        <f>'PF calculator'!G101</f>
        <v>30</v>
      </c>
      <c r="G101" s="946"/>
      <c r="H101" s="935">
        <f t="shared" si="0"/>
        <v>158520.27082944455</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f>R76</f>
        <v>812630.51007793052</v>
      </c>
      <c r="E102" s="936"/>
      <c r="F102" s="945">
        <f>'PF calculator'!G102</f>
        <v>20</v>
      </c>
      <c r="G102" s="946"/>
      <c r="H102" s="935">
        <f t="shared" si="0"/>
        <v>162526.1020155861</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str">
        <f>IF(SUM(L83:M90)&lt;0,"Ltd by negative OM4 values",SUM(L83:M90))</f>
        <v>Ltd by negative OM4 values</v>
      </c>
      <c r="E103" s="950"/>
      <c r="F103" s="945">
        <f>'PF calculator'!G103</f>
        <v>20</v>
      </c>
      <c r="G103" s="946"/>
      <c r="H103" s="935">
        <f>IF(D103="Ltd by negative OM4 values",0,D103*(F103/100))</f>
        <v>0</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3843414.8638711558</v>
      </c>
      <c r="E104" s="950"/>
      <c r="F104" s="945">
        <f>'PF calculator'!G104</f>
        <v>20</v>
      </c>
      <c r="G104" s="946"/>
      <c r="H104" s="951">
        <f>D104*(F104/100)</f>
        <v>768682.97277423122</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f>SUM(D95:E104)</f>
        <v>9004133.6360559966</v>
      </c>
      <c r="E105" s="936"/>
      <c r="F105" s="937" t="str">
        <f>'PF calculator'!F105:G105</f>
        <v>pv max. eligible GiA</v>
      </c>
      <c r="G105" s="938"/>
      <c r="H105" s="939">
        <f>SUM(H95:I104)</f>
        <v>2229820.6344998656</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3" customWidth="1"/>
    <col min="20" max="20" width="0.5703125" style="9" customWidth="1"/>
    <col min="21" max="16384" width="8.85546875" style="3"/>
  </cols>
  <sheetData>
    <row r="1" spans="1:20" x14ac:dyDescent="0.2">
      <c r="A1" s="7"/>
      <c r="B1" s="1065"/>
      <c r="C1" s="1065"/>
      <c r="D1" s="1065"/>
      <c r="E1" s="1065"/>
      <c r="F1" s="1065"/>
      <c r="G1" s="1065"/>
      <c r="H1" s="1065"/>
      <c r="I1" s="1065"/>
      <c r="J1" s="1065"/>
      <c r="K1" s="1065"/>
      <c r="L1" s="1065"/>
      <c r="M1" s="1065"/>
      <c r="N1" s="1065"/>
      <c r="O1" s="1065"/>
      <c r="P1" s="1065"/>
      <c r="Q1" s="1065"/>
      <c r="R1" s="1065"/>
      <c r="S1" s="1065"/>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f>'PF calculator'!D8</f>
        <v>0</v>
      </c>
      <c r="E8" s="1022"/>
      <c r="F8" s="1023"/>
      <c r="G8" s="396"/>
      <c r="H8" s="395"/>
      <c r="I8" s="395"/>
      <c r="J8" s="395"/>
      <c r="K8" s="970" t="s">
        <v>335</v>
      </c>
      <c r="L8" s="988"/>
      <c r="M8" s="1021">
        <f>'PF calculator'!M8</f>
        <v>1</v>
      </c>
      <c r="N8" s="1023"/>
      <c r="O8" s="1024" t="str">
        <f>'PF calculator'!O8:Q8</f>
        <v>Project benefit to cost ratio:</v>
      </c>
      <c r="P8" s="1025"/>
      <c r="Q8" s="1026"/>
      <c r="R8" s="397">
        <f>$E$39/$E$33</f>
        <v>10</v>
      </c>
      <c r="S8" s="398" t="s">
        <v>15</v>
      </c>
      <c r="T8" s="12"/>
    </row>
    <row r="9" spans="1:20" s="1" customFormat="1" ht="18.75" customHeight="1" thickBot="1" x14ac:dyDescent="0.25">
      <c r="A9" s="4"/>
      <c r="B9" s="970" t="s">
        <v>354</v>
      </c>
      <c r="C9" s="970"/>
      <c r="D9" s="1029">
        <f>'PF calculator'!D9</f>
        <v>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f>'PF calculator'!D10</f>
        <v>0</v>
      </c>
      <c r="E10" s="1035"/>
      <c r="F10" s="1035"/>
      <c r="G10" s="1035"/>
      <c r="H10" s="1035"/>
      <c r="I10" s="1036"/>
      <c r="J10" s="394"/>
      <c r="K10" s="395"/>
      <c r="L10" s="395"/>
      <c r="M10" s="395"/>
      <c r="N10" s="395"/>
      <c r="O10" s="1032" t="s">
        <v>129</v>
      </c>
      <c r="P10" s="1032"/>
      <c r="Q10" s="1033"/>
      <c r="R10" s="397">
        <f>IF($K$33&gt;0,$E$39/$K$33,"n/a")</f>
        <v>1.2820512820512822</v>
      </c>
      <c r="S10" s="398" t="s">
        <v>15</v>
      </c>
      <c r="T10" s="12"/>
    </row>
    <row r="11" spans="1:20"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229750.96347499514</v>
      </c>
      <c r="F19" s="1020"/>
      <c r="G19" s="395"/>
      <c r="H19" s="977" t="s">
        <v>65</v>
      </c>
      <c r="I19" s="977"/>
      <c r="J19" s="986"/>
      <c r="K19" s="1019">
        <f>IF(E23="low BCR","n/a",IF(E17="Yes",IF(D11="Environment Agency",E23/MAX(MAX(E33,E31)-K33,1),E19+K33/E31),IF(D11="Environment Agency",E23*0.45/MAX(MAX(E33,E31)-K33,1),E19+K33/E31)))</f>
        <v>2297509.6347499513</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2297509.6347499513</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v>
      </c>
      <c r="F28" s="975"/>
      <c r="G28" s="395"/>
      <c r="H28" s="970" t="s">
        <v>341</v>
      </c>
      <c r="I28" s="970"/>
      <c r="J28" s="971"/>
      <c r="K28" s="1008">
        <f>'PF calculator'!K28</f>
        <v>1</v>
      </c>
      <c r="L28" s="1009"/>
      <c r="M28" s="1008">
        <f>'PF calculator'!M28</f>
        <v>2</v>
      </c>
      <c r="N28" s="1009"/>
      <c r="O28" s="1008">
        <f>'PF calculator'!O28</f>
        <v>3</v>
      </c>
      <c r="P28" s="1009"/>
      <c r="Q28" s="1010" t="s">
        <v>102</v>
      </c>
      <c r="R28" s="1010"/>
      <c r="S28" s="1010"/>
      <c r="T28" s="11"/>
    </row>
    <row r="29" spans="1:20" s="1" customFormat="1" ht="18.75" customHeight="1" thickBot="1" x14ac:dyDescent="0.25">
      <c r="A29" s="4"/>
      <c r="B29" s="970" t="s">
        <v>338</v>
      </c>
      <c r="C29" s="970"/>
      <c r="D29" s="988"/>
      <c r="E29" s="974">
        <f>'PF calculator'!E29</f>
        <v>2</v>
      </c>
      <c r="F29" s="975"/>
      <c r="G29" s="395"/>
      <c r="H29" s="970" t="s">
        <v>342</v>
      </c>
      <c r="I29" s="970"/>
      <c r="J29" s="971"/>
      <c r="K29" s="1008">
        <f>'PF calculator'!K29</f>
        <v>4</v>
      </c>
      <c r="L29" s="1009"/>
      <c r="M29" s="1008">
        <f>'PF calculator'!M29</f>
        <v>5</v>
      </c>
      <c r="N29" s="1009"/>
      <c r="O29" s="1008">
        <f>'PF calculator'!O29</f>
        <v>6</v>
      </c>
      <c r="P29" s="1009"/>
      <c r="Q29" s="1005">
        <f>'PF calculator'!Q29</f>
        <v>0</v>
      </c>
      <c r="R29" s="1006"/>
      <c r="S29" s="1007"/>
      <c r="T29" s="11"/>
    </row>
    <row r="30" spans="1:20" s="1" customFormat="1" ht="18.75" customHeight="1" thickBot="1" x14ac:dyDescent="0.25">
      <c r="A30" s="4"/>
      <c r="B30" s="970" t="s">
        <v>339</v>
      </c>
      <c r="C30" s="970"/>
      <c r="D30" s="988"/>
      <c r="E30" s="974">
        <f>'PF calculator'!E30</f>
        <v>3</v>
      </c>
      <c r="F30" s="975"/>
      <c r="G30" s="395"/>
      <c r="H30" s="970" t="s">
        <v>343</v>
      </c>
      <c r="I30" s="970"/>
      <c r="J30" s="971"/>
      <c r="K30" s="1008">
        <f>'PF calculator'!K30</f>
        <v>7</v>
      </c>
      <c r="L30" s="1009"/>
      <c r="M30" s="1008">
        <f>'PF calculator'!M30</f>
        <v>8</v>
      </c>
      <c r="N30" s="1009"/>
      <c r="O30" s="1008">
        <f>'PF calculator'!O30</f>
        <v>9</v>
      </c>
      <c r="P30" s="1009"/>
      <c r="Q30" s="1005">
        <f>'PF calculator'!Q30</f>
        <v>0</v>
      </c>
      <c r="R30" s="1006"/>
      <c r="S30" s="1007"/>
      <c r="T30" s="12"/>
    </row>
    <row r="31" spans="1:20" s="1" customFormat="1" ht="18.75" customHeight="1" thickBot="1" x14ac:dyDescent="0.25">
      <c r="A31" s="4"/>
      <c r="B31" s="970" t="s">
        <v>69</v>
      </c>
      <c r="C31" s="970"/>
      <c r="D31" s="988"/>
      <c r="E31" s="996">
        <f>SUM(E28:E30)</f>
        <v>6</v>
      </c>
      <c r="F31" s="997"/>
      <c r="G31" s="395"/>
      <c r="H31" s="970" t="s">
        <v>344</v>
      </c>
      <c r="I31" s="970"/>
      <c r="J31" s="971"/>
      <c r="K31" s="1008">
        <f>'PF calculator'!K31</f>
        <v>10</v>
      </c>
      <c r="L31" s="1009"/>
      <c r="M31" s="1008">
        <f>'PF calculator'!M31</f>
        <v>11</v>
      </c>
      <c r="N31" s="1009"/>
      <c r="O31" s="1008">
        <f>'PF calculator'!O31</f>
        <v>12</v>
      </c>
      <c r="P31" s="1009"/>
      <c r="Q31" s="1005">
        <f>'PF calculator'!Q31</f>
        <v>0</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22</v>
      </c>
      <c r="L32" s="1004"/>
      <c r="M32" s="1003">
        <f>SUM(M28:N31)</f>
        <v>26</v>
      </c>
      <c r="N32" s="1004"/>
      <c r="O32" s="1003">
        <f>SUM(O28:P31)</f>
        <v>30</v>
      </c>
      <c r="P32" s="1004"/>
      <c r="Q32" s="395"/>
      <c r="R32" s="395"/>
      <c r="S32" s="395"/>
      <c r="T32" s="12"/>
    </row>
    <row r="33" spans="1:20" s="1" customFormat="1" ht="18.75" customHeight="1" thickBot="1" x14ac:dyDescent="0.25">
      <c r="A33" s="4"/>
      <c r="B33" s="970" t="s">
        <v>147</v>
      </c>
      <c r="C33" s="970"/>
      <c r="D33" s="988"/>
      <c r="E33" s="996">
        <f>SUM(E31:F32)</f>
        <v>10</v>
      </c>
      <c r="F33" s="997"/>
      <c r="G33" s="395"/>
      <c r="H33" s="970" t="s">
        <v>71</v>
      </c>
      <c r="I33" s="970"/>
      <c r="J33" s="988"/>
      <c r="K33" s="998">
        <f>IF(D11="Environment Agency",K32+M32+O32,K32+M32)</f>
        <v>78</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10</v>
      </c>
      <c r="H46" s="414">
        <f>'PF calculator'!H46</f>
        <v>11</v>
      </c>
      <c r="I46" s="414">
        <f>'PF calculator'!I46</f>
        <v>12</v>
      </c>
      <c r="J46" s="414">
        <f>'PF calculator'!J46</f>
        <v>13</v>
      </c>
      <c r="K46" s="395"/>
      <c r="L46" s="415">
        <f>IF(SUM(G46:J46)&lt;SUM(F51:J51),"n/a",F51)</f>
        <v>1</v>
      </c>
      <c r="M46" s="415">
        <f>IF(SUM(G46:J46)&lt;SUM(F51:J51),"n/a",G51-G46)</f>
        <v>-8</v>
      </c>
      <c r="N46" s="415">
        <f>IF(SUM(G46:J46)&lt;SUM(F51:J51),"n/a",H51-H46)</f>
        <v>-8</v>
      </c>
      <c r="O46" s="415">
        <f>IF(SUM(G46:J46)&lt;SUM(F51:J51),"n/a",I51-I46)</f>
        <v>-8</v>
      </c>
      <c r="P46" s="415">
        <f>IF(SUM(G46:J46)&lt;SUM(F51:J51),"n/a",J51-J46)</f>
        <v>-12</v>
      </c>
      <c r="Q46" s="395"/>
      <c r="R46" s="974">
        <f>-(SUMPRODUCT($M$46:$P$46,$M$52:$P$52))*(VLOOKUP($E$38,'Policy assumptions and formulae'!A10:D109,4,FALSE))</f>
        <v>892536.2950645315</v>
      </c>
      <c r="S46" s="985"/>
      <c r="T46" s="12"/>
    </row>
    <row r="47" spans="1:20" s="1" customFormat="1" ht="18.75" customHeight="1" thickBot="1" x14ac:dyDescent="0.25">
      <c r="A47" s="14"/>
      <c r="B47" s="970" t="s">
        <v>349</v>
      </c>
      <c r="C47" s="970"/>
      <c r="D47" s="970"/>
      <c r="E47" s="971"/>
      <c r="F47" s="413"/>
      <c r="G47" s="414">
        <f>'PF calculator'!G47</f>
        <v>20</v>
      </c>
      <c r="H47" s="414">
        <f>'PF calculator'!H47</f>
        <v>21</v>
      </c>
      <c r="I47" s="414">
        <f>'PF calculator'!I47</f>
        <v>22</v>
      </c>
      <c r="J47" s="414">
        <f>'PF calculator'!J47</f>
        <v>23</v>
      </c>
      <c r="K47" s="395"/>
      <c r="L47" s="415">
        <f>IF(SUM(G47:J47)&lt;SUM(F52:J52),"n/a",F52)</f>
        <v>10</v>
      </c>
      <c r="M47" s="415">
        <f>IF(SUM(G47:J47)&lt;SUM(F52:J52),"n/a",G52-G47)</f>
        <v>-9</v>
      </c>
      <c r="N47" s="415">
        <f>IF(SUM(G47:J47)&lt;SUM(F52:J52),"n/a",H52-H47)</f>
        <v>-9</v>
      </c>
      <c r="O47" s="415">
        <f>IF(SUM(G47:J47)&lt;SUM(F52:J52),"n/a",I52-I47)</f>
        <v>-9</v>
      </c>
      <c r="P47" s="415">
        <f>IF(SUM(G47:J47)&lt;SUM(F52:J52),"n/a",J52-J47)</f>
        <v>-22</v>
      </c>
      <c r="Q47" s="395"/>
      <c r="R47" s="974">
        <f>-(SUMPRODUCT($M$47:$P$47,$M$52:$P$52))*(VLOOKUP($E$38,'Policy assumptions and formulae'!A10:D109,4,FALSE))</f>
        <v>1407325.9298163184</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f>IF(SUM(G48:J48)&lt;SUM(F53:J53),"n/a",F53)</f>
        <v>20</v>
      </c>
      <c r="M48" s="415">
        <f>IF(SUM(G48:J48)&lt;SUM(F53:J53),"n/a",G53-G48)</f>
        <v>-9</v>
      </c>
      <c r="N48" s="415">
        <f>IF(SUM(G48:J48)&lt;SUM(F53:J53),"n/a",H53-H48)</f>
        <v>-9</v>
      </c>
      <c r="O48" s="415">
        <f>IF(SUM(G48:J48)&lt;SUM(F53:J53),"n/a",I53-I48)</f>
        <v>-9</v>
      </c>
      <c r="P48" s="415">
        <f>IF(SUM(G48:J48)&lt;SUM(F53:J53),"n/a",J53-J48)</f>
        <v>-32</v>
      </c>
      <c r="Q48" s="395"/>
      <c r="R48" s="974">
        <f>-(SUMPRODUCT($M$48:$P$48,$M$52:$P$52))*(VLOOKUP($E$38,'Policy assumptions and formulae'!A10:D109,4,FALSE))</f>
        <v>1881705.4567206956</v>
      </c>
      <c r="S48" s="985"/>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
      <c r="A51" s="5"/>
      <c r="B51" s="970" t="s">
        <v>348</v>
      </c>
      <c r="C51" s="970"/>
      <c r="D51" s="970"/>
      <c r="E51" s="971"/>
      <c r="F51" s="414">
        <f>'PF calculator'!F51</f>
        <v>1</v>
      </c>
      <c r="G51" s="414">
        <f>'PF calculator'!G51</f>
        <v>2</v>
      </c>
      <c r="H51" s="414">
        <f>'PF calculator'!H51</f>
        <v>3</v>
      </c>
      <c r="I51" s="414">
        <f>'PF calculator'!I51</f>
        <v>4</v>
      </c>
      <c r="J51" s="414">
        <f>'PF calculator'!J51</f>
        <v>1</v>
      </c>
      <c r="K51" s="395"/>
      <c r="L51" s="984"/>
      <c r="M51" s="984"/>
      <c r="N51" s="984"/>
      <c r="O51" s="984"/>
      <c r="P51" s="984"/>
      <c r="Q51" s="391"/>
      <c r="R51" s="391"/>
      <c r="S51" s="391"/>
      <c r="T51" s="11"/>
    </row>
    <row r="52" spans="1:20" ht="18.75" customHeight="1" x14ac:dyDescent="0.2">
      <c r="A52" s="5"/>
      <c r="B52" s="970" t="s">
        <v>349</v>
      </c>
      <c r="C52" s="970"/>
      <c r="D52" s="970"/>
      <c r="E52" s="971"/>
      <c r="F52" s="414">
        <f>'PF calculator'!F52</f>
        <v>10</v>
      </c>
      <c r="G52" s="414">
        <f>'PF calculator'!G52</f>
        <v>11</v>
      </c>
      <c r="H52" s="414">
        <f>'PF calculator'!H52</f>
        <v>12</v>
      </c>
      <c r="I52" s="414">
        <f>'PF calculator'!I52</f>
        <v>13</v>
      </c>
      <c r="J52" s="414">
        <f>'PF calculator'!J52</f>
        <v>1</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70" t="s">
        <v>351</v>
      </c>
      <c r="C53" s="970"/>
      <c r="D53" s="970"/>
      <c r="E53" s="971"/>
      <c r="F53" s="414">
        <f>'PF calculator'!F53</f>
        <v>20</v>
      </c>
      <c r="G53" s="414">
        <f>'PF calculator'!G53</f>
        <v>21</v>
      </c>
      <c r="H53" s="414">
        <f>'PF calculator'!H53</f>
        <v>22</v>
      </c>
      <c r="I53" s="414">
        <f>'PF calculator'!I53</f>
        <v>23</v>
      </c>
      <c r="J53" s="414">
        <f>'PF calculator'!J53</f>
        <v>1</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77" t="s">
        <v>355</v>
      </c>
      <c r="C58" s="977"/>
      <c r="D58" s="986"/>
      <c r="E58" s="987">
        <f>'PF calculator'!E58</f>
        <v>0</v>
      </c>
      <c r="F58" s="985"/>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25">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t="str">
        <f>IF($E$58+$E$38&lt;2041,"Ltd by DoB",(-SUMPRODUCT($M$61:$P$61,$M$67:$P$67)*VLOOKUP($E$38,'Policy assumptions and formulae'!$A$10:$D$109,4,FALSE))-(-SUMPRODUCT($M$61:$P$61,$M$67:$P$67)*VLOOKUP((2040-$E$58),'Policy assumptions and formulae'!$A$10:$D$109,4,FALSE)))</f>
        <v>Ltd by DoB</v>
      </c>
      <c r="S61" s="985"/>
      <c r="T61" s="11"/>
    </row>
    <row r="62" spans="1:20" ht="18.75" customHeight="1" thickBot="1" x14ac:dyDescent="0.25">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t="str">
        <f>IF($E$58+$E$38&lt;2041,"Ltd by DoB",(-SUMPRODUCT($M$62:$P$62,$M$67:$P$67)*VLOOKUP($E$38,'Policy assumptions and formulae'!$A$10:$D$109,4,FALSE))-(-SUMPRODUCT($M$62:$P$62,$M$67:$P$67)*VLOOKUP((2040-$E$58),'Policy assumptions and formulae'!$A$10:$D$109,4,FALSE)))</f>
        <v>Ltd by DoB</v>
      </c>
      <c r="S62" s="985"/>
      <c r="T62" s="11"/>
    </row>
    <row r="63" spans="1:20" ht="18.75" customHeight="1" thickBot="1" x14ac:dyDescent="0.25">
      <c r="A63" s="5"/>
      <c r="B63" s="970" t="s">
        <v>350</v>
      </c>
      <c r="C63" s="970"/>
      <c r="D63" s="970"/>
      <c r="E63" s="971"/>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74" t="str">
        <f>IF($E$58+$E$38&lt;2041,"Ltd by DoB",(-SUMPRODUCT($M$63:$P$63,$M$67:$P$67)*VLOOKUP($E$38,'Policy assumptions and formulae'!$A$10:$D$109,4,FALSE))-(-SUMPRODUCT($M$63:$P$63,$M$67:$P$67)*VLOOKUP((2040-$E$58),'Policy assumptions and formulae'!$A$10:$D$109,4,FALSE)))</f>
        <v>Ltd by DoB</v>
      </c>
      <c r="S63" s="985"/>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0</v>
      </c>
      <c r="G67" s="414">
        <f>'PF calculator'!G67</f>
        <v>0</v>
      </c>
      <c r="H67" s="414">
        <f>'PF calculator'!H67</f>
        <v>0</v>
      </c>
      <c r="I67" s="414">
        <f>'PF calculator'!I67</f>
        <v>0</v>
      </c>
      <c r="J67" s="414">
        <f>'PF calculator'!J67</f>
        <v>0</v>
      </c>
      <c r="K67" s="395"/>
      <c r="L67" s="417" t="str">
        <f>'PF calculator'!$D$7&amp;"  Sensitivity Analysis: "&amp;'PF calculator'!$L$98</f>
        <v>Some test project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36">
        <f>'PF calculator'!F74+('PF calculator'!G74*0.5)</f>
        <v>2</v>
      </c>
      <c r="G74" s="436">
        <f>'PF calculator'!G74*0.5</f>
        <v>1</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182173.115517973</v>
      </c>
      <c r="S74" s="975"/>
      <c r="T74" s="12"/>
    </row>
    <row r="75" spans="1:20" s="1" customFormat="1" ht="18.75" customHeight="1" thickBot="1" x14ac:dyDescent="0.2">
      <c r="A75" s="4"/>
      <c r="B75" s="970" t="s">
        <v>349</v>
      </c>
      <c r="C75" s="970"/>
      <c r="D75" s="970"/>
      <c r="E75" s="971"/>
      <c r="F75" s="436">
        <f>'PF calculator'!F75+('PF calculator'!G75*0.5)</f>
        <v>5</v>
      </c>
      <c r="G75" s="436">
        <f>'PF calculator'!G75*0.5</f>
        <v>2</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404404.54289736139</v>
      </c>
      <c r="S75" s="975"/>
      <c r="T75" s="12"/>
    </row>
    <row r="76" spans="1:20" s="1" customFormat="1" ht="18.75" customHeight="1" thickBot="1" x14ac:dyDescent="0.2">
      <c r="A76" s="4"/>
      <c r="B76" s="970" t="s">
        <v>350</v>
      </c>
      <c r="C76" s="970"/>
      <c r="D76" s="970"/>
      <c r="E76" s="971"/>
      <c r="F76" s="436">
        <f>'PF calculator'!F76+('PF calculator'!G76*0.5)</f>
        <v>8</v>
      </c>
      <c r="G76" s="436">
        <f>'PF calculator'!G76*0.5</f>
        <v>3</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626635.97027674981</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9</v>
      </c>
      <c r="E83" s="426">
        <f>'PF calculator'!E83</f>
        <v>8</v>
      </c>
      <c r="F83" s="426">
        <f>'PF calculator'!F83</f>
        <v>7</v>
      </c>
      <c r="G83" s="961"/>
      <c r="H83" s="426">
        <f>'PF calculator'!H83</f>
        <v>6</v>
      </c>
      <c r="I83" s="426">
        <f>'PF calculator'!I83</f>
        <v>5</v>
      </c>
      <c r="J83" s="426">
        <f>'PF calculator'!J83</f>
        <v>4</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-1723713.33288767</v>
      </c>
      <c r="M83" s="932"/>
      <c r="N83" s="391"/>
      <c r="O83" s="423"/>
      <c r="P83" s="379" t="s">
        <v>379</v>
      </c>
      <c r="Q83" s="328"/>
      <c r="R83" s="967" t="s">
        <v>74</v>
      </c>
      <c r="S83" s="967"/>
      <c r="T83" s="11"/>
    </row>
    <row r="84" spans="1:20" ht="18.75" customHeight="1" thickBot="1" x14ac:dyDescent="0.25">
      <c r="A84" s="5"/>
      <c r="B84" s="957" t="s">
        <v>106</v>
      </c>
      <c r="C84" s="958"/>
      <c r="D84" s="426">
        <f>'PF calculator'!D84</f>
        <v>10</v>
      </c>
      <c r="E84" s="426">
        <f>'PF calculator'!E84</f>
        <v>9</v>
      </c>
      <c r="F84" s="426">
        <f>'PF calculator'!F84</f>
        <v>8</v>
      </c>
      <c r="G84" s="961"/>
      <c r="H84" s="426">
        <f>'PF calculator'!H84</f>
        <v>7</v>
      </c>
      <c r="I84" s="426">
        <f>'PF calculator'!I84</f>
        <v>6</v>
      </c>
      <c r="J84" s="426">
        <f>'PF calculator'!J84</f>
        <v>5</v>
      </c>
      <c r="K84" s="962"/>
      <c r="L84" s="931">
        <f>(((H84-D84)*'Policy assumptions and formulae'!AR13)+((I84-E84)*'Policy assumptions and formulae'!AS13)+((J84-F84)*'Policy assumptions and formulae'!AT13))*VLOOKUP($E$38,'Policy assumptions and formulae'!$A$10:$D$109,4,FALSE)</f>
        <v>-984595.08983552456</v>
      </c>
      <c r="M84" s="932"/>
      <c r="N84" s="968" t="s">
        <v>380</v>
      </c>
      <c r="O84" s="969"/>
      <c r="P84" s="427">
        <f>'PF calculator'!P84</f>
        <v>5</v>
      </c>
      <c r="Q84" s="328"/>
      <c r="R84" s="953">
        <f>(P84*'Policy assumptions and formulae'!AT23)*VLOOKUP($E$38,'Policy assumptions and formulae'!$A$10:$D$109,4,FALSE)</f>
        <v>1970981.9814723877</v>
      </c>
      <c r="S84" s="954"/>
      <c r="T84" s="11"/>
    </row>
    <row r="85" spans="1:20" ht="18.75" customHeight="1" thickBot="1" x14ac:dyDescent="0.25">
      <c r="A85" s="5"/>
      <c r="B85" s="957" t="s">
        <v>55</v>
      </c>
      <c r="C85" s="958"/>
      <c r="D85" s="426">
        <f>'PF calculator'!D85</f>
        <v>11</v>
      </c>
      <c r="E85" s="426">
        <f>'PF calculator'!E85</f>
        <v>10</v>
      </c>
      <c r="F85" s="426">
        <f>'PF calculator'!F85</f>
        <v>9</v>
      </c>
      <c r="G85" s="961"/>
      <c r="H85" s="426">
        <f>'PF calculator'!H85</f>
        <v>8</v>
      </c>
      <c r="I85" s="426">
        <f>'PF calculator'!I85</f>
        <v>7</v>
      </c>
      <c r="J85" s="426">
        <f>'PF calculator'!J85</f>
        <v>6</v>
      </c>
      <c r="K85" s="962"/>
      <c r="L85" s="931">
        <f>(((H85-D85)*'Policy assumptions and formulae'!AR14)+((I85-E85)*'Policy assumptions and formulae'!AS14)+((J85-F85)*'Policy assumptions and formulae'!AT14))*VLOOKUP($E$38,'Policy assumptions and formulae'!$A$10:$D$109,4,FALSE)</f>
        <v>-984595.08983552456</v>
      </c>
      <c r="M85" s="932"/>
      <c r="N85" s="968" t="s">
        <v>381</v>
      </c>
      <c r="O85" s="969"/>
      <c r="P85" s="427">
        <f>'PF calculator'!P85</f>
        <v>6</v>
      </c>
      <c r="Q85" s="328"/>
      <c r="R85" s="953">
        <f>(P85*'Policy assumptions and formulae'!AT24)*VLOOKUP($E$38,'Policy assumptions and formulae'!$A$10:$D$109,4,FALSE)</f>
        <v>1182589.1888834327</v>
      </c>
      <c r="S85" s="954"/>
      <c r="T85" s="11"/>
    </row>
    <row r="86" spans="1:20" ht="18.75" customHeight="1" thickBot="1" x14ac:dyDescent="0.25">
      <c r="A86" s="5"/>
      <c r="B86" s="957" t="s">
        <v>107</v>
      </c>
      <c r="C86" s="958"/>
      <c r="D86" s="426">
        <f>'PF calculator'!D86</f>
        <v>12</v>
      </c>
      <c r="E86" s="426">
        <f>'PF calculator'!E86</f>
        <v>11</v>
      </c>
      <c r="F86" s="426">
        <f>'PF calculator'!F86</f>
        <v>10</v>
      </c>
      <c r="G86" s="961"/>
      <c r="H86" s="426">
        <f>'PF calculator'!H86</f>
        <v>9</v>
      </c>
      <c r="I86" s="426">
        <f>'PF calculator'!I86</f>
        <v>8</v>
      </c>
      <c r="J86" s="426">
        <f>'PF calculator'!J86</f>
        <v>7</v>
      </c>
      <c r="K86" s="962"/>
      <c r="L86" s="931">
        <f>(((H86-D86)*'Policy assumptions and formulae'!AR15)+((I86-E86)*'Policy assumptions and formulae'!AS15)+((J86-F86)*'Policy assumptions and formulae'!AT15))*VLOOKUP($E$38,'Policy assumptions and formulae'!$A$10:$D$109,4,FALSE)</f>
        <v>-548291.35120959149</v>
      </c>
      <c r="M86" s="932"/>
      <c r="N86" s="963" t="s">
        <v>352</v>
      </c>
      <c r="O86" s="964"/>
      <c r="P86" s="427">
        <f>'PF calculator'!P86</f>
        <v>7</v>
      </c>
      <c r="Q86" s="328"/>
      <c r="R86" s="953">
        <f>(P86*'Policy assumptions and formulae'!AT25)*VLOOKUP($E$38,'Policy assumptions and formulae'!$A$10:$D$109,4,FALSE)</f>
        <v>689843.69351533568</v>
      </c>
      <c r="S86" s="954"/>
      <c r="T86" s="11"/>
    </row>
    <row r="87" spans="1:20" ht="18.75" customHeight="1" thickBot="1" x14ac:dyDescent="0.25">
      <c r="A87" s="5"/>
      <c r="B87" s="957" t="s">
        <v>108</v>
      </c>
      <c r="C87" s="958"/>
      <c r="D87" s="426">
        <f>'PF calculator'!D87</f>
        <v>13</v>
      </c>
      <c r="E87" s="426">
        <f>'PF calculator'!E87</f>
        <v>12</v>
      </c>
      <c r="F87" s="426">
        <f>'PF calculator'!F87</f>
        <v>11</v>
      </c>
      <c r="G87" s="961"/>
      <c r="H87" s="426">
        <f>'PF calculator'!H87</f>
        <v>10</v>
      </c>
      <c r="I87" s="426">
        <f>'PF calculator'!I87</f>
        <v>9</v>
      </c>
      <c r="J87" s="426">
        <f>'PF calculator'!J87</f>
        <v>8</v>
      </c>
      <c r="K87" s="962"/>
      <c r="L87" s="931">
        <f>(((H87-D87)*'Policy assumptions and formulae'!AR16)+((I87-E87)*'Policy assumptions and formulae'!AS16)+((J87-F87)*'Policy assumptions and formulae'!AT16))*VLOOKUP($E$38,'Policy assumptions and formulae'!$A$10:$D$109,4,FALSE)</f>
        <v>-59129.459444171633</v>
      </c>
      <c r="M87" s="932"/>
      <c r="N87" s="963"/>
      <c r="O87" s="964"/>
      <c r="P87" s="329"/>
      <c r="Q87" s="328"/>
      <c r="R87" s="330"/>
      <c r="S87" s="330"/>
      <c r="T87" s="11"/>
    </row>
    <row r="88" spans="1:20" ht="18.75" customHeight="1" thickBot="1" x14ac:dyDescent="0.25">
      <c r="A88" s="5"/>
      <c r="B88" s="957" t="s">
        <v>329</v>
      </c>
      <c r="C88" s="958"/>
      <c r="D88" s="426">
        <f>'PF calculator'!D88</f>
        <v>14</v>
      </c>
      <c r="E88" s="426">
        <f>'PF calculator'!E88</f>
        <v>13</v>
      </c>
      <c r="F88" s="426">
        <f>'PF calculator'!F88</f>
        <v>12</v>
      </c>
      <c r="G88" s="961"/>
      <c r="H88" s="426">
        <f>'PF calculator'!H88</f>
        <v>11</v>
      </c>
      <c r="I88" s="426">
        <f>'PF calculator'!I88</f>
        <v>10</v>
      </c>
      <c r="J88" s="426">
        <f>'PF calculator'!J88</f>
        <v>9</v>
      </c>
      <c r="K88" s="962"/>
      <c r="L88" s="931">
        <f>(((H88-D88)*'Policy assumptions and formulae'!AR17)+((I88-E88)*'Policy assumptions and formulae'!AS17)+((J88-F88)*'Policy assumptions and formulae'!AT17))*VLOOKUP($E$38,'Policy assumptions and formulae'!$A$10:$D$109,4,FALSE)</f>
        <v>-377174.27918176149</v>
      </c>
      <c r="M88" s="932"/>
      <c r="N88" s="391"/>
      <c r="O88" s="391"/>
      <c r="P88" s="391"/>
      <c r="Q88" s="391"/>
      <c r="R88" s="391"/>
      <c r="S88" s="391"/>
      <c r="T88" s="11"/>
    </row>
    <row r="89" spans="1:20" ht="18.75" customHeight="1" thickBot="1" x14ac:dyDescent="0.25">
      <c r="A89" s="5"/>
      <c r="B89" s="957" t="s">
        <v>109</v>
      </c>
      <c r="C89" s="958"/>
      <c r="D89" s="426">
        <f>'PF calculator'!D89</f>
        <v>15</v>
      </c>
      <c r="E89" s="426">
        <f>'PF calculator'!E89</f>
        <v>14</v>
      </c>
      <c r="F89" s="426">
        <f>'PF calculator'!F89</f>
        <v>13</v>
      </c>
      <c r="G89" s="961"/>
      <c r="H89" s="426">
        <f>'PF calculator'!H89</f>
        <v>12</v>
      </c>
      <c r="I89" s="426">
        <f>'PF calculator'!I89</f>
        <v>11</v>
      </c>
      <c r="J89" s="426">
        <f>'PF calculator'!J89</f>
        <v>10</v>
      </c>
      <c r="K89" s="962"/>
      <c r="L89" s="931">
        <f>(((H89-D89)*'Policy assumptions and formulae'!AR18)+((I89-E89)*'Policy assumptions and formulae'!AS18)+((J89-F89)*'Policy assumptions and formulae'!AT18))*VLOOKUP($E$38,'Policy assumptions and formulae'!$A$10:$D$109,4,FALSE)</f>
        <v>-548291.35120959149</v>
      </c>
      <c r="M89" s="932"/>
      <c r="N89" s="428"/>
      <c r="O89" s="428"/>
      <c r="P89" s="331"/>
      <c r="Q89" s="328"/>
      <c r="R89" s="332"/>
      <c r="S89" s="332"/>
      <c r="T89" s="11"/>
    </row>
    <row r="90" spans="1:20" ht="18.75" customHeight="1" thickBot="1" x14ac:dyDescent="0.25">
      <c r="A90" s="5"/>
      <c r="B90" s="957" t="s">
        <v>110</v>
      </c>
      <c r="C90" s="958"/>
      <c r="D90" s="426">
        <f>'PF calculator'!D90</f>
        <v>16</v>
      </c>
      <c r="E90" s="426">
        <f>'PF calculator'!E90</f>
        <v>15</v>
      </c>
      <c r="F90" s="426">
        <f>'PF calculator'!F90</f>
        <v>14</v>
      </c>
      <c r="G90" s="961"/>
      <c r="H90" s="426">
        <f>'PF calculator'!H90</f>
        <v>13</v>
      </c>
      <c r="I90" s="426">
        <f>'PF calculator'!I90</f>
        <v>12</v>
      </c>
      <c r="J90" s="426">
        <f>'PF calculator'!J90</f>
        <v>11</v>
      </c>
      <c r="K90" s="962"/>
      <c r="L90" s="931">
        <f>(((H90-D90)*'Policy assumptions and formulae'!AR19)+((I90-E90)*'Policy assumptions and formulae'!AS19)+((J90-F90)*'Policy assumptions and formulae'!AT19))*VLOOKUP($E$38,'Policy assumptions and formulae'!$A$10:$D$109,4,FALSE)</f>
        <v>-12542.61260936974</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12"/>
    </row>
    <row r="96" spans="1:20" s="1" customFormat="1" ht="18.75" customHeight="1" x14ac:dyDescent="0.2">
      <c r="A96" s="4"/>
      <c r="B96" s="431"/>
      <c r="C96" s="432" t="s">
        <v>156</v>
      </c>
      <c r="D96" s="955">
        <f>E41</f>
        <v>100</v>
      </c>
      <c r="E96" s="956"/>
      <c r="F96" s="945">
        <f>'PF calculator'!G96</f>
        <v>20</v>
      </c>
      <c r="G96" s="946"/>
      <c r="H96" s="943">
        <f t="shared" ref="H96:H102" si="0">D96*(F96/100)</f>
        <v>20</v>
      </c>
      <c r="I96" s="943"/>
      <c r="J96" s="328"/>
      <c r="K96" s="328"/>
      <c r="L96" s="328"/>
      <c r="M96" s="328"/>
      <c r="N96" s="328"/>
      <c r="O96" s="328"/>
      <c r="P96" s="328"/>
      <c r="Q96" s="328"/>
      <c r="R96" s="328"/>
      <c r="S96" s="328"/>
      <c r="T96" s="12"/>
    </row>
    <row r="97" spans="1:20" s="1" customFormat="1" ht="18.75" customHeight="1" x14ac:dyDescent="0.2">
      <c r="A97" s="4"/>
      <c r="B97" s="1064" t="s">
        <v>87</v>
      </c>
      <c r="C97" s="433" t="s">
        <v>88</v>
      </c>
      <c r="D97" s="943">
        <f>IF(R61="Ltd by DoB",R46,R46+R61)</f>
        <v>892536.2950645315</v>
      </c>
      <c r="E97" s="944"/>
      <c r="F97" s="945">
        <f>'PF calculator'!G97</f>
        <v>45</v>
      </c>
      <c r="G97" s="946"/>
      <c r="H97" s="943">
        <f t="shared" si="0"/>
        <v>401641.33277903916</v>
      </c>
      <c r="I97" s="943"/>
      <c r="J97" s="328"/>
      <c r="K97" s="328"/>
      <c r="L97" s="328"/>
      <c r="M97" s="328"/>
      <c r="N97" s="328"/>
      <c r="O97" s="328"/>
      <c r="P97" s="328"/>
      <c r="Q97" s="328"/>
      <c r="R97" s="328"/>
      <c r="S97" s="328"/>
      <c r="T97" s="12"/>
    </row>
    <row r="98" spans="1:20" s="1" customFormat="1" ht="18.75" customHeight="1" x14ac:dyDescent="0.2">
      <c r="A98" s="4"/>
      <c r="B98" s="1064"/>
      <c r="C98" s="433" t="s">
        <v>89</v>
      </c>
      <c r="D98" s="943">
        <f>IF(R62="Ltd by DoB",R47,R47+R62)</f>
        <v>1407325.9298163184</v>
      </c>
      <c r="E98" s="944"/>
      <c r="F98" s="945">
        <f>'PF calculator'!G98</f>
        <v>30</v>
      </c>
      <c r="G98" s="946"/>
      <c r="H98" s="943">
        <f t="shared" si="0"/>
        <v>422197.77894489554</v>
      </c>
      <c r="I98" s="943"/>
      <c r="J98" s="328"/>
      <c r="K98" s="328"/>
      <c r="L98" s="328"/>
      <c r="M98" s="328"/>
      <c r="N98" s="328"/>
      <c r="O98" s="328"/>
      <c r="P98" s="328"/>
      <c r="Q98" s="328"/>
      <c r="R98" s="328"/>
      <c r="S98" s="328"/>
      <c r="T98" s="12"/>
    </row>
    <row r="99" spans="1:20" s="1" customFormat="1" ht="18.75" customHeight="1" x14ac:dyDescent="0.2">
      <c r="A99" s="4"/>
      <c r="B99" s="1064"/>
      <c r="C99" s="433" t="s">
        <v>90</v>
      </c>
      <c r="D99" s="943">
        <f>IF(R63="Ltd by DoB",R48,R48+R63)</f>
        <v>1881705.4567206956</v>
      </c>
      <c r="E99" s="944"/>
      <c r="F99" s="945">
        <f>'PF calculator'!G99</f>
        <v>20</v>
      </c>
      <c r="G99" s="946"/>
      <c r="H99" s="943">
        <f t="shared" si="0"/>
        <v>376341.09134413913</v>
      </c>
      <c r="I99" s="943"/>
      <c r="J99" s="328"/>
      <c r="K99" s="328"/>
      <c r="L99" s="328"/>
      <c r="M99" s="328"/>
      <c r="N99" s="328"/>
      <c r="O99" s="328"/>
      <c r="P99" s="328"/>
      <c r="Q99" s="328"/>
      <c r="R99" s="328"/>
      <c r="S99" s="328"/>
      <c r="T99" s="12"/>
    </row>
    <row r="100" spans="1:20" s="1" customFormat="1" ht="18.75" customHeight="1" x14ac:dyDescent="0.2">
      <c r="A100" s="4"/>
      <c r="B100" s="1064" t="s">
        <v>91</v>
      </c>
      <c r="C100" s="433" t="s">
        <v>88</v>
      </c>
      <c r="D100" s="943">
        <f>R74</f>
        <v>182173.115517973</v>
      </c>
      <c r="E100" s="944"/>
      <c r="F100" s="945">
        <f>'PF calculator'!G100</f>
        <v>45</v>
      </c>
      <c r="G100" s="946"/>
      <c r="H100" s="943">
        <f t="shared" si="0"/>
        <v>81977.901983087853</v>
      </c>
      <c r="I100" s="943"/>
      <c r="J100" s="328"/>
      <c r="K100" s="328"/>
      <c r="L100" s="328"/>
      <c r="M100" s="328"/>
      <c r="N100" s="328"/>
      <c r="O100" s="328"/>
      <c r="P100" s="328"/>
      <c r="Q100" s="328"/>
      <c r="R100" s="328"/>
      <c r="S100" s="328"/>
      <c r="T100" s="12"/>
    </row>
    <row r="101" spans="1:20" s="1" customFormat="1" ht="18.75" customHeight="1" x14ac:dyDescent="0.2">
      <c r="A101" s="4"/>
      <c r="B101" s="1064"/>
      <c r="C101" s="433" t="s">
        <v>89</v>
      </c>
      <c r="D101" s="943">
        <f>R75</f>
        <v>404404.54289736139</v>
      </c>
      <c r="E101" s="944"/>
      <c r="F101" s="945">
        <f>'PF calculator'!G101</f>
        <v>30</v>
      </c>
      <c r="G101" s="946"/>
      <c r="H101" s="943">
        <f t="shared" si="0"/>
        <v>121321.36286920842</v>
      </c>
      <c r="I101" s="943"/>
      <c r="J101" s="328"/>
      <c r="K101" s="328"/>
      <c r="L101" s="328"/>
      <c r="M101" s="328"/>
      <c r="N101" s="328"/>
      <c r="O101" s="328"/>
      <c r="P101" s="328"/>
      <c r="Q101" s="328"/>
      <c r="R101" s="328"/>
      <c r="S101" s="328"/>
      <c r="T101" s="12"/>
    </row>
    <row r="102" spans="1:20" s="1" customFormat="1" ht="18.75" customHeight="1" x14ac:dyDescent="0.2">
      <c r="A102" s="4"/>
      <c r="B102" s="1064"/>
      <c r="C102" s="433" t="s">
        <v>90</v>
      </c>
      <c r="D102" s="943">
        <f>R76</f>
        <v>626635.97027674981</v>
      </c>
      <c r="E102" s="944"/>
      <c r="F102" s="945">
        <f>'PF calculator'!G102</f>
        <v>20</v>
      </c>
      <c r="G102" s="946"/>
      <c r="H102" s="943">
        <f t="shared" si="0"/>
        <v>125327.19405534997</v>
      </c>
      <c r="I102" s="943"/>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1063" t="str">
        <f>IF(SUM(L83:M90)&lt;0,"Ltd by negative OM4 values",SUM(L83:M90))</f>
        <v>Ltd by negative OM4 values</v>
      </c>
      <c r="E103" s="1063"/>
      <c r="F103" s="945">
        <f>'PF calculator'!G103</f>
        <v>20</v>
      </c>
      <c r="G103" s="946"/>
      <c r="H103" s="943">
        <f>IF(D103="Ltd by negative OM4 values",0,D103*(F103/100))</f>
        <v>0</v>
      </c>
      <c r="I103" s="943"/>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3843414.8638711558</v>
      </c>
      <c r="E104" s="950"/>
      <c r="F104" s="945">
        <f>'PF calculator'!G104</f>
        <v>20</v>
      </c>
      <c r="G104" s="946"/>
      <c r="H104" s="943">
        <f>D104*(F104/100)</f>
        <v>768682.97277423122</v>
      </c>
      <c r="I104" s="943"/>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43">
        <f>SUM(D95:E104)</f>
        <v>9238296.1741647851</v>
      </c>
      <c r="E105" s="943"/>
      <c r="F105" s="1059" t="str">
        <f>'PF calculator'!F105:G105</f>
        <v>pv max. eligible GiA</v>
      </c>
      <c r="G105" s="1060"/>
      <c r="H105" s="1061">
        <f>SUM(H95:I104)</f>
        <v>2297509.6347499513</v>
      </c>
      <c r="I105" s="1062"/>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f>'PF calculator'!D8</f>
        <v>0</v>
      </c>
      <c r="E8" s="1022"/>
      <c r="F8" s="1023"/>
      <c r="G8" s="396"/>
      <c r="H8" s="395"/>
      <c r="I8" s="395"/>
      <c r="J8" s="395"/>
      <c r="K8" s="970" t="s">
        <v>335</v>
      </c>
      <c r="L8" s="988"/>
      <c r="M8" s="1021">
        <f>'PF calculator'!M8</f>
        <v>1</v>
      </c>
      <c r="N8" s="1023"/>
      <c r="O8" s="1024" t="str">
        <f>'PF calculator'!O8:Q8</f>
        <v>Project benefit to cost ratio:</v>
      </c>
      <c r="P8" s="1025"/>
      <c r="Q8" s="1026"/>
      <c r="R8" s="397">
        <f>$E$39/$E$33</f>
        <v>10</v>
      </c>
      <c r="S8" s="398" t="s">
        <v>15</v>
      </c>
      <c r="T8" s="440"/>
      <c r="U8" s="77"/>
      <c r="V8" s="77"/>
    </row>
    <row r="9" spans="1:22" s="1" customFormat="1" ht="18.75" customHeight="1" thickBot="1" x14ac:dyDescent="0.25">
      <c r="A9" s="4"/>
      <c r="B9" s="970" t="s">
        <v>354</v>
      </c>
      <c r="C9" s="970"/>
      <c r="D9" s="1029">
        <f>'PF calculator'!D9</f>
        <v>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f>'PF calculator'!D10</f>
        <v>0</v>
      </c>
      <c r="E10" s="1035"/>
      <c r="F10" s="1035"/>
      <c r="G10" s="1035"/>
      <c r="H10" s="1035"/>
      <c r="I10" s="1036"/>
      <c r="J10" s="394"/>
      <c r="K10" s="395"/>
      <c r="L10" s="395"/>
      <c r="M10" s="395"/>
      <c r="N10" s="395"/>
      <c r="O10" s="1032" t="s">
        <v>129</v>
      </c>
      <c r="P10" s="1032"/>
      <c r="Q10" s="1033"/>
      <c r="R10" s="397">
        <f>IF($K$33&gt;0,$E$39/$K$33,"n/a")</f>
        <v>1.2820512820512822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239980.66316406004</v>
      </c>
      <c r="F19" s="1020"/>
      <c r="G19" s="395"/>
      <c r="H19" s="977" t="s">
        <v>65</v>
      </c>
      <c r="I19" s="977"/>
      <c r="J19" s="986"/>
      <c r="K19" s="1019">
        <f>IF(E23="low BCR","n/a",IF(E17="Yes",IF(D11="Environment Agency",E23/MAX(MAX(E33,E31)-K33,1),E19+K33/E31),IF(D11="Environment Agency",E23*0.45/MAX(MAX(E33,E31)-K33,1),E19+K33/E31)))</f>
        <v>2399806.6316406005</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0</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77" t="s">
        <v>67</v>
      </c>
      <c r="C23" s="977"/>
      <c r="D23" s="986"/>
      <c r="E23" s="998">
        <f>IF(R8&lt;1,"low BCR",H105)</f>
        <v>2399806.6316406005</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v>
      </c>
      <c r="F28" s="975"/>
      <c r="G28" s="395"/>
      <c r="H28" s="970" t="s">
        <v>341</v>
      </c>
      <c r="I28" s="970"/>
      <c r="J28" s="971"/>
      <c r="K28" s="1008">
        <f>'PF calculator'!K28</f>
        <v>1</v>
      </c>
      <c r="L28" s="1009"/>
      <c r="M28" s="1008">
        <f>'PF calculator'!M28</f>
        <v>2</v>
      </c>
      <c r="N28" s="1009"/>
      <c r="O28" s="1008">
        <f>'PF calculator'!O28</f>
        <v>3</v>
      </c>
      <c r="P28" s="1009"/>
      <c r="Q28" s="1010" t="s">
        <v>102</v>
      </c>
      <c r="R28" s="1010"/>
      <c r="S28" s="1010"/>
      <c r="T28" s="439"/>
      <c r="U28" s="77"/>
      <c r="V28" s="77"/>
    </row>
    <row r="29" spans="1:22" s="1" customFormat="1" ht="18.75" customHeight="1" thickBot="1" x14ac:dyDescent="0.25">
      <c r="A29" s="4"/>
      <c r="B29" s="970" t="s">
        <v>338</v>
      </c>
      <c r="C29" s="970"/>
      <c r="D29" s="988"/>
      <c r="E29" s="974">
        <f>'PF calculator'!E29</f>
        <v>2</v>
      </c>
      <c r="F29" s="975"/>
      <c r="G29" s="395"/>
      <c r="H29" s="970" t="s">
        <v>342</v>
      </c>
      <c r="I29" s="970"/>
      <c r="J29" s="971"/>
      <c r="K29" s="1008">
        <f>'PF calculator'!K29</f>
        <v>4</v>
      </c>
      <c r="L29" s="1009"/>
      <c r="M29" s="1008">
        <f>'PF calculator'!M29</f>
        <v>5</v>
      </c>
      <c r="N29" s="1009"/>
      <c r="O29" s="1008">
        <f>'PF calculator'!O29</f>
        <v>6</v>
      </c>
      <c r="P29" s="1009"/>
      <c r="Q29" s="1005">
        <f>'PF calculator'!Q29</f>
        <v>0</v>
      </c>
      <c r="R29" s="1006"/>
      <c r="S29" s="1007"/>
      <c r="T29" s="439"/>
      <c r="U29" s="77"/>
      <c r="V29" s="77"/>
    </row>
    <row r="30" spans="1:22" s="1" customFormat="1" ht="18.75" customHeight="1" thickBot="1" x14ac:dyDescent="0.25">
      <c r="A30" s="4"/>
      <c r="B30" s="970" t="s">
        <v>339</v>
      </c>
      <c r="C30" s="970"/>
      <c r="D30" s="988"/>
      <c r="E30" s="974">
        <f>'PF calculator'!E30</f>
        <v>3</v>
      </c>
      <c r="F30" s="975"/>
      <c r="G30" s="395"/>
      <c r="H30" s="970" t="s">
        <v>343</v>
      </c>
      <c r="I30" s="970"/>
      <c r="J30" s="971"/>
      <c r="K30" s="1008">
        <f>'PF calculator'!K30</f>
        <v>7</v>
      </c>
      <c r="L30" s="1009"/>
      <c r="M30" s="1008">
        <f>'PF calculator'!M30</f>
        <v>8</v>
      </c>
      <c r="N30" s="1009"/>
      <c r="O30" s="1008">
        <f>'PF calculator'!O30</f>
        <v>9</v>
      </c>
      <c r="P30" s="1009"/>
      <c r="Q30" s="1005">
        <f>'PF calculator'!Q30</f>
        <v>0</v>
      </c>
      <c r="R30" s="1006"/>
      <c r="S30" s="1007"/>
      <c r="T30" s="440"/>
      <c r="U30" s="77"/>
      <c r="V30" s="77"/>
    </row>
    <row r="31" spans="1:22" s="1" customFormat="1" ht="18.75" customHeight="1" thickBot="1" x14ac:dyDescent="0.25">
      <c r="A31" s="4"/>
      <c r="B31" s="970" t="s">
        <v>69</v>
      </c>
      <c r="C31" s="970"/>
      <c r="D31" s="988"/>
      <c r="E31" s="996">
        <f>SUM(E28:E30)</f>
        <v>6</v>
      </c>
      <c r="F31" s="997"/>
      <c r="G31" s="395"/>
      <c r="H31" s="970" t="s">
        <v>344</v>
      </c>
      <c r="I31" s="970"/>
      <c r="J31" s="971"/>
      <c r="K31" s="1008">
        <f>'PF calculator'!K31</f>
        <v>10</v>
      </c>
      <c r="L31" s="1009"/>
      <c r="M31" s="1008">
        <f>'PF calculator'!M31</f>
        <v>11</v>
      </c>
      <c r="N31" s="1009"/>
      <c r="O31" s="1008">
        <f>'PF calculator'!O31</f>
        <v>12</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22</v>
      </c>
      <c r="L32" s="1004"/>
      <c r="M32" s="1003">
        <f>SUM(M28:N31)</f>
        <v>26</v>
      </c>
      <c r="N32" s="1004"/>
      <c r="O32" s="1003">
        <f>SUM(O28:P31)</f>
        <v>30</v>
      </c>
      <c r="P32" s="1004"/>
      <c r="Q32" s="395"/>
      <c r="R32" s="395"/>
      <c r="S32" s="395"/>
      <c r="T32" s="440"/>
      <c r="U32" s="77"/>
      <c r="V32" s="77"/>
    </row>
    <row r="33" spans="1:22" s="1" customFormat="1" ht="18.75" customHeight="1" thickBot="1" x14ac:dyDescent="0.25">
      <c r="A33" s="4"/>
      <c r="B33" s="970" t="s">
        <v>147</v>
      </c>
      <c r="C33" s="970"/>
      <c r="D33" s="988"/>
      <c r="E33" s="996">
        <f>SUM(E31:F32)</f>
        <v>10</v>
      </c>
      <c r="F33" s="997"/>
      <c r="G33" s="395"/>
      <c r="H33" s="970" t="s">
        <v>71</v>
      </c>
      <c r="I33" s="970"/>
      <c r="J33" s="988"/>
      <c r="K33" s="998">
        <f>IF(D11="Environment Agency",K32+M32+O32,K32+M32)</f>
        <v>78</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IF('PF calculator'!E38*1.25&gt;100,100,(INT('PF calculator'!E38*1.25)))</f>
        <v>100</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10</v>
      </c>
      <c r="H46" s="414">
        <f>'PF calculator'!H46</f>
        <v>11</v>
      </c>
      <c r="I46" s="414">
        <f>'PF calculator'!I46</f>
        <v>12</v>
      </c>
      <c r="J46" s="414">
        <f>'PF calculator'!J46</f>
        <v>13</v>
      </c>
      <c r="K46" s="395"/>
      <c r="L46" s="415">
        <f>IF(SUM(G46:J46)&lt;SUM(F51:J51),"n/a",F51)</f>
        <v>1</v>
      </c>
      <c r="M46" s="415">
        <f>IF(SUM(G46:J46)&lt;SUM(F51:J51),"n/a",G51-G46)</f>
        <v>-8</v>
      </c>
      <c r="N46" s="415">
        <f>IF(SUM(G46:J46)&lt;SUM(F51:J51),"n/a",H51-H46)</f>
        <v>-8</v>
      </c>
      <c r="O46" s="415">
        <f>IF(SUM(G46:J46)&lt;SUM(F51:J51),"n/a",I51-I46)</f>
        <v>-8</v>
      </c>
      <c r="P46" s="415">
        <f>IF(SUM(G46:J46)&lt;SUM(F51:J51),"n/a",J51-J46)</f>
        <v>-12</v>
      </c>
      <c r="Q46" s="395"/>
      <c r="R46" s="974">
        <f>-(SUMPRODUCT($M$46:$P$46,$M$52:$P$52))*(VLOOKUP($E$38,'Policy assumptions and formulae'!A10:D109,4,FALSE))</f>
        <v>892536.2950645315</v>
      </c>
      <c r="S46" s="985"/>
      <c r="T46" s="440"/>
      <c r="U46" s="77"/>
      <c r="V46" s="77"/>
    </row>
    <row r="47" spans="1:22" s="1" customFormat="1" ht="18.75" customHeight="1" thickBot="1" x14ac:dyDescent="0.25">
      <c r="A47" s="14"/>
      <c r="B47" s="970" t="s">
        <v>349</v>
      </c>
      <c r="C47" s="970"/>
      <c r="D47" s="970"/>
      <c r="E47" s="971"/>
      <c r="F47" s="413"/>
      <c r="G47" s="414">
        <f>'PF calculator'!G47</f>
        <v>20</v>
      </c>
      <c r="H47" s="414">
        <f>'PF calculator'!H47</f>
        <v>21</v>
      </c>
      <c r="I47" s="414">
        <f>'PF calculator'!I47</f>
        <v>22</v>
      </c>
      <c r="J47" s="414">
        <f>'PF calculator'!J47</f>
        <v>23</v>
      </c>
      <c r="K47" s="395"/>
      <c r="L47" s="415">
        <f>IF(SUM(G47:J47)&lt;SUM(F52:J52),"n/a",F52)</f>
        <v>10</v>
      </c>
      <c r="M47" s="415">
        <f>IF(SUM(G47:J47)&lt;SUM(F52:J52),"n/a",G52-G47)</f>
        <v>-9</v>
      </c>
      <c r="N47" s="415">
        <f>IF(SUM(G47:J47)&lt;SUM(F52:J52),"n/a",H52-H47)</f>
        <v>-9</v>
      </c>
      <c r="O47" s="415">
        <f>IF(SUM(G47:J47)&lt;SUM(F52:J52),"n/a",I52-I47)</f>
        <v>-9</v>
      </c>
      <c r="P47" s="415">
        <f>IF(SUM(G47:J47)&lt;SUM(F52:J52),"n/a",J52-J47)</f>
        <v>-22</v>
      </c>
      <c r="Q47" s="395"/>
      <c r="R47" s="974">
        <f>-(SUMPRODUCT($M$47:$P$47,$M$52:$P$52))*(VLOOKUP($E$38,'Policy assumptions and formulae'!A10:D109,4,FALSE))</f>
        <v>1407325.9298163184</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f>IF(SUM(G48:J48)&lt;SUM(F53:J53),"n/a",F53)</f>
        <v>20</v>
      </c>
      <c r="M48" s="415">
        <f>IF(SUM(G48:J48)&lt;SUM(F53:J53),"n/a",G53-G48)</f>
        <v>-9</v>
      </c>
      <c r="N48" s="415">
        <f>IF(SUM(G48:J48)&lt;SUM(F53:J53),"n/a",H53-H48)</f>
        <v>-9</v>
      </c>
      <c r="O48" s="415">
        <f>IF(SUM(G48:J48)&lt;SUM(F53:J53),"n/a",I53-I48)</f>
        <v>-9</v>
      </c>
      <c r="P48" s="415">
        <f>IF(SUM(G48:J48)&lt;SUM(F53:J53),"n/a",J53-J48)</f>
        <v>-32</v>
      </c>
      <c r="Q48" s="395"/>
      <c r="R48" s="974">
        <f>-(SUMPRODUCT($M$48:$P$48,$M$52:$P$52))*(VLOOKUP($E$38,'Policy assumptions and formulae'!A10:D109,4,FALSE))</f>
        <v>1881705.4567206956</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1</v>
      </c>
      <c r="G51" s="414">
        <f>'PF calculator'!G51</f>
        <v>2</v>
      </c>
      <c r="H51" s="414">
        <f>'PF calculator'!H51</f>
        <v>3</v>
      </c>
      <c r="I51" s="414">
        <f>'PF calculator'!I51</f>
        <v>4</v>
      </c>
      <c r="J51" s="414">
        <f>'PF calculator'!J51</f>
        <v>1</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10</v>
      </c>
      <c r="G52" s="414">
        <f>'PF calculator'!G52</f>
        <v>11</v>
      </c>
      <c r="H52" s="414">
        <f>'PF calculator'!H52</f>
        <v>12</v>
      </c>
      <c r="I52" s="414">
        <f>'PF calculator'!I52</f>
        <v>13</v>
      </c>
      <c r="J52" s="414">
        <f>'PF calculator'!J52</f>
        <v>1</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20</v>
      </c>
      <c r="G53" s="414">
        <f>'PF calculator'!G53</f>
        <v>21</v>
      </c>
      <c r="H53" s="414">
        <f>'PF calculator'!H53</f>
        <v>22</v>
      </c>
      <c r="I53" s="414">
        <f>'PF calculator'!I53</f>
        <v>23</v>
      </c>
      <c r="J53" s="414">
        <f>'PF calculator'!J53</f>
        <v>1</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Total households at risk after project completion are greater than those at risk today. This is not possible under this measure.</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74" t="str">
        <f>IF($E$58+$E$38&lt;2041,"Ltd by DoB",(-SUMPRODUCT($M$61:$P$61,$M$67:$P$67)*VLOOKUP($E$38,'Policy assumptions and formulae'!$A$10:$D$109,4,FALSE))-(-SUMPRODUCT($M$61:$P$61,$M$67:$P$67)*VLOOKUP((2040-$E$58),'Policy assumptions and formulae'!$A$10:$D$109,4,FALSE)))</f>
        <v>Ltd by DoB</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74" t="str">
        <f>IF($E$58+$E$38&lt;2041,"Ltd by DoB",(-SUMPRODUCT($M$62:$P$62,$M$67:$P$67)*VLOOKUP($E$38,'Policy assumptions and formulae'!$A$10:$D$109,4,FALSE))-(-SUMPRODUCT($M$62:$P$62,$M$67:$P$67)*VLOOKUP((2040-$E$58),'Policy assumptions and formulae'!$A$10:$D$109,4,FALSE)))</f>
        <v>Ltd by DoB</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74" t="str">
        <f>IF($E$58+$E$38&lt;2041,"Ltd by DoB",(-SUMPRODUCT($M$63:$P$63,$M$67:$P$67)*VLOOKUP($E$38,'Policy assumptions and formulae'!$A$10:$D$109,4,FALSE))-(-SUMPRODUCT($M$63:$P$63,$M$67:$P$67)*VLOOKUP((2040-$E$58),'Policy assumptions and formulae'!$A$10:$D$109,4,FALSE)))</f>
        <v>Ltd by DoB</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1</v>
      </c>
      <c r="G74" s="414">
        <f>'PF calculator'!G74</f>
        <v>2</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244171.29545169987</v>
      </c>
      <c r="S74" s="975"/>
      <c r="T74" s="440"/>
      <c r="U74" s="77"/>
      <c r="V74" s="77"/>
    </row>
    <row r="75" spans="1:22" s="1" customFormat="1" ht="18.75" customHeight="1" thickBot="1" x14ac:dyDescent="0.2">
      <c r="A75" s="4"/>
      <c r="B75" s="970" t="s">
        <v>349</v>
      </c>
      <c r="C75" s="970"/>
      <c r="D75" s="970"/>
      <c r="E75" s="971"/>
      <c r="F75" s="414">
        <f>'PF calculator'!F75</f>
        <v>3</v>
      </c>
      <c r="G75" s="414">
        <f>'PF calculator'!G75</f>
        <v>4</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528400.90276481514</v>
      </c>
      <c r="S75" s="975"/>
      <c r="T75" s="440"/>
      <c r="U75" s="77"/>
      <c r="V75" s="77"/>
    </row>
    <row r="76" spans="1:22" s="1" customFormat="1" ht="18.75" customHeight="1" thickBot="1" x14ac:dyDescent="0.2">
      <c r="A76" s="4"/>
      <c r="B76" s="970" t="s">
        <v>350</v>
      </c>
      <c r="C76" s="970"/>
      <c r="D76" s="970"/>
      <c r="E76" s="971"/>
      <c r="F76" s="414">
        <f>'PF calculator'!F76</f>
        <v>5</v>
      </c>
      <c r="G76" s="414">
        <f>'PF calculator'!G76</f>
        <v>6</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812630.51007793052</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25">
      <c r="A83" s="5"/>
      <c r="B83" s="957" t="s">
        <v>105</v>
      </c>
      <c r="C83" s="958"/>
      <c r="D83" s="426">
        <f>'PF calculator'!D83</f>
        <v>9</v>
      </c>
      <c r="E83" s="426">
        <f>'PF calculator'!E83</f>
        <v>8</v>
      </c>
      <c r="F83" s="426">
        <f>'PF calculator'!F83</f>
        <v>7</v>
      </c>
      <c r="G83" s="1068"/>
      <c r="H83" s="426">
        <f>'PF calculator'!H83</f>
        <v>6</v>
      </c>
      <c r="I83" s="426">
        <f>'PF calculator'!I83</f>
        <v>5</v>
      </c>
      <c r="J83" s="426">
        <f>'PF calculator'!J83</f>
        <v>4</v>
      </c>
      <c r="K83" s="962" t="str">
        <f>IF(SUM(D83:F90)&lt;&gt;SUM(H83:J90),"Error in net change habitat","")</f>
        <v>Error in net change habitat</v>
      </c>
      <c r="L83" s="1066">
        <f>(((H83-D83)*'Policy assumptions and formulae'!AR12)+((I83-E83)*'Policy assumptions and formulae'!AS12)+((J83-F83)*'Policy assumptions and formulae'!AT12))*VLOOKUP($E$38,'Policy assumptions and formulae'!$A$10:$D$109,4,FALSE)</f>
        <v>-1723713.33288767</v>
      </c>
      <c r="M83" s="1067"/>
      <c r="N83" s="391"/>
      <c r="O83" s="423"/>
      <c r="P83" s="379" t="s">
        <v>379</v>
      </c>
      <c r="Q83" s="328"/>
      <c r="R83" s="967" t="s">
        <v>74</v>
      </c>
      <c r="S83" s="967"/>
      <c r="T83" s="439"/>
    </row>
    <row r="84" spans="1:22" ht="18.75" customHeight="1" thickBot="1" x14ac:dyDescent="0.25">
      <c r="A84" s="5"/>
      <c r="B84" s="957" t="s">
        <v>106</v>
      </c>
      <c r="C84" s="958"/>
      <c r="D84" s="426">
        <f>'PF calculator'!D84</f>
        <v>10</v>
      </c>
      <c r="E84" s="426">
        <f>'PF calculator'!E84</f>
        <v>9</v>
      </c>
      <c r="F84" s="426">
        <f>'PF calculator'!F84</f>
        <v>8</v>
      </c>
      <c r="G84" s="1068"/>
      <c r="H84" s="426">
        <f>'PF calculator'!H84</f>
        <v>7</v>
      </c>
      <c r="I84" s="426">
        <f>'PF calculator'!I84</f>
        <v>6</v>
      </c>
      <c r="J84" s="426">
        <f>'PF calculator'!J84</f>
        <v>5</v>
      </c>
      <c r="K84" s="962"/>
      <c r="L84" s="1066">
        <f>(((H84-D84)*'Policy assumptions and formulae'!AR13)+((I84-E84)*'Policy assumptions and formulae'!AS13)+((J84-F84)*'Policy assumptions and formulae'!AT13))*VLOOKUP($E$38,'Policy assumptions and formulae'!$A$10:$D$109,4,FALSE)</f>
        <v>-984595.08983552456</v>
      </c>
      <c r="M84" s="1067"/>
      <c r="N84" s="968" t="s">
        <v>380</v>
      </c>
      <c r="O84" s="969"/>
      <c r="P84" s="427">
        <f>'PF calculator'!P84</f>
        <v>5</v>
      </c>
      <c r="Q84" s="328"/>
      <c r="R84" s="953">
        <f>(P84*'Policy assumptions and formulae'!AT23)*VLOOKUP($E$38,'Policy assumptions and formulae'!$A$10:$D$109,4,FALSE)</f>
        <v>1970981.9814723877</v>
      </c>
      <c r="S84" s="954"/>
      <c r="T84" s="439"/>
    </row>
    <row r="85" spans="1:22" ht="18.75" customHeight="1" thickBot="1" x14ac:dyDescent="0.25">
      <c r="A85" s="5"/>
      <c r="B85" s="957" t="s">
        <v>55</v>
      </c>
      <c r="C85" s="958"/>
      <c r="D85" s="426">
        <f>'PF calculator'!D85</f>
        <v>11</v>
      </c>
      <c r="E85" s="426">
        <f>'PF calculator'!E85</f>
        <v>10</v>
      </c>
      <c r="F85" s="426">
        <f>'PF calculator'!F85</f>
        <v>9</v>
      </c>
      <c r="G85" s="1068"/>
      <c r="H85" s="426">
        <f>'PF calculator'!H85</f>
        <v>8</v>
      </c>
      <c r="I85" s="426">
        <f>'PF calculator'!I85</f>
        <v>7</v>
      </c>
      <c r="J85" s="426">
        <f>'PF calculator'!J85</f>
        <v>6</v>
      </c>
      <c r="K85" s="962"/>
      <c r="L85" s="1066">
        <f>(((H85-D85)*'Policy assumptions and formulae'!AR14)+((I85-E85)*'Policy assumptions and formulae'!AS14)+((J85-F85)*'Policy assumptions and formulae'!AT14))*VLOOKUP($E$38,'Policy assumptions and formulae'!$A$10:$D$109,4,FALSE)</f>
        <v>-984595.08983552456</v>
      </c>
      <c r="M85" s="1067"/>
      <c r="N85" s="968" t="s">
        <v>381</v>
      </c>
      <c r="O85" s="969"/>
      <c r="P85" s="427">
        <f>'PF calculator'!P85</f>
        <v>6</v>
      </c>
      <c r="Q85" s="328"/>
      <c r="R85" s="953">
        <f>(P85*'Policy assumptions and formulae'!AT24)*VLOOKUP($E$38,'Policy assumptions and formulae'!$A$10:$D$109,4,FALSE)</f>
        <v>1182589.1888834327</v>
      </c>
      <c r="S85" s="954"/>
      <c r="T85" s="439"/>
    </row>
    <row r="86" spans="1:22" ht="18.75" customHeight="1" thickBot="1" x14ac:dyDescent="0.25">
      <c r="A86" s="5"/>
      <c r="B86" s="957" t="s">
        <v>107</v>
      </c>
      <c r="C86" s="958"/>
      <c r="D86" s="426">
        <f>'PF calculator'!D86</f>
        <v>12</v>
      </c>
      <c r="E86" s="426">
        <f>'PF calculator'!E86</f>
        <v>11</v>
      </c>
      <c r="F86" s="426">
        <f>'PF calculator'!F86</f>
        <v>10</v>
      </c>
      <c r="G86" s="1068"/>
      <c r="H86" s="426">
        <f>'PF calculator'!H86</f>
        <v>9</v>
      </c>
      <c r="I86" s="426">
        <f>'PF calculator'!I86</f>
        <v>8</v>
      </c>
      <c r="J86" s="426">
        <f>'PF calculator'!J86</f>
        <v>7</v>
      </c>
      <c r="K86" s="962"/>
      <c r="L86" s="1066">
        <f>(((H86-D86)*'Policy assumptions and formulae'!AR15)+((I86-E86)*'Policy assumptions and formulae'!AS15)+((J86-F86)*'Policy assumptions and formulae'!AT15))*VLOOKUP($E$38,'Policy assumptions and formulae'!$A$10:$D$109,4,FALSE)</f>
        <v>-548291.35120959149</v>
      </c>
      <c r="M86" s="1067"/>
      <c r="N86" s="963" t="s">
        <v>352</v>
      </c>
      <c r="O86" s="964"/>
      <c r="P86" s="427">
        <f>'PF calculator'!P86</f>
        <v>7</v>
      </c>
      <c r="Q86" s="328"/>
      <c r="R86" s="953">
        <f>(P86*'Policy assumptions and formulae'!AT25)*VLOOKUP($E$38,'Policy assumptions and formulae'!$A$10:$D$109,4,FALSE)</f>
        <v>689843.69351533568</v>
      </c>
      <c r="S86" s="954"/>
      <c r="T86" s="439"/>
    </row>
    <row r="87" spans="1:22" ht="18.75" customHeight="1" thickBot="1" x14ac:dyDescent="0.25">
      <c r="A87" s="5"/>
      <c r="B87" s="957" t="s">
        <v>108</v>
      </c>
      <c r="C87" s="958"/>
      <c r="D87" s="426">
        <f>'PF calculator'!D87</f>
        <v>13</v>
      </c>
      <c r="E87" s="426">
        <f>'PF calculator'!E87</f>
        <v>12</v>
      </c>
      <c r="F87" s="426">
        <f>'PF calculator'!F87</f>
        <v>11</v>
      </c>
      <c r="G87" s="1068"/>
      <c r="H87" s="426">
        <f>'PF calculator'!H87</f>
        <v>10</v>
      </c>
      <c r="I87" s="426">
        <f>'PF calculator'!I87</f>
        <v>9</v>
      </c>
      <c r="J87" s="426">
        <f>'PF calculator'!J87</f>
        <v>8</v>
      </c>
      <c r="K87" s="962"/>
      <c r="L87" s="1066">
        <f>(((H87-D87)*'Policy assumptions and formulae'!AR16)+((I87-E87)*'Policy assumptions and formulae'!AS16)+((J87-F87)*'Policy assumptions and formulae'!AT16))*VLOOKUP($E$38,'Policy assumptions and formulae'!$A$10:$D$109,4,FALSE)</f>
        <v>-59129.459444171633</v>
      </c>
      <c r="M87" s="1067"/>
      <c r="N87" s="963"/>
      <c r="O87" s="964"/>
      <c r="P87" s="329"/>
      <c r="Q87" s="328"/>
      <c r="R87" s="330"/>
      <c r="S87" s="330"/>
      <c r="T87" s="439"/>
    </row>
    <row r="88" spans="1:22" ht="18.75" customHeight="1" thickBot="1" x14ac:dyDescent="0.25">
      <c r="A88" s="5"/>
      <c r="B88" s="957" t="s">
        <v>329</v>
      </c>
      <c r="C88" s="958"/>
      <c r="D88" s="426">
        <f>'PF calculator'!D88</f>
        <v>14</v>
      </c>
      <c r="E88" s="426">
        <f>'PF calculator'!E88</f>
        <v>13</v>
      </c>
      <c r="F88" s="426">
        <f>'PF calculator'!F88</f>
        <v>12</v>
      </c>
      <c r="G88" s="1068"/>
      <c r="H88" s="426">
        <f>'PF calculator'!H88</f>
        <v>11</v>
      </c>
      <c r="I88" s="426">
        <f>'PF calculator'!I88</f>
        <v>10</v>
      </c>
      <c r="J88" s="426">
        <f>'PF calculator'!J88</f>
        <v>9</v>
      </c>
      <c r="K88" s="962"/>
      <c r="L88" s="1066">
        <f>(((H88-D88)*'Policy assumptions and formulae'!AR17)+((I88-E88)*'Policy assumptions and formulae'!AS17)+((J88-F88)*'Policy assumptions and formulae'!AT17))*VLOOKUP($E$38,'Policy assumptions and formulae'!$A$10:$D$109,4,FALSE)</f>
        <v>-377174.27918176149</v>
      </c>
      <c r="M88" s="1067"/>
      <c r="N88" s="391"/>
      <c r="O88" s="391"/>
      <c r="P88" s="391"/>
      <c r="Q88" s="391"/>
      <c r="R88" s="391"/>
      <c r="S88" s="391"/>
      <c r="T88" s="439"/>
    </row>
    <row r="89" spans="1:22" ht="18.75" customHeight="1" thickBot="1" x14ac:dyDescent="0.25">
      <c r="A89" s="5"/>
      <c r="B89" s="957" t="s">
        <v>109</v>
      </c>
      <c r="C89" s="958"/>
      <c r="D89" s="426">
        <f>'PF calculator'!D89</f>
        <v>15</v>
      </c>
      <c r="E89" s="426">
        <f>'PF calculator'!E89</f>
        <v>14</v>
      </c>
      <c r="F89" s="426">
        <f>'PF calculator'!F89</f>
        <v>13</v>
      </c>
      <c r="G89" s="1068"/>
      <c r="H89" s="426">
        <f>'PF calculator'!H89</f>
        <v>12</v>
      </c>
      <c r="I89" s="426">
        <f>'PF calculator'!I89</f>
        <v>11</v>
      </c>
      <c r="J89" s="426">
        <f>'PF calculator'!J89</f>
        <v>10</v>
      </c>
      <c r="K89" s="962"/>
      <c r="L89" s="1066">
        <f>(((H89-D89)*'Policy assumptions and formulae'!AR18)+((I89-E89)*'Policy assumptions and formulae'!AS18)+((J89-F89)*'Policy assumptions and formulae'!AT18))*VLOOKUP($E$38,'Policy assumptions and formulae'!$A$10:$D$109,4,FALSE)</f>
        <v>-548291.35120959149</v>
      </c>
      <c r="M89" s="1067"/>
      <c r="N89" s="428"/>
      <c r="O89" s="428"/>
      <c r="P89" s="331"/>
      <c r="Q89" s="328"/>
      <c r="R89" s="332"/>
      <c r="S89" s="332"/>
      <c r="T89" s="439"/>
    </row>
    <row r="90" spans="1:22" ht="18.75" customHeight="1" thickBot="1" x14ac:dyDescent="0.25">
      <c r="A90" s="5"/>
      <c r="B90" s="957" t="s">
        <v>110</v>
      </c>
      <c r="C90" s="958"/>
      <c r="D90" s="426">
        <f>'PF calculator'!D90</f>
        <v>16</v>
      </c>
      <c r="E90" s="426">
        <f>'PF calculator'!E90</f>
        <v>15</v>
      </c>
      <c r="F90" s="426">
        <f>'PF calculator'!F90</f>
        <v>14</v>
      </c>
      <c r="G90" s="1068"/>
      <c r="H90" s="426">
        <f>'PF calculator'!H90</f>
        <v>13</v>
      </c>
      <c r="I90" s="426">
        <f>'PF calculator'!I90</f>
        <v>12</v>
      </c>
      <c r="J90" s="426">
        <f>'PF calculator'!J90</f>
        <v>11</v>
      </c>
      <c r="K90" s="962"/>
      <c r="L90" s="1066">
        <f>(((H90-D90)*'Policy assumptions and formulae'!AR19)+((I90-E90)*'Policy assumptions and formulae'!AS19)+((J90-F90)*'Policy assumptions and formulae'!AT19))*VLOOKUP($E$38,'Policy assumptions and formulae'!$A$10:$D$109,4,FALSE)</f>
        <v>-12542.61260936974</v>
      </c>
      <c r="M90" s="1067"/>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100</v>
      </c>
      <c r="E96" s="956"/>
      <c r="F96" s="945">
        <f>'PF calculator'!G96</f>
        <v>20</v>
      </c>
      <c r="G96" s="946"/>
      <c r="H96" s="943">
        <f t="shared" ref="H96:H102" si="0">D96*(F96/100)</f>
        <v>20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892536.2950645315</v>
      </c>
      <c r="E97" s="944"/>
      <c r="F97" s="945">
        <f>'PF calculator'!G97</f>
        <v>45</v>
      </c>
      <c r="G97" s="946"/>
      <c r="H97" s="943">
        <f t="shared" si="0"/>
        <v>401641.33277903916</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1407325.9298163184</v>
      </c>
      <c r="E98" s="944"/>
      <c r="F98" s="945">
        <f>'PF calculator'!G98</f>
        <v>30</v>
      </c>
      <c r="G98" s="946"/>
      <c r="H98" s="943">
        <f t="shared" si="0"/>
        <v>422197.77894489554</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1881705.4567206956</v>
      </c>
      <c r="E99" s="944"/>
      <c r="F99" s="945">
        <f>'PF calculator'!G99</f>
        <v>20</v>
      </c>
      <c r="G99" s="946"/>
      <c r="H99" s="943">
        <f t="shared" si="0"/>
        <v>376341.09134413913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244171.29545169987</v>
      </c>
      <c r="E100" s="944"/>
      <c r="F100" s="945">
        <f>'PF calculator'!G100</f>
        <v>45</v>
      </c>
      <c r="G100" s="946"/>
      <c r="H100" s="943">
        <f t="shared" si="0"/>
        <v>109877.08295326495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528400.90276481514</v>
      </c>
      <c r="E101" s="944"/>
      <c r="F101" s="945">
        <f>'PF calculator'!G101</f>
        <v>30</v>
      </c>
      <c r="G101" s="946"/>
      <c r="H101" s="943">
        <f t="shared" si="0"/>
        <v>158520.27082944455</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812630.51007793052</v>
      </c>
      <c r="E102" s="944"/>
      <c r="F102" s="945">
        <f>'PF calculator'!G102</f>
        <v>20</v>
      </c>
      <c r="G102" s="946"/>
      <c r="H102" s="943">
        <f t="shared" si="0"/>
        <v>162526.1020155861</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str">
        <f>IF(SUM(L83:M90)&lt;0,"Ltd by negative OM4 values",SUM(L83:M90))</f>
        <v>Ltd by negative OM4 values</v>
      </c>
      <c r="E103" s="1063"/>
      <c r="F103" s="945">
        <f>'PF calculator'!G103</f>
        <v>20</v>
      </c>
      <c r="G103" s="946"/>
      <c r="H103" s="943">
        <f>IF(D103="Ltd by negative OM4 values",0,D103*(F103/100))</f>
        <v>0</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3843414.8638711558</v>
      </c>
      <c r="E104" s="950"/>
      <c r="F104" s="945">
        <f>'PF calculator'!G104</f>
        <v>20</v>
      </c>
      <c r="G104" s="946"/>
      <c r="H104" s="943">
        <f>D104*(F104/100)</f>
        <v>768682.97277423122</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9610285.2537671458</v>
      </c>
      <c r="E105" s="943"/>
      <c r="F105" s="1059" t="str">
        <f>'PF calculator'!F105:G105</f>
        <v>pv max. eligible GiA</v>
      </c>
      <c r="G105" s="1060"/>
      <c r="H105" s="1061">
        <f>SUM(H95:I104)</f>
        <v>2399806.6316406005</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2020-03-16T17:54:56Z</dcterms:modified>
</cp:coreProperties>
</file>