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Bhumika Mehra\Desktop\SUNNY DA\INTERNSHIPS\DONE\"/>
    </mc:Choice>
  </mc:AlternateContent>
  <xr:revisionPtr revIDLastSave="0" documentId="13_ncr:1_{08BA3086-4C15-4A2B-B65F-D434DCE51164}" xr6:coauthVersionLast="47" xr6:coauthVersionMax="47" xr10:uidLastSave="{00000000-0000-0000-0000-000000000000}"/>
  <bookViews>
    <workbookView xWindow="-108" yWindow="-108" windowWidth="23256" windowHeight="12576" tabRatio="655" activeTab="4" xr2:uid="{754C665C-58DB-428E-9BC2-FE3CD41E8721}"/>
  </bookViews>
  <sheets>
    <sheet name="2014_nba_draft_combine" sheetId="1" r:id="rId1"/>
    <sheet name="TRENDS" sheetId="7" r:id="rId2"/>
    <sheet name="DES . STATS" sheetId="2" r:id="rId3"/>
    <sheet name="CORRELATION" sheetId="4" r:id="rId4"/>
    <sheet name="MAIN ANAL" sheetId="6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3" i="1" l="1"/>
  <c r="E62" i="1"/>
  <c r="K11" i="6" l="1" a="1"/>
  <c r="K11" i="6" s="1"/>
  <c r="M11" i="6" s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F62" i="1"/>
  <c r="T14" i="1" s="1"/>
  <c r="AH14" i="1" s="1"/>
  <c r="G62" i="1"/>
  <c r="H62" i="1"/>
  <c r="I62" i="1"/>
  <c r="W4" i="1" s="1"/>
  <c r="AK4" i="1" s="1"/>
  <c r="J62" i="1"/>
  <c r="K62" i="1"/>
  <c r="L62" i="1"/>
  <c r="M62" i="1"/>
  <c r="N62" i="1"/>
  <c r="O62" i="1"/>
  <c r="P62" i="1"/>
  <c r="Q62" i="1"/>
  <c r="R62" i="1"/>
  <c r="S58" i="1"/>
  <c r="AG58" i="1" s="1"/>
  <c r="AE29" i="1" l="1"/>
  <c r="AS29" i="1" s="1"/>
  <c r="AA60" i="1"/>
  <c r="AO60" i="1" s="1"/>
  <c r="T30" i="1"/>
  <c r="AH30" i="1" s="1"/>
  <c r="AC2" i="1"/>
  <c r="AQ2" i="1" s="1"/>
  <c r="Y24" i="1"/>
  <c r="AM24" i="1" s="1"/>
  <c r="U8" i="1"/>
  <c r="AI8" i="1" s="1"/>
  <c r="M65" i="6"/>
  <c r="M57" i="6"/>
  <c r="M45" i="6"/>
  <c r="M41" i="6"/>
  <c r="M33" i="6"/>
  <c r="M25" i="6"/>
  <c r="M13" i="6"/>
  <c r="M67" i="6"/>
  <c r="M63" i="6"/>
  <c r="M59" i="6"/>
  <c r="M55" i="6"/>
  <c r="M51" i="6"/>
  <c r="M47" i="6"/>
  <c r="M43" i="6"/>
  <c r="M39" i="6"/>
  <c r="M35" i="6"/>
  <c r="M31" i="6"/>
  <c r="M27" i="6"/>
  <c r="M23" i="6"/>
  <c r="M19" i="6"/>
  <c r="M15" i="6"/>
  <c r="M66" i="6"/>
  <c r="M62" i="6"/>
  <c r="M58" i="6"/>
  <c r="M54" i="6"/>
  <c r="M50" i="6"/>
  <c r="M46" i="6"/>
  <c r="M42" i="6"/>
  <c r="M38" i="6"/>
  <c r="M34" i="6"/>
  <c r="M30" i="6"/>
  <c r="M26" i="6"/>
  <c r="M22" i="6"/>
  <c r="M18" i="6"/>
  <c r="M14" i="6"/>
  <c r="M69" i="6"/>
  <c r="M61" i="6"/>
  <c r="M53" i="6"/>
  <c r="M49" i="6"/>
  <c r="M37" i="6"/>
  <c r="M29" i="6"/>
  <c r="M21" i="6"/>
  <c r="M17" i="6"/>
  <c r="L36" i="6"/>
  <c r="M68" i="6"/>
  <c r="M64" i="6"/>
  <c r="M60" i="6"/>
  <c r="M56" i="6"/>
  <c r="M52" i="6"/>
  <c r="M48" i="6"/>
  <c r="M44" i="6"/>
  <c r="M40" i="6"/>
  <c r="M32" i="6"/>
  <c r="M28" i="6"/>
  <c r="M24" i="6"/>
  <c r="M20" i="6"/>
  <c r="M16" i="6"/>
  <c r="M12" i="6"/>
  <c r="AF8" i="1"/>
  <c r="AT8" i="1" s="1"/>
  <c r="AF24" i="1"/>
  <c r="AT24" i="1" s="1"/>
  <c r="AB23" i="1"/>
  <c r="AP23" i="1" s="1"/>
  <c r="AB31" i="1"/>
  <c r="AP31" i="1" s="1"/>
  <c r="X10" i="1"/>
  <c r="AL10" i="1" s="1"/>
  <c r="X14" i="1"/>
  <c r="AL14" i="1" s="1"/>
  <c r="X30" i="1"/>
  <c r="AL30" i="1" s="1"/>
  <c r="X46" i="1"/>
  <c r="AL46" i="1" s="1"/>
  <c r="T3" i="1"/>
  <c r="AH3" i="1" s="1"/>
  <c r="T18" i="1"/>
  <c r="AH18" i="1" s="1"/>
  <c r="T34" i="1"/>
  <c r="AH34" i="1" s="1"/>
  <c r="T50" i="1"/>
  <c r="AH50" i="1" s="1"/>
  <c r="T6" i="1"/>
  <c r="AH6" i="1" s="1"/>
  <c r="T22" i="1"/>
  <c r="AH22" i="1" s="1"/>
  <c r="T38" i="1"/>
  <c r="AH38" i="1" s="1"/>
  <c r="T54" i="1"/>
  <c r="AH54" i="1" s="1"/>
  <c r="T10" i="1"/>
  <c r="AH10" i="1" s="1"/>
  <c r="T26" i="1"/>
  <c r="AH26" i="1" s="1"/>
  <c r="T42" i="1"/>
  <c r="AH42" i="1" s="1"/>
  <c r="T58" i="1"/>
  <c r="AH58" i="1" s="1"/>
  <c r="W56" i="1"/>
  <c r="AK56" i="1" s="1"/>
  <c r="T46" i="1"/>
  <c r="AH46" i="1" s="1"/>
  <c r="AE13" i="1"/>
  <c r="AS13" i="1" s="1"/>
  <c r="AA21" i="1"/>
  <c r="AO21" i="1" s="1"/>
  <c r="W12" i="1"/>
  <c r="AK12" i="1" s="1"/>
  <c r="W52" i="1"/>
  <c r="AK52" i="1" s="1"/>
  <c r="AA37" i="1"/>
  <c r="AO37" i="1" s="1"/>
  <c r="Z14" i="1"/>
  <c r="AN14" i="1" s="1"/>
  <c r="V3" i="1"/>
  <c r="AJ3" i="1" s="1"/>
  <c r="W36" i="1"/>
  <c r="AK36" i="1" s="1"/>
  <c r="AA5" i="1"/>
  <c r="AO5" i="1" s="1"/>
  <c r="U5" i="1"/>
  <c r="AI5" i="1" s="1"/>
  <c r="W60" i="1"/>
  <c r="AK60" i="1" s="1"/>
  <c r="W20" i="1"/>
  <c r="AK20" i="1" s="1"/>
  <c r="AD4" i="1"/>
  <c r="AR4" i="1" s="1"/>
  <c r="AD8" i="1"/>
  <c r="AR8" i="1" s="1"/>
  <c r="AD12" i="1"/>
  <c r="AR12" i="1" s="1"/>
  <c r="AD16" i="1"/>
  <c r="AR16" i="1" s="1"/>
  <c r="AD20" i="1"/>
  <c r="AR20" i="1" s="1"/>
  <c r="AD24" i="1"/>
  <c r="AR24" i="1" s="1"/>
  <c r="AD28" i="1"/>
  <c r="AR28" i="1" s="1"/>
  <c r="AD32" i="1"/>
  <c r="AR32" i="1" s="1"/>
  <c r="AD36" i="1"/>
  <c r="AR36" i="1" s="1"/>
  <c r="AD40" i="1"/>
  <c r="AR40" i="1" s="1"/>
  <c r="AD44" i="1"/>
  <c r="AR44" i="1" s="1"/>
  <c r="AD48" i="1"/>
  <c r="AR48" i="1" s="1"/>
  <c r="AD52" i="1"/>
  <c r="AR52" i="1" s="1"/>
  <c r="AD56" i="1"/>
  <c r="AR56" i="1" s="1"/>
  <c r="AD60" i="1"/>
  <c r="AR60" i="1" s="1"/>
  <c r="AD5" i="1"/>
  <c r="AR5" i="1" s="1"/>
  <c r="AD9" i="1"/>
  <c r="AR9" i="1" s="1"/>
  <c r="AD13" i="1"/>
  <c r="AR13" i="1" s="1"/>
  <c r="AD17" i="1"/>
  <c r="AR17" i="1" s="1"/>
  <c r="AD21" i="1"/>
  <c r="AR21" i="1" s="1"/>
  <c r="AD25" i="1"/>
  <c r="AR25" i="1" s="1"/>
  <c r="AD29" i="1"/>
  <c r="AR29" i="1" s="1"/>
  <c r="AD33" i="1"/>
  <c r="AR33" i="1" s="1"/>
  <c r="AD37" i="1"/>
  <c r="AR37" i="1" s="1"/>
  <c r="AD41" i="1"/>
  <c r="AR41" i="1" s="1"/>
  <c r="AD45" i="1"/>
  <c r="AR45" i="1" s="1"/>
  <c r="AD49" i="1"/>
  <c r="AR49" i="1" s="1"/>
  <c r="AD53" i="1"/>
  <c r="AR53" i="1" s="1"/>
  <c r="AD57" i="1"/>
  <c r="AR57" i="1" s="1"/>
  <c r="AD6" i="1"/>
  <c r="AR6" i="1" s="1"/>
  <c r="AD10" i="1"/>
  <c r="AR10" i="1" s="1"/>
  <c r="AD14" i="1"/>
  <c r="AR14" i="1" s="1"/>
  <c r="AD18" i="1"/>
  <c r="AR18" i="1" s="1"/>
  <c r="AD22" i="1"/>
  <c r="AR22" i="1" s="1"/>
  <c r="AD26" i="1"/>
  <c r="AR26" i="1" s="1"/>
  <c r="AD30" i="1"/>
  <c r="AR30" i="1" s="1"/>
  <c r="AD34" i="1"/>
  <c r="AR34" i="1" s="1"/>
  <c r="AD38" i="1"/>
  <c r="AR38" i="1" s="1"/>
  <c r="AD42" i="1"/>
  <c r="AR42" i="1" s="1"/>
  <c r="AD46" i="1"/>
  <c r="AR46" i="1" s="1"/>
  <c r="AD50" i="1"/>
  <c r="AR50" i="1" s="1"/>
  <c r="AD54" i="1"/>
  <c r="AR54" i="1" s="1"/>
  <c r="AD58" i="1"/>
  <c r="AR58" i="1" s="1"/>
  <c r="AD7" i="1"/>
  <c r="AR7" i="1" s="1"/>
  <c r="AD23" i="1"/>
  <c r="AR23" i="1" s="1"/>
  <c r="AD39" i="1"/>
  <c r="AR39" i="1" s="1"/>
  <c r="AD55" i="1"/>
  <c r="AR55" i="1" s="1"/>
  <c r="AD11" i="1"/>
  <c r="AR11" i="1" s="1"/>
  <c r="AD27" i="1"/>
  <c r="AR27" i="1" s="1"/>
  <c r="AD43" i="1"/>
  <c r="AR43" i="1" s="1"/>
  <c r="AD59" i="1"/>
  <c r="AR59" i="1" s="1"/>
  <c r="AD15" i="1"/>
  <c r="AR15" i="1" s="1"/>
  <c r="AD31" i="1"/>
  <c r="AR31" i="1" s="1"/>
  <c r="AD47" i="1"/>
  <c r="AR47" i="1" s="1"/>
  <c r="S7" i="1"/>
  <c r="AG7" i="1" s="1"/>
  <c r="S15" i="1"/>
  <c r="AG15" i="1" s="1"/>
  <c r="S23" i="1"/>
  <c r="AG23" i="1" s="1"/>
  <c r="S27" i="1"/>
  <c r="AG27" i="1" s="1"/>
  <c r="S35" i="1"/>
  <c r="S43" i="1"/>
  <c r="AG43" i="1" s="1"/>
  <c r="S51" i="1"/>
  <c r="AG51" i="1" s="1"/>
  <c r="S59" i="1"/>
  <c r="AG59" i="1" s="1"/>
  <c r="Y2" i="1"/>
  <c r="AM2" i="1" s="1"/>
  <c r="U56" i="1"/>
  <c r="AI56" i="1" s="1"/>
  <c r="U48" i="1"/>
  <c r="AI48" i="1" s="1"/>
  <c r="U40" i="1"/>
  <c r="AI40" i="1" s="1"/>
  <c r="U32" i="1"/>
  <c r="AI32" i="1" s="1"/>
  <c r="U28" i="1"/>
  <c r="AI28" i="1" s="1"/>
  <c r="U20" i="1"/>
  <c r="AI20" i="1" s="1"/>
  <c r="U12" i="1"/>
  <c r="AI12" i="1" s="1"/>
  <c r="U4" i="1"/>
  <c r="AI4" i="1" s="1"/>
  <c r="V54" i="1"/>
  <c r="AJ54" i="1" s="1"/>
  <c r="V46" i="1"/>
  <c r="AJ46" i="1" s="1"/>
  <c r="V38" i="1"/>
  <c r="AJ38" i="1" s="1"/>
  <c r="V30" i="1"/>
  <c r="AJ30" i="1" s="1"/>
  <c r="V26" i="1"/>
  <c r="AJ26" i="1" s="1"/>
  <c r="V14" i="1"/>
  <c r="AJ14" i="1" s="1"/>
  <c r="V6" i="1"/>
  <c r="AJ6" i="1" s="1"/>
  <c r="Y40" i="1"/>
  <c r="AM40" i="1" s="1"/>
  <c r="Y8" i="1"/>
  <c r="AM8" i="1" s="1"/>
  <c r="Z34" i="1"/>
  <c r="AN34" i="1" s="1"/>
  <c r="AC41" i="1"/>
  <c r="AQ41" i="1" s="1"/>
  <c r="AC6" i="1"/>
  <c r="AQ6" i="1" s="1"/>
  <c r="AC10" i="1"/>
  <c r="AQ10" i="1" s="1"/>
  <c r="AC14" i="1"/>
  <c r="AQ14" i="1" s="1"/>
  <c r="AC18" i="1"/>
  <c r="AQ18" i="1" s="1"/>
  <c r="AC22" i="1"/>
  <c r="AQ22" i="1" s="1"/>
  <c r="AC26" i="1"/>
  <c r="AQ26" i="1" s="1"/>
  <c r="AC30" i="1"/>
  <c r="AQ30" i="1" s="1"/>
  <c r="AC34" i="1"/>
  <c r="AQ34" i="1" s="1"/>
  <c r="AC38" i="1"/>
  <c r="AQ38" i="1" s="1"/>
  <c r="AC42" i="1"/>
  <c r="AQ42" i="1" s="1"/>
  <c r="AC46" i="1"/>
  <c r="AQ46" i="1" s="1"/>
  <c r="AC50" i="1"/>
  <c r="AQ50" i="1" s="1"/>
  <c r="AC54" i="1"/>
  <c r="AQ54" i="1" s="1"/>
  <c r="AC58" i="1"/>
  <c r="AQ58" i="1" s="1"/>
  <c r="AC3" i="1"/>
  <c r="AQ3" i="1" s="1"/>
  <c r="AC7" i="1"/>
  <c r="AQ7" i="1" s="1"/>
  <c r="AC11" i="1"/>
  <c r="AQ11" i="1" s="1"/>
  <c r="AC15" i="1"/>
  <c r="AQ15" i="1" s="1"/>
  <c r="AC19" i="1"/>
  <c r="AQ19" i="1" s="1"/>
  <c r="AC23" i="1"/>
  <c r="AQ23" i="1" s="1"/>
  <c r="AC27" i="1"/>
  <c r="AQ27" i="1" s="1"/>
  <c r="AC31" i="1"/>
  <c r="AQ31" i="1" s="1"/>
  <c r="AC35" i="1"/>
  <c r="AC39" i="1"/>
  <c r="AQ39" i="1" s="1"/>
  <c r="AC43" i="1"/>
  <c r="AQ43" i="1" s="1"/>
  <c r="AC47" i="1"/>
  <c r="AQ47" i="1" s="1"/>
  <c r="AC51" i="1"/>
  <c r="AQ51" i="1" s="1"/>
  <c r="AC55" i="1"/>
  <c r="AQ55" i="1" s="1"/>
  <c r="AC59" i="1"/>
  <c r="AQ59" i="1" s="1"/>
  <c r="AC4" i="1"/>
  <c r="AQ4" i="1" s="1"/>
  <c r="AC8" i="1"/>
  <c r="AQ8" i="1" s="1"/>
  <c r="AC12" i="1"/>
  <c r="AQ12" i="1" s="1"/>
  <c r="AC16" i="1"/>
  <c r="AQ16" i="1" s="1"/>
  <c r="AC20" i="1"/>
  <c r="AQ20" i="1" s="1"/>
  <c r="AC24" i="1"/>
  <c r="AQ24" i="1" s="1"/>
  <c r="AC28" i="1"/>
  <c r="AQ28" i="1" s="1"/>
  <c r="AC32" i="1"/>
  <c r="AQ32" i="1" s="1"/>
  <c r="AC36" i="1"/>
  <c r="AQ36" i="1" s="1"/>
  <c r="AC40" i="1"/>
  <c r="AQ40" i="1" s="1"/>
  <c r="AC44" i="1"/>
  <c r="AQ44" i="1" s="1"/>
  <c r="AC48" i="1"/>
  <c r="AQ48" i="1" s="1"/>
  <c r="AC52" i="1"/>
  <c r="AQ52" i="1" s="1"/>
  <c r="AC56" i="1"/>
  <c r="AQ56" i="1" s="1"/>
  <c r="AC60" i="1"/>
  <c r="AQ60" i="1" s="1"/>
  <c r="AC13" i="1"/>
  <c r="AQ13" i="1" s="1"/>
  <c r="AC29" i="1"/>
  <c r="AQ29" i="1" s="1"/>
  <c r="AC45" i="1"/>
  <c r="AQ45" i="1" s="1"/>
  <c r="AC17" i="1"/>
  <c r="AQ17" i="1" s="1"/>
  <c r="AC33" i="1"/>
  <c r="AQ33" i="1" s="1"/>
  <c r="AC49" i="1"/>
  <c r="AQ49" i="1" s="1"/>
  <c r="AC5" i="1"/>
  <c r="AQ5" i="1" s="1"/>
  <c r="AC21" i="1"/>
  <c r="AQ21" i="1" s="1"/>
  <c r="AC37" i="1"/>
  <c r="AQ37" i="1" s="1"/>
  <c r="AC53" i="1"/>
  <c r="AQ53" i="1" s="1"/>
  <c r="Y5" i="1"/>
  <c r="AM5" i="1" s="1"/>
  <c r="Y9" i="1"/>
  <c r="AM9" i="1" s="1"/>
  <c r="Y13" i="1"/>
  <c r="AM13" i="1" s="1"/>
  <c r="Y17" i="1"/>
  <c r="AM17" i="1" s="1"/>
  <c r="Y21" i="1"/>
  <c r="AM21" i="1" s="1"/>
  <c r="Y25" i="1"/>
  <c r="AM25" i="1" s="1"/>
  <c r="Y29" i="1"/>
  <c r="AM29" i="1" s="1"/>
  <c r="Y33" i="1"/>
  <c r="AM33" i="1" s="1"/>
  <c r="Y37" i="1"/>
  <c r="AM37" i="1" s="1"/>
  <c r="Y41" i="1"/>
  <c r="AM41" i="1" s="1"/>
  <c r="Y45" i="1"/>
  <c r="AM45" i="1" s="1"/>
  <c r="Y49" i="1"/>
  <c r="AM49" i="1" s="1"/>
  <c r="Y53" i="1"/>
  <c r="AM53" i="1" s="1"/>
  <c r="Y57" i="1"/>
  <c r="AM57" i="1" s="1"/>
  <c r="Y6" i="1"/>
  <c r="AM6" i="1" s="1"/>
  <c r="Y10" i="1"/>
  <c r="AM10" i="1" s="1"/>
  <c r="Y14" i="1"/>
  <c r="AM14" i="1" s="1"/>
  <c r="Y18" i="1"/>
  <c r="AM18" i="1" s="1"/>
  <c r="Y22" i="1"/>
  <c r="AM22" i="1" s="1"/>
  <c r="Y26" i="1"/>
  <c r="AM26" i="1" s="1"/>
  <c r="Y30" i="1"/>
  <c r="AM30" i="1" s="1"/>
  <c r="Y34" i="1"/>
  <c r="AM34" i="1" s="1"/>
  <c r="Y38" i="1"/>
  <c r="AM38" i="1" s="1"/>
  <c r="Y42" i="1"/>
  <c r="AM42" i="1" s="1"/>
  <c r="Y46" i="1"/>
  <c r="AM46" i="1" s="1"/>
  <c r="Y50" i="1"/>
  <c r="AM50" i="1" s="1"/>
  <c r="Y54" i="1"/>
  <c r="AM54" i="1" s="1"/>
  <c r="Y58" i="1"/>
  <c r="AM58" i="1" s="1"/>
  <c r="Y3" i="1"/>
  <c r="AM3" i="1" s="1"/>
  <c r="Y7" i="1"/>
  <c r="AM7" i="1" s="1"/>
  <c r="Y11" i="1"/>
  <c r="AM11" i="1" s="1"/>
  <c r="Y15" i="1"/>
  <c r="AM15" i="1" s="1"/>
  <c r="Y19" i="1"/>
  <c r="AM19" i="1" s="1"/>
  <c r="Y23" i="1"/>
  <c r="AM23" i="1" s="1"/>
  <c r="Y27" i="1"/>
  <c r="AM27" i="1" s="1"/>
  <c r="Y31" i="1"/>
  <c r="AM31" i="1" s="1"/>
  <c r="Y35" i="1"/>
  <c r="Y39" i="1"/>
  <c r="AM39" i="1" s="1"/>
  <c r="Y43" i="1"/>
  <c r="AM43" i="1" s="1"/>
  <c r="Y47" i="1"/>
  <c r="AM47" i="1" s="1"/>
  <c r="Y51" i="1"/>
  <c r="AM51" i="1" s="1"/>
  <c r="Y55" i="1"/>
  <c r="AM55" i="1" s="1"/>
  <c r="Y59" i="1"/>
  <c r="AM59" i="1" s="1"/>
  <c r="S4" i="1"/>
  <c r="AG4" i="1" s="1"/>
  <c r="S8" i="1"/>
  <c r="AG8" i="1" s="1"/>
  <c r="S12" i="1"/>
  <c r="AG12" i="1" s="1"/>
  <c r="S16" i="1"/>
  <c r="AG16" i="1" s="1"/>
  <c r="S20" i="1"/>
  <c r="AG20" i="1" s="1"/>
  <c r="S24" i="1"/>
  <c r="AG24" i="1" s="1"/>
  <c r="S28" i="1"/>
  <c r="AG28" i="1" s="1"/>
  <c r="S32" i="1"/>
  <c r="AG32" i="1" s="1"/>
  <c r="S36" i="1"/>
  <c r="AG36" i="1" s="1"/>
  <c r="S40" i="1"/>
  <c r="AG40" i="1" s="1"/>
  <c r="S44" i="1"/>
  <c r="AG44" i="1" s="1"/>
  <c r="S48" i="1"/>
  <c r="AG48" i="1" s="1"/>
  <c r="S52" i="1"/>
  <c r="AG52" i="1" s="1"/>
  <c r="S56" i="1"/>
  <c r="AG56" i="1" s="1"/>
  <c r="S60" i="1"/>
  <c r="AG60" i="1" s="1"/>
  <c r="AB2" i="1"/>
  <c r="AP2" i="1" s="1"/>
  <c r="X2" i="1"/>
  <c r="AL2" i="1" s="1"/>
  <c r="T2" i="1"/>
  <c r="AH2" i="1" s="1"/>
  <c r="T57" i="1"/>
  <c r="AH57" i="1" s="1"/>
  <c r="T53" i="1"/>
  <c r="AH53" i="1" s="1"/>
  <c r="T49" i="1"/>
  <c r="AH49" i="1" s="1"/>
  <c r="T45" i="1"/>
  <c r="AH45" i="1" s="1"/>
  <c r="T41" i="1"/>
  <c r="AH41" i="1" s="1"/>
  <c r="T37" i="1"/>
  <c r="AH37" i="1" s="1"/>
  <c r="T33" i="1"/>
  <c r="AH33" i="1" s="1"/>
  <c r="T29" i="1"/>
  <c r="AH29" i="1" s="1"/>
  <c r="T25" i="1"/>
  <c r="AH25" i="1" s="1"/>
  <c r="T21" i="1"/>
  <c r="AH21" i="1" s="1"/>
  <c r="T17" i="1"/>
  <c r="AH17" i="1" s="1"/>
  <c r="T13" i="1"/>
  <c r="AH13" i="1" s="1"/>
  <c r="T9" i="1"/>
  <c r="AH9" i="1" s="1"/>
  <c r="T5" i="1"/>
  <c r="AH5" i="1" s="1"/>
  <c r="U59" i="1"/>
  <c r="AI59" i="1" s="1"/>
  <c r="U55" i="1"/>
  <c r="AI55" i="1" s="1"/>
  <c r="U51" i="1"/>
  <c r="AI51" i="1" s="1"/>
  <c r="U47" i="1"/>
  <c r="AI47" i="1" s="1"/>
  <c r="U43" i="1"/>
  <c r="AI43" i="1" s="1"/>
  <c r="U39" i="1"/>
  <c r="AI39" i="1" s="1"/>
  <c r="U35" i="1"/>
  <c r="U31" i="1"/>
  <c r="AI31" i="1" s="1"/>
  <c r="U27" i="1"/>
  <c r="AI27" i="1" s="1"/>
  <c r="U23" i="1"/>
  <c r="AI23" i="1" s="1"/>
  <c r="U19" i="1"/>
  <c r="AI19" i="1" s="1"/>
  <c r="U15" i="1"/>
  <c r="AI15" i="1" s="1"/>
  <c r="U11" i="1"/>
  <c r="AI11" i="1" s="1"/>
  <c r="U7" i="1"/>
  <c r="AI7" i="1" s="1"/>
  <c r="U3" i="1"/>
  <c r="AI3" i="1" s="1"/>
  <c r="V57" i="1"/>
  <c r="AJ57" i="1" s="1"/>
  <c r="V53" i="1"/>
  <c r="AJ53" i="1" s="1"/>
  <c r="V49" i="1"/>
  <c r="AJ49" i="1" s="1"/>
  <c r="V45" i="1"/>
  <c r="AJ45" i="1" s="1"/>
  <c r="V41" i="1"/>
  <c r="AJ41" i="1" s="1"/>
  <c r="V37" i="1"/>
  <c r="AJ37" i="1" s="1"/>
  <c r="V33" i="1"/>
  <c r="AJ33" i="1" s="1"/>
  <c r="V29" i="1"/>
  <c r="AJ29" i="1" s="1"/>
  <c r="V25" i="1"/>
  <c r="AJ25" i="1" s="1"/>
  <c r="V21" i="1"/>
  <c r="AJ21" i="1" s="1"/>
  <c r="V17" i="1"/>
  <c r="AJ17" i="1" s="1"/>
  <c r="V13" i="1"/>
  <c r="AJ13" i="1" s="1"/>
  <c r="V9" i="1"/>
  <c r="AJ9" i="1" s="1"/>
  <c r="V5" i="1"/>
  <c r="AJ5" i="1" s="1"/>
  <c r="W59" i="1"/>
  <c r="AK59" i="1" s="1"/>
  <c r="W55" i="1"/>
  <c r="AK55" i="1" s="1"/>
  <c r="W48" i="1"/>
  <c r="AK48" i="1" s="1"/>
  <c r="W32" i="1"/>
  <c r="AK32" i="1" s="1"/>
  <c r="W16" i="1"/>
  <c r="AK16" i="1" s="1"/>
  <c r="X58" i="1"/>
  <c r="AL58" i="1" s="1"/>
  <c r="X42" i="1"/>
  <c r="AL42" i="1" s="1"/>
  <c r="X26" i="1"/>
  <c r="AL26" i="1" s="1"/>
  <c r="Y52" i="1"/>
  <c r="AM52" i="1" s="1"/>
  <c r="Y36" i="1"/>
  <c r="AM36" i="1" s="1"/>
  <c r="Y20" i="1"/>
  <c r="AM20" i="1" s="1"/>
  <c r="Y4" i="1"/>
  <c r="AM4" i="1" s="1"/>
  <c r="Z46" i="1"/>
  <c r="AN46" i="1" s="1"/>
  <c r="Z30" i="1"/>
  <c r="AN30" i="1" s="1"/>
  <c r="AA56" i="1"/>
  <c r="AO56" i="1" s="1"/>
  <c r="AA29" i="1"/>
  <c r="AO29" i="1" s="1"/>
  <c r="AB55" i="1"/>
  <c r="AP55" i="1" s="1"/>
  <c r="AC25" i="1"/>
  <c r="AQ25" i="1" s="1"/>
  <c r="AD19" i="1"/>
  <c r="AR19" i="1" s="1"/>
  <c r="Z3" i="1"/>
  <c r="AN3" i="1" s="1"/>
  <c r="Z7" i="1"/>
  <c r="AN7" i="1" s="1"/>
  <c r="Z11" i="1"/>
  <c r="AN11" i="1" s="1"/>
  <c r="Z15" i="1"/>
  <c r="AN15" i="1" s="1"/>
  <c r="Z19" i="1"/>
  <c r="AN19" i="1" s="1"/>
  <c r="Z23" i="1"/>
  <c r="AN23" i="1" s="1"/>
  <c r="Z27" i="1"/>
  <c r="AN27" i="1" s="1"/>
  <c r="Z31" i="1"/>
  <c r="AN31" i="1" s="1"/>
  <c r="Z35" i="1"/>
  <c r="Z39" i="1"/>
  <c r="AN39" i="1" s="1"/>
  <c r="Z43" i="1"/>
  <c r="AN43" i="1" s="1"/>
  <c r="Z47" i="1"/>
  <c r="AN47" i="1" s="1"/>
  <c r="Z51" i="1"/>
  <c r="AN51" i="1" s="1"/>
  <c r="Z55" i="1"/>
  <c r="AN55" i="1" s="1"/>
  <c r="Z59" i="1"/>
  <c r="AN59" i="1" s="1"/>
  <c r="Z4" i="1"/>
  <c r="AN4" i="1" s="1"/>
  <c r="Z8" i="1"/>
  <c r="AN8" i="1" s="1"/>
  <c r="Z12" i="1"/>
  <c r="AN12" i="1" s="1"/>
  <c r="Z16" i="1"/>
  <c r="AN16" i="1" s="1"/>
  <c r="Z20" i="1"/>
  <c r="AN20" i="1" s="1"/>
  <c r="Z24" i="1"/>
  <c r="AN24" i="1" s="1"/>
  <c r="Z28" i="1"/>
  <c r="AN28" i="1" s="1"/>
  <c r="Z32" i="1"/>
  <c r="AN32" i="1" s="1"/>
  <c r="Z36" i="1"/>
  <c r="AN36" i="1" s="1"/>
  <c r="Z40" i="1"/>
  <c r="AN40" i="1" s="1"/>
  <c r="Z44" i="1"/>
  <c r="AN44" i="1" s="1"/>
  <c r="Z48" i="1"/>
  <c r="AN48" i="1" s="1"/>
  <c r="Z52" i="1"/>
  <c r="AN52" i="1" s="1"/>
  <c r="Z56" i="1"/>
  <c r="AN56" i="1" s="1"/>
  <c r="Z60" i="1"/>
  <c r="AN60" i="1" s="1"/>
  <c r="Z5" i="1"/>
  <c r="AN5" i="1" s="1"/>
  <c r="Z9" i="1"/>
  <c r="AN9" i="1" s="1"/>
  <c r="Z13" i="1"/>
  <c r="AN13" i="1" s="1"/>
  <c r="Z17" i="1"/>
  <c r="AN17" i="1" s="1"/>
  <c r="Z21" i="1"/>
  <c r="AN21" i="1" s="1"/>
  <c r="Z25" i="1"/>
  <c r="AN25" i="1" s="1"/>
  <c r="Z29" i="1"/>
  <c r="AN29" i="1" s="1"/>
  <c r="Z33" i="1"/>
  <c r="AN33" i="1" s="1"/>
  <c r="Z37" i="1"/>
  <c r="AN37" i="1" s="1"/>
  <c r="Z41" i="1"/>
  <c r="AN41" i="1" s="1"/>
  <c r="Z45" i="1"/>
  <c r="AN45" i="1" s="1"/>
  <c r="Z49" i="1"/>
  <c r="AN49" i="1" s="1"/>
  <c r="Z53" i="1"/>
  <c r="AN53" i="1" s="1"/>
  <c r="Z57" i="1"/>
  <c r="AN57" i="1" s="1"/>
  <c r="S3" i="1"/>
  <c r="AG3" i="1" s="1"/>
  <c r="S11" i="1"/>
  <c r="AG11" i="1" s="1"/>
  <c r="S19" i="1"/>
  <c r="AG19" i="1" s="1"/>
  <c r="S31" i="1"/>
  <c r="AG31" i="1" s="1"/>
  <c r="S39" i="1"/>
  <c r="AG39" i="1" s="1"/>
  <c r="S47" i="1"/>
  <c r="AG47" i="1" s="1"/>
  <c r="S55" i="1"/>
  <c r="AG55" i="1" s="1"/>
  <c r="U2" i="1"/>
  <c r="AI2" i="1" s="1"/>
  <c r="U60" i="1"/>
  <c r="AI60" i="1" s="1"/>
  <c r="U52" i="1"/>
  <c r="AI52" i="1" s="1"/>
  <c r="U44" i="1"/>
  <c r="AI44" i="1" s="1"/>
  <c r="U36" i="1"/>
  <c r="AI36" i="1" s="1"/>
  <c r="U24" i="1"/>
  <c r="AI24" i="1" s="1"/>
  <c r="U16" i="1"/>
  <c r="AI16" i="1" s="1"/>
  <c r="V58" i="1"/>
  <c r="AJ58" i="1" s="1"/>
  <c r="V50" i="1"/>
  <c r="AJ50" i="1" s="1"/>
  <c r="V42" i="1"/>
  <c r="AJ42" i="1" s="1"/>
  <c r="V34" i="1"/>
  <c r="AJ34" i="1" s="1"/>
  <c r="V22" i="1"/>
  <c r="AJ22" i="1" s="1"/>
  <c r="V18" i="1"/>
  <c r="AJ18" i="1" s="1"/>
  <c r="V10" i="1"/>
  <c r="AJ10" i="1" s="1"/>
  <c r="Y56" i="1"/>
  <c r="AM56" i="1" s="1"/>
  <c r="Z50" i="1"/>
  <c r="AN50" i="1" s="1"/>
  <c r="Z18" i="1"/>
  <c r="AN18" i="1" s="1"/>
  <c r="AD35" i="1"/>
  <c r="AF5" i="1"/>
  <c r="AT5" i="1" s="1"/>
  <c r="AF9" i="1"/>
  <c r="AT9" i="1" s="1"/>
  <c r="AF13" i="1"/>
  <c r="AT13" i="1" s="1"/>
  <c r="AF17" i="1"/>
  <c r="AT17" i="1" s="1"/>
  <c r="AF21" i="1"/>
  <c r="AT21" i="1" s="1"/>
  <c r="AF25" i="1"/>
  <c r="AT25" i="1" s="1"/>
  <c r="AF29" i="1"/>
  <c r="AT29" i="1" s="1"/>
  <c r="AF33" i="1"/>
  <c r="AT33" i="1" s="1"/>
  <c r="AF37" i="1"/>
  <c r="AT37" i="1" s="1"/>
  <c r="AF41" i="1"/>
  <c r="AT41" i="1" s="1"/>
  <c r="AF45" i="1"/>
  <c r="AT45" i="1" s="1"/>
  <c r="AF49" i="1"/>
  <c r="AT49" i="1" s="1"/>
  <c r="AF53" i="1"/>
  <c r="AT53" i="1" s="1"/>
  <c r="AF57" i="1"/>
  <c r="AT57" i="1" s="1"/>
  <c r="AF6" i="1"/>
  <c r="AT6" i="1" s="1"/>
  <c r="AF10" i="1"/>
  <c r="AT10" i="1" s="1"/>
  <c r="AF14" i="1"/>
  <c r="AT14" i="1" s="1"/>
  <c r="AF18" i="1"/>
  <c r="AT18" i="1" s="1"/>
  <c r="AF22" i="1"/>
  <c r="AT22" i="1" s="1"/>
  <c r="AF26" i="1"/>
  <c r="AT26" i="1" s="1"/>
  <c r="AF30" i="1"/>
  <c r="AT30" i="1" s="1"/>
  <c r="AF34" i="1"/>
  <c r="AT34" i="1" s="1"/>
  <c r="AF38" i="1"/>
  <c r="AT38" i="1" s="1"/>
  <c r="AF42" i="1"/>
  <c r="AT42" i="1" s="1"/>
  <c r="AF46" i="1"/>
  <c r="AT46" i="1" s="1"/>
  <c r="AF50" i="1"/>
  <c r="AT50" i="1" s="1"/>
  <c r="AF54" i="1"/>
  <c r="AT54" i="1" s="1"/>
  <c r="AF58" i="1"/>
  <c r="AT58" i="1" s="1"/>
  <c r="AF3" i="1"/>
  <c r="AT3" i="1" s="1"/>
  <c r="AF7" i="1"/>
  <c r="AT7" i="1" s="1"/>
  <c r="AF11" i="1"/>
  <c r="AT11" i="1" s="1"/>
  <c r="AF15" i="1"/>
  <c r="AT15" i="1" s="1"/>
  <c r="AF19" i="1"/>
  <c r="AT19" i="1" s="1"/>
  <c r="AF23" i="1"/>
  <c r="AT23" i="1" s="1"/>
  <c r="AF27" i="1"/>
  <c r="AT27" i="1" s="1"/>
  <c r="AF31" i="1"/>
  <c r="AT31" i="1" s="1"/>
  <c r="AF35" i="1"/>
  <c r="AF39" i="1"/>
  <c r="AT39" i="1" s="1"/>
  <c r="AF43" i="1"/>
  <c r="AT43" i="1" s="1"/>
  <c r="AF47" i="1"/>
  <c r="AT47" i="1" s="1"/>
  <c r="AF51" i="1"/>
  <c r="AT51" i="1" s="1"/>
  <c r="AF55" i="1"/>
  <c r="AT55" i="1" s="1"/>
  <c r="AF59" i="1"/>
  <c r="AT59" i="1" s="1"/>
  <c r="AF12" i="1"/>
  <c r="AT12" i="1" s="1"/>
  <c r="AF28" i="1"/>
  <c r="AT28" i="1" s="1"/>
  <c r="AF44" i="1"/>
  <c r="AT44" i="1" s="1"/>
  <c r="AF60" i="1"/>
  <c r="AT60" i="1" s="1"/>
  <c r="AF16" i="1"/>
  <c r="AT16" i="1" s="1"/>
  <c r="AF32" i="1"/>
  <c r="AT32" i="1" s="1"/>
  <c r="AF48" i="1"/>
  <c r="AT48" i="1" s="1"/>
  <c r="AF4" i="1"/>
  <c r="AT4" i="1" s="1"/>
  <c r="AF20" i="1"/>
  <c r="AT20" i="1" s="1"/>
  <c r="AF36" i="1"/>
  <c r="AT36" i="1" s="1"/>
  <c r="AF52" i="1"/>
  <c r="AT52" i="1" s="1"/>
  <c r="AB4" i="1"/>
  <c r="AP4" i="1" s="1"/>
  <c r="AB8" i="1"/>
  <c r="AP8" i="1" s="1"/>
  <c r="AB12" i="1"/>
  <c r="AP12" i="1" s="1"/>
  <c r="AB5" i="1"/>
  <c r="AP5" i="1" s="1"/>
  <c r="AB9" i="1"/>
  <c r="AP9" i="1" s="1"/>
  <c r="AB13" i="1"/>
  <c r="AP13" i="1" s="1"/>
  <c r="AB17" i="1"/>
  <c r="AP17" i="1" s="1"/>
  <c r="AB21" i="1"/>
  <c r="AP21" i="1" s="1"/>
  <c r="AB25" i="1"/>
  <c r="AP25" i="1" s="1"/>
  <c r="AB29" i="1"/>
  <c r="AP29" i="1" s="1"/>
  <c r="AB33" i="1"/>
  <c r="AP33" i="1" s="1"/>
  <c r="AB37" i="1"/>
  <c r="AP37" i="1" s="1"/>
  <c r="AB41" i="1"/>
  <c r="AP41" i="1" s="1"/>
  <c r="AB45" i="1"/>
  <c r="AP45" i="1" s="1"/>
  <c r="AB49" i="1"/>
  <c r="AP49" i="1" s="1"/>
  <c r="AB53" i="1"/>
  <c r="AP53" i="1" s="1"/>
  <c r="AB57" i="1"/>
  <c r="AP57" i="1" s="1"/>
  <c r="AB6" i="1"/>
  <c r="AP6" i="1" s="1"/>
  <c r="AB10" i="1"/>
  <c r="AP10" i="1" s="1"/>
  <c r="AB14" i="1"/>
  <c r="AP14" i="1" s="1"/>
  <c r="AB18" i="1"/>
  <c r="AP18" i="1" s="1"/>
  <c r="AB22" i="1"/>
  <c r="AP22" i="1" s="1"/>
  <c r="AB26" i="1"/>
  <c r="AP26" i="1" s="1"/>
  <c r="AB30" i="1"/>
  <c r="AP30" i="1" s="1"/>
  <c r="AB34" i="1"/>
  <c r="AP34" i="1" s="1"/>
  <c r="AB38" i="1"/>
  <c r="AP38" i="1" s="1"/>
  <c r="AB42" i="1"/>
  <c r="AP42" i="1" s="1"/>
  <c r="AB46" i="1"/>
  <c r="AP46" i="1" s="1"/>
  <c r="AB50" i="1"/>
  <c r="AP50" i="1" s="1"/>
  <c r="AB54" i="1"/>
  <c r="AP54" i="1" s="1"/>
  <c r="AB58" i="1"/>
  <c r="AP58" i="1" s="1"/>
  <c r="AB3" i="1"/>
  <c r="AP3" i="1" s="1"/>
  <c r="AB16" i="1"/>
  <c r="AP16" i="1" s="1"/>
  <c r="AB24" i="1"/>
  <c r="AP24" i="1" s="1"/>
  <c r="AB32" i="1"/>
  <c r="AP32" i="1" s="1"/>
  <c r="AB40" i="1"/>
  <c r="AP40" i="1" s="1"/>
  <c r="AB48" i="1"/>
  <c r="AP48" i="1" s="1"/>
  <c r="AB56" i="1"/>
  <c r="AP56" i="1" s="1"/>
  <c r="AB7" i="1"/>
  <c r="AP7" i="1" s="1"/>
  <c r="AB19" i="1"/>
  <c r="AP19" i="1" s="1"/>
  <c r="AB27" i="1"/>
  <c r="AP27" i="1" s="1"/>
  <c r="AB35" i="1"/>
  <c r="AB43" i="1"/>
  <c r="AP43" i="1" s="1"/>
  <c r="AB51" i="1"/>
  <c r="AP51" i="1" s="1"/>
  <c r="AB59" i="1"/>
  <c r="AP59" i="1" s="1"/>
  <c r="AB11" i="1"/>
  <c r="AP11" i="1" s="1"/>
  <c r="AB20" i="1"/>
  <c r="AP20" i="1" s="1"/>
  <c r="AB28" i="1"/>
  <c r="AP28" i="1" s="1"/>
  <c r="AB36" i="1"/>
  <c r="AP36" i="1" s="1"/>
  <c r="AB44" i="1"/>
  <c r="AP44" i="1" s="1"/>
  <c r="AB52" i="1"/>
  <c r="AP52" i="1" s="1"/>
  <c r="AB60" i="1"/>
  <c r="AP60" i="1" s="1"/>
  <c r="X3" i="1"/>
  <c r="AL3" i="1" s="1"/>
  <c r="X7" i="1"/>
  <c r="AL7" i="1" s="1"/>
  <c r="X11" i="1"/>
  <c r="AL11" i="1" s="1"/>
  <c r="X15" i="1"/>
  <c r="AL15" i="1" s="1"/>
  <c r="X19" i="1"/>
  <c r="AL19" i="1" s="1"/>
  <c r="X23" i="1"/>
  <c r="AL23" i="1" s="1"/>
  <c r="X27" i="1"/>
  <c r="AL27" i="1" s="1"/>
  <c r="X31" i="1"/>
  <c r="AL31" i="1" s="1"/>
  <c r="X35" i="1"/>
  <c r="X39" i="1"/>
  <c r="AL39" i="1" s="1"/>
  <c r="X43" i="1"/>
  <c r="AL43" i="1" s="1"/>
  <c r="X47" i="1"/>
  <c r="AL47" i="1" s="1"/>
  <c r="X51" i="1"/>
  <c r="AL51" i="1" s="1"/>
  <c r="X55" i="1"/>
  <c r="AL55" i="1" s="1"/>
  <c r="X59" i="1"/>
  <c r="AL59" i="1" s="1"/>
  <c r="X4" i="1"/>
  <c r="AL4" i="1" s="1"/>
  <c r="X8" i="1"/>
  <c r="AL8" i="1" s="1"/>
  <c r="X12" i="1"/>
  <c r="AL12" i="1" s="1"/>
  <c r="X16" i="1"/>
  <c r="AL16" i="1" s="1"/>
  <c r="X20" i="1"/>
  <c r="AL20" i="1" s="1"/>
  <c r="X24" i="1"/>
  <c r="AL24" i="1" s="1"/>
  <c r="X28" i="1"/>
  <c r="AL28" i="1" s="1"/>
  <c r="X32" i="1"/>
  <c r="AL32" i="1" s="1"/>
  <c r="X36" i="1"/>
  <c r="AL36" i="1" s="1"/>
  <c r="X40" i="1"/>
  <c r="AL40" i="1" s="1"/>
  <c r="X44" i="1"/>
  <c r="AL44" i="1" s="1"/>
  <c r="X48" i="1"/>
  <c r="AL48" i="1" s="1"/>
  <c r="X52" i="1"/>
  <c r="AL52" i="1" s="1"/>
  <c r="X56" i="1"/>
  <c r="AL56" i="1" s="1"/>
  <c r="X60" i="1"/>
  <c r="AL60" i="1" s="1"/>
  <c r="X5" i="1"/>
  <c r="AL5" i="1" s="1"/>
  <c r="X9" i="1"/>
  <c r="AL9" i="1" s="1"/>
  <c r="X13" i="1"/>
  <c r="AL13" i="1" s="1"/>
  <c r="X17" i="1"/>
  <c r="AL17" i="1" s="1"/>
  <c r="X21" i="1"/>
  <c r="AL21" i="1" s="1"/>
  <c r="X25" i="1"/>
  <c r="AL25" i="1" s="1"/>
  <c r="X29" i="1"/>
  <c r="AL29" i="1" s="1"/>
  <c r="X33" i="1"/>
  <c r="AL33" i="1" s="1"/>
  <c r="X37" i="1"/>
  <c r="AL37" i="1" s="1"/>
  <c r="X41" i="1"/>
  <c r="AL41" i="1" s="1"/>
  <c r="X45" i="1"/>
  <c r="AL45" i="1" s="1"/>
  <c r="X49" i="1"/>
  <c r="AL49" i="1" s="1"/>
  <c r="X53" i="1"/>
  <c r="AL53" i="1" s="1"/>
  <c r="X57" i="1"/>
  <c r="AL57" i="1" s="1"/>
  <c r="S5" i="1"/>
  <c r="AG5" i="1" s="1"/>
  <c r="S9" i="1"/>
  <c r="AG9" i="1" s="1"/>
  <c r="S13" i="1"/>
  <c r="AG13" i="1" s="1"/>
  <c r="S17" i="1"/>
  <c r="AG17" i="1" s="1"/>
  <c r="S21" i="1"/>
  <c r="AG21" i="1" s="1"/>
  <c r="S25" i="1"/>
  <c r="AG25" i="1" s="1"/>
  <c r="S29" i="1"/>
  <c r="AG29" i="1" s="1"/>
  <c r="S33" i="1"/>
  <c r="AG33" i="1" s="1"/>
  <c r="S37" i="1"/>
  <c r="AG37" i="1" s="1"/>
  <c r="S41" i="1"/>
  <c r="AG41" i="1" s="1"/>
  <c r="S45" i="1"/>
  <c r="AG45" i="1" s="1"/>
  <c r="S49" i="1"/>
  <c r="AG49" i="1" s="1"/>
  <c r="S53" i="1"/>
  <c r="AG53" i="1" s="1"/>
  <c r="S57" i="1"/>
  <c r="AG57" i="1" s="1"/>
  <c r="AF2" i="1"/>
  <c r="AT2" i="1" s="1"/>
  <c r="AA2" i="1"/>
  <c r="AO2" i="1" s="1"/>
  <c r="W2" i="1"/>
  <c r="AK2" i="1" s="1"/>
  <c r="T60" i="1"/>
  <c r="AH60" i="1" s="1"/>
  <c r="T56" i="1"/>
  <c r="AH56" i="1" s="1"/>
  <c r="T52" i="1"/>
  <c r="AH52" i="1" s="1"/>
  <c r="T48" i="1"/>
  <c r="AH48" i="1" s="1"/>
  <c r="T44" i="1"/>
  <c r="AH44" i="1" s="1"/>
  <c r="T40" i="1"/>
  <c r="AH40" i="1" s="1"/>
  <c r="T36" i="1"/>
  <c r="AH36" i="1" s="1"/>
  <c r="T32" i="1"/>
  <c r="AH32" i="1" s="1"/>
  <c r="T28" i="1"/>
  <c r="AH28" i="1" s="1"/>
  <c r="T24" i="1"/>
  <c r="AH24" i="1" s="1"/>
  <c r="T20" i="1"/>
  <c r="AH20" i="1" s="1"/>
  <c r="T16" i="1"/>
  <c r="AH16" i="1" s="1"/>
  <c r="T12" i="1"/>
  <c r="AH12" i="1" s="1"/>
  <c r="T8" i="1"/>
  <c r="AH8" i="1" s="1"/>
  <c r="T4" i="1"/>
  <c r="AH4" i="1" s="1"/>
  <c r="U58" i="1"/>
  <c r="AI58" i="1" s="1"/>
  <c r="U54" i="1"/>
  <c r="AI54" i="1" s="1"/>
  <c r="U50" i="1"/>
  <c r="AI50" i="1" s="1"/>
  <c r="U46" i="1"/>
  <c r="AI46" i="1" s="1"/>
  <c r="U42" i="1"/>
  <c r="AI42" i="1" s="1"/>
  <c r="U38" i="1"/>
  <c r="AI38" i="1" s="1"/>
  <c r="U34" i="1"/>
  <c r="AI34" i="1" s="1"/>
  <c r="U30" i="1"/>
  <c r="AI30" i="1" s="1"/>
  <c r="U26" i="1"/>
  <c r="AI26" i="1" s="1"/>
  <c r="U22" i="1"/>
  <c r="AI22" i="1" s="1"/>
  <c r="U18" i="1"/>
  <c r="AI18" i="1" s="1"/>
  <c r="U14" i="1"/>
  <c r="AI14" i="1" s="1"/>
  <c r="U10" i="1"/>
  <c r="AI10" i="1" s="1"/>
  <c r="U6" i="1"/>
  <c r="AI6" i="1" s="1"/>
  <c r="V60" i="1"/>
  <c r="AJ60" i="1" s="1"/>
  <c r="V56" i="1"/>
  <c r="AJ56" i="1" s="1"/>
  <c r="V52" i="1"/>
  <c r="AJ52" i="1" s="1"/>
  <c r="V48" i="1"/>
  <c r="AJ48" i="1" s="1"/>
  <c r="V44" i="1"/>
  <c r="AJ44" i="1" s="1"/>
  <c r="V40" i="1"/>
  <c r="AJ40" i="1" s="1"/>
  <c r="V36" i="1"/>
  <c r="AJ36" i="1" s="1"/>
  <c r="V32" i="1"/>
  <c r="AJ32" i="1" s="1"/>
  <c r="V28" i="1"/>
  <c r="AJ28" i="1" s="1"/>
  <c r="V24" i="1"/>
  <c r="AJ24" i="1" s="1"/>
  <c r="V20" i="1"/>
  <c r="AJ20" i="1" s="1"/>
  <c r="V16" i="1"/>
  <c r="AJ16" i="1" s="1"/>
  <c r="V12" i="1"/>
  <c r="AJ12" i="1" s="1"/>
  <c r="V8" i="1"/>
  <c r="AJ8" i="1" s="1"/>
  <c r="V4" i="1"/>
  <c r="AJ4" i="1" s="1"/>
  <c r="W58" i="1"/>
  <c r="AK58" i="1" s="1"/>
  <c r="W54" i="1"/>
  <c r="AK54" i="1" s="1"/>
  <c r="W44" i="1"/>
  <c r="AK44" i="1" s="1"/>
  <c r="W28" i="1"/>
  <c r="AK28" i="1" s="1"/>
  <c r="X54" i="1"/>
  <c r="AL54" i="1" s="1"/>
  <c r="X38" i="1"/>
  <c r="AL38" i="1" s="1"/>
  <c r="X22" i="1"/>
  <c r="AL22" i="1" s="1"/>
  <c r="X6" i="1"/>
  <c r="AL6" i="1" s="1"/>
  <c r="Y48" i="1"/>
  <c r="AM48" i="1" s="1"/>
  <c r="Y32" i="1"/>
  <c r="AM32" i="1" s="1"/>
  <c r="Y16" i="1"/>
  <c r="AM16" i="1" s="1"/>
  <c r="Z58" i="1"/>
  <c r="AN58" i="1" s="1"/>
  <c r="Z42" i="1"/>
  <c r="AN42" i="1" s="1"/>
  <c r="Z26" i="1"/>
  <c r="AN26" i="1" s="1"/>
  <c r="Z10" i="1"/>
  <c r="AN10" i="1" s="1"/>
  <c r="AA52" i="1"/>
  <c r="AO52" i="1" s="1"/>
  <c r="AB47" i="1"/>
  <c r="AP47" i="1" s="1"/>
  <c r="AB15" i="1"/>
  <c r="AP15" i="1" s="1"/>
  <c r="AC9" i="1"/>
  <c r="AQ9" i="1" s="1"/>
  <c r="AD3" i="1"/>
  <c r="AR3" i="1" s="1"/>
  <c r="AF56" i="1"/>
  <c r="AT56" i="1" s="1"/>
  <c r="AE2" i="1"/>
  <c r="AS2" i="1" s="1"/>
  <c r="AE6" i="1"/>
  <c r="AS6" i="1" s="1"/>
  <c r="AE10" i="1"/>
  <c r="AS10" i="1" s="1"/>
  <c r="AE14" i="1"/>
  <c r="AS14" i="1" s="1"/>
  <c r="AE18" i="1"/>
  <c r="AS18" i="1" s="1"/>
  <c r="AE22" i="1"/>
  <c r="AS22" i="1" s="1"/>
  <c r="AE26" i="1"/>
  <c r="AS26" i="1" s="1"/>
  <c r="AE30" i="1"/>
  <c r="AS30" i="1" s="1"/>
  <c r="AE34" i="1"/>
  <c r="AS34" i="1" s="1"/>
  <c r="AE38" i="1"/>
  <c r="AS38" i="1" s="1"/>
  <c r="AE42" i="1"/>
  <c r="AS42" i="1" s="1"/>
  <c r="AE46" i="1"/>
  <c r="AS46" i="1" s="1"/>
  <c r="AE50" i="1"/>
  <c r="AS50" i="1" s="1"/>
  <c r="AE54" i="1"/>
  <c r="AS54" i="1" s="1"/>
  <c r="AE58" i="1"/>
  <c r="AS58" i="1" s="1"/>
  <c r="AE3" i="1"/>
  <c r="AS3" i="1" s="1"/>
  <c r="AE7" i="1"/>
  <c r="AS7" i="1" s="1"/>
  <c r="AE11" i="1"/>
  <c r="AS11" i="1" s="1"/>
  <c r="AE15" i="1"/>
  <c r="AS15" i="1" s="1"/>
  <c r="AE19" i="1"/>
  <c r="AS19" i="1" s="1"/>
  <c r="AE23" i="1"/>
  <c r="AS23" i="1" s="1"/>
  <c r="AE27" i="1"/>
  <c r="AS27" i="1" s="1"/>
  <c r="AE31" i="1"/>
  <c r="AS31" i="1" s="1"/>
  <c r="AE35" i="1"/>
  <c r="AE39" i="1"/>
  <c r="AS39" i="1" s="1"/>
  <c r="AE43" i="1"/>
  <c r="AS43" i="1" s="1"/>
  <c r="AE47" i="1"/>
  <c r="AS47" i="1" s="1"/>
  <c r="AE51" i="1"/>
  <c r="AS51" i="1" s="1"/>
  <c r="AE55" i="1"/>
  <c r="AS55" i="1" s="1"/>
  <c r="AE59" i="1"/>
  <c r="AS59" i="1" s="1"/>
  <c r="AE4" i="1"/>
  <c r="AS4" i="1" s="1"/>
  <c r="AE8" i="1"/>
  <c r="AS8" i="1" s="1"/>
  <c r="AE12" i="1"/>
  <c r="AS12" i="1" s="1"/>
  <c r="AE16" i="1"/>
  <c r="AS16" i="1" s="1"/>
  <c r="AE20" i="1"/>
  <c r="AS20" i="1" s="1"/>
  <c r="AE24" i="1"/>
  <c r="AS24" i="1" s="1"/>
  <c r="AE28" i="1"/>
  <c r="AS28" i="1" s="1"/>
  <c r="AE32" i="1"/>
  <c r="AS32" i="1" s="1"/>
  <c r="AE36" i="1"/>
  <c r="AS36" i="1" s="1"/>
  <c r="AE40" i="1"/>
  <c r="AS40" i="1" s="1"/>
  <c r="AE44" i="1"/>
  <c r="AS44" i="1" s="1"/>
  <c r="AE48" i="1"/>
  <c r="AS48" i="1" s="1"/>
  <c r="AE52" i="1"/>
  <c r="AS52" i="1" s="1"/>
  <c r="AE56" i="1"/>
  <c r="AS56" i="1" s="1"/>
  <c r="AE60" i="1"/>
  <c r="AS60" i="1" s="1"/>
  <c r="AE17" i="1"/>
  <c r="AS17" i="1" s="1"/>
  <c r="AE33" i="1"/>
  <c r="AS33" i="1" s="1"/>
  <c r="AE49" i="1"/>
  <c r="AS49" i="1" s="1"/>
  <c r="AE5" i="1"/>
  <c r="AS5" i="1" s="1"/>
  <c r="AE21" i="1"/>
  <c r="AS21" i="1" s="1"/>
  <c r="AE37" i="1"/>
  <c r="AS37" i="1" s="1"/>
  <c r="AE53" i="1"/>
  <c r="AS53" i="1" s="1"/>
  <c r="AE9" i="1"/>
  <c r="AS9" i="1" s="1"/>
  <c r="AE25" i="1"/>
  <c r="AS25" i="1" s="1"/>
  <c r="AE41" i="1"/>
  <c r="AS41" i="1" s="1"/>
  <c r="AE57" i="1"/>
  <c r="AS57" i="1" s="1"/>
  <c r="AA3" i="1"/>
  <c r="AO3" i="1" s="1"/>
  <c r="AA7" i="1"/>
  <c r="AO7" i="1" s="1"/>
  <c r="AA11" i="1"/>
  <c r="AO11" i="1" s="1"/>
  <c r="AA15" i="1"/>
  <c r="AO15" i="1" s="1"/>
  <c r="AA19" i="1"/>
  <c r="AO19" i="1" s="1"/>
  <c r="AA23" i="1"/>
  <c r="AO23" i="1" s="1"/>
  <c r="AA27" i="1"/>
  <c r="AO27" i="1" s="1"/>
  <c r="AA31" i="1"/>
  <c r="AO31" i="1" s="1"/>
  <c r="AA35" i="1"/>
  <c r="AA39" i="1"/>
  <c r="AO39" i="1" s="1"/>
  <c r="AA43" i="1"/>
  <c r="AO43" i="1" s="1"/>
  <c r="AA47" i="1"/>
  <c r="AO47" i="1" s="1"/>
  <c r="AA51" i="1"/>
  <c r="AO51" i="1" s="1"/>
  <c r="AA4" i="1"/>
  <c r="AO4" i="1" s="1"/>
  <c r="AA8" i="1"/>
  <c r="AO8" i="1" s="1"/>
  <c r="AA12" i="1"/>
  <c r="AO12" i="1" s="1"/>
  <c r="AA16" i="1"/>
  <c r="AO16" i="1" s="1"/>
  <c r="AA20" i="1"/>
  <c r="AO20" i="1" s="1"/>
  <c r="AA24" i="1"/>
  <c r="AO24" i="1" s="1"/>
  <c r="AA28" i="1"/>
  <c r="AO28" i="1" s="1"/>
  <c r="AA32" i="1"/>
  <c r="AO32" i="1" s="1"/>
  <c r="AA36" i="1"/>
  <c r="AO36" i="1" s="1"/>
  <c r="AA40" i="1"/>
  <c r="AO40" i="1" s="1"/>
  <c r="AA44" i="1"/>
  <c r="AO44" i="1" s="1"/>
  <c r="AA48" i="1"/>
  <c r="AO48" i="1" s="1"/>
  <c r="AA6" i="1"/>
  <c r="AO6" i="1" s="1"/>
  <c r="AA14" i="1"/>
  <c r="AO14" i="1" s="1"/>
  <c r="AA22" i="1"/>
  <c r="AO22" i="1" s="1"/>
  <c r="AA30" i="1"/>
  <c r="AO30" i="1" s="1"/>
  <c r="AA38" i="1"/>
  <c r="AO38" i="1" s="1"/>
  <c r="AA46" i="1"/>
  <c r="AO46" i="1" s="1"/>
  <c r="AA53" i="1"/>
  <c r="AO53" i="1" s="1"/>
  <c r="AA57" i="1"/>
  <c r="AO57" i="1" s="1"/>
  <c r="AA9" i="1"/>
  <c r="AO9" i="1" s="1"/>
  <c r="AA17" i="1"/>
  <c r="AO17" i="1" s="1"/>
  <c r="AA25" i="1"/>
  <c r="AO25" i="1" s="1"/>
  <c r="AA33" i="1"/>
  <c r="AO33" i="1" s="1"/>
  <c r="AA41" i="1"/>
  <c r="AO41" i="1" s="1"/>
  <c r="AA49" i="1"/>
  <c r="AO49" i="1" s="1"/>
  <c r="AA54" i="1"/>
  <c r="AO54" i="1" s="1"/>
  <c r="AA58" i="1"/>
  <c r="AO58" i="1" s="1"/>
  <c r="AA10" i="1"/>
  <c r="AO10" i="1" s="1"/>
  <c r="AA18" i="1"/>
  <c r="AO18" i="1" s="1"/>
  <c r="AA26" i="1"/>
  <c r="AO26" i="1" s="1"/>
  <c r="AA34" i="1"/>
  <c r="AO34" i="1" s="1"/>
  <c r="AA42" i="1"/>
  <c r="AO42" i="1" s="1"/>
  <c r="AA50" i="1"/>
  <c r="AO50" i="1" s="1"/>
  <c r="AA55" i="1"/>
  <c r="AO55" i="1" s="1"/>
  <c r="AA59" i="1"/>
  <c r="AO59" i="1" s="1"/>
  <c r="W5" i="1"/>
  <c r="AK5" i="1" s="1"/>
  <c r="W9" i="1"/>
  <c r="AK9" i="1" s="1"/>
  <c r="W13" i="1"/>
  <c r="AK13" i="1" s="1"/>
  <c r="W17" i="1"/>
  <c r="AK17" i="1" s="1"/>
  <c r="W21" i="1"/>
  <c r="AK21" i="1" s="1"/>
  <c r="W25" i="1"/>
  <c r="AK25" i="1" s="1"/>
  <c r="W29" i="1"/>
  <c r="AK29" i="1" s="1"/>
  <c r="W33" i="1"/>
  <c r="AK33" i="1" s="1"/>
  <c r="W37" i="1"/>
  <c r="AK37" i="1" s="1"/>
  <c r="W41" i="1"/>
  <c r="AK41" i="1" s="1"/>
  <c r="W45" i="1"/>
  <c r="AK45" i="1" s="1"/>
  <c r="W49" i="1"/>
  <c r="AK49" i="1" s="1"/>
  <c r="W6" i="1"/>
  <c r="AK6" i="1" s="1"/>
  <c r="W10" i="1"/>
  <c r="AK10" i="1" s="1"/>
  <c r="W14" i="1"/>
  <c r="AK14" i="1" s="1"/>
  <c r="W18" i="1"/>
  <c r="AK18" i="1" s="1"/>
  <c r="W22" i="1"/>
  <c r="AK22" i="1" s="1"/>
  <c r="W26" i="1"/>
  <c r="AK26" i="1" s="1"/>
  <c r="W30" i="1"/>
  <c r="AK30" i="1" s="1"/>
  <c r="W34" i="1"/>
  <c r="AK34" i="1" s="1"/>
  <c r="W38" i="1"/>
  <c r="AK38" i="1" s="1"/>
  <c r="W42" i="1"/>
  <c r="AK42" i="1" s="1"/>
  <c r="W46" i="1"/>
  <c r="AK46" i="1" s="1"/>
  <c r="W50" i="1"/>
  <c r="AK50" i="1" s="1"/>
  <c r="W3" i="1"/>
  <c r="AK3" i="1" s="1"/>
  <c r="W7" i="1"/>
  <c r="AK7" i="1" s="1"/>
  <c r="W11" i="1"/>
  <c r="AK11" i="1" s="1"/>
  <c r="W15" i="1"/>
  <c r="AK15" i="1" s="1"/>
  <c r="W19" i="1"/>
  <c r="AK19" i="1" s="1"/>
  <c r="W23" i="1"/>
  <c r="AK23" i="1" s="1"/>
  <c r="W27" i="1"/>
  <c r="AK27" i="1" s="1"/>
  <c r="W31" i="1"/>
  <c r="AK31" i="1" s="1"/>
  <c r="W35" i="1"/>
  <c r="W39" i="1"/>
  <c r="AK39" i="1" s="1"/>
  <c r="W43" i="1"/>
  <c r="AK43" i="1" s="1"/>
  <c r="W47" i="1"/>
  <c r="AK47" i="1" s="1"/>
  <c r="W51" i="1"/>
  <c r="AK51" i="1" s="1"/>
  <c r="S2" i="1"/>
  <c r="AG2" i="1" s="1"/>
  <c r="S6" i="1"/>
  <c r="AG6" i="1" s="1"/>
  <c r="S10" i="1"/>
  <c r="AG10" i="1" s="1"/>
  <c r="S14" i="1"/>
  <c r="AG14" i="1" s="1"/>
  <c r="S18" i="1"/>
  <c r="AG18" i="1" s="1"/>
  <c r="S22" i="1"/>
  <c r="AG22" i="1" s="1"/>
  <c r="S26" i="1"/>
  <c r="AG26" i="1" s="1"/>
  <c r="S30" i="1"/>
  <c r="AG30" i="1" s="1"/>
  <c r="S34" i="1"/>
  <c r="AG34" i="1" s="1"/>
  <c r="S38" i="1"/>
  <c r="AG38" i="1" s="1"/>
  <c r="S42" i="1"/>
  <c r="AG42" i="1" s="1"/>
  <c r="S46" i="1"/>
  <c r="AG46" i="1" s="1"/>
  <c r="S50" i="1"/>
  <c r="AG50" i="1" s="1"/>
  <c r="S54" i="1"/>
  <c r="AG54" i="1" s="1"/>
  <c r="AD2" i="1"/>
  <c r="AR2" i="1" s="1"/>
  <c r="Z2" i="1"/>
  <c r="AN2" i="1" s="1"/>
  <c r="V2" i="1"/>
  <c r="AJ2" i="1" s="1"/>
  <c r="T59" i="1"/>
  <c r="AH59" i="1" s="1"/>
  <c r="T55" i="1"/>
  <c r="AH55" i="1" s="1"/>
  <c r="T51" i="1"/>
  <c r="AH51" i="1" s="1"/>
  <c r="T47" i="1"/>
  <c r="AH47" i="1" s="1"/>
  <c r="T43" i="1"/>
  <c r="AH43" i="1" s="1"/>
  <c r="T39" i="1"/>
  <c r="AH39" i="1" s="1"/>
  <c r="T35" i="1"/>
  <c r="T31" i="1"/>
  <c r="AH31" i="1" s="1"/>
  <c r="T27" i="1"/>
  <c r="AH27" i="1" s="1"/>
  <c r="T23" i="1"/>
  <c r="AH23" i="1" s="1"/>
  <c r="T19" i="1"/>
  <c r="AH19" i="1" s="1"/>
  <c r="T15" i="1"/>
  <c r="AH15" i="1" s="1"/>
  <c r="T11" i="1"/>
  <c r="AH11" i="1" s="1"/>
  <c r="T7" i="1"/>
  <c r="AH7" i="1" s="1"/>
  <c r="U57" i="1"/>
  <c r="AI57" i="1" s="1"/>
  <c r="U53" i="1"/>
  <c r="AI53" i="1" s="1"/>
  <c r="U49" i="1"/>
  <c r="AI49" i="1" s="1"/>
  <c r="U45" i="1"/>
  <c r="AI45" i="1" s="1"/>
  <c r="U41" i="1"/>
  <c r="AI41" i="1" s="1"/>
  <c r="U37" i="1"/>
  <c r="AI37" i="1" s="1"/>
  <c r="U33" i="1"/>
  <c r="AI33" i="1" s="1"/>
  <c r="U29" i="1"/>
  <c r="AI29" i="1" s="1"/>
  <c r="U25" i="1"/>
  <c r="AI25" i="1" s="1"/>
  <c r="U21" i="1"/>
  <c r="AI21" i="1" s="1"/>
  <c r="U17" i="1"/>
  <c r="AI17" i="1" s="1"/>
  <c r="U13" i="1"/>
  <c r="AI13" i="1" s="1"/>
  <c r="U9" i="1"/>
  <c r="AI9" i="1" s="1"/>
  <c r="V59" i="1"/>
  <c r="AJ59" i="1" s="1"/>
  <c r="V55" i="1"/>
  <c r="AJ55" i="1" s="1"/>
  <c r="V51" i="1"/>
  <c r="AJ51" i="1" s="1"/>
  <c r="V47" i="1"/>
  <c r="AJ47" i="1" s="1"/>
  <c r="V43" i="1"/>
  <c r="AJ43" i="1" s="1"/>
  <c r="V39" i="1"/>
  <c r="AJ39" i="1" s="1"/>
  <c r="V35" i="1"/>
  <c r="V31" i="1"/>
  <c r="AJ31" i="1" s="1"/>
  <c r="V27" i="1"/>
  <c r="AJ27" i="1" s="1"/>
  <c r="V23" i="1"/>
  <c r="AJ23" i="1" s="1"/>
  <c r="V19" i="1"/>
  <c r="AJ19" i="1" s="1"/>
  <c r="V15" i="1"/>
  <c r="AJ15" i="1" s="1"/>
  <c r="V11" i="1"/>
  <c r="AJ11" i="1" s="1"/>
  <c r="V7" i="1"/>
  <c r="AJ7" i="1" s="1"/>
  <c r="W57" i="1"/>
  <c r="AK57" i="1" s="1"/>
  <c r="W53" i="1"/>
  <c r="AK53" i="1" s="1"/>
  <c r="W40" i="1"/>
  <c r="AK40" i="1" s="1"/>
  <c r="W24" i="1"/>
  <c r="AK24" i="1" s="1"/>
  <c r="W8" i="1"/>
  <c r="AK8" i="1" s="1"/>
  <c r="X50" i="1"/>
  <c r="AL50" i="1" s="1"/>
  <c r="X34" i="1"/>
  <c r="AL34" i="1" s="1"/>
  <c r="X18" i="1"/>
  <c r="AL18" i="1" s="1"/>
  <c r="Y60" i="1"/>
  <c r="AM60" i="1" s="1"/>
  <c r="Y44" i="1"/>
  <c r="AM44" i="1" s="1"/>
  <c r="Y28" i="1"/>
  <c r="AM28" i="1" s="1"/>
  <c r="Y12" i="1"/>
  <c r="AM12" i="1" s="1"/>
  <c r="Z54" i="1"/>
  <c r="AN54" i="1" s="1"/>
  <c r="Z38" i="1"/>
  <c r="AN38" i="1" s="1"/>
  <c r="Z22" i="1"/>
  <c r="AN22" i="1" s="1"/>
  <c r="Z6" i="1"/>
  <c r="AN6" i="1" s="1"/>
  <c r="AA45" i="1"/>
  <c r="AO45" i="1" s="1"/>
  <c r="AA13" i="1"/>
  <c r="AO13" i="1" s="1"/>
  <c r="AB39" i="1"/>
  <c r="AP39" i="1" s="1"/>
  <c r="AC57" i="1"/>
  <c r="AQ57" i="1" s="1"/>
  <c r="AD51" i="1"/>
  <c r="AR51" i="1" s="1"/>
  <c r="AE45" i="1"/>
  <c r="AS45" i="1" s="1"/>
  <c r="AF40" i="1"/>
  <c r="AT40" i="1" s="1"/>
  <c r="AU60" i="1" l="1"/>
  <c r="L69" i="6" s="1"/>
  <c r="AU54" i="1"/>
  <c r="L63" i="6" s="1"/>
  <c r="AU22" i="1"/>
  <c r="L31" i="6" s="1"/>
  <c r="AU41" i="1"/>
  <c r="L50" i="6" s="1"/>
  <c r="AU9" i="1"/>
  <c r="L18" i="6" s="1"/>
  <c r="AU52" i="1"/>
  <c r="L61" i="6" s="1"/>
  <c r="AU36" i="1"/>
  <c r="L45" i="6" s="1"/>
  <c r="AU38" i="1"/>
  <c r="L47" i="6" s="1"/>
  <c r="AU50" i="1"/>
  <c r="L59" i="6" s="1"/>
  <c r="AU58" i="1"/>
  <c r="L67" i="6" s="1"/>
  <c r="AU39" i="1"/>
  <c r="L48" i="6" s="1"/>
  <c r="AU4" i="1"/>
  <c r="L13" i="6" s="1"/>
  <c r="AU15" i="1"/>
  <c r="L24" i="6" s="1"/>
  <c r="AU34" i="1"/>
  <c r="L43" i="6" s="1"/>
  <c r="AU2" i="1"/>
  <c r="L11" i="6" s="1"/>
  <c r="AU53" i="1"/>
  <c r="L62" i="6" s="1"/>
  <c r="AU21" i="1"/>
  <c r="L30" i="6" s="1"/>
  <c r="AU48" i="1"/>
  <c r="L57" i="6" s="1"/>
  <c r="AU16" i="1"/>
  <c r="L25" i="6" s="1"/>
  <c r="AU46" i="1"/>
  <c r="L55" i="6" s="1"/>
  <c r="AU30" i="1"/>
  <c r="L39" i="6" s="1"/>
  <c r="AU14" i="1"/>
  <c r="L23" i="6" s="1"/>
  <c r="AU49" i="1"/>
  <c r="L58" i="6" s="1"/>
  <c r="AU33" i="1"/>
  <c r="L42" i="6" s="1"/>
  <c r="AU17" i="1"/>
  <c r="L26" i="6" s="1"/>
  <c r="AU55" i="1"/>
  <c r="L64" i="6" s="1"/>
  <c r="AU19" i="1"/>
  <c r="L28" i="6" s="1"/>
  <c r="AU44" i="1"/>
  <c r="L53" i="6" s="1"/>
  <c r="AU28" i="1"/>
  <c r="L37" i="6" s="1"/>
  <c r="AU12" i="1"/>
  <c r="L21" i="6" s="1"/>
  <c r="AU59" i="1"/>
  <c r="L68" i="6" s="1"/>
  <c r="AU27" i="1"/>
  <c r="M36" i="6" s="1"/>
  <c r="AU6" i="1"/>
  <c r="L15" i="6" s="1"/>
  <c r="AU57" i="1"/>
  <c r="L66" i="6" s="1"/>
  <c r="AU25" i="1"/>
  <c r="L34" i="6" s="1"/>
  <c r="AU3" i="1"/>
  <c r="L12" i="6" s="1"/>
  <c r="AU20" i="1"/>
  <c r="L29" i="6" s="1"/>
  <c r="AU43" i="1"/>
  <c r="L52" i="6" s="1"/>
  <c r="AU18" i="1"/>
  <c r="L27" i="6" s="1"/>
  <c r="AU37" i="1"/>
  <c r="L46" i="6" s="1"/>
  <c r="AU5" i="1"/>
  <c r="L14" i="6" s="1"/>
  <c r="AU31" i="1"/>
  <c r="L40" i="6" s="1"/>
  <c r="AU32" i="1"/>
  <c r="L41" i="6" s="1"/>
  <c r="AU7" i="1"/>
  <c r="L16" i="6" s="1"/>
  <c r="AU42" i="1"/>
  <c r="L51" i="6" s="1"/>
  <c r="AU26" i="1"/>
  <c r="L35" i="6" s="1"/>
  <c r="AU10" i="1"/>
  <c r="L19" i="6" s="1"/>
  <c r="AU45" i="1"/>
  <c r="L54" i="6" s="1"/>
  <c r="AU29" i="1"/>
  <c r="L38" i="6" s="1"/>
  <c r="AU13" i="1"/>
  <c r="L22" i="6" s="1"/>
  <c r="AU47" i="1"/>
  <c r="L56" i="6" s="1"/>
  <c r="AU11" i="1"/>
  <c r="L20" i="6" s="1"/>
  <c r="AU56" i="1"/>
  <c r="L65" i="6" s="1"/>
  <c r="AU40" i="1"/>
  <c r="L49" i="6" s="1"/>
  <c r="AU24" i="1"/>
  <c r="L33" i="6" s="1"/>
  <c r="AU8" i="1"/>
  <c r="L17" i="6" s="1"/>
  <c r="AU51" i="1"/>
  <c r="L60" i="6" s="1"/>
  <c r="AU23" i="1"/>
  <c r="L32" i="6" s="1"/>
  <c r="C8" i="6" a="1"/>
  <c r="C8" i="6" s="1"/>
  <c r="AH35" i="1"/>
  <c r="F8" i="6" a="1"/>
  <c r="F8" i="6" s="1"/>
  <c r="AK35" i="1"/>
  <c r="F4" i="6" s="1" a="1"/>
  <c r="F4" i="6" s="1"/>
  <c r="D8" i="6" a="1"/>
  <c r="D8" i="6" s="1"/>
  <c r="AI35" i="1"/>
  <c r="D4" i="6" s="1" a="1"/>
  <c r="D4" i="6" s="1"/>
  <c r="E8" i="6" a="1"/>
  <c r="E8" i="6" s="1"/>
  <c r="AJ35" i="1"/>
  <c r="E4" i="6" s="1" a="1"/>
  <c r="E4" i="6" s="1"/>
  <c r="J8" i="6" a="1"/>
  <c r="J8" i="6" s="1"/>
  <c r="AO35" i="1"/>
  <c r="J4" i="6" s="1" a="1"/>
  <c r="J4" i="6" s="1"/>
  <c r="O8" i="6" a="1"/>
  <c r="O8" i="6" s="1"/>
  <c r="AT35" i="1"/>
  <c r="H8" i="6" a="1"/>
  <c r="H8" i="6" s="1"/>
  <c r="AM35" i="1"/>
  <c r="H4" i="6" s="1" a="1"/>
  <c r="H4" i="6" s="1"/>
  <c r="L8" i="6" a="1"/>
  <c r="L8" i="6" s="1"/>
  <c r="AQ35" i="1"/>
  <c r="L4" i="6" s="1" a="1"/>
  <c r="L4" i="6" s="1"/>
  <c r="N8" i="6" a="1"/>
  <c r="N8" i="6" s="1"/>
  <c r="AS35" i="1"/>
  <c r="N4" i="6" s="1" a="1"/>
  <c r="N4" i="6" s="1"/>
  <c r="K8" i="6" a="1"/>
  <c r="K8" i="6" s="1"/>
  <c r="AP35" i="1"/>
  <c r="K4" i="6" s="1" a="1"/>
  <c r="K4" i="6" s="1"/>
  <c r="AR35" i="1"/>
  <c r="M4" i="6" s="1" a="1"/>
  <c r="M4" i="6" s="1"/>
  <c r="M8" i="6" a="1"/>
  <c r="M8" i="6" s="1"/>
  <c r="I8" i="6" a="1"/>
  <c r="I8" i="6" s="1"/>
  <c r="AN35" i="1"/>
  <c r="I4" i="6" s="1" a="1"/>
  <c r="I4" i="6" s="1"/>
  <c r="G8" i="6" a="1"/>
  <c r="G8" i="6" s="1"/>
  <c r="AL35" i="1"/>
  <c r="G4" i="6" s="1" a="1"/>
  <c r="G4" i="6" s="1"/>
  <c r="B8" i="6" a="1"/>
  <c r="B8" i="6" s="1"/>
  <c r="AG35" i="1"/>
  <c r="B4" i="6" l="1" a="1"/>
  <c r="B4" i="6" s="1"/>
  <c r="AU35" i="1"/>
  <c r="L44" i="6" s="1"/>
  <c r="O4" i="6" a="1"/>
  <c r="O4" i="6" s="1"/>
  <c r="C4" i="6" a="1"/>
  <c r="C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<sst xmlns="http://schemas.openxmlformats.org/spreadsheetml/2006/main" count="449" uniqueCount="146">
  <si>
    <t>Player</t>
  </si>
  <si>
    <t>Year</t>
  </si>
  <si>
    <t>Draft pick</t>
  </si>
  <si>
    <t>Height (No Shoes)</t>
  </si>
  <si>
    <t>Height (With Shoes)</t>
  </si>
  <si>
    <t>Wingspan</t>
  </si>
  <si>
    <t>Standing reach</t>
  </si>
  <si>
    <t>Vertical (Max)</t>
  </si>
  <si>
    <t>Vertical (Max Reach)</t>
  </si>
  <si>
    <t>Vertical (No Step)</t>
  </si>
  <si>
    <t>Vertical (No Step Reach)</t>
  </si>
  <si>
    <t>Weight</t>
  </si>
  <si>
    <t>Body Fat</t>
  </si>
  <si>
    <t>Hand (Length)</t>
  </si>
  <si>
    <t>Hand (Width)</t>
  </si>
  <si>
    <t>Agility</t>
  </si>
  <si>
    <t>Sprint</t>
  </si>
  <si>
    <t>Aaron Craft</t>
  </si>
  <si>
    <t>Aaron Gordon</t>
  </si>
  <si>
    <t>Adreian Payne</t>
  </si>
  <si>
    <t>Alec Brown</t>
  </si>
  <si>
    <t>Alex Kirk</t>
  </si>
  <si>
    <t>C.J. Fair</t>
  </si>
  <si>
    <t>C.J. Wilcox</t>
  </si>
  <si>
    <t>Cameron Bairstow</t>
  </si>
  <si>
    <t>Cleanthony Early</t>
  </si>
  <si>
    <t>Cory Jefferson</t>
  </si>
  <si>
    <t>Dante Exum</t>
  </si>
  <si>
    <t>DeAndre Daniels</t>
  </si>
  <si>
    <t>DeAndre Kane</t>
  </si>
  <si>
    <t>Deonte Burton</t>
  </si>
  <si>
    <t>Devyn Marble</t>
  </si>
  <si>
    <t>Doug McDermott</t>
  </si>
  <si>
    <t>Dwight Powell</t>
  </si>
  <si>
    <t>Elfrid Payton</t>
  </si>
  <si>
    <t>Gary Harris</t>
  </si>
  <si>
    <t>Glenn Robinson</t>
  </si>
  <si>
    <t>Isaiah Austin</t>
  </si>
  <si>
    <t>Jabari Brown</t>
  </si>
  <si>
    <t>Jahii Carson</t>
  </si>
  <si>
    <t>James McAdoo</t>
  </si>
  <si>
    <t>James Young</t>
  </si>
  <si>
    <t>Jarnell Stokes</t>
  </si>
  <si>
    <t>Jerami Grant</t>
  </si>
  <si>
    <t>Joe Harris</t>
  </si>
  <si>
    <t>Johnny O'Bryant</t>
  </si>
  <si>
    <t>Jordan Adams</t>
  </si>
  <si>
    <t>Jordan Bachynski</t>
  </si>
  <si>
    <t>Jordan Clarkson</t>
  </si>
  <si>
    <t>Jordan McRae</t>
  </si>
  <si>
    <t>Julius Randle</t>
  </si>
  <si>
    <t>K.J. McDaniels</t>
  </si>
  <si>
    <t>Kendall Williams</t>
  </si>
  <si>
    <t>Khem Birch</t>
  </si>
  <si>
    <t>Kyle Anderson</t>
  </si>
  <si>
    <t>LaQuinton Ross</t>
  </si>
  <si>
    <t>Lamar Patterson</t>
  </si>
  <si>
    <t>Marcus Smart</t>
  </si>
  <si>
    <t>Markel Brown</t>
  </si>
  <si>
    <t>Melvin Ejim</t>
  </si>
  <si>
    <t>Nick Johnson</t>
  </si>
  <si>
    <t>Nik Stauskas</t>
  </si>
  <si>
    <t>Noah Vonleh</t>
  </si>
  <si>
    <t>P.J. Hairston</t>
  </si>
  <si>
    <t>Patric Young</t>
  </si>
  <si>
    <t>Rodney Hood</t>
  </si>
  <si>
    <t>Russ Smith</t>
  </si>
  <si>
    <t>Sean Kilpatrick</t>
  </si>
  <si>
    <t>Semaj Christon</t>
  </si>
  <si>
    <t>Shabazz Napier</t>
  </si>
  <si>
    <t>Spencer Dinwiddie</t>
  </si>
  <si>
    <t>T.J. Warren</t>
  </si>
  <si>
    <t>Thanasis Antetokounmpo</t>
  </si>
  <si>
    <t>Tyler Ennis</t>
  </si>
  <si>
    <t>Xavier Thames</t>
  </si>
  <si>
    <t>Zach LaVine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</si>
  <si>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</si>
  <si>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</si>
  <si>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</si>
  <si>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</si>
  <si>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</si>
  <si>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</si>
  <si>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</si>
  <si>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</si>
  <si>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</si>
  <si>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</si>
  <si>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</si>
  <si>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</si>
  <si>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</si>
  <si>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</si>
  <si>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</si>
  <si>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</si>
  <si>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</si>
  <si>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</si>
  <si>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</si>
  <si>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</si>
  <si>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</si>
  <si>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</si>
  <si>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</si>
  <si>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</si>
  <si>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</si>
  <si>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</si>
  <si>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</si>
  <si>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STDev</t>
  </si>
  <si>
    <t>AVG</t>
  </si>
  <si>
    <t xml:space="preserve"> </t>
  </si>
  <si>
    <t>Z_Height (No Shoes)</t>
  </si>
  <si>
    <t>Z_Height (With Shoes)</t>
  </si>
  <si>
    <t>Z_Wingspan</t>
  </si>
  <si>
    <t>Z_Standing reach</t>
  </si>
  <si>
    <t>Z_Vertical (Max)</t>
  </si>
  <si>
    <t>Z_Vertical (Max Reach)</t>
  </si>
  <si>
    <t>Z_Vertical (No Step)</t>
  </si>
  <si>
    <t>Z_Vertical (No Step Reach)</t>
  </si>
  <si>
    <t>Z_Weight</t>
  </si>
  <si>
    <t>Z_Body Fat</t>
  </si>
  <si>
    <t>Z_Hand (Length)</t>
  </si>
  <si>
    <t>Z_Hand (Width)</t>
  </si>
  <si>
    <t>Z_Agility</t>
  </si>
  <si>
    <t>Z_Sprint</t>
  </si>
  <si>
    <t>T_Height (No Shoes)</t>
  </si>
  <si>
    <t>T_Height (With Shoes)</t>
  </si>
  <si>
    <t>T_Wingspan</t>
  </si>
  <si>
    <t>T_Standing reach</t>
  </si>
  <si>
    <t>T_Vertical (Max)</t>
  </si>
  <si>
    <t>T_Vertical (Max Reach)</t>
  </si>
  <si>
    <t>T_Vertical (No Step)</t>
  </si>
  <si>
    <t>T_Vertical (No Step Reach)</t>
  </si>
  <si>
    <t>T_Weight</t>
  </si>
  <si>
    <t>T_Body Fat</t>
  </si>
  <si>
    <t>T_Hand (Length)</t>
  </si>
  <si>
    <t>T_Hand (Width)</t>
  </si>
  <si>
    <t>T_Agility</t>
  </si>
  <si>
    <t>T_Sprint</t>
  </si>
  <si>
    <t>TSA</t>
  </si>
  <si>
    <t>TSA Team</t>
  </si>
  <si>
    <t>TSA Player</t>
  </si>
  <si>
    <t>Players</t>
  </si>
  <si>
    <t>Grand Total</t>
  </si>
  <si>
    <t>Average of Weight</t>
  </si>
  <si>
    <t>Sum of Height (With Shoes)</t>
  </si>
  <si>
    <t>Sum of Height (No Shoes)</t>
  </si>
  <si>
    <t>Sum of Body Fat</t>
  </si>
  <si>
    <t xml:space="preserve">TRENDS </t>
  </si>
  <si>
    <r>
      <rPr>
        <b/>
        <sz val="36"/>
        <color theme="2"/>
        <rFont val="Algerian"/>
        <family val="5"/>
      </rPr>
      <t xml:space="preserve">  </t>
    </r>
    <r>
      <rPr>
        <b/>
        <u/>
        <sz val="36"/>
        <color rgb="FFC00000"/>
        <rFont val="Algerian"/>
        <family val="5"/>
      </rPr>
      <t>DESCRPTIVE STATISTICS ANALYSIS</t>
    </r>
  </si>
  <si>
    <r>
      <t xml:space="preserve">         </t>
    </r>
    <r>
      <rPr>
        <b/>
        <u/>
        <sz val="36"/>
        <color theme="0"/>
        <rFont val="Algerian"/>
        <family val="5"/>
      </rPr>
      <t xml:space="preserve"> </t>
    </r>
    <r>
      <rPr>
        <b/>
        <u/>
        <sz val="36"/>
        <color rgb="FFC00000"/>
        <rFont val="Algerian"/>
        <family val="5"/>
      </rPr>
      <t>CORRELATION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</si>
</sst>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sz val="11"/>
      <color theme="2" tint="-0.89999084444715716"/>
      <name val="Aptos Narrow"/>
      <family val="2"/>
      <scheme val="minor"/>
    </font>
    <font>
      <b/>
      <i/>
      <sz val="48"/>
      <color rgb="FFC00000"/>
      <name val="Aptos Narrow"/>
      <family val="2"/>
      <scheme val="minor"/>
    </font>
    <font>
      <b/>
      <u/>
      <sz val="48"/>
      <color rgb="FFC00000"/>
      <name val="Algerian"/>
      <family val="5"/>
    </font>
    <font>
      <b/>
      <u/>
      <sz val="36"/>
      <color theme="0"/>
      <name val="Algerian"/>
      <family val="5"/>
    </font>
    <font>
      <b/>
      <u/>
      <sz val="36"/>
      <color theme="2"/>
      <name val="Algerian"/>
      <family val="5"/>
    </font>
    <font>
      <b/>
      <u/>
      <sz val="36"/>
      <color rgb="FFC00000"/>
      <name val="Algerian"/>
      <family val="5"/>
    </font>
    <font>
      <b/>
      <i/>
      <sz val="11"/>
      <color theme="2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28"/>
      <color theme="2"/>
      <name val="Aptos Narrow"/>
      <family val="2"/>
      <scheme val="minor"/>
    </font>
    <font>
      <b/>
      <sz val="36"/>
      <color theme="2"/>
      <name val="Algerian"/>
      <family val="5"/>
    </font>
    <font>
      <i/>
      <sz val="11"/>
      <color theme="2"/>
      <name val="Aptos Narrow"/>
      <family val="2"/>
      <scheme val="minor"/>
    </font>
    <font>
      <b/>
      <sz val="36"/>
      <color theme="0"/>
      <name val="Algerian"/>
      <family val="5"/>
    </font>
    <font>
      <i/>
      <sz val="11"/>
      <color theme="0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16" fillId="0" borderId="0" xfId="0" applyFont="1"/>
    <xf numFmtId="0" fontId="1" fillId="26" borderId="0" xfId="35"/>
    <xf numFmtId="2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164" fontId="1" fillId="26" borderId="0" xfId="35" applyNumberFormat="1"/>
    <xf numFmtId="0" fontId="0" fillId="37" borderId="0" xfId="0" applyFill="1"/>
    <xf numFmtId="0" fontId="0" fillId="38" borderId="0" xfId="0" applyFill="1"/>
    <xf numFmtId="0" fontId="0" fillId="38" borderId="0" xfId="35" applyFont="1" applyFill="1"/>
    <xf numFmtId="0" fontId="1" fillId="38" borderId="0" xfId="35" applyFill="1"/>
    <xf numFmtId="0" fontId="17" fillId="33" borderId="0" xfId="0" applyFont="1" applyFill="1"/>
    <xf numFmtId="0" fontId="17" fillId="37" borderId="0" xfId="0" applyFont="1" applyFill="1"/>
    <xf numFmtId="0" fontId="13" fillId="40" borderId="0" xfId="0" applyFont="1" applyFill="1"/>
    <xf numFmtId="0" fontId="13" fillId="40" borderId="11" xfId="0" applyFont="1" applyFill="1" applyBorder="1"/>
    <xf numFmtId="0" fontId="13" fillId="40" borderId="13" xfId="0" applyFont="1" applyFill="1" applyBorder="1"/>
    <xf numFmtId="164" fontId="17" fillId="41" borderId="0" xfId="0" applyNumberFormat="1" applyFont="1" applyFill="1"/>
    <xf numFmtId="0" fontId="17" fillId="41" borderId="0" xfId="0" applyFont="1" applyFill="1"/>
    <xf numFmtId="2" fontId="17" fillId="41" borderId="0" xfId="0" applyNumberFormat="1" applyFont="1" applyFill="1"/>
    <xf numFmtId="0" fontId="17" fillId="40" borderId="0" xfId="0" applyFont="1" applyFill="1"/>
    <xf numFmtId="0" fontId="13" fillId="37" borderId="0" xfId="0" applyFont="1" applyFill="1"/>
    <xf numFmtId="0" fontId="25" fillId="37" borderId="0" xfId="0" applyFont="1" applyFill="1"/>
    <xf numFmtId="0" fontId="26" fillId="37" borderId="0" xfId="0" applyFont="1" applyFill="1"/>
    <xf numFmtId="0" fontId="27" fillId="37" borderId="0" xfId="0" applyFont="1" applyFill="1"/>
    <xf numFmtId="0" fontId="25" fillId="42" borderId="12" xfId="0" applyFont="1" applyFill="1" applyBorder="1" applyAlignment="1">
      <alignment horizontal="center"/>
    </xf>
    <xf numFmtId="0" fontId="26" fillId="42" borderId="0" xfId="0" applyFont="1" applyFill="1"/>
    <xf numFmtId="0" fontId="31" fillId="37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center"/>
    </xf>
    <xf numFmtId="0" fontId="16" fillId="41" borderId="0" xfId="0" applyFont="1" applyFill="1"/>
    <xf numFmtId="0" fontId="0" fillId="41" borderId="0" xfId="0" applyFill="1"/>
    <xf numFmtId="0" fontId="23" fillId="37" borderId="0" xfId="0" applyFont="1" applyFill="1" applyAlignment="1">
      <alignment horizontal="center"/>
    </xf>
    <xf numFmtId="0" fontId="16" fillId="40" borderId="0" xfId="0" applyFont="1" applyFill="1"/>
    <xf numFmtId="2" fontId="0" fillId="39" borderId="0" xfId="0" applyNumberFormat="1" applyFill="1"/>
    <xf numFmtId="0" fontId="17" fillId="37" borderId="12" xfId="0" applyFont="1" applyFill="1" applyBorder="1"/>
    <xf numFmtId="0" fontId="25" fillId="43" borderId="0" xfId="0" applyFont="1" applyFill="1"/>
    <xf numFmtId="0" fontId="29" fillId="43" borderId="12" xfId="0" applyFont="1" applyFill="1" applyBorder="1" applyAlignment="1">
      <alignment horizontal="center"/>
    </xf>
    <xf numFmtId="0" fontId="0" fillId="40" borderId="0" xfId="0" applyFill="1"/>
    <xf numFmtId="0" fontId="18" fillId="41" borderId="10" xfId="0" applyFont="1" applyFill="1" applyBorder="1" applyAlignment="1">
      <alignment horizontal="center"/>
    </xf>
    <xf numFmtId="0" fontId="21" fillId="37" borderId="0" xfId="0" applyFont="1" applyFill="1" applyAlignment="1">
      <alignment horizontal="center"/>
    </xf>
    <xf numFmtId="0" fontId="20" fillId="37" borderId="0" xfId="0" applyFont="1" applyFill="1" applyAlignment="1">
      <alignment horizontal="center"/>
    </xf>
    <xf numFmtId="0" fontId="23" fillId="37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17" fillId="37" borderId="0" xfId="0" applyFont="1" applyFill="1" applyAlignment="1">
      <alignment horizontal="center"/>
    </xf>
    <xf numFmtId="0" fontId="16" fillId="39" borderId="14" xfId="0" applyFont="1" applyFill="1" applyBorder="1" applyAlignment="1">
      <alignment horizontal="center"/>
    </xf>
    <xf numFmtId="0" fontId="0" fillId="39" borderId="14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6">
    <dxf>
      <font>
        <strike val="0"/>
        <outline val="0"/>
        <shadow val="0"/>
        <vertAlign val="baseline"/>
        <color theme="2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2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2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2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2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2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2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2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2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2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2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2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2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2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color theme="2"/>
        <family val="2"/>
      </font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ont>
        <color theme="1"/>
      </font>
    </dxf>
    <dxf>
      <font>
        <color theme="1"/>
      </font>
    </dxf>
    <dxf>
      <fill>
        <patternFill>
          <bgColor theme="4"/>
        </patternFill>
      </fill>
    </dxf>
    <dxf>
      <font>
        <b/>
      </font>
    </dxf>
    <dxf>
      <font>
        <b/>
      </font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0" formatCode="General"/>
    </dxf>
    <dxf>
      <numFmt numFmtId="0" formatCode="General"/>
    </dxf>
    <dxf>
      <numFmt numFmtId="164" formatCode="0.000"/>
    </dxf>
    <dxf>
      <numFmt numFmtId="0" formatCode="General"/>
    </dxf>
    <dxf>
      <fill>
        <patternFill patternType="solid">
          <fgColor indexed="64"/>
          <bgColor rgb="FF00B0F0"/>
        </patternFill>
      </fill>
    </dxf>
    <dxf>
      <font>
        <b/>
        <i val="0"/>
      </font>
      <fill>
        <patternFill patternType="solid">
          <fgColor indexed="64"/>
          <bgColor rgb="FF99FFCC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>
          <fgColor indexed="64"/>
          <bgColor rgb="FF002060"/>
        </patternFill>
      </fill>
    </dxf>
  </dxfs>
  <tableStyles count="0" defaultTableStyle="TableStyleMedium2" defaultPivotStyle="PivotStyleLight16"/>
  <colors>
    <mruColors>
      <color rgb="FF9966FF"/>
      <color rgb="FF000000"/>
      <color rgb="FFFF0000"/>
      <color rgb="FF156082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Field: Wingspan and Field: Hand (Length) appear highly correlated.</a:t>
            </a:r>
          </a:p>
        </c:rich>
      </c:tx>
      <c:layout>
        <c:manualLayout>
          <c:xMode val="edge"/>
          <c:yMode val="edge"/>
          <c:x val="0.1212768745005044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'2014_nba_draft_combine'!$O$1</c:f>
              <c:strCache>
                <c:ptCount val="1"/>
                <c:pt idx="0">
                  <c:v>Hand (Length)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'2014_nba_draft_combine'!$G$2:$G$64</c:f>
              <c:numCache>
                <c:formatCode>General</c:formatCode>
                <c:ptCount val="63"/>
                <c:pt idx="0">
                  <c:v>74</c:v>
                </c:pt>
                <c:pt idx="1">
                  <c:v>83.75</c:v>
                </c:pt>
                <c:pt idx="2">
                  <c:v>88</c:v>
                </c:pt>
                <c:pt idx="3">
                  <c:v>85.5</c:v>
                </c:pt>
                <c:pt idx="4">
                  <c:v>87.5</c:v>
                </c:pt>
                <c:pt idx="5">
                  <c:v>81.5</c:v>
                </c:pt>
                <c:pt idx="6">
                  <c:v>81.75</c:v>
                </c:pt>
                <c:pt idx="7">
                  <c:v>84.75</c:v>
                </c:pt>
                <c:pt idx="8">
                  <c:v>82.75</c:v>
                </c:pt>
                <c:pt idx="9">
                  <c:v>84.5</c:v>
                </c:pt>
                <c:pt idx="10">
                  <c:v>81.5</c:v>
                </c:pt>
                <c:pt idx="11">
                  <c:v>86</c:v>
                </c:pt>
                <c:pt idx="12">
                  <c:v>80</c:v>
                </c:pt>
                <c:pt idx="13">
                  <c:v>79</c:v>
                </c:pt>
                <c:pt idx="14">
                  <c:v>81</c:v>
                </c:pt>
                <c:pt idx="15">
                  <c:v>81.25</c:v>
                </c:pt>
                <c:pt idx="16">
                  <c:v>84.5</c:v>
                </c:pt>
                <c:pt idx="17">
                  <c:v>80</c:v>
                </c:pt>
                <c:pt idx="18">
                  <c:v>78.75</c:v>
                </c:pt>
                <c:pt idx="19">
                  <c:v>82</c:v>
                </c:pt>
                <c:pt idx="20">
                  <c:v>88.5</c:v>
                </c:pt>
                <c:pt idx="21">
                  <c:v>80.25</c:v>
                </c:pt>
                <c:pt idx="22">
                  <c:v>74</c:v>
                </c:pt>
                <c:pt idx="23">
                  <c:v>86.25</c:v>
                </c:pt>
                <c:pt idx="24">
                  <c:v>84</c:v>
                </c:pt>
                <c:pt idx="25">
                  <c:v>85.25</c:v>
                </c:pt>
                <c:pt idx="26">
                  <c:v>86.75</c:v>
                </c:pt>
                <c:pt idx="27">
                  <c:v>78</c:v>
                </c:pt>
                <c:pt idx="28">
                  <c:v>86.25</c:v>
                </c:pt>
                <c:pt idx="29">
                  <c:v>82</c:v>
                </c:pt>
                <c:pt idx="30">
                  <c:v>88</c:v>
                </c:pt>
                <c:pt idx="31">
                  <c:v>80</c:v>
                </c:pt>
                <c:pt idx="32">
                  <c:v>84.5</c:v>
                </c:pt>
                <c:pt idx="33">
                  <c:v>84</c:v>
                </c:pt>
                <c:pt idx="34">
                  <c:v>83.25</c:v>
                </c:pt>
                <c:pt idx="35">
                  <c:v>77.5</c:v>
                </c:pt>
                <c:pt idx="36">
                  <c:v>85</c:v>
                </c:pt>
                <c:pt idx="37">
                  <c:v>86.75</c:v>
                </c:pt>
                <c:pt idx="38">
                  <c:v>85.75</c:v>
                </c:pt>
                <c:pt idx="39">
                  <c:v>83</c:v>
                </c:pt>
                <c:pt idx="40">
                  <c:v>81.25</c:v>
                </c:pt>
                <c:pt idx="41">
                  <c:v>80.75</c:v>
                </c:pt>
                <c:pt idx="42">
                  <c:v>83.25</c:v>
                </c:pt>
                <c:pt idx="43">
                  <c:v>79.25</c:v>
                </c:pt>
                <c:pt idx="44">
                  <c:v>79.75</c:v>
                </c:pt>
                <c:pt idx="45">
                  <c:v>88.25</c:v>
                </c:pt>
                <c:pt idx="46">
                  <c:v>81</c:v>
                </c:pt>
                <c:pt idx="47">
                  <c:v>85.75</c:v>
                </c:pt>
                <c:pt idx="48">
                  <c:v>80.5</c:v>
                </c:pt>
                <c:pt idx="49">
                  <c:v>75.5</c:v>
                </c:pt>
                <c:pt idx="50">
                  <c:v>79</c:v>
                </c:pt>
                <c:pt idx="51">
                  <c:v>78.5</c:v>
                </c:pt>
                <c:pt idx="52">
                  <c:v>75.25</c:v>
                </c:pt>
                <c:pt idx="53">
                  <c:v>80.25</c:v>
                </c:pt>
                <c:pt idx="54">
                  <c:v>82.25</c:v>
                </c:pt>
                <c:pt idx="55">
                  <c:v>84</c:v>
                </c:pt>
                <c:pt idx="56">
                  <c:v>79.25</c:v>
                </c:pt>
                <c:pt idx="57">
                  <c:v>76</c:v>
                </c:pt>
                <c:pt idx="58">
                  <c:v>80.25</c:v>
                </c:pt>
                <c:pt idx="60" formatCode="0.00">
                  <c:v>3.5967313754557186</c:v>
                </c:pt>
                <c:pt idx="61" formatCode="0.00">
                  <c:v>82.152542372881356</c:v>
                </c:pt>
              </c:numCache>
            </c:numRef>
          </c:xVal>
          <c:yVal>
            <c:numRef>
              <c:f>'2014_nba_draft_combine'!$O$2:$O$64</c:f>
              <c:numCache>
                <c:formatCode>General</c:formatCode>
                <c:ptCount val="63"/>
                <c:pt idx="0">
                  <c:v>7.75</c:v>
                </c:pt>
                <c:pt idx="1">
                  <c:v>8.75</c:v>
                </c:pt>
                <c:pt idx="2">
                  <c:v>9.25</c:v>
                </c:pt>
                <c:pt idx="3">
                  <c:v>9.25</c:v>
                </c:pt>
                <c:pt idx="4">
                  <c:v>9.25</c:v>
                </c:pt>
                <c:pt idx="5">
                  <c:v>9</c:v>
                </c:pt>
                <c:pt idx="6">
                  <c:v>8.75</c:v>
                </c:pt>
                <c:pt idx="7">
                  <c:v>8.75</c:v>
                </c:pt>
                <c:pt idx="8">
                  <c:v>8.5</c:v>
                </c:pt>
                <c:pt idx="9">
                  <c:v>8.75</c:v>
                </c:pt>
                <c:pt idx="10">
                  <c:v>8.5</c:v>
                </c:pt>
                <c:pt idx="11">
                  <c:v>9.25</c:v>
                </c:pt>
                <c:pt idx="12">
                  <c:v>8.25</c:v>
                </c:pt>
                <c:pt idx="13">
                  <c:v>8.25</c:v>
                </c:pt>
                <c:pt idx="14">
                  <c:v>8.25</c:v>
                </c:pt>
                <c:pt idx="15">
                  <c:v>8.75</c:v>
                </c:pt>
                <c:pt idx="16">
                  <c:v>9</c:v>
                </c:pt>
                <c:pt idx="17">
                  <c:v>8.75</c:v>
                </c:pt>
                <c:pt idx="18">
                  <c:v>8.5</c:v>
                </c:pt>
                <c:pt idx="19">
                  <c:v>9</c:v>
                </c:pt>
                <c:pt idx="20">
                  <c:v>8.75</c:v>
                </c:pt>
                <c:pt idx="21">
                  <c:v>9</c:v>
                </c:pt>
                <c:pt idx="22">
                  <c:v>7.5</c:v>
                </c:pt>
                <c:pt idx="23">
                  <c:v>9.25</c:v>
                </c:pt>
                <c:pt idx="24">
                  <c:v>9</c:v>
                </c:pt>
                <c:pt idx="25">
                  <c:v>9.75</c:v>
                </c:pt>
                <c:pt idx="26">
                  <c:v>9.25</c:v>
                </c:pt>
                <c:pt idx="27">
                  <c:v>8.5</c:v>
                </c:pt>
                <c:pt idx="28">
                  <c:v>9.25</c:v>
                </c:pt>
                <c:pt idx="29">
                  <c:v>8.5</c:v>
                </c:pt>
                <c:pt idx="30">
                  <c:v>9.25</c:v>
                </c:pt>
                <c:pt idx="31">
                  <c:v>8.25</c:v>
                </c:pt>
                <c:pt idx="32">
                  <c:v>8.75</c:v>
                </c:pt>
                <c:pt idx="33">
                  <c:v>8.75</c:v>
                </c:pt>
                <c:pt idx="34">
                  <c:v>8.75</c:v>
                </c:pt>
                <c:pt idx="35">
                  <c:v>8</c:v>
                </c:pt>
                <c:pt idx="36">
                  <c:v>9</c:v>
                </c:pt>
                <c:pt idx="37">
                  <c:v>8.25</c:v>
                </c:pt>
                <c:pt idx="38">
                  <c:v>8.75</c:v>
                </c:pt>
                <c:pt idx="39">
                  <c:v>9</c:v>
                </c:pt>
                <c:pt idx="40">
                  <c:v>9</c:v>
                </c:pt>
                <c:pt idx="41">
                  <c:v>8.25</c:v>
                </c:pt>
                <c:pt idx="42">
                  <c:v>8.75</c:v>
                </c:pt>
                <c:pt idx="43">
                  <c:v>8.75</c:v>
                </c:pt>
                <c:pt idx="44">
                  <c:v>8.5</c:v>
                </c:pt>
                <c:pt idx="45">
                  <c:v>9.75</c:v>
                </c:pt>
                <c:pt idx="46">
                  <c:v>8.75</c:v>
                </c:pt>
                <c:pt idx="47">
                  <c:v>9.25</c:v>
                </c:pt>
                <c:pt idx="48">
                  <c:v>8.5</c:v>
                </c:pt>
                <c:pt idx="49">
                  <c:v>8.25</c:v>
                </c:pt>
                <c:pt idx="50">
                  <c:v>9</c:v>
                </c:pt>
                <c:pt idx="51">
                  <c:v>8.5</c:v>
                </c:pt>
                <c:pt idx="52">
                  <c:v>8.25</c:v>
                </c:pt>
                <c:pt idx="53">
                  <c:v>8.25</c:v>
                </c:pt>
                <c:pt idx="54">
                  <c:v>8.75</c:v>
                </c:pt>
                <c:pt idx="55">
                  <c:v>9</c:v>
                </c:pt>
                <c:pt idx="56">
                  <c:v>8.25</c:v>
                </c:pt>
                <c:pt idx="57">
                  <c:v>8.25</c:v>
                </c:pt>
                <c:pt idx="58">
                  <c:v>8.25</c:v>
                </c:pt>
                <c:pt idx="60" formatCode="0.00">
                  <c:v>0.44018877671934059</c:v>
                </c:pt>
                <c:pt idx="61" formatCode="0.00">
                  <c:v>8.7161016949152543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1C-49D3-A8C0-6CE0C1C06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281360"/>
        <c:axId val="1675276560"/>
      </c:scatterChart>
      <c:valAx>
        <c:axId val="167528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Wingspan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276560"/>
        <c:crosses val="autoZero"/>
        <c:crossBetween val="midCat"/>
      </c:valAx>
      <c:valAx>
        <c:axId val="167527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Hand (Length)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28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Field: Height (No Shoes) and Field: Weight appear highly correlated.</a:t>
            </a:r>
          </a:p>
        </c:rich>
      </c:tx>
      <c:layout>
        <c:manualLayout>
          <c:xMode val="edge"/>
          <c:yMode val="edge"/>
          <c:x val="0.12004852777358356"/>
          <c:y val="3.04114331663258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'2014_nba_draft_combine'!$M$1</c:f>
              <c:strCache>
                <c:ptCount val="1"/>
                <c:pt idx="0">
                  <c:v>Weight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'2014_nba_draft_combine'!$E$2:$E$64</c:f>
              <c:numCache>
                <c:formatCode>General</c:formatCode>
                <c:ptCount val="63"/>
                <c:pt idx="0">
                  <c:v>72.75</c:v>
                </c:pt>
                <c:pt idx="1">
                  <c:v>79.5</c:v>
                </c:pt>
                <c:pt idx="2">
                  <c:v>81</c:v>
                </c:pt>
                <c:pt idx="3">
                  <c:v>84.25</c:v>
                </c:pt>
                <c:pt idx="4">
                  <c:v>81.25</c:v>
                </c:pt>
                <c:pt idx="5">
                  <c:v>78.5</c:v>
                </c:pt>
                <c:pt idx="6">
                  <c:v>75.5</c:v>
                </c:pt>
                <c:pt idx="7">
                  <c:v>80.75</c:v>
                </c:pt>
                <c:pt idx="8">
                  <c:v>78</c:v>
                </c:pt>
                <c:pt idx="9">
                  <c:v>79.75</c:v>
                </c:pt>
                <c:pt idx="10">
                  <c:v>76.5</c:v>
                </c:pt>
                <c:pt idx="11">
                  <c:v>79.25</c:v>
                </c:pt>
                <c:pt idx="12">
                  <c:v>74.75</c:v>
                </c:pt>
                <c:pt idx="13">
                  <c:v>72</c:v>
                </c:pt>
                <c:pt idx="14">
                  <c:v>77</c:v>
                </c:pt>
                <c:pt idx="15">
                  <c:v>78.25</c:v>
                </c:pt>
                <c:pt idx="16">
                  <c:v>81.5</c:v>
                </c:pt>
                <c:pt idx="17">
                  <c:v>74.5</c:v>
                </c:pt>
                <c:pt idx="18">
                  <c:v>74.5</c:v>
                </c:pt>
                <c:pt idx="19">
                  <c:v>77.5</c:v>
                </c:pt>
                <c:pt idx="20">
                  <c:v>83.5</c:v>
                </c:pt>
                <c:pt idx="21">
                  <c:v>75</c:v>
                </c:pt>
                <c:pt idx="22">
                  <c:v>69.75</c:v>
                </c:pt>
                <c:pt idx="23">
                  <c:v>79.5</c:v>
                </c:pt>
                <c:pt idx="24">
                  <c:v>77.25</c:v>
                </c:pt>
                <c:pt idx="25">
                  <c:v>79</c:v>
                </c:pt>
                <c:pt idx="26">
                  <c:v>78.5</c:v>
                </c:pt>
                <c:pt idx="27">
                  <c:v>76.75</c:v>
                </c:pt>
                <c:pt idx="28">
                  <c:v>79.25</c:v>
                </c:pt>
                <c:pt idx="29">
                  <c:v>75.5</c:v>
                </c:pt>
                <c:pt idx="30">
                  <c:v>85.25</c:v>
                </c:pt>
                <c:pt idx="31">
                  <c:v>75.25</c:v>
                </c:pt>
                <c:pt idx="32">
                  <c:v>75.75</c:v>
                </c:pt>
                <c:pt idx="33">
                  <c:v>79.75</c:v>
                </c:pt>
                <c:pt idx="34">
                  <c:v>76.5</c:v>
                </c:pt>
                <c:pt idx="35">
                  <c:v>74.25</c:v>
                </c:pt>
                <c:pt idx="36">
                  <c:v>79.5</c:v>
                </c:pt>
                <c:pt idx="37">
                  <c:v>79.5</c:v>
                </c:pt>
                <c:pt idx="38">
                  <c:v>78.5</c:v>
                </c:pt>
                <c:pt idx="39">
                  <c:v>76</c:v>
                </c:pt>
                <c:pt idx="40">
                  <c:v>74</c:v>
                </c:pt>
                <c:pt idx="41">
                  <c:v>74.5</c:v>
                </c:pt>
                <c:pt idx="42">
                  <c:v>77.25</c:v>
                </c:pt>
                <c:pt idx="43">
                  <c:v>73.5</c:v>
                </c:pt>
                <c:pt idx="44">
                  <c:v>77.25</c:v>
                </c:pt>
                <c:pt idx="45">
                  <c:v>80</c:v>
                </c:pt>
                <c:pt idx="46">
                  <c:v>76.25</c:v>
                </c:pt>
                <c:pt idx="47">
                  <c:v>80.5</c:v>
                </c:pt>
                <c:pt idx="48">
                  <c:v>79.25</c:v>
                </c:pt>
                <c:pt idx="49">
                  <c:v>71.5</c:v>
                </c:pt>
                <c:pt idx="50">
                  <c:v>74.5</c:v>
                </c:pt>
                <c:pt idx="51">
                  <c:v>73.5</c:v>
                </c:pt>
                <c:pt idx="52">
                  <c:v>71</c:v>
                </c:pt>
                <c:pt idx="53">
                  <c:v>76.5</c:v>
                </c:pt>
                <c:pt idx="54">
                  <c:v>79</c:v>
                </c:pt>
                <c:pt idx="55">
                  <c:v>77.25</c:v>
                </c:pt>
                <c:pt idx="56">
                  <c:v>73</c:v>
                </c:pt>
                <c:pt idx="57">
                  <c:v>74.25</c:v>
                </c:pt>
                <c:pt idx="58">
                  <c:v>76.5</c:v>
                </c:pt>
                <c:pt idx="60" formatCode="0.00">
                  <c:v>3.1807671271848963</c:v>
                </c:pt>
                <c:pt idx="61" formatCode="0.00">
                  <c:v>77.131355932203391</c:v>
                </c:pt>
              </c:numCache>
            </c:numRef>
          </c:xVal>
          <c:yVal>
            <c:numRef>
              <c:f>'2014_nba_draft_combine'!$M$2:$M$64</c:f>
              <c:numCache>
                <c:formatCode>General</c:formatCode>
                <c:ptCount val="63"/>
                <c:pt idx="0">
                  <c:v>192</c:v>
                </c:pt>
                <c:pt idx="1">
                  <c:v>220</c:v>
                </c:pt>
                <c:pt idx="2">
                  <c:v>239</c:v>
                </c:pt>
                <c:pt idx="3">
                  <c:v>231</c:v>
                </c:pt>
                <c:pt idx="4">
                  <c:v>252</c:v>
                </c:pt>
                <c:pt idx="5">
                  <c:v>218</c:v>
                </c:pt>
                <c:pt idx="6">
                  <c:v>201</c:v>
                </c:pt>
                <c:pt idx="7">
                  <c:v>252</c:v>
                </c:pt>
                <c:pt idx="8">
                  <c:v>209</c:v>
                </c:pt>
                <c:pt idx="9">
                  <c:v>218</c:v>
                </c:pt>
                <c:pt idx="10">
                  <c:v>196</c:v>
                </c:pt>
                <c:pt idx="11">
                  <c:v>196</c:v>
                </c:pt>
                <c:pt idx="12">
                  <c:v>200</c:v>
                </c:pt>
                <c:pt idx="13">
                  <c:v>193</c:v>
                </c:pt>
                <c:pt idx="14">
                  <c:v>192</c:v>
                </c:pt>
                <c:pt idx="15">
                  <c:v>218</c:v>
                </c:pt>
                <c:pt idx="16">
                  <c:v>234</c:v>
                </c:pt>
                <c:pt idx="17">
                  <c:v>185</c:v>
                </c:pt>
                <c:pt idx="18">
                  <c:v>205</c:v>
                </c:pt>
                <c:pt idx="19">
                  <c:v>211</c:v>
                </c:pt>
                <c:pt idx="20">
                  <c:v>220</c:v>
                </c:pt>
                <c:pt idx="21">
                  <c:v>202</c:v>
                </c:pt>
                <c:pt idx="22">
                  <c:v>180</c:v>
                </c:pt>
                <c:pt idx="23">
                  <c:v>228</c:v>
                </c:pt>
                <c:pt idx="24">
                  <c:v>213</c:v>
                </c:pt>
                <c:pt idx="25">
                  <c:v>263</c:v>
                </c:pt>
                <c:pt idx="26">
                  <c:v>214</c:v>
                </c:pt>
                <c:pt idx="27">
                  <c:v>215</c:v>
                </c:pt>
                <c:pt idx="28">
                  <c:v>257</c:v>
                </c:pt>
                <c:pt idx="29">
                  <c:v>209</c:v>
                </c:pt>
                <c:pt idx="30">
                  <c:v>254</c:v>
                </c:pt>
                <c:pt idx="31">
                  <c:v>186</c:v>
                </c:pt>
                <c:pt idx="32">
                  <c:v>179</c:v>
                </c:pt>
                <c:pt idx="33">
                  <c:v>250</c:v>
                </c:pt>
                <c:pt idx="34">
                  <c:v>196</c:v>
                </c:pt>
                <c:pt idx="35">
                  <c:v>183</c:v>
                </c:pt>
                <c:pt idx="36">
                  <c:v>209</c:v>
                </c:pt>
                <c:pt idx="37">
                  <c:v>230</c:v>
                </c:pt>
                <c:pt idx="38">
                  <c:v>239</c:v>
                </c:pt>
                <c:pt idx="39">
                  <c:v>226</c:v>
                </c:pt>
                <c:pt idx="40">
                  <c:v>227</c:v>
                </c:pt>
                <c:pt idx="41">
                  <c:v>184</c:v>
                </c:pt>
                <c:pt idx="42">
                  <c:v>219</c:v>
                </c:pt>
                <c:pt idx="43">
                  <c:v>198</c:v>
                </c:pt>
                <c:pt idx="44">
                  <c:v>207</c:v>
                </c:pt>
                <c:pt idx="45">
                  <c:v>247</c:v>
                </c:pt>
                <c:pt idx="46">
                  <c:v>229</c:v>
                </c:pt>
                <c:pt idx="47">
                  <c:v>247</c:v>
                </c:pt>
                <c:pt idx="48">
                  <c:v>208</c:v>
                </c:pt>
                <c:pt idx="49">
                  <c:v>160</c:v>
                </c:pt>
                <c:pt idx="50">
                  <c:v>219</c:v>
                </c:pt>
                <c:pt idx="51">
                  <c:v>186</c:v>
                </c:pt>
                <c:pt idx="52">
                  <c:v>175</c:v>
                </c:pt>
                <c:pt idx="53">
                  <c:v>205</c:v>
                </c:pt>
                <c:pt idx="54">
                  <c:v>220</c:v>
                </c:pt>
                <c:pt idx="55">
                  <c:v>205</c:v>
                </c:pt>
                <c:pt idx="56">
                  <c:v>182</c:v>
                </c:pt>
                <c:pt idx="57">
                  <c:v>187</c:v>
                </c:pt>
                <c:pt idx="58">
                  <c:v>181</c:v>
                </c:pt>
                <c:pt idx="60" formatCode="0.00">
                  <c:v>23.49618414440712</c:v>
                </c:pt>
                <c:pt idx="61" formatCode="0.00">
                  <c:v>211.88135593220338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04-461F-B47C-025E74BD7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890223"/>
        <c:axId val="1346893103"/>
      </c:scatterChart>
      <c:valAx>
        <c:axId val="134689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Height (No Shoes)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893103"/>
        <c:crosses val="autoZero"/>
        <c:crossBetween val="midCat"/>
      </c:valAx>
      <c:valAx>
        <c:axId val="134689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89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Field: Standing reach and Field: Vertical (No Step Reach) appear highly correlated.</a:t>
            </a:r>
          </a:p>
        </c:rich>
      </c:tx>
      <c:layout>
        <c:manualLayout>
          <c:xMode val="edge"/>
          <c:yMode val="edge"/>
          <c:x val="0.20213517060367453"/>
          <c:y val="3.2467532467532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'2014_nba_draft_combine'!$L$1</c:f>
              <c:strCache>
                <c:ptCount val="1"/>
                <c:pt idx="0">
                  <c:v>Vertical (No Step Reach)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'2014_nba_draft_combine'!$H$2:$H$64</c:f>
              <c:numCache>
                <c:formatCode>General</c:formatCode>
                <c:ptCount val="63"/>
                <c:pt idx="0">
                  <c:v>94.5</c:v>
                </c:pt>
                <c:pt idx="1">
                  <c:v>105</c:v>
                </c:pt>
                <c:pt idx="2">
                  <c:v>109</c:v>
                </c:pt>
                <c:pt idx="3">
                  <c:v>109</c:v>
                </c:pt>
                <c:pt idx="4">
                  <c:v>109.5</c:v>
                </c:pt>
                <c:pt idx="5">
                  <c:v>104</c:v>
                </c:pt>
                <c:pt idx="6">
                  <c:v>100.5</c:v>
                </c:pt>
                <c:pt idx="7">
                  <c:v>107</c:v>
                </c:pt>
                <c:pt idx="8">
                  <c:v>101.5</c:v>
                </c:pt>
                <c:pt idx="9">
                  <c:v>105</c:v>
                </c:pt>
                <c:pt idx="10">
                  <c:v>103</c:v>
                </c:pt>
                <c:pt idx="11">
                  <c:v>106.5</c:v>
                </c:pt>
                <c:pt idx="12">
                  <c:v>99</c:v>
                </c:pt>
                <c:pt idx="13">
                  <c:v>97.5</c:v>
                </c:pt>
                <c:pt idx="14">
                  <c:v>102</c:v>
                </c:pt>
                <c:pt idx="15">
                  <c:v>103</c:v>
                </c:pt>
                <c:pt idx="16">
                  <c:v>105</c:v>
                </c:pt>
                <c:pt idx="17">
                  <c:v>98.5</c:v>
                </c:pt>
                <c:pt idx="18">
                  <c:v>96</c:v>
                </c:pt>
                <c:pt idx="19">
                  <c:v>100.5</c:v>
                </c:pt>
                <c:pt idx="20">
                  <c:v>112.5</c:v>
                </c:pt>
                <c:pt idx="21">
                  <c:v>100</c:v>
                </c:pt>
                <c:pt idx="22">
                  <c:v>93</c:v>
                </c:pt>
                <c:pt idx="23">
                  <c:v>106.5</c:v>
                </c:pt>
                <c:pt idx="24">
                  <c:v>104</c:v>
                </c:pt>
                <c:pt idx="25">
                  <c:v>103.5</c:v>
                </c:pt>
                <c:pt idx="26">
                  <c:v>107</c:v>
                </c:pt>
                <c:pt idx="27">
                  <c:v>100</c:v>
                </c:pt>
                <c:pt idx="28">
                  <c:v>105</c:v>
                </c:pt>
                <c:pt idx="29">
                  <c:v>102</c:v>
                </c:pt>
                <c:pt idx="30">
                  <c:v>108.5</c:v>
                </c:pt>
                <c:pt idx="31">
                  <c:v>98</c:v>
                </c:pt>
                <c:pt idx="32">
                  <c:v>104</c:v>
                </c:pt>
                <c:pt idx="33">
                  <c:v>105.5</c:v>
                </c:pt>
                <c:pt idx="34">
                  <c:v>102</c:v>
                </c:pt>
                <c:pt idx="35">
                  <c:v>99</c:v>
                </c:pt>
                <c:pt idx="36">
                  <c:v>107</c:v>
                </c:pt>
                <c:pt idx="37">
                  <c:v>107.5</c:v>
                </c:pt>
                <c:pt idx="38">
                  <c:v>106</c:v>
                </c:pt>
                <c:pt idx="39">
                  <c:v>101</c:v>
                </c:pt>
                <c:pt idx="40">
                  <c:v>99</c:v>
                </c:pt>
                <c:pt idx="41">
                  <c:v>100</c:v>
                </c:pt>
                <c:pt idx="42">
                  <c:v>103.5</c:v>
                </c:pt>
                <c:pt idx="43">
                  <c:v>96.5</c:v>
                </c:pt>
                <c:pt idx="44">
                  <c:v>102</c:v>
                </c:pt>
                <c:pt idx="45">
                  <c:v>108</c:v>
                </c:pt>
                <c:pt idx="46">
                  <c:v>101</c:v>
                </c:pt>
                <c:pt idx="47">
                  <c:v>103.5</c:v>
                </c:pt>
                <c:pt idx="48">
                  <c:v>103</c:v>
                </c:pt>
                <c:pt idx="49">
                  <c:v>95</c:v>
                </c:pt>
                <c:pt idx="50">
                  <c:v>99</c:v>
                </c:pt>
                <c:pt idx="51">
                  <c:v>99</c:v>
                </c:pt>
                <c:pt idx="52">
                  <c:v>93</c:v>
                </c:pt>
                <c:pt idx="53">
                  <c:v>103</c:v>
                </c:pt>
                <c:pt idx="54">
                  <c:v>104</c:v>
                </c:pt>
                <c:pt idx="55">
                  <c:v>104.5</c:v>
                </c:pt>
                <c:pt idx="56">
                  <c:v>98</c:v>
                </c:pt>
                <c:pt idx="57">
                  <c:v>96</c:v>
                </c:pt>
                <c:pt idx="58">
                  <c:v>100</c:v>
                </c:pt>
                <c:pt idx="60" formatCode="0.00">
                  <c:v>4.2824206574942396</c:v>
                </c:pt>
                <c:pt idx="61" formatCode="0.00">
                  <c:v>102.30508474576271</c:v>
                </c:pt>
              </c:numCache>
            </c:numRef>
          </c:xVal>
          <c:yVal>
            <c:numRef>
              <c:f>'2014_nba_draft_combine'!$L$2:$L$64</c:f>
              <c:numCache>
                <c:formatCode>General</c:formatCode>
                <c:ptCount val="63"/>
                <c:pt idx="0">
                  <c:v>123.5</c:v>
                </c:pt>
                <c:pt idx="1">
                  <c:v>137.5</c:v>
                </c:pt>
                <c:pt idx="3">
                  <c:v>136</c:v>
                </c:pt>
                <c:pt idx="4">
                  <c:v>138</c:v>
                </c:pt>
                <c:pt idx="5">
                  <c:v>131</c:v>
                </c:pt>
                <c:pt idx="6">
                  <c:v>131.5</c:v>
                </c:pt>
                <c:pt idx="7">
                  <c:v>138</c:v>
                </c:pt>
                <c:pt idx="8">
                  <c:v>135.5</c:v>
                </c:pt>
                <c:pt idx="9">
                  <c:v>138</c:v>
                </c:pt>
                <c:pt idx="10">
                  <c:v>134.5</c:v>
                </c:pt>
                <c:pt idx="11">
                  <c:v>133</c:v>
                </c:pt>
                <c:pt idx="12">
                  <c:v>130.5</c:v>
                </c:pt>
                <c:pt idx="13">
                  <c:v>126.5</c:v>
                </c:pt>
                <c:pt idx="14">
                  <c:v>131</c:v>
                </c:pt>
                <c:pt idx="15">
                  <c:v>131.5</c:v>
                </c:pt>
                <c:pt idx="16">
                  <c:v>133.5</c:v>
                </c:pt>
                <c:pt idx="17">
                  <c:v>130</c:v>
                </c:pt>
                <c:pt idx="19">
                  <c:v>137</c:v>
                </c:pt>
                <c:pt idx="20">
                  <c:v>139</c:v>
                </c:pt>
                <c:pt idx="21">
                  <c:v>128</c:v>
                </c:pt>
                <c:pt idx="22">
                  <c:v>126.5</c:v>
                </c:pt>
                <c:pt idx="23">
                  <c:v>136</c:v>
                </c:pt>
                <c:pt idx="24">
                  <c:v>132</c:v>
                </c:pt>
                <c:pt idx="25">
                  <c:v>134.5</c:v>
                </c:pt>
                <c:pt idx="27">
                  <c:v>128.5</c:v>
                </c:pt>
                <c:pt idx="28">
                  <c:v>136</c:v>
                </c:pt>
                <c:pt idx="29">
                  <c:v>126.5</c:v>
                </c:pt>
                <c:pt idx="30">
                  <c:v>137.5</c:v>
                </c:pt>
                <c:pt idx="31">
                  <c:v>131</c:v>
                </c:pt>
                <c:pt idx="32">
                  <c:v>131.5</c:v>
                </c:pt>
                <c:pt idx="33">
                  <c:v>134.5</c:v>
                </c:pt>
                <c:pt idx="34">
                  <c:v>135</c:v>
                </c:pt>
                <c:pt idx="35">
                  <c:v>126</c:v>
                </c:pt>
                <c:pt idx="36">
                  <c:v>137.5</c:v>
                </c:pt>
                <c:pt idx="38">
                  <c:v>131</c:v>
                </c:pt>
                <c:pt idx="39">
                  <c:v>128.5</c:v>
                </c:pt>
                <c:pt idx="40">
                  <c:v>132</c:v>
                </c:pt>
                <c:pt idx="41">
                  <c:v>136.5</c:v>
                </c:pt>
                <c:pt idx="42">
                  <c:v>133</c:v>
                </c:pt>
                <c:pt idx="43">
                  <c:v>130</c:v>
                </c:pt>
                <c:pt idx="44">
                  <c:v>131</c:v>
                </c:pt>
                <c:pt idx="45">
                  <c:v>139</c:v>
                </c:pt>
                <c:pt idx="46">
                  <c:v>133</c:v>
                </c:pt>
                <c:pt idx="47">
                  <c:v>135.5</c:v>
                </c:pt>
                <c:pt idx="48">
                  <c:v>132</c:v>
                </c:pt>
                <c:pt idx="49">
                  <c:v>124.5</c:v>
                </c:pt>
                <c:pt idx="51">
                  <c:v>129.5</c:v>
                </c:pt>
                <c:pt idx="52">
                  <c:v>123.5</c:v>
                </c:pt>
                <c:pt idx="54">
                  <c:v>131</c:v>
                </c:pt>
                <c:pt idx="55">
                  <c:v>136</c:v>
                </c:pt>
                <c:pt idx="56">
                  <c:v>127</c:v>
                </c:pt>
                <c:pt idx="57">
                  <c:v>125</c:v>
                </c:pt>
                <c:pt idx="58">
                  <c:v>133.5</c:v>
                </c:pt>
                <c:pt idx="60" formatCode="0.00">
                  <c:v>4.1850655838235369</c:v>
                </c:pt>
                <c:pt idx="61" formatCode="0.00">
                  <c:v>132.22641509433961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52-40FF-8C17-D23F6BBF4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026175"/>
        <c:axId val="988030975"/>
      </c:scatterChart>
      <c:valAx>
        <c:axId val="98802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Standing reach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030975"/>
        <c:crosses val="autoZero"/>
        <c:crossBetween val="midCat"/>
      </c:valAx>
      <c:valAx>
        <c:axId val="98803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Vertical (No Step Reach)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02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Field: Wingspan and Field: Vertical (Max Reach)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'2014_nba_draft_combine'!$J$1</c:f>
              <c:strCache>
                <c:ptCount val="1"/>
                <c:pt idx="0">
                  <c:v>Vertical (Max Reach)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'2014_nba_draft_combine'!$G$2:$G$64</c:f>
              <c:numCache>
                <c:formatCode>General</c:formatCode>
                <c:ptCount val="63"/>
                <c:pt idx="0">
                  <c:v>74</c:v>
                </c:pt>
                <c:pt idx="1">
                  <c:v>83.75</c:v>
                </c:pt>
                <c:pt idx="2">
                  <c:v>88</c:v>
                </c:pt>
                <c:pt idx="3">
                  <c:v>85.5</c:v>
                </c:pt>
                <c:pt idx="4">
                  <c:v>87.5</c:v>
                </c:pt>
                <c:pt idx="5">
                  <c:v>81.5</c:v>
                </c:pt>
                <c:pt idx="6">
                  <c:v>81.75</c:v>
                </c:pt>
                <c:pt idx="7">
                  <c:v>84.75</c:v>
                </c:pt>
                <c:pt idx="8">
                  <c:v>82.75</c:v>
                </c:pt>
                <c:pt idx="9">
                  <c:v>84.5</c:v>
                </c:pt>
                <c:pt idx="10">
                  <c:v>81.5</c:v>
                </c:pt>
                <c:pt idx="11">
                  <c:v>86</c:v>
                </c:pt>
                <c:pt idx="12">
                  <c:v>80</c:v>
                </c:pt>
                <c:pt idx="13">
                  <c:v>79</c:v>
                </c:pt>
                <c:pt idx="14">
                  <c:v>81</c:v>
                </c:pt>
                <c:pt idx="15">
                  <c:v>81.25</c:v>
                </c:pt>
                <c:pt idx="16">
                  <c:v>84.5</c:v>
                </c:pt>
                <c:pt idx="17">
                  <c:v>80</c:v>
                </c:pt>
                <c:pt idx="18">
                  <c:v>78.75</c:v>
                </c:pt>
                <c:pt idx="19">
                  <c:v>82</c:v>
                </c:pt>
                <c:pt idx="20">
                  <c:v>88.5</c:v>
                </c:pt>
                <c:pt idx="21">
                  <c:v>80.25</c:v>
                </c:pt>
                <c:pt idx="22">
                  <c:v>74</c:v>
                </c:pt>
                <c:pt idx="23">
                  <c:v>86.25</c:v>
                </c:pt>
                <c:pt idx="24">
                  <c:v>84</c:v>
                </c:pt>
                <c:pt idx="25">
                  <c:v>85.25</c:v>
                </c:pt>
                <c:pt idx="26">
                  <c:v>86.75</c:v>
                </c:pt>
                <c:pt idx="27">
                  <c:v>78</c:v>
                </c:pt>
                <c:pt idx="28">
                  <c:v>86.25</c:v>
                </c:pt>
                <c:pt idx="29">
                  <c:v>82</c:v>
                </c:pt>
                <c:pt idx="30">
                  <c:v>88</c:v>
                </c:pt>
                <c:pt idx="31">
                  <c:v>80</c:v>
                </c:pt>
                <c:pt idx="32">
                  <c:v>84.5</c:v>
                </c:pt>
                <c:pt idx="33">
                  <c:v>84</c:v>
                </c:pt>
                <c:pt idx="34">
                  <c:v>83.25</c:v>
                </c:pt>
                <c:pt idx="35">
                  <c:v>77.5</c:v>
                </c:pt>
                <c:pt idx="36">
                  <c:v>85</c:v>
                </c:pt>
                <c:pt idx="37">
                  <c:v>86.75</c:v>
                </c:pt>
                <c:pt idx="38">
                  <c:v>85.75</c:v>
                </c:pt>
                <c:pt idx="39">
                  <c:v>83</c:v>
                </c:pt>
                <c:pt idx="40">
                  <c:v>81.25</c:v>
                </c:pt>
                <c:pt idx="41">
                  <c:v>80.75</c:v>
                </c:pt>
                <c:pt idx="42">
                  <c:v>83.25</c:v>
                </c:pt>
                <c:pt idx="43">
                  <c:v>79.25</c:v>
                </c:pt>
                <c:pt idx="44">
                  <c:v>79.75</c:v>
                </c:pt>
                <c:pt idx="45">
                  <c:v>88.25</c:v>
                </c:pt>
                <c:pt idx="46">
                  <c:v>81</c:v>
                </c:pt>
                <c:pt idx="47">
                  <c:v>85.75</c:v>
                </c:pt>
                <c:pt idx="48">
                  <c:v>80.5</c:v>
                </c:pt>
                <c:pt idx="49">
                  <c:v>75.5</c:v>
                </c:pt>
                <c:pt idx="50">
                  <c:v>79</c:v>
                </c:pt>
                <c:pt idx="51">
                  <c:v>78.5</c:v>
                </c:pt>
                <c:pt idx="52">
                  <c:v>75.25</c:v>
                </c:pt>
                <c:pt idx="53">
                  <c:v>80.25</c:v>
                </c:pt>
                <c:pt idx="54">
                  <c:v>82.25</c:v>
                </c:pt>
                <c:pt idx="55">
                  <c:v>84</c:v>
                </c:pt>
                <c:pt idx="56">
                  <c:v>79.25</c:v>
                </c:pt>
                <c:pt idx="57">
                  <c:v>76</c:v>
                </c:pt>
                <c:pt idx="58">
                  <c:v>80.25</c:v>
                </c:pt>
                <c:pt idx="60" formatCode="0.00">
                  <c:v>3.5967313754557186</c:v>
                </c:pt>
                <c:pt idx="61" formatCode="0.00">
                  <c:v>82.152542372881356</c:v>
                </c:pt>
              </c:numCache>
            </c:numRef>
          </c:xVal>
          <c:yVal>
            <c:numRef>
              <c:f>'2014_nba_draft_combine'!$J$2:$J$64</c:f>
              <c:numCache>
                <c:formatCode>General</c:formatCode>
                <c:ptCount val="63"/>
                <c:pt idx="0">
                  <c:v>126.5</c:v>
                </c:pt>
                <c:pt idx="1">
                  <c:v>144</c:v>
                </c:pt>
                <c:pt idx="3">
                  <c:v>139</c:v>
                </c:pt>
                <c:pt idx="4">
                  <c:v>141</c:v>
                </c:pt>
                <c:pt idx="5">
                  <c:v>139</c:v>
                </c:pt>
                <c:pt idx="6">
                  <c:v>138</c:v>
                </c:pt>
                <c:pt idx="7">
                  <c:v>140.5</c:v>
                </c:pt>
                <c:pt idx="8">
                  <c:v>141.5</c:v>
                </c:pt>
                <c:pt idx="9">
                  <c:v>142.5</c:v>
                </c:pt>
                <c:pt idx="10">
                  <c:v>137.5</c:v>
                </c:pt>
                <c:pt idx="11">
                  <c:v>138.5</c:v>
                </c:pt>
                <c:pt idx="12">
                  <c:v>134.5</c:v>
                </c:pt>
                <c:pt idx="13">
                  <c:v>137</c:v>
                </c:pt>
                <c:pt idx="14">
                  <c:v>137</c:v>
                </c:pt>
                <c:pt idx="15">
                  <c:v>139.5</c:v>
                </c:pt>
                <c:pt idx="16">
                  <c:v>140</c:v>
                </c:pt>
                <c:pt idx="17">
                  <c:v>134</c:v>
                </c:pt>
                <c:pt idx="19">
                  <c:v>142</c:v>
                </c:pt>
                <c:pt idx="20">
                  <c:v>142</c:v>
                </c:pt>
                <c:pt idx="21">
                  <c:v>132</c:v>
                </c:pt>
                <c:pt idx="22">
                  <c:v>136.5</c:v>
                </c:pt>
                <c:pt idx="23">
                  <c:v>140.5</c:v>
                </c:pt>
                <c:pt idx="24">
                  <c:v>139.5</c:v>
                </c:pt>
                <c:pt idx="25">
                  <c:v>139.5</c:v>
                </c:pt>
                <c:pt idx="27">
                  <c:v>133.5</c:v>
                </c:pt>
                <c:pt idx="28">
                  <c:v>140.5</c:v>
                </c:pt>
                <c:pt idx="29">
                  <c:v>131.5</c:v>
                </c:pt>
                <c:pt idx="30">
                  <c:v>141.5</c:v>
                </c:pt>
                <c:pt idx="31">
                  <c:v>136.5</c:v>
                </c:pt>
                <c:pt idx="32">
                  <c:v>138.5</c:v>
                </c:pt>
                <c:pt idx="33">
                  <c:v>141</c:v>
                </c:pt>
                <c:pt idx="34">
                  <c:v>139</c:v>
                </c:pt>
                <c:pt idx="35">
                  <c:v>132</c:v>
                </c:pt>
                <c:pt idx="36">
                  <c:v>142.5</c:v>
                </c:pt>
                <c:pt idx="38">
                  <c:v>137</c:v>
                </c:pt>
                <c:pt idx="39">
                  <c:v>133.5</c:v>
                </c:pt>
                <c:pt idx="40">
                  <c:v>135</c:v>
                </c:pt>
                <c:pt idx="41">
                  <c:v>143.5</c:v>
                </c:pt>
                <c:pt idx="42">
                  <c:v>138.5</c:v>
                </c:pt>
                <c:pt idx="43">
                  <c:v>138</c:v>
                </c:pt>
                <c:pt idx="44">
                  <c:v>137.5</c:v>
                </c:pt>
                <c:pt idx="45">
                  <c:v>145</c:v>
                </c:pt>
                <c:pt idx="46">
                  <c:v>138</c:v>
                </c:pt>
                <c:pt idx="47">
                  <c:v>141</c:v>
                </c:pt>
                <c:pt idx="48">
                  <c:v>139</c:v>
                </c:pt>
                <c:pt idx="49">
                  <c:v>129</c:v>
                </c:pt>
                <c:pt idx="51">
                  <c:v>135.5</c:v>
                </c:pt>
                <c:pt idx="52">
                  <c:v>130.5</c:v>
                </c:pt>
                <c:pt idx="54">
                  <c:v>139.5</c:v>
                </c:pt>
                <c:pt idx="55">
                  <c:v>144</c:v>
                </c:pt>
                <c:pt idx="56">
                  <c:v>134</c:v>
                </c:pt>
                <c:pt idx="57">
                  <c:v>128.5</c:v>
                </c:pt>
                <c:pt idx="58">
                  <c:v>141.5</c:v>
                </c:pt>
                <c:pt idx="60" formatCode="0.00">
                  <c:v>4.1324200769545723</c:v>
                </c:pt>
                <c:pt idx="61" formatCode="0.00">
                  <c:v>137.8679245283019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21-4418-885B-45E3FEE24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965583"/>
        <c:axId val="1352966063"/>
      </c:scatterChart>
      <c:valAx>
        <c:axId val="135296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Wingspan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966063"/>
        <c:crosses val="autoZero"/>
        <c:crossBetween val="midCat"/>
      </c:valAx>
      <c:valAx>
        <c:axId val="135296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Vertical (Max Reach)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96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[2014_nba_draft_combine.xlsx]TRENDS!PivotTable2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TRENDS!$C$8</c:f>
              <c:strCache>
                <c:ptCount val="1"/>
                <c:pt idx="0">
                  <c:v>Average of Weight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TRENDS!$B$9:$B$68</c:f>
              <c:strCache>
                <c:ptCount val="59"/>
                <c:pt idx="0">
                  <c:v>Jarnell Stokes</c:v>
                </c:pt>
                <c:pt idx="1">
                  <c:v>Johnny O'Bryant</c:v>
                </c:pt>
                <c:pt idx="2">
                  <c:v>Jordan Bachynski</c:v>
                </c:pt>
                <c:pt idx="3">
                  <c:v>Alex Kirk</c:v>
                </c:pt>
                <c:pt idx="4">
                  <c:v>Cameron Bairstow</c:v>
                </c:pt>
                <c:pt idx="5">
                  <c:v>Julius Randle</c:v>
                </c:pt>
                <c:pt idx="6">
                  <c:v>Noah Vonleh</c:v>
                </c:pt>
                <c:pt idx="7">
                  <c:v>Patric Young</c:v>
                </c:pt>
                <c:pt idx="8">
                  <c:v>Adreian Payne</c:v>
                </c:pt>
                <c:pt idx="9">
                  <c:v>LaQuinton Ross</c:v>
                </c:pt>
                <c:pt idx="10">
                  <c:v>Dwight Powell</c:v>
                </c:pt>
                <c:pt idx="11">
                  <c:v>Alec Brown</c:v>
                </c:pt>
                <c:pt idx="12">
                  <c:v>Kyle Anderson</c:v>
                </c:pt>
                <c:pt idx="13">
                  <c:v>P.J. Hairston</c:v>
                </c:pt>
                <c:pt idx="14">
                  <c:v>James McAdoo</c:v>
                </c:pt>
                <c:pt idx="15">
                  <c:v>Marcus Smart</c:v>
                </c:pt>
                <c:pt idx="16">
                  <c:v>Lamar Patterson</c:v>
                </c:pt>
                <c:pt idx="17">
                  <c:v>Isaiah Austin</c:v>
                </c:pt>
                <c:pt idx="18">
                  <c:v>Aaron Gordon</c:v>
                </c:pt>
                <c:pt idx="19">
                  <c:v>T.J. Warren</c:v>
                </c:pt>
                <c:pt idx="20">
                  <c:v>Melvin Ejim</c:v>
                </c:pt>
                <c:pt idx="21">
                  <c:v>Sean Kilpatrick</c:v>
                </c:pt>
                <c:pt idx="22">
                  <c:v>C.J. Fair</c:v>
                </c:pt>
                <c:pt idx="23">
                  <c:v>Cory Jefferson</c:v>
                </c:pt>
                <c:pt idx="24">
                  <c:v>Doug McDermott</c:v>
                </c:pt>
                <c:pt idx="25">
                  <c:v>Joe Harris</c:v>
                </c:pt>
                <c:pt idx="26">
                  <c:v>Jerami Grant</c:v>
                </c:pt>
                <c:pt idx="27">
                  <c:v>James Young</c:v>
                </c:pt>
                <c:pt idx="28">
                  <c:v>Glenn Robinson</c:v>
                </c:pt>
                <c:pt idx="29">
                  <c:v>Khem Birch</c:v>
                </c:pt>
                <c:pt idx="30">
                  <c:v>Cleanthony Early</c:v>
                </c:pt>
                <c:pt idx="31">
                  <c:v>Jordan Adams</c:v>
                </c:pt>
                <c:pt idx="32">
                  <c:v>Rodney Hood</c:v>
                </c:pt>
                <c:pt idx="33">
                  <c:v>Nik Stauskas</c:v>
                </c:pt>
                <c:pt idx="34">
                  <c:v>Gary Harris</c:v>
                </c:pt>
                <c:pt idx="35">
                  <c:v>Spencer Dinwiddie</c:v>
                </c:pt>
                <c:pt idx="36">
                  <c:v>Thanasis Antetokounmpo</c:v>
                </c:pt>
                <c:pt idx="37">
                  <c:v>Jabari Brown</c:v>
                </c:pt>
                <c:pt idx="38">
                  <c:v>C.J. Wilcox</c:v>
                </c:pt>
                <c:pt idx="39">
                  <c:v>DeAndre Kane</c:v>
                </c:pt>
                <c:pt idx="40">
                  <c:v>Nick Johnson</c:v>
                </c:pt>
                <c:pt idx="41">
                  <c:v>K.J. McDaniels</c:v>
                </c:pt>
                <c:pt idx="42">
                  <c:v>Dante Exum</c:v>
                </c:pt>
                <c:pt idx="43">
                  <c:v>DeAndre Daniels</c:v>
                </c:pt>
                <c:pt idx="44">
                  <c:v>Deonte Burton</c:v>
                </c:pt>
                <c:pt idx="45">
                  <c:v>Aaron Craft</c:v>
                </c:pt>
                <c:pt idx="46">
                  <c:v>Devyn Marble</c:v>
                </c:pt>
                <c:pt idx="47">
                  <c:v>Xavier Thames</c:v>
                </c:pt>
                <c:pt idx="48">
                  <c:v>Jordan Clarkson</c:v>
                </c:pt>
                <c:pt idx="49">
                  <c:v>Semaj Christon</c:v>
                </c:pt>
                <c:pt idx="50">
                  <c:v>Elfrid Payton</c:v>
                </c:pt>
                <c:pt idx="51">
                  <c:v>Markel Brown</c:v>
                </c:pt>
                <c:pt idx="52">
                  <c:v>Kendall Williams</c:v>
                </c:pt>
                <c:pt idx="53">
                  <c:v>Tyler Ennis</c:v>
                </c:pt>
                <c:pt idx="54">
                  <c:v>Zach LaVine</c:v>
                </c:pt>
                <c:pt idx="55">
                  <c:v>Jahii Carson</c:v>
                </c:pt>
                <c:pt idx="56">
                  <c:v>Jordan McRae</c:v>
                </c:pt>
                <c:pt idx="57">
                  <c:v>Shabazz Napier</c:v>
                </c:pt>
                <c:pt idx="58">
                  <c:v>Russ Smith</c:v>
                </c:pt>
              </c:strCache>
            </c:strRef>
          </c:cat>
          <c:val>
            <c:numRef>
              <c:f>TRENDS!$C$9:$C$68</c:f>
              <c:numCache>
                <c:formatCode>General</c:formatCode>
                <c:ptCount val="59"/>
                <c:pt idx="0">
                  <c:v>263</c:v>
                </c:pt>
                <c:pt idx="1">
                  <c:v>257</c:v>
                </c:pt>
                <c:pt idx="2">
                  <c:v>254</c:v>
                </c:pt>
                <c:pt idx="3">
                  <c:v>252</c:v>
                </c:pt>
                <c:pt idx="4">
                  <c:v>252</c:v>
                </c:pt>
                <c:pt idx="5">
                  <c:v>250</c:v>
                </c:pt>
                <c:pt idx="6">
                  <c:v>247</c:v>
                </c:pt>
                <c:pt idx="7">
                  <c:v>247</c:v>
                </c:pt>
                <c:pt idx="8">
                  <c:v>239</c:v>
                </c:pt>
                <c:pt idx="9">
                  <c:v>239</c:v>
                </c:pt>
                <c:pt idx="10">
                  <c:v>234</c:v>
                </c:pt>
                <c:pt idx="11">
                  <c:v>231</c:v>
                </c:pt>
                <c:pt idx="12">
                  <c:v>230</c:v>
                </c:pt>
                <c:pt idx="13">
                  <c:v>229</c:v>
                </c:pt>
                <c:pt idx="14">
                  <c:v>228</c:v>
                </c:pt>
                <c:pt idx="15">
                  <c:v>227</c:v>
                </c:pt>
                <c:pt idx="16">
                  <c:v>226</c:v>
                </c:pt>
                <c:pt idx="17">
                  <c:v>220</c:v>
                </c:pt>
                <c:pt idx="18">
                  <c:v>220</c:v>
                </c:pt>
                <c:pt idx="19">
                  <c:v>220</c:v>
                </c:pt>
                <c:pt idx="20">
                  <c:v>219</c:v>
                </c:pt>
                <c:pt idx="21">
                  <c:v>219</c:v>
                </c:pt>
                <c:pt idx="22">
                  <c:v>218</c:v>
                </c:pt>
                <c:pt idx="23">
                  <c:v>218</c:v>
                </c:pt>
                <c:pt idx="24">
                  <c:v>218</c:v>
                </c:pt>
                <c:pt idx="25">
                  <c:v>215</c:v>
                </c:pt>
                <c:pt idx="26">
                  <c:v>214</c:v>
                </c:pt>
                <c:pt idx="27">
                  <c:v>213</c:v>
                </c:pt>
                <c:pt idx="28">
                  <c:v>211</c:v>
                </c:pt>
                <c:pt idx="29">
                  <c:v>209</c:v>
                </c:pt>
                <c:pt idx="30">
                  <c:v>209</c:v>
                </c:pt>
                <c:pt idx="31">
                  <c:v>209</c:v>
                </c:pt>
                <c:pt idx="32">
                  <c:v>208</c:v>
                </c:pt>
                <c:pt idx="33">
                  <c:v>207</c:v>
                </c:pt>
                <c:pt idx="34">
                  <c:v>205</c:v>
                </c:pt>
                <c:pt idx="35">
                  <c:v>205</c:v>
                </c:pt>
                <c:pt idx="36">
                  <c:v>205</c:v>
                </c:pt>
                <c:pt idx="37">
                  <c:v>202</c:v>
                </c:pt>
                <c:pt idx="38">
                  <c:v>201</c:v>
                </c:pt>
                <c:pt idx="39">
                  <c:v>200</c:v>
                </c:pt>
                <c:pt idx="40">
                  <c:v>198</c:v>
                </c:pt>
                <c:pt idx="41">
                  <c:v>196</c:v>
                </c:pt>
                <c:pt idx="42">
                  <c:v>196</c:v>
                </c:pt>
                <c:pt idx="43">
                  <c:v>196</c:v>
                </c:pt>
                <c:pt idx="44">
                  <c:v>193</c:v>
                </c:pt>
                <c:pt idx="45">
                  <c:v>192</c:v>
                </c:pt>
                <c:pt idx="46">
                  <c:v>192</c:v>
                </c:pt>
                <c:pt idx="47">
                  <c:v>187</c:v>
                </c:pt>
                <c:pt idx="48">
                  <c:v>186</c:v>
                </c:pt>
                <c:pt idx="49">
                  <c:v>186</c:v>
                </c:pt>
                <c:pt idx="50">
                  <c:v>185</c:v>
                </c:pt>
                <c:pt idx="51">
                  <c:v>184</c:v>
                </c:pt>
                <c:pt idx="52">
                  <c:v>183</c:v>
                </c:pt>
                <c:pt idx="53">
                  <c:v>182</c:v>
                </c:pt>
                <c:pt idx="54">
                  <c:v>181</c:v>
                </c:pt>
                <c:pt idx="55">
                  <c:v>180</c:v>
                </c:pt>
                <c:pt idx="56">
                  <c:v>179</c:v>
                </c:pt>
                <c:pt idx="57">
                  <c:v>175</c:v>
                </c:pt>
                <c:pt idx="58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E-4E16-9463-5F8A358F0B68}"/>
            </c:ext>
          </c:extLst>
        </c:ser>
        <c:ser>
          <c:idx val="1"/>
          <c:order val="1"/>
          <c:tx>
            <c:strRef>
              <c:f>TRENDS!$D$8</c:f>
              <c:strCache>
                <c:ptCount val="1"/>
                <c:pt idx="0">
                  <c:v>Sum of Height (No Shoes)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TRENDS!$B$9:$B$68</c:f>
              <c:strCache>
                <c:ptCount val="59"/>
                <c:pt idx="0">
                  <c:v>Jarnell Stokes</c:v>
                </c:pt>
                <c:pt idx="1">
                  <c:v>Johnny O'Bryant</c:v>
                </c:pt>
                <c:pt idx="2">
                  <c:v>Jordan Bachynski</c:v>
                </c:pt>
                <c:pt idx="3">
                  <c:v>Alex Kirk</c:v>
                </c:pt>
                <c:pt idx="4">
                  <c:v>Cameron Bairstow</c:v>
                </c:pt>
                <c:pt idx="5">
                  <c:v>Julius Randle</c:v>
                </c:pt>
                <c:pt idx="6">
                  <c:v>Noah Vonleh</c:v>
                </c:pt>
                <c:pt idx="7">
                  <c:v>Patric Young</c:v>
                </c:pt>
                <c:pt idx="8">
                  <c:v>Adreian Payne</c:v>
                </c:pt>
                <c:pt idx="9">
                  <c:v>LaQuinton Ross</c:v>
                </c:pt>
                <c:pt idx="10">
                  <c:v>Dwight Powell</c:v>
                </c:pt>
                <c:pt idx="11">
                  <c:v>Alec Brown</c:v>
                </c:pt>
                <c:pt idx="12">
                  <c:v>Kyle Anderson</c:v>
                </c:pt>
                <c:pt idx="13">
                  <c:v>P.J. Hairston</c:v>
                </c:pt>
                <c:pt idx="14">
                  <c:v>James McAdoo</c:v>
                </c:pt>
                <c:pt idx="15">
                  <c:v>Marcus Smart</c:v>
                </c:pt>
                <c:pt idx="16">
                  <c:v>Lamar Patterson</c:v>
                </c:pt>
                <c:pt idx="17">
                  <c:v>Isaiah Austin</c:v>
                </c:pt>
                <c:pt idx="18">
                  <c:v>Aaron Gordon</c:v>
                </c:pt>
                <c:pt idx="19">
                  <c:v>T.J. Warren</c:v>
                </c:pt>
                <c:pt idx="20">
                  <c:v>Melvin Ejim</c:v>
                </c:pt>
                <c:pt idx="21">
                  <c:v>Sean Kilpatrick</c:v>
                </c:pt>
                <c:pt idx="22">
                  <c:v>C.J. Fair</c:v>
                </c:pt>
                <c:pt idx="23">
                  <c:v>Cory Jefferson</c:v>
                </c:pt>
                <c:pt idx="24">
                  <c:v>Doug McDermott</c:v>
                </c:pt>
                <c:pt idx="25">
                  <c:v>Joe Harris</c:v>
                </c:pt>
                <c:pt idx="26">
                  <c:v>Jerami Grant</c:v>
                </c:pt>
                <c:pt idx="27">
                  <c:v>James Young</c:v>
                </c:pt>
                <c:pt idx="28">
                  <c:v>Glenn Robinson</c:v>
                </c:pt>
                <c:pt idx="29">
                  <c:v>Khem Birch</c:v>
                </c:pt>
                <c:pt idx="30">
                  <c:v>Cleanthony Early</c:v>
                </c:pt>
                <c:pt idx="31">
                  <c:v>Jordan Adams</c:v>
                </c:pt>
                <c:pt idx="32">
                  <c:v>Rodney Hood</c:v>
                </c:pt>
                <c:pt idx="33">
                  <c:v>Nik Stauskas</c:v>
                </c:pt>
                <c:pt idx="34">
                  <c:v>Gary Harris</c:v>
                </c:pt>
                <c:pt idx="35">
                  <c:v>Spencer Dinwiddie</c:v>
                </c:pt>
                <c:pt idx="36">
                  <c:v>Thanasis Antetokounmpo</c:v>
                </c:pt>
                <c:pt idx="37">
                  <c:v>Jabari Brown</c:v>
                </c:pt>
                <c:pt idx="38">
                  <c:v>C.J. Wilcox</c:v>
                </c:pt>
                <c:pt idx="39">
                  <c:v>DeAndre Kane</c:v>
                </c:pt>
                <c:pt idx="40">
                  <c:v>Nick Johnson</c:v>
                </c:pt>
                <c:pt idx="41">
                  <c:v>K.J. McDaniels</c:v>
                </c:pt>
                <c:pt idx="42">
                  <c:v>Dante Exum</c:v>
                </c:pt>
                <c:pt idx="43">
                  <c:v>DeAndre Daniels</c:v>
                </c:pt>
                <c:pt idx="44">
                  <c:v>Deonte Burton</c:v>
                </c:pt>
                <c:pt idx="45">
                  <c:v>Aaron Craft</c:v>
                </c:pt>
                <c:pt idx="46">
                  <c:v>Devyn Marble</c:v>
                </c:pt>
                <c:pt idx="47">
                  <c:v>Xavier Thames</c:v>
                </c:pt>
                <c:pt idx="48">
                  <c:v>Jordan Clarkson</c:v>
                </c:pt>
                <c:pt idx="49">
                  <c:v>Semaj Christon</c:v>
                </c:pt>
                <c:pt idx="50">
                  <c:v>Elfrid Payton</c:v>
                </c:pt>
                <c:pt idx="51">
                  <c:v>Markel Brown</c:v>
                </c:pt>
                <c:pt idx="52">
                  <c:v>Kendall Williams</c:v>
                </c:pt>
                <c:pt idx="53">
                  <c:v>Tyler Ennis</c:v>
                </c:pt>
                <c:pt idx="54">
                  <c:v>Zach LaVine</c:v>
                </c:pt>
                <c:pt idx="55">
                  <c:v>Jahii Carson</c:v>
                </c:pt>
                <c:pt idx="56">
                  <c:v>Jordan McRae</c:v>
                </c:pt>
                <c:pt idx="57">
                  <c:v>Shabazz Napier</c:v>
                </c:pt>
                <c:pt idx="58">
                  <c:v>Russ Smith</c:v>
                </c:pt>
              </c:strCache>
            </c:strRef>
          </c:cat>
          <c:val>
            <c:numRef>
              <c:f>TRENDS!$D$9:$D$68</c:f>
              <c:numCache>
                <c:formatCode>General</c:formatCode>
                <c:ptCount val="59"/>
                <c:pt idx="0">
                  <c:v>79</c:v>
                </c:pt>
                <c:pt idx="1">
                  <c:v>79.25</c:v>
                </c:pt>
                <c:pt idx="2">
                  <c:v>85.25</c:v>
                </c:pt>
                <c:pt idx="3">
                  <c:v>81.25</c:v>
                </c:pt>
                <c:pt idx="4">
                  <c:v>80.75</c:v>
                </c:pt>
                <c:pt idx="5">
                  <c:v>79.75</c:v>
                </c:pt>
                <c:pt idx="6">
                  <c:v>80</c:v>
                </c:pt>
                <c:pt idx="7">
                  <c:v>80.5</c:v>
                </c:pt>
                <c:pt idx="8">
                  <c:v>81</c:v>
                </c:pt>
                <c:pt idx="9">
                  <c:v>78.5</c:v>
                </c:pt>
                <c:pt idx="10">
                  <c:v>81.5</c:v>
                </c:pt>
                <c:pt idx="11">
                  <c:v>84.25</c:v>
                </c:pt>
                <c:pt idx="12">
                  <c:v>79.5</c:v>
                </c:pt>
                <c:pt idx="13">
                  <c:v>76.25</c:v>
                </c:pt>
                <c:pt idx="14">
                  <c:v>79.5</c:v>
                </c:pt>
                <c:pt idx="15">
                  <c:v>74</c:v>
                </c:pt>
                <c:pt idx="16">
                  <c:v>76</c:v>
                </c:pt>
                <c:pt idx="17">
                  <c:v>83.5</c:v>
                </c:pt>
                <c:pt idx="18">
                  <c:v>79.5</c:v>
                </c:pt>
                <c:pt idx="19">
                  <c:v>79</c:v>
                </c:pt>
                <c:pt idx="20">
                  <c:v>77.25</c:v>
                </c:pt>
                <c:pt idx="21">
                  <c:v>74.5</c:v>
                </c:pt>
                <c:pt idx="22">
                  <c:v>78.5</c:v>
                </c:pt>
                <c:pt idx="23">
                  <c:v>79.75</c:v>
                </c:pt>
                <c:pt idx="24">
                  <c:v>78.25</c:v>
                </c:pt>
                <c:pt idx="25">
                  <c:v>76.75</c:v>
                </c:pt>
                <c:pt idx="26">
                  <c:v>78.5</c:v>
                </c:pt>
                <c:pt idx="27">
                  <c:v>77.25</c:v>
                </c:pt>
                <c:pt idx="28">
                  <c:v>77.5</c:v>
                </c:pt>
                <c:pt idx="29">
                  <c:v>79.5</c:v>
                </c:pt>
                <c:pt idx="30">
                  <c:v>78</c:v>
                </c:pt>
                <c:pt idx="31">
                  <c:v>75.5</c:v>
                </c:pt>
                <c:pt idx="32">
                  <c:v>79.25</c:v>
                </c:pt>
                <c:pt idx="33">
                  <c:v>77.25</c:v>
                </c:pt>
                <c:pt idx="34">
                  <c:v>74.5</c:v>
                </c:pt>
                <c:pt idx="35">
                  <c:v>76.5</c:v>
                </c:pt>
                <c:pt idx="36">
                  <c:v>77.25</c:v>
                </c:pt>
                <c:pt idx="37">
                  <c:v>75</c:v>
                </c:pt>
                <c:pt idx="38">
                  <c:v>75.5</c:v>
                </c:pt>
                <c:pt idx="39">
                  <c:v>74.75</c:v>
                </c:pt>
                <c:pt idx="40">
                  <c:v>73.5</c:v>
                </c:pt>
                <c:pt idx="41">
                  <c:v>76.5</c:v>
                </c:pt>
                <c:pt idx="42">
                  <c:v>76.5</c:v>
                </c:pt>
                <c:pt idx="43">
                  <c:v>79.25</c:v>
                </c:pt>
                <c:pt idx="44">
                  <c:v>72</c:v>
                </c:pt>
                <c:pt idx="45">
                  <c:v>72.75</c:v>
                </c:pt>
                <c:pt idx="46">
                  <c:v>77</c:v>
                </c:pt>
                <c:pt idx="47">
                  <c:v>74.25</c:v>
                </c:pt>
                <c:pt idx="48">
                  <c:v>75.25</c:v>
                </c:pt>
                <c:pt idx="49">
                  <c:v>73.5</c:v>
                </c:pt>
                <c:pt idx="50">
                  <c:v>74.5</c:v>
                </c:pt>
                <c:pt idx="51">
                  <c:v>74.5</c:v>
                </c:pt>
                <c:pt idx="52">
                  <c:v>74.25</c:v>
                </c:pt>
                <c:pt idx="53">
                  <c:v>73</c:v>
                </c:pt>
                <c:pt idx="54">
                  <c:v>76.5</c:v>
                </c:pt>
                <c:pt idx="55">
                  <c:v>69.75</c:v>
                </c:pt>
                <c:pt idx="56">
                  <c:v>75.75</c:v>
                </c:pt>
                <c:pt idx="57">
                  <c:v>71</c:v>
                </c:pt>
                <c:pt idx="58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AE-4E16-9463-5F8A358F0B68}"/>
            </c:ext>
          </c:extLst>
        </c:ser>
        <c:ser>
          <c:idx val="2"/>
          <c:order val="2"/>
          <c:tx>
            <c:strRef>
              <c:f>TRENDS!$E$8</c:f>
              <c:strCache>
                <c:ptCount val="1"/>
                <c:pt idx="0">
                  <c:v>Sum of Body Fat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TRENDS!$B$9:$B$68</c:f>
              <c:strCache>
                <c:ptCount val="59"/>
                <c:pt idx="0">
                  <c:v>Jarnell Stokes</c:v>
                </c:pt>
                <c:pt idx="1">
                  <c:v>Johnny O'Bryant</c:v>
                </c:pt>
                <c:pt idx="2">
                  <c:v>Jordan Bachynski</c:v>
                </c:pt>
                <c:pt idx="3">
                  <c:v>Alex Kirk</c:v>
                </c:pt>
                <c:pt idx="4">
                  <c:v>Cameron Bairstow</c:v>
                </c:pt>
                <c:pt idx="5">
                  <c:v>Julius Randle</c:v>
                </c:pt>
                <c:pt idx="6">
                  <c:v>Noah Vonleh</c:v>
                </c:pt>
                <c:pt idx="7">
                  <c:v>Patric Young</c:v>
                </c:pt>
                <c:pt idx="8">
                  <c:v>Adreian Payne</c:v>
                </c:pt>
                <c:pt idx="9">
                  <c:v>LaQuinton Ross</c:v>
                </c:pt>
                <c:pt idx="10">
                  <c:v>Dwight Powell</c:v>
                </c:pt>
                <c:pt idx="11">
                  <c:v>Alec Brown</c:v>
                </c:pt>
                <c:pt idx="12">
                  <c:v>Kyle Anderson</c:v>
                </c:pt>
                <c:pt idx="13">
                  <c:v>P.J. Hairston</c:v>
                </c:pt>
                <c:pt idx="14">
                  <c:v>James McAdoo</c:v>
                </c:pt>
                <c:pt idx="15">
                  <c:v>Marcus Smart</c:v>
                </c:pt>
                <c:pt idx="16">
                  <c:v>Lamar Patterson</c:v>
                </c:pt>
                <c:pt idx="17">
                  <c:v>Isaiah Austin</c:v>
                </c:pt>
                <c:pt idx="18">
                  <c:v>Aaron Gordon</c:v>
                </c:pt>
                <c:pt idx="19">
                  <c:v>T.J. Warren</c:v>
                </c:pt>
                <c:pt idx="20">
                  <c:v>Melvin Ejim</c:v>
                </c:pt>
                <c:pt idx="21">
                  <c:v>Sean Kilpatrick</c:v>
                </c:pt>
                <c:pt idx="22">
                  <c:v>C.J. Fair</c:v>
                </c:pt>
                <c:pt idx="23">
                  <c:v>Cory Jefferson</c:v>
                </c:pt>
                <c:pt idx="24">
                  <c:v>Doug McDermott</c:v>
                </c:pt>
                <c:pt idx="25">
                  <c:v>Joe Harris</c:v>
                </c:pt>
                <c:pt idx="26">
                  <c:v>Jerami Grant</c:v>
                </c:pt>
                <c:pt idx="27">
                  <c:v>James Young</c:v>
                </c:pt>
                <c:pt idx="28">
                  <c:v>Glenn Robinson</c:v>
                </c:pt>
                <c:pt idx="29">
                  <c:v>Khem Birch</c:v>
                </c:pt>
                <c:pt idx="30">
                  <c:v>Cleanthony Early</c:v>
                </c:pt>
                <c:pt idx="31">
                  <c:v>Jordan Adams</c:v>
                </c:pt>
                <c:pt idx="32">
                  <c:v>Rodney Hood</c:v>
                </c:pt>
                <c:pt idx="33">
                  <c:v>Nik Stauskas</c:v>
                </c:pt>
                <c:pt idx="34">
                  <c:v>Gary Harris</c:v>
                </c:pt>
                <c:pt idx="35">
                  <c:v>Spencer Dinwiddie</c:v>
                </c:pt>
                <c:pt idx="36">
                  <c:v>Thanasis Antetokounmpo</c:v>
                </c:pt>
                <c:pt idx="37">
                  <c:v>Jabari Brown</c:v>
                </c:pt>
                <c:pt idx="38">
                  <c:v>C.J. Wilcox</c:v>
                </c:pt>
                <c:pt idx="39">
                  <c:v>DeAndre Kane</c:v>
                </c:pt>
                <c:pt idx="40">
                  <c:v>Nick Johnson</c:v>
                </c:pt>
                <c:pt idx="41">
                  <c:v>K.J. McDaniels</c:v>
                </c:pt>
                <c:pt idx="42">
                  <c:v>Dante Exum</c:v>
                </c:pt>
                <c:pt idx="43">
                  <c:v>DeAndre Daniels</c:v>
                </c:pt>
                <c:pt idx="44">
                  <c:v>Deonte Burton</c:v>
                </c:pt>
                <c:pt idx="45">
                  <c:v>Aaron Craft</c:v>
                </c:pt>
                <c:pt idx="46">
                  <c:v>Devyn Marble</c:v>
                </c:pt>
                <c:pt idx="47">
                  <c:v>Xavier Thames</c:v>
                </c:pt>
                <c:pt idx="48">
                  <c:v>Jordan Clarkson</c:v>
                </c:pt>
                <c:pt idx="49">
                  <c:v>Semaj Christon</c:v>
                </c:pt>
                <c:pt idx="50">
                  <c:v>Elfrid Payton</c:v>
                </c:pt>
                <c:pt idx="51">
                  <c:v>Markel Brown</c:v>
                </c:pt>
                <c:pt idx="52">
                  <c:v>Kendall Williams</c:v>
                </c:pt>
                <c:pt idx="53">
                  <c:v>Tyler Ennis</c:v>
                </c:pt>
                <c:pt idx="54">
                  <c:v>Zach LaVine</c:v>
                </c:pt>
                <c:pt idx="55">
                  <c:v>Jahii Carson</c:v>
                </c:pt>
                <c:pt idx="56">
                  <c:v>Jordan McRae</c:v>
                </c:pt>
                <c:pt idx="57">
                  <c:v>Shabazz Napier</c:v>
                </c:pt>
                <c:pt idx="58">
                  <c:v>Russ Smith</c:v>
                </c:pt>
              </c:strCache>
            </c:strRef>
          </c:cat>
          <c:val>
            <c:numRef>
              <c:f>TRENDS!$E$9:$E$68</c:f>
              <c:numCache>
                <c:formatCode>General</c:formatCode>
                <c:ptCount val="59"/>
                <c:pt idx="0">
                  <c:v>8.1999999999999993</c:v>
                </c:pt>
                <c:pt idx="1">
                  <c:v>10.8</c:v>
                </c:pt>
                <c:pt idx="2">
                  <c:v>7.5</c:v>
                </c:pt>
                <c:pt idx="3">
                  <c:v>13.6</c:v>
                </c:pt>
                <c:pt idx="4">
                  <c:v>8.6999999999999993</c:v>
                </c:pt>
                <c:pt idx="5">
                  <c:v>9.4</c:v>
                </c:pt>
                <c:pt idx="6">
                  <c:v>7.3</c:v>
                </c:pt>
                <c:pt idx="7">
                  <c:v>5.5</c:v>
                </c:pt>
                <c:pt idx="8">
                  <c:v>7.6</c:v>
                </c:pt>
                <c:pt idx="9">
                  <c:v>16.3</c:v>
                </c:pt>
                <c:pt idx="10">
                  <c:v>6.2</c:v>
                </c:pt>
                <c:pt idx="11">
                  <c:v>7.7</c:v>
                </c:pt>
                <c:pt idx="12">
                  <c:v>13.4</c:v>
                </c:pt>
                <c:pt idx="13">
                  <c:v>8.1999999999999993</c:v>
                </c:pt>
                <c:pt idx="14">
                  <c:v>6.2</c:v>
                </c:pt>
                <c:pt idx="15">
                  <c:v>10.6</c:v>
                </c:pt>
                <c:pt idx="16">
                  <c:v>10.8</c:v>
                </c:pt>
                <c:pt idx="17">
                  <c:v>7.5</c:v>
                </c:pt>
                <c:pt idx="18">
                  <c:v>5.0999999999999996</c:v>
                </c:pt>
                <c:pt idx="19">
                  <c:v>8</c:v>
                </c:pt>
                <c:pt idx="20">
                  <c:v>6.5</c:v>
                </c:pt>
                <c:pt idx="21">
                  <c:v>9.1999999999999993</c:v>
                </c:pt>
                <c:pt idx="22">
                  <c:v>5.0999999999999996</c:v>
                </c:pt>
                <c:pt idx="23">
                  <c:v>5.3</c:v>
                </c:pt>
                <c:pt idx="24">
                  <c:v>7.1</c:v>
                </c:pt>
                <c:pt idx="25">
                  <c:v>6.2</c:v>
                </c:pt>
                <c:pt idx="26">
                  <c:v>3.8</c:v>
                </c:pt>
                <c:pt idx="27">
                  <c:v>5.0999999999999996</c:v>
                </c:pt>
                <c:pt idx="28">
                  <c:v>5.0999999999999996</c:v>
                </c:pt>
                <c:pt idx="29">
                  <c:v>6</c:v>
                </c:pt>
                <c:pt idx="30">
                  <c:v>4.5</c:v>
                </c:pt>
                <c:pt idx="31">
                  <c:v>10.8</c:v>
                </c:pt>
                <c:pt idx="32">
                  <c:v>7.5</c:v>
                </c:pt>
                <c:pt idx="33">
                  <c:v>12.1</c:v>
                </c:pt>
                <c:pt idx="34">
                  <c:v>4.5999999999999996</c:v>
                </c:pt>
                <c:pt idx="35">
                  <c:v>5.4</c:v>
                </c:pt>
                <c:pt idx="36">
                  <c:v>6.1</c:v>
                </c:pt>
                <c:pt idx="37">
                  <c:v>6.1</c:v>
                </c:pt>
                <c:pt idx="38">
                  <c:v>6.5</c:v>
                </c:pt>
                <c:pt idx="39">
                  <c:v>5</c:v>
                </c:pt>
                <c:pt idx="40">
                  <c:v>6.1</c:v>
                </c:pt>
                <c:pt idx="41">
                  <c:v>4.5</c:v>
                </c:pt>
                <c:pt idx="42">
                  <c:v>6.4</c:v>
                </c:pt>
                <c:pt idx="43">
                  <c:v>3.9</c:v>
                </c:pt>
                <c:pt idx="44">
                  <c:v>7.7</c:v>
                </c:pt>
                <c:pt idx="45">
                  <c:v>6.1</c:v>
                </c:pt>
                <c:pt idx="46">
                  <c:v>6.9</c:v>
                </c:pt>
                <c:pt idx="47">
                  <c:v>6.4</c:v>
                </c:pt>
                <c:pt idx="48">
                  <c:v>4.3</c:v>
                </c:pt>
                <c:pt idx="49">
                  <c:v>5.3</c:v>
                </c:pt>
                <c:pt idx="50">
                  <c:v>5.7</c:v>
                </c:pt>
                <c:pt idx="51">
                  <c:v>4.2</c:v>
                </c:pt>
                <c:pt idx="52">
                  <c:v>7.2</c:v>
                </c:pt>
                <c:pt idx="53">
                  <c:v>6.2</c:v>
                </c:pt>
                <c:pt idx="54">
                  <c:v>4.7</c:v>
                </c:pt>
                <c:pt idx="55">
                  <c:v>6.5</c:v>
                </c:pt>
                <c:pt idx="56">
                  <c:v>5.2</c:v>
                </c:pt>
                <c:pt idx="57">
                  <c:v>7.4</c:v>
                </c:pt>
                <c:pt idx="58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AE-4E16-9463-5F8A358F0B68}"/>
            </c:ext>
          </c:extLst>
        </c:ser>
        <c:ser>
          <c:idx val="3"/>
          <c:order val="3"/>
          <c:tx>
            <c:strRef>
              <c:f>TRENDS!$F$8</c:f>
              <c:strCache>
                <c:ptCount val="1"/>
                <c:pt idx="0">
                  <c:v>Sum of Height (With Shoes)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TRENDS!$B$9:$B$68</c:f>
              <c:strCache>
                <c:ptCount val="59"/>
                <c:pt idx="0">
                  <c:v>Jarnell Stokes</c:v>
                </c:pt>
                <c:pt idx="1">
                  <c:v>Johnny O'Bryant</c:v>
                </c:pt>
                <c:pt idx="2">
                  <c:v>Jordan Bachynski</c:v>
                </c:pt>
                <c:pt idx="3">
                  <c:v>Alex Kirk</c:v>
                </c:pt>
                <c:pt idx="4">
                  <c:v>Cameron Bairstow</c:v>
                </c:pt>
                <c:pt idx="5">
                  <c:v>Julius Randle</c:v>
                </c:pt>
                <c:pt idx="6">
                  <c:v>Noah Vonleh</c:v>
                </c:pt>
                <c:pt idx="7">
                  <c:v>Patric Young</c:v>
                </c:pt>
                <c:pt idx="8">
                  <c:v>Adreian Payne</c:v>
                </c:pt>
                <c:pt idx="9">
                  <c:v>LaQuinton Ross</c:v>
                </c:pt>
                <c:pt idx="10">
                  <c:v>Dwight Powell</c:v>
                </c:pt>
                <c:pt idx="11">
                  <c:v>Alec Brown</c:v>
                </c:pt>
                <c:pt idx="12">
                  <c:v>Kyle Anderson</c:v>
                </c:pt>
                <c:pt idx="13">
                  <c:v>P.J. Hairston</c:v>
                </c:pt>
                <c:pt idx="14">
                  <c:v>James McAdoo</c:v>
                </c:pt>
                <c:pt idx="15">
                  <c:v>Marcus Smart</c:v>
                </c:pt>
                <c:pt idx="16">
                  <c:v>Lamar Patterson</c:v>
                </c:pt>
                <c:pt idx="17">
                  <c:v>Isaiah Austin</c:v>
                </c:pt>
                <c:pt idx="18">
                  <c:v>Aaron Gordon</c:v>
                </c:pt>
                <c:pt idx="19">
                  <c:v>T.J. Warren</c:v>
                </c:pt>
                <c:pt idx="20">
                  <c:v>Melvin Ejim</c:v>
                </c:pt>
                <c:pt idx="21">
                  <c:v>Sean Kilpatrick</c:v>
                </c:pt>
                <c:pt idx="22">
                  <c:v>C.J. Fair</c:v>
                </c:pt>
                <c:pt idx="23">
                  <c:v>Cory Jefferson</c:v>
                </c:pt>
                <c:pt idx="24">
                  <c:v>Doug McDermott</c:v>
                </c:pt>
                <c:pt idx="25">
                  <c:v>Joe Harris</c:v>
                </c:pt>
                <c:pt idx="26">
                  <c:v>Jerami Grant</c:v>
                </c:pt>
                <c:pt idx="27">
                  <c:v>James Young</c:v>
                </c:pt>
                <c:pt idx="28">
                  <c:v>Glenn Robinson</c:v>
                </c:pt>
                <c:pt idx="29">
                  <c:v>Khem Birch</c:v>
                </c:pt>
                <c:pt idx="30">
                  <c:v>Cleanthony Early</c:v>
                </c:pt>
                <c:pt idx="31">
                  <c:v>Jordan Adams</c:v>
                </c:pt>
                <c:pt idx="32">
                  <c:v>Rodney Hood</c:v>
                </c:pt>
                <c:pt idx="33">
                  <c:v>Nik Stauskas</c:v>
                </c:pt>
                <c:pt idx="34">
                  <c:v>Gary Harris</c:v>
                </c:pt>
                <c:pt idx="35">
                  <c:v>Spencer Dinwiddie</c:v>
                </c:pt>
                <c:pt idx="36">
                  <c:v>Thanasis Antetokounmpo</c:v>
                </c:pt>
                <c:pt idx="37">
                  <c:v>Jabari Brown</c:v>
                </c:pt>
                <c:pt idx="38">
                  <c:v>C.J. Wilcox</c:v>
                </c:pt>
                <c:pt idx="39">
                  <c:v>DeAndre Kane</c:v>
                </c:pt>
                <c:pt idx="40">
                  <c:v>Nick Johnson</c:v>
                </c:pt>
                <c:pt idx="41">
                  <c:v>K.J. McDaniels</c:v>
                </c:pt>
                <c:pt idx="42">
                  <c:v>Dante Exum</c:v>
                </c:pt>
                <c:pt idx="43">
                  <c:v>DeAndre Daniels</c:v>
                </c:pt>
                <c:pt idx="44">
                  <c:v>Deonte Burton</c:v>
                </c:pt>
                <c:pt idx="45">
                  <c:v>Aaron Craft</c:v>
                </c:pt>
                <c:pt idx="46">
                  <c:v>Devyn Marble</c:v>
                </c:pt>
                <c:pt idx="47">
                  <c:v>Xavier Thames</c:v>
                </c:pt>
                <c:pt idx="48">
                  <c:v>Jordan Clarkson</c:v>
                </c:pt>
                <c:pt idx="49">
                  <c:v>Semaj Christon</c:v>
                </c:pt>
                <c:pt idx="50">
                  <c:v>Elfrid Payton</c:v>
                </c:pt>
                <c:pt idx="51">
                  <c:v>Markel Brown</c:v>
                </c:pt>
                <c:pt idx="52">
                  <c:v>Kendall Williams</c:v>
                </c:pt>
                <c:pt idx="53">
                  <c:v>Tyler Ennis</c:v>
                </c:pt>
                <c:pt idx="54">
                  <c:v>Zach LaVine</c:v>
                </c:pt>
                <c:pt idx="55">
                  <c:v>Jahii Carson</c:v>
                </c:pt>
                <c:pt idx="56">
                  <c:v>Jordan McRae</c:v>
                </c:pt>
                <c:pt idx="57">
                  <c:v>Shabazz Napier</c:v>
                </c:pt>
                <c:pt idx="58">
                  <c:v>Russ Smith</c:v>
                </c:pt>
              </c:strCache>
            </c:strRef>
          </c:cat>
          <c:val>
            <c:numRef>
              <c:f>TRENDS!$F$9:$F$68</c:f>
              <c:numCache>
                <c:formatCode>General</c:formatCode>
                <c:ptCount val="59"/>
                <c:pt idx="0">
                  <c:v>80.5</c:v>
                </c:pt>
                <c:pt idx="1">
                  <c:v>80.5</c:v>
                </c:pt>
                <c:pt idx="2">
                  <c:v>86</c:v>
                </c:pt>
                <c:pt idx="3">
                  <c:v>82.75</c:v>
                </c:pt>
                <c:pt idx="4">
                  <c:v>81.75</c:v>
                </c:pt>
                <c:pt idx="5">
                  <c:v>81</c:v>
                </c:pt>
                <c:pt idx="6">
                  <c:v>81.5</c:v>
                </c:pt>
                <c:pt idx="7">
                  <c:v>82</c:v>
                </c:pt>
                <c:pt idx="8">
                  <c:v>81.75</c:v>
                </c:pt>
                <c:pt idx="9">
                  <c:v>79.5</c:v>
                </c:pt>
                <c:pt idx="10">
                  <c:v>83</c:v>
                </c:pt>
                <c:pt idx="11">
                  <c:v>85.25</c:v>
                </c:pt>
                <c:pt idx="12">
                  <c:v>80.5</c:v>
                </c:pt>
                <c:pt idx="13">
                  <c:v>77.25</c:v>
                </c:pt>
                <c:pt idx="14">
                  <c:v>80.75</c:v>
                </c:pt>
                <c:pt idx="15">
                  <c:v>75.25</c:v>
                </c:pt>
                <c:pt idx="16">
                  <c:v>77.25</c:v>
                </c:pt>
                <c:pt idx="17">
                  <c:v>84.5</c:v>
                </c:pt>
                <c:pt idx="18">
                  <c:v>80.75</c:v>
                </c:pt>
                <c:pt idx="19">
                  <c:v>80.25</c:v>
                </c:pt>
                <c:pt idx="20">
                  <c:v>79</c:v>
                </c:pt>
                <c:pt idx="21">
                  <c:v>76.25</c:v>
                </c:pt>
                <c:pt idx="22">
                  <c:v>80</c:v>
                </c:pt>
                <c:pt idx="23">
                  <c:v>81</c:v>
                </c:pt>
                <c:pt idx="24">
                  <c:v>79.75</c:v>
                </c:pt>
                <c:pt idx="25">
                  <c:v>78.25</c:v>
                </c:pt>
                <c:pt idx="26">
                  <c:v>79.75</c:v>
                </c:pt>
                <c:pt idx="27">
                  <c:v>78.75</c:v>
                </c:pt>
                <c:pt idx="28">
                  <c:v>78.75</c:v>
                </c:pt>
                <c:pt idx="29">
                  <c:v>81.25</c:v>
                </c:pt>
                <c:pt idx="30">
                  <c:v>79.25</c:v>
                </c:pt>
                <c:pt idx="31">
                  <c:v>76.75</c:v>
                </c:pt>
                <c:pt idx="32">
                  <c:v>80.5</c:v>
                </c:pt>
                <c:pt idx="33">
                  <c:v>78.5</c:v>
                </c:pt>
                <c:pt idx="34">
                  <c:v>76.5</c:v>
                </c:pt>
                <c:pt idx="35">
                  <c:v>78</c:v>
                </c:pt>
                <c:pt idx="36">
                  <c:v>78.25</c:v>
                </c:pt>
                <c:pt idx="37">
                  <c:v>76.25</c:v>
                </c:pt>
                <c:pt idx="38">
                  <c:v>77</c:v>
                </c:pt>
                <c:pt idx="39">
                  <c:v>76.5</c:v>
                </c:pt>
                <c:pt idx="40">
                  <c:v>75</c:v>
                </c:pt>
                <c:pt idx="41">
                  <c:v>78</c:v>
                </c:pt>
                <c:pt idx="42">
                  <c:v>78</c:v>
                </c:pt>
                <c:pt idx="43">
                  <c:v>80.5</c:v>
                </c:pt>
                <c:pt idx="44">
                  <c:v>73.25</c:v>
                </c:pt>
                <c:pt idx="45">
                  <c:v>73.75</c:v>
                </c:pt>
                <c:pt idx="46">
                  <c:v>78.5</c:v>
                </c:pt>
                <c:pt idx="47">
                  <c:v>75.5</c:v>
                </c:pt>
                <c:pt idx="48">
                  <c:v>77</c:v>
                </c:pt>
                <c:pt idx="49">
                  <c:v>75.25</c:v>
                </c:pt>
                <c:pt idx="50">
                  <c:v>75.75</c:v>
                </c:pt>
                <c:pt idx="51">
                  <c:v>75.5</c:v>
                </c:pt>
                <c:pt idx="52">
                  <c:v>75.75</c:v>
                </c:pt>
                <c:pt idx="53">
                  <c:v>74.5</c:v>
                </c:pt>
                <c:pt idx="54">
                  <c:v>77.75</c:v>
                </c:pt>
                <c:pt idx="55">
                  <c:v>71</c:v>
                </c:pt>
                <c:pt idx="56">
                  <c:v>77.25</c:v>
                </c:pt>
                <c:pt idx="57">
                  <c:v>73</c:v>
                </c:pt>
                <c:pt idx="58">
                  <c:v>72.75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AE-4E16-9463-5F8A358F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222038304"/>
        <c:axId val="1125291183"/>
      </c:barChart>
      <c:catAx>
        <c:axId val="12220383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Player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291183"/>
        <c:crosses val="autoZero"/>
        <c:auto val="1"/>
        <c:lblAlgn val="ctr"/>
        <c:lblOffset val="100"/>
        <c:noMultiLvlLbl val="0"/>
      </c:catAx>
      <c:valAx>
        <c:axId val="11252911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3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25400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tx>
            <c:strRef>
              <c:f>'MAIN ANAL'!$B$2:$D$2</c:f>
              <c:strCache>
                <c:ptCount val="3"/>
                <c:pt idx="0">
                  <c:v>DeAndre Daniels</c:v>
                </c:pt>
              </c:strCache>
            </c:strRef>
          </c:tx>
          <c:spPr>
            <a:solidFill>
              <a:srgbClr val="FF0000">
                <a:alpha val="50196"/>
              </a:srgbClr>
            </a:solidFill>
            <a:ln w="25400">
              <a:solidFill>
                <a:schemeClr val="tx1"/>
              </a:solidFill>
              <a:prstDash val="sysDot"/>
            </a:ln>
            <a:effectLst/>
          </c:spPr>
          <c:cat>
            <c:strRef>
              <c:f>'MAIN ANAL'!$B$3:$O$3</c:f>
              <c:strCache>
                <c:ptCount val="14"/>
                <c:pt idx="0">
                  <c:v>T_Height (No Shoes)</c:v>
                </c:pt>
                <c:pt idx="1">
                  <c:v>T_Height (With Shoes)</c:v>
                </c:pt>
                <c:pt idx="2">
                  <c:v>T_Wingspan</c:v>
                </c:pt>
                <c:pt idx="3">
                  <c:v>T_Standing reach</c:v>
                </c:pt>
                <c:pt idx="4">
                  <c:v>T_Vertical (Max)</c:v>
                </c:pt>
                <c:pt idx="5">
                  <c:v>T_Vertical (Max Reach)</c:v>
                </c:pt>
                <c:pt idx="6">
                  <c:v>T_Vertical (No Step)</c:v>
                </c:pt>
                <c:pt idx="7">
                  <c:v>T_Vertical (No Step Reach)</c:v>
                </c:pt>
                <c:pt idx="8">
                  <c:v>T_Weight</c:v>
                </c:pt>
                <c:pt idx="9">
                  <c:v>T_Body Fat</c:v>
                </c:pt>
                <c:pt idx="10">
                  <c:v>T_Hand (Length)</c:v>
                </c:pt>
                <c:pt idx="11">
                  <c:v>T_Hand (Width)</c:v>
                </c:pt>
                <c:pt idx="12">
                  <c:v>T_Agility</c:v>
                </c:pt>
                <c:pt idx="13">
                  <c:v>T_Sprint</c:v>
                </c:pt>
              </c:strCache>
            </c:strRef>
          </c:cat>
          <c:val>
            <c:numRef>
              <c:f>'MAIN ANAL'!$B$4:$O$4</c:f>
              <c:numCache>
                <c:formatCode>0.000</c:formatCode>
                <c:ptCount val="14"/>
                <c:pt idx="0">
                  <c:v>56.660795912059399</c:v>
                </c:pt>
                <c:pt idx="1">
                  <c:v>56.54280976662352</c:v>
                </c:pt>
                <c:pt idx="2">
                  <c:v>60.697094738222304</c:v>
                </c:pt>
                <c:pt idx="3">
                  <c:v>59.795663690572255</c:v>
                </c:pt>
                <c:pt idx="4">
                  <c:v>38.534718933948</c:v>
                </c:pt>
                <c:pt idx="5">
                  <c:v>51.529552804234548</c:v>
                </c:pt>
                <c:pt idx="6">
                  <c:v>36.260267259261738</c:v>
                </c:pt>
                <c:pt idx="7">
                  <c:v>51.848441536138665</c:v>
                </c:pt>
                <c:pt idx="8">
                  <c:v>43.240878674342667</c:v>
                </c:pt>
                <c:pt idx="9">
                  <c:v>37.761360959803525</c:v>
                </c:pt>
                <c:pt idx="10">
                  <c:v>62.128848651340178</c:v>
                </c:pt>
                <c:pt idx="11">
                  <c:v>68.214305397055057</c:v>
                </c:pt>
                <c:pt idx="12">
                  <c:v>51.983594269086289</c:v>
                </c:pt>
                <c:pt idx="13">
                  <c:v>56.54280976662352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5-4842-95BC-BD286050197F}"/>
            </c:ext>
          </c:extLst>
        </c:ser>
        <c:ser>
          <c:idx val="1"/>
          <c:order val="1"/>
          <c:tx>
            <c:strRef>
              <c:f>'MAIN ANAL'!$A$5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156082">
                <a:alpha val="52157"/>
              </a:srgbClr>
            </a:solidFill>
            <a:ln w="25400">
              <a:solidFill>
                <a:schemeClr val="accent1"/>
              </a:solidFill>
              <a:prstDash val="sysDot"/>
            </a:ln>
            <a:effectLst/>
          </c:spPr>
          <c:val>
            <c:numRef>
              <c:f>'MAIN ANAL'!$B$5:$O$5</c:f>
              <c:numCache>
                <c:formatCode>General</c:formatCode>
                <c:ptCount val="1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C5-4842-95BC-BD2860501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116576"/>
        <c:axId val="1500116096"/>
      </c:radarChart>
      <c:catAx>
        <c:axId val="150011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116096"/>
        <c:crosses val="autoZero"/>
        <c:auto val="1"/>
        <c:lblAlgn val="ctr"/>
        <c:lblOffset val="100"/>
        <c:noMultiLvlLbl val="0"/>
      </c:catAx>
      <c:valAx>
        <c:axId val="15001160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1165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>
                <a:alpha val="50196"/>
              </a:srgbClr>
            </a:solidFill>
            <a:ln>
              <a:noFill/>
            </a:ln>
            <a:effectLst/>
          </c:spPr>
          <c:invertIfNegative val="0"/>
          <c:cat>
            <c:strRef>
              <c:f>'MAIN ANAL'!$B$7:$O$7</c:f>
              <c:strCache>
                <c:ptCount val="14"/>
                <c:pt idx="0">
                  <c:v>Z_Height (No Shoes)</c:v>
                </c:pt>
                <c:pt idx="1">
                  <c:v>Z_Height (With Shoes)</c:v>
                </c:pt>
                <c:pt idx="2">
                  <c:v>Z_Wingspan</c:v>
                </c:pt>
                <c:pt idx="3">
                  <c:v>Z_Standing reach</c:v>
                </c:pt>
                <c:pt idx="4">
                  <c:v>Z_Vertical (Max)</c:v>
                </c:pt>
                <c:pt idx="5">
                  <c:v>Z_Vertical (Max Reach)</c:v>
                </c:pt>
                <c:pt idx="6">
                  <c:v>Z_Vertical (No Step)</c:v>
                </c:pt>
                <c:pt idx="7">
                  <c:v>Z_Vertical (No Step Reach)</c:v>
                </c:pt>
                <c:pt idx="8">
                  <c:v>Z_Weight</c:v>
                </c:pt>
                <c:pt idx="9">
                  <c:v>Z_Body Fat</c:v>
                </c:pt>
                <c:pt idx="10">
                  <c:v>Z_Hand (Length)</c:v>
                </c:pt>
                <c:pt idx="11">
                  <c:v>Z_Hand (Width)</c:v>
                </c:pt>
                <c:pt idx="12">
                  <c:v>Z_Agility</c:v>
                </c:pt>
                <c:pt idx="13">
                  <c:v>Z_Sprint</c:v>
                </c:pt>
              </c:strCache>
            </c:strRef>
          </c:cat>
          <c:val>
            <c:numRef>
              <c:f>'MAIN ANAL'!$B$8:$O$8</c:f>
              <c:numCache>
                <c:formatCode>0.000</c:formatCode>
                <c:ptCount val="14"/>
                <c:pt idx="0">
                  <c:v>0.66607959120594029</c:v>
                </c:pt>
                <c:pt idx="1">
                  <c:v>0.65428097666235219</c:v>
                </c:pt>
                <c:pt idx="2">
                  <c:v>1.0697094738222304</c:v>
                </c:pt>
                <c:pt idx="3">
                  <c:v>0.97956636905722516</c:v>
                </c:pt>
                <c:pt idx="4">
                  <c:v>-1.1465281066052004</c:v>
                </c:pt>
                <c:pt idx="5">
                  <c:v>0.15295528042345483</c:v>
                </c:pt>
                <c:pt idx="6">
                  <c:v>-1.373973274073826</c:v>
                </c:pt>
                <c:pt idx="7">
                  <c:v>0.18484415361386689</c:v>
                </c:pt>
                <c:pt idx="8">
                  <c:v>-0.6759121325657329</c:v>
                </c:pt>
                <c:pt idx="9">
                  <c:v>-1.2238639040196471</c:v>
                </c:pt>
                <c:pt idx="10">
                  <c:v>1.2128848651340178</c:v>
                </c:pt>
                <c:pt idx="11">
                  <c:v>1.8214305397055064</c:v>
                </c:pt>
                <c:pt idx="12">
                  <c:v>0.19835942690862868</c:v>
                </c:pt>
                <c:pt idx="13">
                  <c:v>1.2572908405912724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D-4A68-9683-AE416AFCB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-27"/>
        <c:axId val="1336565296"/>
        <c:axId val="1336567216"/>
      </c:barChart>
      <c:catAx>
        <c:axId val="133656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567216"/>
        <c:crosses val="autoZero"/>
        <c:auto val="1"/>
        <c:lblAlgn val="ctr"/>
        <c:lblOffset val="100"/>
        <c:noMultiLvlLbl val="0"/>
      </c:catAx>
      <c:valAx>
        <c:axId val="133656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56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'MAIN ANAL'!$L$10</c:f>
              <c:strCache>
                <c:ptCount val="1"/>
                <c:pt idx="0">
                  <c:v>TSA Team</c:v>
                </c:pt>
              </c:strCache>
            </c:strRef>
          </c:tx>
          <c:spPr>
            <a:solidFill>
              <a:srgbClr val="0070C0">
                <a:alpha val="43922"/>
              </a:srgbClr>
            </a:solidFill>
            <a:ln>
              <a:noFill/>
            </a:ln>
            <a:effectLst/>
          </c:spPr>
          <c:invertIfNegative val="0"/>
          <c:cat>
            <c:strRef>
              <c:f>'MAIN ANAL'!$K$11:$K$69</c:f>
              <c:strCache>
                <c:ptCount val="59"/>
                <c:pt idx="0">
                  <c:v>Aaron Craft</c:v>
                </c:pt>
                <c:pt idx="1">
                  <c:v>Aaron Gordon</c:v>
                </c:pt>
                <c:pt idx="2">
                  <c:v>Adreian Payne</c:v>
                </c:pt>
                <c:pt idx="3">
                  <c:v>Alec Brown</c:v>
                </c:pt>
                <c:pt idx="4">
                  <c:v>Alex Kirk</c:v>
                </c:pt>
                <c:pt idx="5">
                  <c:v>C.J. Fair</c:v>
                </c:pt>
                <c:pt idx="6">
                  <c:v>C.J. Wilcox</c:v>
                </c:pt>
                <c:pt idx="7">
                  <c:v>Cameron Bairstow</c:v>
                </c:pt>
                <c:pt idx="8">
                  <c:v>Cleanthony Early</c:v>
                </c:pt>
                <c:pt idx="9">
                  <c:v>Cory Jefferson</c:v>
                </c:pt>
                <c:pt idx="10">
                  <c:v>Dante Exum</c:v>
                </c:pt>
                <c:pt idx="11">
                  <c:v>DeAndre Daniels</c:v>
                </c:pt>
                <c:pt idx="12">
                  <c:v>DeAndre Kane</c:v>
                </c:pt>
                <c:pt idx="13">
                  <c:v>Deonte Burton</c:v>
                </c:pt>
                <c:pt idx="14">
                  <c:v>Devyn Marble</c:v>
                </c:pt>
                <c:pt idx="15">
                  <c:v>Doug McDermott</c:v>
                </c:pt>
                <c:pt idx="16">
                  <c:v>Dwight Powell</c:v>
                </c:pt>
                <c:pt idx="17">
                  <c:v>Elfrid Payton</c:v>
                </c:pt>
                <c:pt idx="18">
                  <c:v>Gary Harris</c:v>
                </c:pt>
                <c:pt idx="19">
                  <c:v>Glenn Robinson</c:v>
                </c:pt>
                <c:pt idx="20">
                  <c:v>Isaiah Austin</c:v>
                </c:pt>
                <c:pt idx="21">
                  <c:v>Jabari Brown</c:v>
                </c:pt>
                <c:pt idx="22">
                  <c:v>Jahii Carson</c:v>
                </c:pt>
                <c:pt idx="23">
                  <c:v>James McAdoo</c:v>
                </c:pt>
                <c:pt idx="24">
                  <c:v>James Young</c:v>
                </c:pt>
                <c:pt idx="25">
                  <c:v>Jarnell Stokes</c:v>
                </c:pt>
                <c:pt idx="26">
                  <c:v>Jerami Grant</c:v>
                </c:pt>
                <c:pt idx="27">
                  <c:v>Joe Harris</c:v>
                </c:pt>
                <c:pt idx="28">
                  <c:v>Johnny O'Bryant</c:v>
                </c:pt>
                <c:pt idx="29">
                  <c:v>Jordan Adams</c:v>
                </c:pt>
                <c:pt idx="30">
                  <c:v>Jordan Bachynski</c:v>
                </c:pt>
                <c:pt idx="31">
                  <c:v>Jordan Clarkson</c:v>
                </c:pt>
                <c:pt idx="32">
                  <c:v>Jordan McRae</c:v>
                </c:pt>
                <c:pt idx="33">
                  <c:v>Julius Randle</c:v>
                </c:pt>
                <c:pt idx="34">
                  <c:v>K.J. McDaniels</c:v>
                </c:pt>
                <c:pt idx="35">
                  <c:v>Kendall Williams</c:v>
                </c:pt>
                <c:pt idx="36">
                  <c:v>Khem Birch</c:v>
                </c:pt>
                <c:pt idx="37">
                  <c:v>Kyle Anderson</c:v>
                </c:pt>
                <c:pt idx="38">
                  <c:v>LaQuinton Ross</c:v>
                </c:pt>
                <c:pt idx="39">
                  <c:v>Lamar Patterson</c:v>
                </c:pt>
                <c:pt idx="40">
                  <c:v>Marcus Smart</c:v>
                </c:pt>
                <c:pt idx="41">
                  <c:v>Markel Brown</c:v>
                </c:pt>
                <c:pt idx="42">
                  <c:v>Melvin Ejim</c:v>
                </c:pt>
                <c:pt idx="43">
                  <c:v>Nick Johnson</c:v>
                </c:pt>
                <c:pt idx="44">
                  <c:v>Nik Stauskas</c:v>
                </c:pt>
                <c:pt idx="45">
                  <c:v>Noah Vonleh</c:v>
                </c:pt>
                <c:pt idx="46">
                  <c:v>P.J. Hairston</c:v>
                </c:pt>
                <c:pt idx="47">
                  <c:v>Patric Young</c:v>
                </c:pt>
                <c:pt idx="48">
                  <c:v>Rodney Hood</c:v>
                </c:pt>
                <c:pt idx="49">
                  <c:v>Russ Smith</c:v>
                </c:pt>
                <c:pt idx="50">
                  <c:v>Sean Kilpatrick</c:v>
                </c:pt>
                <c:pt idx="51">
                  <c:v>Semaj Christon</c:v>
                </c:pt>
                <c:pt idx="52">
                  <c:v>Shabazz Napier</c:v>
                </c:pt>
                <c:pt idx="53">
                  <c:v>Spencer Dinwiddie</c:v>
                </c:pt>
                <c:pt idx="54">
                  <c:v>T.J. Warren</c:v>
                </c:pt>
                <c:pt idx="55">
                  <c:v>Thanasis Antetokounmpo</c:v>
                </c:pt>
                <c:pt idx="56">
                  <c:v>Tyler Ennis</c:v>
                </c:pt>
                <c:pt idx="57">
                  <c:v>Xavier Thames</c:v>
                </c:pt>
                <c:pt idx="58">
                  <c:v>Zach LaVine</c:v>
                </c:pt>
              </c:strCache>
            </c:strRef>
          </c:cat>
          <c:val>
            <c:numRef>
              <c:f>'MAIN ANAL'!$L$11:$L$69</c:f>
              <c:numCache>
                <c:formatCode>0.00</c:formatCode>
                <c:ptCount val="59"/>
                <c:pt idx="0">
                  <c:v>506.75705041940802</c:v>
                </c:pt>
                <c:pt idx="1">
                  <c:v>772.93002196751752</c:v>
                </c:pt>
                <c:pt idx="2">
                  <c:v>-629.55057014254658</c:v>
                </c:pt>
                <c:pt idx="3">
                  <c:v>798.91572107936133</c:v>
                </c:pt>
                <c:pt idx="4">
                  <c:v>846.83185799247781</c:v>
                </c:pt>
                <c:pt idx="5">
                  <c:v>690.32431087813961</c:v>
                </c:pt>
                <c:pt idx="6">
                  <c:v>675.02768372150899</c:v>
                </c:pt>
                <c:pt idx="7">
                  <c:v>785.70424738805491</c:v>
                </c:pt>
                <c:pt idx="8">
                  <c:v>715.73451407379662</c:v>
                </c:pt>
                <c:pt idx="9">
                  <c:v>806.61917500370259</c:v>
                </c:pt>
                <c:pt idx="10">
                  <c:v>669.80976768591768</c:v>
                </c:pt>
                <c:pt idx="11">
                  <c:v>0</c:v>
                </c:pt>
                <c:pt idx="12">
                  <c:v>617.20044800094081</c:v>
                </c:pt>
                <c:pt idx="13">
                  <c:v>602.69904352576157</c:v>
                </c:pt>
                <c:pt idx="14">
                  <c:v>652.44925196566282</c:v>
                </c:pt>
                <c:pt idx="15">
                  <c:v>710.21986994002998</c:v>
                </c:pt>
                <c:pt idx="16">
                  <c:v>743.44325129073979</c:v>
                </c:pt>
                <c:pt idx="17">
                  <c:v>626.8682484545252</c:v>
                </c:pt>
                <c:pt idx="18">
                  <c:v>-766.29219423290226</c:v>
                </c:pt>
                <c:pt idx="19">
                  <c:v>747.25702225499583</c:v>
                </c:pt>
                <c:pt idx="20">
                  <c:v>789.82619948220122</c:v>
                </c:pt>
                <c:pt idx="21">
                  <c:v>654.32525779548519</c:v>
                </c:pt>
                <c:pt idx="22">
                  <c:v>571.34758909784034</c:v>
                </c:pt>
                <c:pt idx="23">
                  <c:v>760.04062331412956</c:v>
                </c:pt>
                <c:pt idx="24">
                  <c:v>170.27791339426096</c:v>
                </c:pt>
                <c:pt idx="25">
                  <c:v>812.98371942440122</c:v>
                </c:pt>
                <c:pt idx="26">
                  <c:v>-680.95956095529709</c:v>
                </c:pt>
                <c:pt idx="27">
                  <c:v>645.22751164968099</c:v>
                </c:pt>
                <c:pt idx="28">
                  <c:v>817.51172199279165</c:v>
                </c:pt>
                <c:pt idx="29">
                  <c:v>637.82780816532465</c:v>
                </c:pt>
                <c:pt idx="30">
                  <c:v>853.96846685904518</c:v>
                </c:pt>
                <c:pt idx="31">
                  <c:v>637.70665441312292</c:v>
                </c:pt>
                <c:pt idx="32">
                  <c:v>660.65433350148521</c:v>
                </c:pt>
                <c:pt idx="33">
                  <c:v>749.40168770224261</c:v>
                </c:pt>
                <c:pt idx="34">
                  <c:v>724.04156993085712</c:v>
                </c:pt>
                <c:pt idx="35">
                  <c:v>247.21234841001024</c:v>
                </c:pt>
                <c:pt idx="36">
                  <c:v>752.7922886845214</c:v>
                </c:pt>
                <c:pt idx="37">
                  <c:v>-659.46396799111608</c:v>
                </c:pt>
                <c:pt idx="38">
                  <c:v>768.56926854647611</c:v>
                </c:pt>
                <c:pt idx="39">
                  <c:v>699.69343957257809</c:v>
                </c:pt>
                <c:pt idx="40">
                  <c:v>680.00460843140002</c:v>
                </c:pt>
                <c:pt idx="41">
                  <c:v>734.04623972562092</c:v>
                </c:pt>
                <c:pt idx="42">
                  <c:v>698.24004128460115</c:v>
                </c:pt>
                <c:pt idx="43">
                  <c:v>666.27897549962461</c:v>
                </c:pt>
                <c:pt idx="44">
                  <c:v>673.15538342858542</c:v>
                </c:pt>
                <c:pt idx="45">
                  <c:v>864.46283787952143</c:v>
                </c:pt>
                <c:pt idx="46">
                  <c:v>717.63420981236607</c:v>
                </c:pt>
                <c:pt idx="47">
                  <c:v>796.65948085170146</c:v>
                </c:pt>
                <c:pt idx="48">
                  <c:v>699.13135373058753</c:v>
                </c:pt>
                <c:pt idx="49">
                  <c:v>526.11727018905037</c:v>
                </c:pt>
                <c:pt idx="50">
                  <c:v>-730.9669941197966</c:v>
                </c:pt>
                <c:pt idx="51">
                  <c:v>622.0197471152544</c:v>
                </c:pt>
                <c:pt idx="52">
                  <c:v>551.65406978745079</c:v>
                </c:pt>
                <c:pt idx="53">
                  <c:v>-744.05092202410628</c:v>
                </c:pt>
                <c:pt idx="54">
                  <c:v>700.53098024626081</c:v>
                </c:pt>
                <c:pt idx="55">
                  <c:v>747.79977727838968</c:v>
                </c:pt>
                <c:pt idx="56">
                  <c:v>593.205742432958</c:v>
                </c:pt>
                <c:pt idx="57">
                  <c:v>588.15427975437763</c:v>
                </c:pt>
                <c:pt idx="58">
                  <c:v>659.41274007982645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28-4811-9C61-9BC3E27DC861}"/>
            </c:ext>
          </c:extLst>
        </c:ser>
        <c:ser>
          <c:idx val="1"/>
          <c:order val="1"/>
          <c:tx>
            <c:strRef>
              <c:f>'MAIN ANAL'!$M$10</c:f>
              <c:strCache>
                <c:ptCount val="1"/>
                <c:pt idx="0">
                  <c:v>TSA Player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'MAIN ANAL'!$M$11:$M$69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737.771240998601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28-4811-9C61-9BC3E27DC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30366480"/>
        <c:axId val="1930367440"/>
      </c:barChart>
      <c:catAx>
        <c:axId val="1930366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367440"/>
        <c:crosses val="autoZero"/>
        <c:auto val="1"/>
        <c:lblAlgn val="ctr"/>
        <c:lblOffset val="100"/>
        <c:noMultiLvlLbl val="0"/>
      </c:catAx>
      <c:valAx>
        <c:axId val="193036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36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68</xdr:row>
      <xdr:rowOff>91141</xdr:rowOff>
    </xdr:from>
    <xdr:to>
      <xdr:col>5</xdr:col>
      <xdr:colOff>1658471</xdr:colOff>
      <xdr:row>88</xdr:row>
      <xdr:rowOff>116540</xdr:rowOff>
    </xdr:to>
    <xdr:graphicFrame macro="">
      <xdr:nvGraphicFramePr>
        <xdr:cNvPr id="4" name="Chart 3" descr="Chart type: Scatter. Field: Wingspan and Field: Hand (Length) appear highly correlated.&#10;&#10;Description automatically generated">
          <a:extLst>
            <a:ext uri="{FF2B5EF4-FFF2-40B4-BE49-F238E27FC236}">
              <a16:creationId xmlns:a16="http://schemas.microsoft.com/office/drawing/2014/main" id="{0C9CCE78-80FE-473F-A99F-7A322A56F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7471</xdr:colOff>
      <xdr:row>38</xdr:row>
      <xdr:rowOff>116538</xdr:rowOff>
    </xdr:from>
    <xdr:to>
      <xdr:col>18</xdr:col>
      <xdr:colOff>304800</xdr:colOff>
      <xdr:row>61</xdr:row>
      <xdr:rowOff>168834</xdr:rowOff>
    </xdr:to>
    <xdr:graphicFrame macro="">
      <xdr:nvGraphicFramePr>
        <xdr:cNvPr id="5" name="Chart 4" descr="Chart type: Scatter. Field: Height (No Shoes) and Field: Weight appear highly correlated.&#10;&#10;Description automatically generated">
          <a:extLst>
            <a:ext uri="{FF2B5EF4-FFF2-40B4-BE49-F238E27FC236}">
              <a16:creationId xmlns:a16="http://schemas.microsoft.com/office/drawing/2014/main" id="{AFE2605A-51D4-4D60-A7D2-565FE3C03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747</xdr:colOff>
      <xdr:row>61</xdr:row>
      <xdr:rowOff>156883</xdr:rowOff>
    </xdr:from>
    <xdr:to>
      <xdr:col>18</xdr:col>
      <xdr:colOff>304800</xdr:colOff>
      <xdr:row>88</xdr:row>
      <xdr:rowOff>116542</xdr:rowOff>
    </xdr:to>
    <xdr:graphicFrame macro="">
      <xdr:nvGraphicFramePr>
        <xdr:cNvPr id="6" name="Chart 5" descr="Chart type: Scatter. Field: Standing reach and Field: Vertical (No Step Reach) appear highly correlated.&#10;&#10;Description automatically generated">
          <a:extLst>
            <a:ext uri="{FF2B5EF4-FFF2-40B4-BE49-F238E27FC236}">
              <a16:creationId xmlns:a16="http://schemas.microsoft.com/office/drawing/2014/main" id="{D3410DEC-446F-4DA3-98C5-16BEBD68E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533400</xdr:colOff>
      <xdr:row>79</xdr:row>
      <xdr:rowOff>76200</xdr:rowOff>
    </xdr:from>
    <xdr:to>
      <xdr:col>39</xdr:col>
      <xdr:colOff>381000</xdr:colOff>
      <xdr:row>111</xdr:row>
      <xdr:rowOff>76200</xdr:rowOff>
    </xdr:to>
    <xdr:graphicFrame macro="">
      <xdr:nvGraphicFramePr>
        <xdr:cNvPr id="8" name="Chart 7" descr="Chart type: Scatter. Field: Wingspan and Field: Vertical (Max Reach) appear highly correlated.&#10;&#10;Description automatically generated">
          <a:extLst>
            <a:ext uri="{FF2B5EF4-FFF2-40B4-BE49-F238E27FC236}">
              <a16:creationId xmlns:a16="http://schemas.microsoft.com/office/drawing/2014/main" id="{E28CFF9A-F1B0-48CC-9DC8-ECB249CBD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23906</xdr:colOff>
      <xdr:row>6</xdr:row>
      <xdr:rowOff>178298</xdr:rowOff>
    </xdr:from>
    <xdr:to>
      <xdr:col>18</xdr:col>
      <xdr:colOff>304800</xdr:colOff>
      <xdr:row>38</xdr:row>
      <xdr:rowOff>102097</xdr:rowOff>
    </xdr:to>
    <xdr:graphicFrame macro="">
      <xdr:nvGraphicFramePr>
        <xdr:cNvPr id="9" name="Chart 8" descr="Chart type: Clustered Column. 'Weight' by 'Player'&#10;&#10;Description automatically generated">
          <a:extLst>
            <a:ext uri="{FF2B5EF4-FFF2-40B4-BE49-F238E27FC236}">
              <a16:creationId xmlns:a16="http://schemas.microsoft.com/office/drawing/2014/main" id="{244E9F99-2EAC-41B3-9C1B-B9FBF42F7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100061</xdr:colOff>
      <xdr:row>9</xdr:row>
      <xdr:rowOff>1</xdr:rowOff>
    </xdr:from>
    <xdr:to>
      <xdr:col>9</xdr:col>
      <xdr:colOff>708122</xdr:colOff>
      <xdr:row>26</xdr:row>
      <xdr:rowOff>161636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DF9DD-B52A-AA65-A0CE-331D765E2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9</xdr:row>
      <xdr:rowOff>2307</xdr:rowOff>
    </xdr:from>
    <xdr:to>
      <xdr:col>6</xdr:col>
      <xdr:colOff>115455</xdr:colOff>
      <xdr:row>26</xdr:row>
      <xdr:rowOff>174170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A491EC-877B-EF69-F7CF-05426C11B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604322</xdr:colOff>
      <xdr:row>26</xdr:row>
      <xdr:rowOff>174061</xdr:rowOff>
    </xdr:from>
    <xdr:to>
      <xdr:col>10</xdr:col>
      <xdr:colOff>0</xdr:colOff>
      <xdr:row>68</xdr:row>
      <xdr:rowOff>169332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A346E4-77D9-45C8-BF58-436FF4748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umika Mehra" refreshedDate="45492.709617939814" createdVersion="8" refreshedVersion="8" minRefreshableVersion="3" recordCount="59" xr:uid="{6CAF8341-D1C1-45C8-AB9F-9C7EEF59FE1C}">
  <cacheSource type="worksheet">
    <worksheetSource ref="B1:R60" sheet="2014_nba_draft_combine"/>
  </cacheSource>
  <cacheFields count="17">
    <cacheField name="Player" numFmtId="0">
      <sharedItems count="59">
        <s v="Aaron Craft"/>
        <s v="Aaron Gordon"/>
        <s v="Adreian Payne"/>
        <s v="Alec Brown"/>
        <s v="Alex Kirk"/>
        <s v="C.J. Fair"/>
        <s v="C.J. Wilcox"/>
        <s v="Cameron Bairstow"/>
        <s v="Cleanthony Early"/>
        <s v="Cory Jefferson"/>
        <s v="Dante Exum"/>
        <s v="DeAndre Daniels"/>
        <s v="DeAndre Kane"/>
        <s v="Deonte Burton"/>
        <s v="Devyn Marble"/>
        <s v="Doug McDermott"/>
        <s v="Dwight Powell"/>
        <s v="Elfrid Payton"/>
        <s v="Gary Harris"/>
        <s v="Glenn Robinson"/>
        <s v="Isaiah Austin"/>
        <s v="Jabari Brown"/>
        <s v="Jahii Carson"/>
        <s v="James McAdoo"/>
        <s v="James Young"/>
        <s v="Jarnell Stokes"/>
        <s v="Jerami Grant"/>
        <s v="Joe Harris"/>
        <s v="Johnny O'Bryant"/>
        <s v="Jordan Adams"/>
        <s v="Jordan Bachynski"/>
        <s v="Jordan Clarkson"/>
        <s v="Jordan McRae"/>
        <s v="Julius Randle"/>
        <s v="K.J. McDaniels"/>
        <s v="Kendall Williams"/>
        <s v="Khem Birch"/>
        <s v="Kyle Anderson"/>
        <s v="LaQuinton Ross"/>
        <s v="Lamar Patterson"/>
        <s v="Marcus Smart"/>
        <s v="Markel Brown"/>
        <s v="Melvin Ejim"/>
        <s v="Nick Johnson"/>
        <s v="Nik Stauskas"/>
        <s v="Noah Vonleh"/>
        <s v="P.J. Hairston"/>
        <s v="Patric Young"/>
        <s v="Rodney Hood"/>
        <s v="Russ Smith"/>
        <s v="Sean Kilpatrick"/>
        <s v="Semaj Christon"/>
        <s v="Shabazz Napier"/>
        <s v="Spencer Dinwiddie"/>
        <s v="T.J. Warren"/>
        <s v="Thanasis Antetokounmpo"/>
        <s v="Tyler Ennis"/>
        <s v="Xavier Thames"/>
        <s v="Zach LaVine"/>
      </sharedItems>
    </cacheField>
    <cacheField name="Year" numFmtId="0">
      <sharedItems containsSemiMixedTypes="0" containsString="0" containsNumber="1" containsInteger="1" minValue="2014" maxValue="2014"/>
    </cacheField>
    <cacheField name="Draft pick" numFmtId="0">
      <sharedItems containsString="0" containsBlank="1" containsNumber="1" containsInteger="1" minValue="4" maxValue="60"/>
    </cacheField>
    <cacheField name="Height (No Shoes)" numFmtId="0">
      <sharedItems containsSemiMixedTypes="0" containsString="0" containsNumber="1" minValue="69.75" maxValue="85.25" count="38">
        <n v="72.75"/>
        <n v="79.5"/>
        <n v="81"/>
        <n v="84.25"/>
        <n v="81.25"/>
        <n v="78.5"/>
        <n v="75.5"/>
        <n v="80.75"/>
        <n v="78"/>
        <n v="79.75"/>
        <n v="76.5"/>
        <n v="79.25"/>
        <n v="74.75"/>
        <n v="72"/>
        <n v="77"/>
        <n v="78.25"/>
        <n v="81.5"/>
        <n v="74.5"/>
        <n v="77.5"/>
        <n v="83.5"/>
        <n v="75"/>
        <n v="69.75"/>
        <n v="77.25"/>
        <n v="79"/>
        <n v="76.75"/>
        <n v="85.25"/>
        <n v="75.25"/>
        <n v="75.75"/>
        <n v="74.25"/>
        <n v="76"/>
        <n v="74"/>
        <n v="73.5"/>
        <n v="80"/>
        <n v="76.25"/>
        <n v="80.5"/>
        <n v="71.5"/>
        <n v="71"/>
        <n v="73"/>
      </sharedItems>
    </cacheField>
    <cacheField name="Height (With Shoes)" numFmtId="0">
      <sharedItems containsSemiMixedTypes="0" containsString="0" containsNumber="1" minValue="71" maxValue="86"/>
    </cacheField>
    <cacheField name="Wingspan" numFmtId="0">
      <sharedItems containsSemiMixedTypes="0" containsString="0" containsNumber="1" minValue="74" maxValue="88.5"/>
    </cacheField>
    <cacheField name="Standing reach" numFmtId="0">
      <sharedItems containsSemiMixedTypes="0" containsString="0" containsNumber="1" minValue="93" maxValue="112.5"/>
    </cacheField>
    <cacheField name="Vertical (Max)" numFmtId="0">
      <sharedItems containsString="0" containsBlank="1" containsNumber="1" minValue="29.5" maxValue="43.5"/>
    </cacheField>
    <cacheField name="Vertical (Max Reach)" numFmtId="0">
      <sharedItems containsString="0" containsBlank="1" containsNumber="1" minValue="126.5" maxValue="145"/>
    </cacheField>
    <cacheField name="Vertical (No Step)" numFmtId="0">
      <sharedItems containsString="0" containsBlank="1" containsNumber="1" minValue="24.5" maxValue="36.5"/>
    </cacheField>
    <cacheField name="Vertical (No Step Reach)" numFmtId="0">
      <sharedItems containsString="0" containsBlank="1" containsNumber="1" minValue="123.5" maxValue="139"/>
    </cacheField>
    <cacheField name="Weight" numFmtId="0">
      <sharedItems containsSemiMixedTypes="0" containsString="0" containsNumber="1" containsInteger="1" minValue="160" maxValue="263"/>
    </cacheField>
    <cacheField name="Body Fat" numFmtId="0">
      <sharedItems containsSemiMixedTypes="0" containsString="0" containsNumber="1" minValue="3.5" maxValue="16.3"/>
    </cacheField>
    <cacheField name="Hand (Length)" numFmtId="0">
      <sharedItems containsSemiMixedTypes="0" containsString="0" containsNumber="1" minValue="7.5" maxValue="9.75"/>
    </cacheField>
    <cacheField name="Hand (Width)" numFmtId="0">
      <sharedItems containsSemiMixedTypes="0" containsString="0" containsNumber="1" minValue="7.5" maxValue="11.75"/>
    </cacheField>
    <cacheField name="Agility" numFmtId="0">
      <sharedItems containsString="0" containsBlank="1" containsNumber="1" minValue="10.42" maxValue="12.71"/>
    </cacheField>
    <cacheField name="Sprint" numFmtId="0">
      <sharedItems containsString="0" containsBlank="1" containsNumber="1" minValue="3.1" maxValue="3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n v="2014"/>
    <m/>
    <x v="0"/>
    <n v="73.75"/>
    <n v="74"/>
    <n v="94.5"/>
    <n v="32"/>
    <n v="126.5"/>
    <n v="29"/>
    <n v="123.5"/>
    <n v="192"/>
    <n v="6.1"/>
    <n v="7.75"/>
    <n v="8.5"/>
    <n v="10.78"/>
    <n v="3.26"/>
  </r>
  <r>
    <x v="1"/>
    <n v="2014"/>
    <n v="4"/>
    <x v="1"/>
    <n v="80.75"/>
    <n v="83.75"/>
    <n v="105"/>
    <n v="39"/>
    <n v="144"/>
    <n v="32.5"/>
    <n v="137.5"/>
    <n v="220"/>
    <n v="5.0999999999999996"/>
    <n v="8.75"/>
    <n v="10.5"/>
    <n v="10.81"/>
    <n v="3.27"/>
  </r>
  <r>
    <x v="2"/>
    <n v="2014"/>
    <n v="15"/>
    <x v="2"/>
    <n v="81.75"/>
    <n v="88"/>
    <n v="109"/>
    <m/>
    <m/>
    <m/>
    <m/>
    <n v="239"/>
    <n v="7.6"/>
    <n v="9.25"/>
    <n v="9.5"/>
    <m/>
    <m/>
  </r>
  <r>
    <x v="3"/>
    <n v="2014"/>
    <n v="50"/>
    <x v="3"/>
    <n v="85.25"/>
    <n v="85.5"/>
    <n v="109"/>
    <n v="30"/>
    <n v="139"/>
    <n v="27"/>
    <n v="136"/>
    <n v="231"/>
    <n v="7.7"/>
    <n v="9.25"/>
    <n v="8.75"/>
    <n v="12.05"/>
    <n v="3.48"/>
  </r>
  <r>
    <x v="4"/>
    <n v="2014"/>
    <m/>
    <x v="4"/>
    <n v="82.75"/>
    <n v="87.5"/>
    <n v="109.5"/>
    <n v="31.5"/>
    <n v="141"/>
    <n v="28.5"/>
    <n v="138"/>
    <n v="252"/>
    <n v="13.6"/>
    <n v="9.25"/>
    <n v="10.5"/>
    <n v="11.2"/>
    <n v="3.48"/>
  </r>
  <r>
    <x v="5"/>
    <n v="2014"/>
    <m/>
    <x v="5"/>
    <n v="80"/>
    <n v="81.5"/>
    <n v="104"/>
    <n v="35"/>
    <n v="139"/>
    <n v="27"/>
    <n v="131"/>
    <n v="218"/>
    <n v="5.0999999999999996"/>
    <n v="9"/>
    <n v="9"/>
    <n v="11"/>
    <n v="3.32"/>
  </r>
  <r>
    <x v="6"/>
    <n v="2014"/>
    <n v="28"/>
    <x v="6"/>
    <n v="77"/>
    <n v="81.75"/>
    <n v="100.5"/>
    <n v="37.5"/>
    <n v="138"/>
    <n v="31"/>
    <n v="131.5"/>
    <n v="201"/>
    <n v="6.5"/>
    <n v="8.75"/>
    <n v="9"/>
    <n v="11.3"/>
    <n v="3.22"/>
  </r>
  <r>
    <x v="7"/>
    <n v="2014"/>
    <n v="49"/>
    <x v="7"/>
    <n v="81.75"/>
    <n v="84.75"/>
    <n v="107"/>
    <n v="33.5"/>
    <n v="140.5"/>
    <n v="31"/>
    <n v="138"/>
    <n v="252"/>
    <n v="8.6999999999999993"/>
    <n v="8.75"/>
    <n v="9"/>
    <n v="11.39"/>
    <n v="3.37"/>
  </r>
  <r>
    <x v="8"/>
    <n v="2014"/>
    <n v="34"/>
    <x v="8"/>
    <n v="79.25"/>
    <n v="82.75"/>
    <n v="101.5"/>
    <n v="40"/>
    <n v="141.5"/>
    <n v="34"/>
    <n v="135.5"/>
    <n v="209"/>
    <n v="4.5"/>
    <n v="8.5"/>
    <n v="9"/>
    <n v="11.15"/>
    <n v="3.18"/>
  </r>
  <r>
    <x v="9"/>
    <n v="2014"/>
    <n v="60"/>
    <x v="9"/>
    <n v="81"/>
    <n v="84.5"/>
    <n v="105"/>
    <n v="37.5"/>
    <n v="142.5"/>
    <n v="33"/>
    <n v="138"/>
    <n v="218"/>
    <n v="5.3"/>
    <n v="8.75"/>
    <n v="9.75"/>
    <n v="12.63"/>
    <n v="3.36"/>
  </r>
  <r>
    <x v="10"/>
    <n v="2014"/>
    <n v="5"/>
    <x v="10"/>
    <n v="78"/>
    <n v="81.5"/>
    <n v="103"/>
    <n v="34.5"/>
    <n v="137.5"/>
    <n v="31.5"/>
    <n v="134.5"/>
    <n v="196"/>
    <n v="6.4"/>
    <n v="8.5"/>
    <n v="9.5"/>
    <n v="10.75"/>
    <n v="3.19"/>
  </r>
  <r>
    <x v="11"/>
    <n v="2014"/>
    <n v="37"/>
    <x v="11"/>
    <n v="80.5"/>
    <n v="86"/>
    <n v="106.5"/>
    <n v="32"/>
    <n v="138.5"/>
    <n v="26.5"/>
    <n v="133"/>
    <n v="196"/>
    <n v="3.9"/>
    <n v="9.25"/>
    <n v="10.5"/>
    <n v="11.46"/>
    <n v="3.44"/>
  </r>
  <r>
    <x v="12"/>
    <n v="2014"/>
    <m/>
    <x v="12"/>
    <n v="76.5"/>
    <n v="80"/>
    <n v="99"/>
    <n v="35.5"/>
    <n v="134.5"/>
    <n v="31.5"/>
    <n v="130.5"/>
    <n v="200"/>
    <n v="5"/>
    <n v="8.25"/>
    <n v="9"/>
    <n v="10.95"/>
    <n v="3.16"/>
  </r>
  <r>
    <x v="13"/>
    <n v="2014"/>
    <m/>
    <x v="13"/>
    <n v="73.25"/>
    <n v="79"/>
    <n v="97.5"/>
    <n v="39.5"/>
    <n v="137"/>
    <n v="29"/>
    <n v="126.5"/>
    <n v="193"/>
    <n v="7.7"/>
    <n v="8.25"/>
    <n v="8"/>
    <n v="11.28"/>
    <n v="3.28"/>
  </r>
  <r>
    <x v="14"/>
    <n v="2014"/>
    <n v="56"/>
    <x v="14"/>
    <n v="78.5"/>
    <n v="81"/>
    <n v="102"/>
    <n v="35"/>
    <n v="137"/>
    <n v="29"/>
    <n v="131"/>
    <n v="192"/>
    <n v="6.9"/>
    <n v="8.25"/>
    <n v="8.5"/>
    <n v="11.32"/>
    <n v="3.28"/>
  </r>
  <r>
    <x v="15"/>
    <n v="2014"/>
    <n v="11"/>
    <x v="15"/>
    <n v="79.75"/>
    <n v="81.25"/>
    <n v="103"/>
    <n v="36.5"/>
    <n v="139.5"/>
    <n v="28.5"/>
    <n v="131.5"/>
    <n v="218"/>
    <n v="7.1"/>
    <n v="8.75"/>
    <n v="9.75"/>
    <n v="11.1"/>
    <n v="3.29"/>
  </r>
  <r>
    <x v="16"/>
    <n v="2014"/>
    <n v="45"/>
    <x v="16"/>
    <n v="83"/>
    <n v="84.5"/>
    <n v="105"/>
    <n v="35"/>
    <n v="140"/>
    <n v="28.5"/>
    <n v="133.5"/>
    <n v="234"/>
    <n v="6.2"/>
    <n v="9"/>
    <n v="9.25"/>
    <n v="11.28"/>
    <n v="3.2"/>
  </r>
  <r>
    <x v="17"/>
    <n v="2014"/>
    <n v="10"/>
    <x v="17"/>
    <n v="75.75"/>
    <n v="80"/>
    <n v="98.5"/>
    <n v="35.5"/>
    <n v="134"/>
    <n v="31.5"/>
    <n v="130"/>
    <n v="185"/>
    <n v="5.7"/>
    <n v="8.75"/>
    <n v="9"/>
    <n v="11.06"/>
    <n v="3.23"/>
  </r>
  <r>
    <x v="18"/>
    <n v="2014"/>
    <n v="19"/>
    <x v="17"/>
    <n v="76.5"/>
    <n v="78.75"/>
    <n v="96"/>
    <m/>
    <m/>
    <m/>
    <m/>
    <n v="205"/>
    <n v="4.5999999999999996"/>
    <n v="8.5"/>
    <n v="9.5"/>
    <m/>
    <m/>
  </r>
  <r>
    <x v="19"/>
    <n v="2014"/>
    <n v="40"/>
    <x v="18"/>
    <n v="78.75"/>
    <n v="82"/>
    <n v="100.5"/>
    <n v="41.5"/>
    <n v="142"/>
    <n v="36.5"/>
    <n v="137"/>
    <n v="211"/>
    <n v="5.0999999999999996"/>
    <n v="9"/>
    <n v="9.5"/>
    <n v="11.22"/>
    <n v="3.15"/>
  </r>
  <r>
    <x v="20"/>
    <n v="2014"/>
    <m/>
    <x v="19"/>
    <n v="84.5"/>
    <n v="88.5"/>
    <n v="112.5"/>
    <n v="29.5"/>
    <n v="142"/>
    <n v="26.5"/>
    <n v="139"/>
    <n v="220"/>
    <n v="7.5"/>
    <n v="8.75"/>
    <n v="8.75"/>
    <n v="11"/>
    <n v="3.55"/>
  </r>
  <r>
    <x v="21"/>
    <n v="2014"/>
    <m/>
    <x v="20"/>
    <n v="76.25"/>
    <n v="80.25"/>
    <n v="100"/>
    <n v="32"/>
    <n v="132"/>
    <n v="28"/>
    <n v="128"/>
    <n v="202"/>
    <n v="6.1"/>
    <n v="9"/>
    <n v="9.25"/>
    <n v="11.6"/>
    <n v="3.5"/>
  </r>
  <r>
    <x v="22"/>
    <n v="2014"/>
    <m/>
    <x v="21"/>
    <n v="71"/>
    <n v="74"/>
    <n v="93"/>
    <n v="43.5"/>
    <n v="136.5"/>
    <n v="33.5"/>
    <n v="126.5"/>
    <n v="180"/>
    <n v="6.5"/>
    <n v="7.5"/>
    <n v="8.75"/>
    <n v="11.26"/>
    <n v="3.24"/>
  </r>
  <r>
    <x v="23"/>
    <n v="2014"/>
    <m/>
    <x v="1"/>
    <n v="80.75"/>
    <n v="86.25"/>
    <n v="106.5"/>
    <n v="34"/>
    <n v="140.5"/>
    <n v="29.5"/>
    <n v="136"/>
    <n v="228"/>
    <n v="6.2"/>
    <n v="9.25"/>
    <n v="9"/>
    <n v="11.61"/>
    <n v="3.28"/>
  </r>
  <r>
    <x v="24"/>
    <n v="2014"/>
    <n v="17"/>
    <x v="22"/>
    <n v="78.75"/>
    <n v="84"/>
    <n v="104"/>
    <n v="35.5"/>
    <n v="139.5"/>
    <n v="28"/>
    <n v="132"/>
    <n v="213"/>
    <n v="5.0999999999999996"/>
    <n v="9"/>
    <n v="9.5"/>
    <m/>
    <m/>
  </r>
  <r>
    <x v="25"/>
    <n v="2014"/>
    <n v="35"/>
    <x v="23"/>
    <n v="80.5"/>
    <n v="85.25"/>
    <n v="103.5"/>
    <n v="36"/>
    <n v="139.5"/>
    <n v="31"/>
    <n v="134.5"/>
    <n v="263"/>
    <n v="8.1999999999999993"/>
    <n v="9.75"/>
    <n v="10.5"/>
    <n v="11.92"/>
    <n v="3.26"/>
  </r>
  <r>
    <x v="26"/>
    <n v="2014"/>
    <n v="39"/>
    <x v="5"/>
    <n v="79.75"/>
    <n v="86.75"/>
    <n v="107"/>
    <m/>
    <m/>
    <m/>
    <m/>
    <n v="214"/>
    <n v="3.8"/>
    <n v="9.25"/>
    <n v="9.25"/>
    <m/>
    <m/>
  </r>
  <r>
    <x v="27"/>
    <n v="2014"/>
    <n v="33"/>
    <x v="24"/>
    <n v="78.25"/>
    <n v="78"/>
    <n v="100"/>
    <n v="33.5"/>
    <n v="133.5"/>
    <n v="28.5"/>
    <n v="128.5"/>
    <n v="215"/>
    <n v="6.2"/>
    <n v="8.5"/>
    <n v="9.75"/>
    <n v="11.11"/>
    <n v="3.31"/>
  </r>
  <r>
    <x v="28"/>
    <n v="2014"/>
    <n v="36"/>
    <x v="11"/>
    <n v="80.5"/>
    <n v="86.25"/>
    <n v="105"/>
    <n v="35.5"/>
    <n v="140.5"/>
    <n v="31"/>
    <n v="136"/>
    <n v="257"/>
    <n v="10.8"/>
    <n v="9.25"/>
    <n v="9.5"/>
    <n v="11.57"/>
    <n v="3.45"/>
  </r>
  <r>
    <x v="29"/>
    <n v="2014"/>
    <n v="22"/>
    <x v="6"/>
    <n v="76.75"/>
    <n v="82"/>
    <n v="102"/>
    <n v="29.5"/>
    <n v="131.5"/>
    <n v="24.5"/>
    <n v="126.5"/>
    <n v="209"/>
    <n v="10.8"/>
    <n v="8.5"/>
    <n v="7.5"/>
    <n v="12.13"/>
    <n v="3.5"/>
  </r>
  <r>
    <x v="30"/>
    <n v="2014"/>
    <m/>
    <x v="25"/>
    <n v="86"/>
    <n v="88"/>
    <n v="108.5"/>
    <n v="33"/>
    <n v="141.5"/>
    <n v="29"/>
    <n v="137.5"/>
    <n v="254"/>
    <n v="7.5"/>
    <n v="9.25"/>
    <n v="10"/>
    <n v="12.15"/>
    <n v="3.36"/>
  </r>
  <r>
    <x v="31"/>
    <n v="2014"/>
    <n v="46"/>
    <x v="26"/>
    <n v="77"/>
    <n v="80"/>
    <n v="98"/>
    <n v="38.5"/>
    <n v="136.5"/>
    <n v="33"/>
    <n v="131"/>
    <n v="186"/>
    <n v="4.3"/>
    <n v="8.25"/>
    <n v="9"/>
    <n v="10.76"/>
    <n v="3.28"/>
  </r>
  <r>
    <x v="32"/>
    <n v="2014"/>
    <n v="58"/>
    <x v="27"/>
    <n v="77.25"/>
    <n v="84.5"/>
    <n v="104"/>
    <n v="34.5"/>
    <n v="138.5"/>
    <n v="27.5"/>
    <n v="131.5"/>
    <n v="179"/>
    <n v="5.2"/>
    <n v="8.75"/>
    <n v="8.5"/>
    <n v="11.07"/>
    <n v="3.39"/>
  </r>
  <r>
    <x v="33"/>
    <n v="2014"/>
    <n v="7"/>
    <x v="9"/>
    <n v="81"/>
    <n v="84"/>
    <n v="105.5"/>
    <n v="35.5"/>
    <n v="141"/>
    <n v="29"/>
    <n v="134.5"/>
    <n v="250"/>
    <n v="9.4"/>
    <n v="8.75"/>
    <n v="8.25"/>
    <n v="11.45"/>
    <n v="3.27"/>
  </r>
  <r>
    <x v="34"/>
    <n v="2014"/>
    <n v="32"/>
    <x v="10"/>
    <n v="78"/>
    <n v="83.25"/>
    <n v="102"/>
    <n v="37"/>
    <n v="139"/>
    <n v="33"/>
    <n v="135"/>
    <n v="196"/>
    <n v="4.5"/>
    <n v="8.75"/>
    <n v="9.75"/>
    <n v="12.71"/>
    <n v="3.1"/>
  </r>
  <r>
    <x v="35"/>
    <n v="2014"/>
    <m/>
    <x v="28"/>
    <n v="75.75"/>
    <n v="77.5"/>
    <n v="99"/>
    <n v="33"/>
    <n v="132"/>
    <n v="27"/>
    <n v="126"/>
    <n v="183"/>
    <n v="7.2"/>
    <n v="8"/>
    <n v="7.75"/>
    <n v="10.83"/>
    <m/>
  </r>
  <r>
    <x v="36"/>
    <n v="2014"/>
    <m/>
    <x v="1"/>
    <n v="81.25"/>
    <n v="85"/>
    <n v="107"/>
    <n v="35.5"/>
    <n v="142.5"/>
    <n v="30.5"/>
    <n v="137.5"/>
    <n v="209"/>
    <n v="6"/>
    <n v="9"/>
    <n v="8.5"/>
    <n v="11.6"/>
    <n v="3.26"/>
  </r>
  <r>
    <x v="37"/>
    <n v="2014"/>
    <n v="30"/>
    <x v="1"/>
    <n v="80.5"/>
    <n v="86.75"/>
    <n v="107.5"/>
    <m/>
    <m/>
    <m/>
    <m/>
    <n v="230"/>
    <n v="13.4"/>
    <n v="8.25"/>
    <n v="8.75"/>
    <m/>
    <m/>
  </r>
  <r>
    <x v="38"/>
    <n v="2014"/>
    <m/>
    <x v="5"/>
    <n v="79.5"/>
    <n v="85.75"/>
    <n v="106"/>
    <n v="31"/>
    <n v="137"/>
    <n v="25"/>
    <n v="131"/>
    <n v="239"/>
    <n v="16.3"/>
    <n v="8.75"/>
    <n v="9.75"/>
    <n v="11.97"/>
    <n v="3.44"/>
  </r>
  <r>
    <x v="39"/>
    <n v="2014"/>
    <n v="48"/>
    <x v="29"/>
    <n v="77.25"/>
    <n v="83"/>
    <n v="101"/>
    <n v="32.5"/>
    <n v="133.5"/>
    <n v="27.5"/>
    <n v="128.5"/>
    <n v="226"/>
    <n v="10.8"/>
    <n v="9"/>
    <n v="9.25"/>
    <n v="11.63"/>
    <n v="3.45"/>
  </r>
  <r>
    <x v="40"/>
    <n v="2014"/>
    <n v="6"/>
    <x v="30"/>
    <n v="75.25"/>
    <n v="81.25"/>
    <n v="99"/>
    <n v="36"/>
    <n v="135"/>
    <n v="33"/>
    <n v="132"/>
    <n v="227"/>
    <n v="10.6"/>
    <n v="9"/>
    <n v="8.75"/>
    <n v="10.82"/>
    <n v="3.26"/>
  </r>
  <r>
    <x v="41"/>
    <n v="2014"/>
    <n v="44"/>
    <x v="17"/>
    <n v="75.5"/>
    <n v="80.75"/>
    <n v="100"/>
    <n v="43.5"/>
    <n v="143.5"/>
    <n v="36.5"/>
    <n v="136.5"/>
    <n v="184"/>
    <n v="4.2"/>
    <n v="8.25"/>
    <n v="9.75"/>
    <n v="12.62"/>
    <n v="3.18"/>
  </r>
  <r>
    <x v="42"/>
    <n v="2014"/>
    <m/>
    <x v="22"/>
    <n v="79"/>
    <n v="83.25"/>
    <n v="103.5"/>
    <n v="35"/>
    <n v="138.5"/>
    <n v="29.5"/>
    <n v="133"/>
    <n v="219"/>
    <n v="6.5"/>
    <n v="8.75"/>
    <n v="9.25"/>
    <n v="11.55"/>
    <n v="3.14"/>
  </r>
  <r>
    <x v="43"/>
    <n v="2014"/>
    <n v="42"/>
    <x v="31"/>
    <n v="75"/>
    <n v="79.25"/>
    <n v="96.5"/>
    <n v="41.5"/>
    <n v="138"/>
    <n v="33.5"/>
    <n v="130"/>
    <n v="198"/>
    <n v="6.1"/>
    <n v="8.75"/>
    <n v="9.75"/>
    <n v="10.8"/>
    <n v="3.27"/>
  </r>
  <r>
    <x v="44"/>
    <n v="2014"/>
    <n v="8"/>
    <x v="22"/>
    <n v="78.5"/>
    <n v="79.75"/>
    <n v="102"/>
    <n v="35.5"/>
    <n v="137.5"/>
    <n v="29"/>
    <n v="131"/>
    <n v="207"/>
    <n v="12.1"/>
    <n v="8.5"/>
    <n v="8.5"/>
    <n v="10.79"/>
    <n v="3.27"/>
  </r>
  <r>
    <x v="45"/>
    <n v="2014"/>
    <n v="9"/>
    <x v="32"/>
    <n v="81.5"/>
    <n v="88.25"/>
    <n v="108"/>
    <n v="37"/>
    <n v="145"/>
    <n v="31"/>
    <n v="139"/>
    <n v="247"/>
    <n v="7.3"/>
    <n v="9.75"/>
    <n v="11.75"/>
    <n v="11.45"/>
    <n v="3.28"/>
  </r>
  <r>
    <x v="46"/>
    <n v="2014"/>
    <n v="26"/>
    <x v="33"/>
    <n v="77.25"/>
    <n v="81"/>
    <n v="101"/>
    <n v="37"/>
    <n v="138"/>
    <n v="32"/>
    <n v="133"/>
    <n v="229"/>
    <n v="8.1999999999999993"/>
    <n v="8.75"/>
    <n v="9.75"/>
    <n v="11.12"/>
    <n v="3.32"/>
  </r>
  <r>
    <x v="47"/>
    <n v="2014"/>
    <m/>
    <x v="34"/>
    <n v="82"/>
    <n v="85.75"/>
    <n v="103.5"/>
    <n v="37.5"/>
    <n v="141"/>
    <n v="32"/>
    <n v="135.5"/>
    <n v="247"/>
    <n v="5.5"/>
    <n v="9.25"/>
    <n v="9.5"/>
    <n v="11.18"/>
    <n v="3.43"/>
  </r>
  <r>
    <x v="48"/>
    <n v="2014"/>
    <n v="23"/>
    <x v="11"/>
    <n v="80.5"/>
    <n v="80.5"/>
    <n v="103"/>
    <n v="36"/>
    <n v="139"/>
    <n v="29"/>
    <n v="132"/>
    <n v="208"/>
    <n v="7.5"/>
    <n v="8.5"/>
    <n v="8.5"/>
    <n v="11.21"/>
    <n v="3.38"/>
  </r>
  <r>
    <x v="49"/>
    <n v="2014"/>
    <n v="47"/>
    <x v="35"/>
    <n v="72.75"/>
    <n v="75.5"/>
    <n v="95"/>
    <n v="34"/>
    <n v="129"/>
    <n v="29.5"/>
    <n v="124.5"/>
    <n v="160"/>
    <n v="3.5"/>
    <n v="8.25"/>
    <n v="8.5"/>
    <n v="11.57"/>
    <n v="3.27"/>
  </r>
  <r>
    <x v="50"/>
    <n v="2014"/>
    <m/>
    <x v="17"/>
    <n v="76.25"/>
    <n v="79"/>
    <n v="99"/>
    <m/>
    <m/>
    <m/>
    <m/>
    <n v="219"/>
    <n v="9.1999999999999993"/>
    <n v="9"/>
    <n v="9"/>
    <m/>
    <m/>
  </r>
  <r>
    <x v="51"/>
    <n v="2014"/>
    <n v="55"/>
    <x v="31"/>
    <n v="75.25"/>
    <n v="78.5"/>
    <n v="99"/>
    <n v="36.5"/>
    <n v="135.5"/>
    <n v="30.5"/>
    <n v="129.5"/>
    <n v="186"/>
    <n v="5.3"/>
    <n v="8.5"/>
    <n v="8.25"/>
    <n v="11.55"/>
    <n v="3.32"/>
  </r>
  <r>
    <x v="52"/>
    <n v="2014"/>
    <n v="24"/>
    <x v="36"/>
    <n v="73"/>
    <n v="75.25"/>
    <n v="93"/>
    <n v="37.5"/>
    <n v="130.5"/>
    <n v="30.5"/>
    <n v="123.5"/>
    <n v="175"/>
    <n v="7.4"/>
    <n v="8.25"/>
    <n v="8.5"/>
    <n v="11.6"/>
    <n v="3.2"/>
  </r>
  <r>
    <x v="53"/>
    <n v="2014"/>
    <n v="38"/>
    <x v="10"/>
    <n v="78"/>
    <n v="80.25"/>
    <n v="103"/>
    <m/>
    <m/>
    <m/>
    <m/>
    <n v="205"/>
    <n v="5.4"/>
    <n v="8.25"/>
    <n v="9"/>
    <m/>
    <m/>
  </r>
  <r>
    <x v="54"/>
    <n v="2014"/>
    <n v="14"/>
    <x v="23"/>
    <n v="80.25"/>
    <n v="82.25"/>
    <n v="104"/>
    <n v="35.5"/>
    <n v="139.5"/>
    <n v="27"/>
    <n v="131"/>
    <n v="220"/>
    <n v="8"/>
    <n v="8.75"/>
    <n v="9"/>
    <n v="11.1"/>
    <n v="3.26"/>
  </r>
  <r>
    <x v="55"/>
    <n v="2014"/>
    <n v="51"/>
    <x v="22"/>
    <n v="78.25"/>
    <n v="84"/>
    <n v="104.5"/>
    <n v="39.5"/>
    <n v="144"/>
    <n v="31.5"/>
    <n v="136"/>
    <n v="205"/>
    <n v="6.1"/>
    <n v="9"/>
    <n v="9.75"/>
    <n v="11.39"/>
    <n v="3.18"/>
  </r>
  <r>
    <x v="56"/>
    <n v="2014"/>
    <n v="18"/>
    <x v="37"/>
    <n v="74.5"/>
    <n v="79.25"/>
    <n v="98"/>
    <n v="36"/>
    <n v="134"/>
    <n v="29"/>
    <n v="127"/>
    <n v="182"/>
    <n v="6.2"/>
    <n v="8.25"/>
    <n v="8.75"/>
    <n v="11.12"/>
    <n v="3.3"/>
  </r>
  <r>
    <x v="57"/>
    <n v="2014"/>
    <n v="59"/>
    <x v="28"/>
    <n v="75.5"/>
    <n v="76"/>
    <n v="96"/>
    <n v="32.5"/>
    <n v="128.5"/>
    <n v="29"/>
    <n v="125"/>
    <n v="187"/>
    <n v="6.4"/>
    <n v="8.25"/>
    <n v="9"/>
    <n v="11.48"/>
    <n v="3.48"/>
  </r>
  <r>
    <x v="58"/>
    <n v="2014"/>
    <n v="13"/>
    <x v="10"/>
    <n v="77.75"/>
    <n v="80.25"/>
    <n v="100"/>
    <n v="41.5"/>
    <n v="141.5"/>
    <n v="33.5"/>
    <n v="133.5"/>
    <n v="181"/>
    <n v="4.7"/>
    <n v="8.25"/>
    <n v="8.75"/>
    <n v="10.42"/>
    <n v="3.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5C4E3-D698-44A3-87BF-0C9FBF29C1C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B8:F68" firstHeaderRow="0" firstDataRow="1" firstDataCol="1"/>
  <pivotFields count="17">
    <pivotField axis="axisRow" compact="0" outline="0" showAll="0" sortType="descending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9"/>
        <item x="38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60">
    <i>
      <x v="25"/>
    </i>
    <i>
      <x v="28"/>
    </i>
    <i>
      <x v="30"/>
    </i>
    <i>
      <x v="4"/>
    </i>
    <i>
      <x v="7"/>
    </i>
    <i>
      <x v="33"/>
    </i>
    <i>
      <x v="45"/>
    </i>
    <i>
      <x v="47"/>
    </i>
    <i>
      <x v="2"/>
    </i>
    <i>
      <x v="39"/>
    </i>
    <i>
      <x v="16"/>
    </i>
    <i>
      <x v="3"/>
    </i>
    <i>
      <x v="37"/>
    </i>
    <i>
      <x v="46"/>
    </i>
    <i>
      <x v="23"/>
    </i>
    <i>
      <x v="40"/>
    </i>
    <i>
      <x v="38"/>
    </i>
    <i>
      <x v="20"/>
    </i>
    <i>
      <x v="1"/>
    </i>
    <i>
      <x v="54"/>
    </i>
    <i>
      <x v="42"/>
    </i>
    <i>
      <x v="50"/>
    </i>
    <i>
      <x v="5"/>
    </i>
    <i>
      <x v="9"/>
    </i>
    <i>
      <x v="15"/>
    </i>
    <i>
      <x v="27"/>
    </i>
    <i>
      <x v="26"/>
    </i>
    <i>
      <x v="24"/>
    </i>
    <i>
      <x v="19"/>
    </i>
    <i>
      <x v="36"/>
    </i>
    <i>
      <x v="8"/>
    </i>
    <i>
      <x v="29"/>
    </i>
    <i>
      <x v="48"/>
    </i>
    <i>
      <x v="44"/>
    </i>
    <i>
      <x v="18"/>
    </i>
    <i>
      <x v="53"/>
    </i>
    <i>
      <x v="55"/>
    </i>
    <i>
      <x v="21"/>
    </i>
    <i>
      <x v="6"/>
    </i>
    <i>
      <x v="12"/>
    </i>
    <i>
      <x v="43"/>
    </i>
    <i>
      <x v="34"/>
    </i>
    <i>
      <x v="10"/>
    </i>
    <i>
      <x v="11"/>
    </i>
    <i>
      <x v="13"/>
    </i>
    <i>
      <x/>
    </i>
    <i>
      <x v="14"/>
    </i>
    <i>
      <x v="57"/>
    </i>
    <i>
      <x v="31"/>
    </i>
    <i>
      <x v="51"/>
    </i>
    <i>
      <x v="17"/>
    </i>
    <i>
      <x v="41"/>
    </i>
    <i>
      <x v="35"/>
    </i>
    <i>
      <x v="56"/>
    </i>
    <i>
      <x v="58"/>
    </i>
    <i>
      <x v="22"/>
    </i>
    <i>
      <x v="32"/>
    </i>
    <i>
      <x v="52"/>
    </i>
    <i>
      <x v="4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Weight" fld="11" subtotal="average" baseField="0" baseItem="0"/>
    <dataField name="Sum of Height (No Shoes)" fld="3" baseField="0" baseItem="0"/>
    <dataField name="Sum of Body Fat" fld="12" baseField="0" baseItem="0"/>
    <dataField name="Sum of Height (With Shoes)" fld="4" baseField="0" baseItem="0"/>
  </dataFields>
  <formats count="26"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0" type="button" dataOnly="0" labelOnly="1" outline="0" axis="axisRow" fieldPosition="0"/>
    </format>
    <format dxfId="54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8"/>
            <x v="19"/>
            <x v="20"/>
            <x v="21"/>
            <x v="23"/>
            <x v="24"/>
            <x v="25"/>
            <x v="26"/>
            <x v="27"/>
            <x v="28"/>
            <x v="29"/>
            <x v="30"/>
            <x v="31"/>
            <x v="33"/>
            <x v="34"/>
            <x v="36"/>
            <x v="37"/>
            <x v="38"/>
            <x v="39"/>
            <x v="40"/>
            <x v="42"/>
            <x v="43"/>
            <x v="44"/>
            <x v="45"/>
            <x v="46"/>
            <x v="47"/>
            <x v="48"/>
            <x v="50"/>
            <x v="51"/>
            <x v="53"/>
            <x v="54"/>
            <x v="55"/>
            <x v="57"/>
          </reference>
        </references>
      </pivotArea>
    </format>
    <format dxfId="53">
      <pivotArea dataOnly="0" labelOnly="1" outline="0" fieldPosition="0">
        <references count="1">
          <reference field="0" count="9">
            <x v="17"/>
            <x v="22"/>
            <x v="32"/>
            <x v="35"/>
            <x v="41"/>
            <x v="49"/>
            <x v="52"/>
            <x v="56"/>
            <x v="58"/>
          </reference>
        </references>
      </pivotArea>
    </format>
    <format dxfId="52">
      <pivotArea dataOnly="0" labelOnly="1" grandRow="1" outline="0" fieldPosition="0"/>
    </format>
    <format dxfId="5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0" type="button" dataOnly="0" labelOnly="1" outline="0" axis="axisRow" fieldPosition="0"/>
    </format>
    <format dxfId="47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8"/>
            <x v="19"/>
            <x v="20"/>
            <x v="21"/>
            <x v="23"/>
            <x v="24"/>
            <x v="25"/>
            <x v="26"/>
            <x v="27"/>
            <x v="28"/>
            <x v="29"/>
            <x v="30"/>
            <x v="31"/>
            <x v="33"/>
            <x v="34"/>
            <x v="36"/>
            <x v="37"/>
            <x v="38"/>
            <x v="39"/>
            <x v="40"/>
            <x v="42"/>
            <x v="43"/>
            <x v="44"/>
            <x v="45"/>
            <x v="46"/>
            <x v="47"/>
            <x v="48"/>
            <x v="50"/>
            <x v="51"/>
            <x v="53"/>
            <x v="54"/>
            <x v="55"/>
            <x v="57"/>
          </reference>
        </references>
      </pivotArea>
    </format>
    <format dxfId="46">
      <pivotArea dataOnly="0" labelOnly="1" outline="0" fieldPosition="0">
        <references count="1">
          <reference field="0" count="9">
            <x v="17"/>
            <x v="22"/>
            <x v="32"/>
            <x v="35"/>
            <x v="41"/>
            <x v="49"/>
            <x v="52"/>
            <x v="56"/>
            <x v="58"/>
          </reference>
        </references>
      </pivotArea>
    </format>
    <format dxfId="45">
      <pivotArea dataOnly="0" labelOnly="1" grandRow="1" outline="0" fieldPosition="0"/>
    </format>
    <format dxfId="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">
      <pivotArea field="0" type="button" dataOnly="0" labelOnly="1" outline="0" axis="axisRow" fieldPosition="0"/>
    </format>
    <format dxfId="42">
      <pivotArea outline="0" fieldPosition="0">
        <references count="1">
          <reference field="0" count="0" selected="0"/>
        </references>
      </pivotArea>
    </format>
    <format dxfId="4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0">
      <pivotArea field="0" type="button" dataOnly="0" labelOnly="1" outline="0" axis="axisRow" fieldPosition="0"/>
    </format>
    <format dxfId="3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7">
      <pivotArea outline="0" fieldPosition="0">
        <references count="1">
          <reference field="0" count="0" selected="0"/>
        </references>
      </pivotArea>
    </format>
    <format dxfId="3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5">
      <pivotArea outline="0" fieldPosition="0">
        <references count="1">
          <reference field="0" count="0" selected="0"/>
        </references>
      </pivotArea>
    </format>
    <format dxfId="34">
      <pivotArea dataOnly="0" labelOnly="1" outline="0" fieldPosition="0">
        <references count="1">
          <reference field="0" count="0"/>
        </references>
      </pivotArea>
    </format>
    <format dxfId="33">
      <pivotArea dataOnly="0" labelOnly="1" grandRow="1" outline="0" fieldPosition="0"/>
    </format>
    <format dxfId="32">
      <pivotArea grandRow="1" outline="0" collapsedLevelsAreSubtotals="1" fieldPosition="0"/>
    </format>
  </format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B8709-4600-4783-B6EC-B0E39CDD2BD5}" name="TBL_DATA" displayName="TBL_DATA" ref="A1:AU60" totalsRowShown="0" headerRowDxfId="65">
  <autoFilter ref="A1:AU60" xr:uid="{727B8709-4600-4783-B6EC-B0E39CDD2BD5}"/>
  <tableColumns count="47">
    <tableColumn id="1" xr3:uid="{80FFD2C5-07AA-4FDE-982F-509FE6284330}" name="Column1" dataDxfId="64"/>
    <tableColumn id="2" xr3:uid="{319D16D7-720D-4E34-9A15-059CA5048DBA}" name="Player" dataDxfId="63"/>
    <tableColumn id="3" xr3:uid="{10C93D18-CF02-4EBD-943E-F8E5DDC71B4F}" name="Year" dataDxfId="62"/>
    <tableColumn id="4" xr3:uid="{25091DF4-0152-4BE7-9BD3-4F2EF573979C}" name="Draft pick" dataCellStyle="20% - Accent5"/>
    <tableColumn id="5" xr3:uid="{7952A736-E973-41A3-A86E-1716A7CDA7FF}" name="Height (No Shoes)" dataCellStyle="20% - Accent5"/>
    <tableColumn id="6" xr3:uid="{8FE7EF00-B477-46E7-9B60-3FA30924543C}" name="Height (With Shoes)" dataCellStyle="20% - Accent5"/>
    <tableColumn id="7" xr3:uid="{E9A075AC-0C52-4287-956B-F5D0424811D8}" name="Wingspan" dataCellStyle="20% - Accent5"/>
    <tableColumn id="8" xr3:uid="{D275D593-CFE5-4F72-B2E3-D891A4DE3259}" name="Standing reach" dataCellStyle="20% - Accent5"/>
    <tableColumn id="9" xr3:uid="{A882DF4C-571A-40CA-A59A-549115A68AF2}" name="Vertical (Max)" dataCellStyle="20% - Accent5"/>
    <tableColumn id="10" xr3:uid="{CA021E7D-9075-4F35-96FB-C9E72EE4A151}" name="Vertical (Max Reach)" dataCellStyle="20% - Accent5"/>
    <tableColumn id="11" xr3:uid="{7B815D39-DE27-46BB-B3A8-D8EC2AAD0220}" name="Vertical (No Step)" dataCellStyle="20% - Accent5"/>
    <tableColumn id="12" xr3:uid="{1BAC2E05-3CA2-46EA-B6F9-38A3FFCD43FA}" name="Vertical (No Step Reach)" dataCellStyle="20% - Accent5"/>
    <tableColumn id="13" xr3:uid="{6337B3AF-103C-4A4A-805C-752734D8091F}" name="Weight" dataCellStyle="20% - Accent5"/>
    <tableColumn id="14" xr3:uid="{6681C508-DE79-4008-8F4D-38E378F1A6ED}" name="Body Fat" dataCellStyle="20% - Accent5"/>
    <tableColumn id="15" xr3:uid="{A46E0591-477E-4FF3-B58E-40B91C91AAEC}" name="Hand (Length)" dataCellStyle="20% - Accent5"/>
    <tableColumn id="16" xr3:uid="{346E45DB-A709-4B81-9C4E-D51892FF87C9}" name="Hand (Width)" dataCellStyle="20% - Accent5"/>
    <tableColumn id="18" xr3:uid="{95906C24-E93A-477F-9587-D5224D77CD82}" name="Agility" dataCellStyle="20% - Accent5"/>
    <tableColumn id="19" xr3:uid="{88BB1F62-33EA-4F64-9E7A-D697DD18360F}" name="Sprint" dataCellStyle="20% - Accent5"/>
    <tableColumn id="20" xr3:uid="{3371632D-2B58-41B5-871A-D7C31AE0298C}" name="Z_Height (No Shoes)" dataDxfId="61" dataCellStyle="20% - Accent5">
      <calculatedColumnFormula>STANDARDIZE(TBL_DATA[[#This Row],[Height (No Shoes)]],E$63,E$62)</calculatedColumnFormula>
    </tableColumn>
    <tableColumn id="21" xr3:uid="{C677033B-5D81-439A-90DD-88A4FE77C5CF}" name="Z_Height (With Shoes)" dataCellStyle="20% - Accent5">
      <calculatedColumnFormula>STANDARDIZE(TBL_DATA[[#This Row],[Height (With Shoes)]],F$63,F$62)</calculatedColumnFormula>
    </tableColumn>
    <tableColumn id="22" xr3:uid="{3074FB73-E103-4FC8-9DA0-4003CC20129C}" name="Z_Wingspan" dataCellStyle="20% - Accent5">
      <calculatedColumnFormula>STANDARDIZE(TBL_DATA[[#This Row],[Wingspan]],G$63,G$62)</calculatedColumnFormula>
    </tableColumn>
    <tableColumn id="23" xr3:uid="{E06FDFFF-32E7-42A6-B748-6954557EE2ED}" name="Z_Standing reach" dataCellStyle="20% - Accent5">
      <calculatedColumnFormula>STANDARDIZE(TBL_DATA[[#This Row],[Standing reach]],H$63,H$62)</calculatedColumnFormula>
    </tableColumn>
    <tableColumn id="24" xr3:uid="{23759586-8D31-46C3-B54C-C680759953AA}" name="Z_Vertical (Max)" dataCellStyle="20% - Accent5">
      <calculatedColumnFormula>STANDARDIZE(TBL_DATA[[#This Row],[Vertical (Max)]],I$63,I$62)</calculatedColumnFormula>
    </tableColumn>
    <tableColumn id="25" xr3:uid="{D92850BE-4A9B-45C6-BCB5-61FC5B61C352}" name="Z_Vertical (Max Reach)" dataCellStyle="20% - Accent5">
      <calculatedColumnFormula>STANDARDIZE(TBL_DATA[[#This Row],[Vertical (Max Reach)]],J$63,J$62)</calculatedColumnFormula>
    </tableColumn>
    <tableColumn id="26" xr3:uid="{80024207-A2CB-4C37-9FAD-6B0B41ECE97D}" name="Z_Vertical (No Step)" dataCellStyle="20% - Accent5">
      <calculatedColumnFormula>STANDARDIZE(TBL_DATA[[#This Row],[Vertical (No Step)]],K$63,K$62)</calculatedColumnFormula>
    </tableColumn>
    <tableColumn id="27" xr3:uid="{ECF3B9B8-783D-4229-94BB-63E12B332670}" name="Z_Vertical (No Step Reach)" dataCellStyle="20% - Accent5">
      <calculatedColumnFormula>STANDARDIZE(TBL_DATA[[#This Row],[Vertical (No Step Reach)]],L$63,L$62)</calculatedColumnFormula>
    </tableColumn>
    <tableColumn id="28" xr3:uid="{11733B80-D4DF-4C8A-8B70-2686795C7899}" name="Z_Weight" dataCellStyle="20% - Accent5">
      <calculatedColumnFormula>STANDARDIZE(TBL_DATA[[#This Row],[Weight]],M$63,M$62)</calculatedColumnFormula>
    </tableColumn>
    <tableColumn id="29" xr3:uid="{A129B088-036A-4CFF-92F6-102322A1A803}" name="Z_Body Fat" dataCellStyle="20% - Accent5">
      <calculatedColumnFormula>STANDARDIZE(TBL_DATA[[#This Row],[Body Fat]],N$63,N$62)</calculatedColumnFormula>
    </tableColumn>
    <tableColumn id="30" xr3:uid="{12EB41FE-1943-4CE1-86F0-EB3E1D07C185}" name="Z_Hand (Length)" dataCellStyle="20% - Accent5">
      <calculatedColumnFormula>STANDARDIZE(TBL_DATA[[#This Row],[Hand (Length)]],O$63,O$62)</calculatedColumnFormula>
    </tableColumn>
    <tableColumn id="31" xr3:uid="{82A4D6C7-FD59-49C3-92E8-30F24C30A06E}" name="Z_Hand (Width)" dataCellStyle="20% - Accent5">
      <calculatedColumnFormula>STANDARDIZE(TBL_DATA[[#This Row],[Hand (Width)]],P$63,P$62)</calculatedColumnFormula>
    </tableColumn>
    <tableColumn id="32" xr3:uid="{2B6C362C-2959-4D3F-BD7A-3D5F1DEEBD7D}" name="Z_Agility" dataDxfId="60" dataCellStyle="20% - Accent5">
      <calculatedColumnFormula>STANDARDIZE(TBL_DATA[[#This Row],[Agility]],Q$63,Q$62)</calculatedColumnFormula>
    </tableColumn>
    <tableColumn id="33" xr3:uid="{42FF5D51-F40E-434C-BD5F-7ADA67C2C722}" name="Z_Sprint" dataCellStyle="20% - Accent5">
      <calculatedColumnFormula>STANDARDIZE(TBL_DATA[[#This Row],[Sprint]],R$63,R$62)</calculatedColumnFormula>
    </tableColumn>
    <tableColumn id="34" xr3:uid="{8EF905C6-5EDF-413B-8798-A2B954E65C16}" name="T_Height (No Shoes)" dataDxfId="59" dataCellStyle="20% - Accent5">
      <calculatedColumnFormula>(10*TBL_DATA[[#This Row],[Z_Height (No Shoes)]])+50</calculatedColumnFormula>
    </tableColumn>
    <tableColumn id="35" xr3:uid="{B916F36C-4A60-41D8-9F22-809FF81B266A}" name="T_Height (With Shoes)" dataCellStyle="20% - Accent5">
      <calculatedColumnFormula>(10*TBL_DATA[[#This Row],[Z_Height (With Shoes)]])+50</calculatedColumnFormula>
    </tableColumn>
    <tableColumn id="36" xr3:uid="{9357D1C0-380A-48B5-8C73-5A32ABA647F1}" name="T_Wingspan" dataCellStyle="20% - Accent5">
      <calculatedColumnFormula>(10*TBL_DATA[[#This Row],[Z_Wingspan]])+50</calculatedColumnFormula>
    </tableColumn>
    <tableColumn id="37" xr3:uid="{8B649BC8-23EC-42F1-AA48-63798EEBBCDB}" name="T_Standing reach" dataCellStyle="20% - Accent5">
      <calculatedColumnFormula>(10*TBL_DATA[[#This Row],[Z_Standing reach]])+50</calculatedColumnFormula>
    </tableColumn>
    <tableColumn id="38" xr3:uid="{DEB45949-43C0-42B1-9B66-4CE595488DBC}" name="T_Vertical (Max)" dataCellStyle="20% - Accent5">
      <calculatedColumnFormula>(10*TBL_DATA[[#This Row],[Z_Vertical (Max)]])+50</calculatedColumnFormula>
    </tableColumn>
    <tableColumn id="39" xr3:uid="{992478B0-DF0F-4D1A-853F-7FF2617D49FF}" name="T_Vertical (Max Reach)" dataCellStyle="20% - Accent5">
      <calculatedColumnFormula>(10*TBL_DATA[[#This Row],[Z_Vertical (Max Reach)]])+50</calculatedColumnFormula>
    </tableColumn>
    <tableColumn id="40" xr3:uid="{926D4988-C5F7-44F5-AEA7-9616790AB9AE}" name="T_Vertical (No Step)" dataCellStyle="20% - Accent5">
      <calculatedColumnFormula>(10*TBL_DATA[[#This Row],[Z_Vertical (No Step)]])+50</calculatedColumnFormula>
    </tableColumn>
    <tableColumn id="41" xr3:uid="{1F2FB05C-ACBF-4A0B-979C-CA1D838BFC2A}" name="T_Vertical (No Step Reach)" dataCellStyle="20% - Accent5">
      <calculatedColumnFormula>(10*TBL_DATA[[#This Row],[Z_Vertical (No Step Reach)]])+50</calculatedColumnFormula>
    </tableColumn>
    <tableColumn id="42" xr3:uid="{6E239F67-FAC3-4A1E-916A-D2EC8216241D}" name="T_Weight" dataCellStyle="20% - Accent5">
      <calculatedColumnFormula>(10*TBL_DATA[[#This Row],[Z_Weight]])+50</calculatedColumnFormula>
    </tableColumn>
    <tableColumn id="43" xr3:uid="{C1F27249-4D16-4D11-B3AA-820F56EF3502}" name="T_Body Fat" dataCellStyle="20% - Accent5">
      <calculatedColumnFormula>(10*TBL_DATA[[#This Row],[Z_Body Fat]])+50</calculatedColumnFormula>
    </tableColumn>
    <tableColumn id="44" xr3:uid="{D2418B0F-29DF-4A45-A928-B9306E1E9DA3}" name="T_Hand (Length)" dataCellStyle="20% - Accent5">
      <calculatedColumnFormula>(10*TBL_DATA[[#This Row],[Z_Hand (Length)]])+50</calculatedColumnFormula>
    </tableColumn>
    <tableColumn id="45" xr3:uid="{2E7577FC-C57D-4EC1-80D7-95A9FEAB9AD6}" name="T_Hand (Width)" dataCellStyle="20% - Accent5">
      <calculatedColumnFormula>(10*TBL_DATA[[#This Row],[Z_Hand (Width)]])+50</calculatedColumnFormula>
    </tableColumn>
    <tableColumn id="46" xr3:uid="{8C16B730-FAEE-4105-90BC-E4516E364353}" name="T_Agility" dataCellStyle="20% - Accent5">
      <calculatedColumnFormula>(10*TBL_DATA[[#This Row],[Z_Agility]])+50</calculatedColumnFormula>
    </tableColumn>
    <tableColumn id="47" xr3:uid="{6B303000-F333-44EC-B7CD-99452F1CD389}" name="T_Sprint" dataCellStyle="20% - Accent5">
      <calculatedColumnFormula>(10*TBL_DATA[[#This Row],[Z_Sprint]])+50</calculatedColumnFormula>
    </tableColumn>
    <tableColumn id="17" xr3:uid="{C99797B8-CD18-4054-8EA8-32DE4C03D64E}" name="TSA" dataDxfId="58" dataCellStyle="20% - Accent5">
      <calculatedColumnFormula>SUM(TBL_DATA[[#This Row],[T_Height (No Shoes)]:[T_Sprint]])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AD3A42-5956-4DB5-8637-9D7BDF2D83E9}" name="Table4" displayName="Table4" ref="A5:AB19" totalsRowShown="0" headerRowDxfId="31" dataDxfId="29" headerRowBorderDxfId="30" tableBorderDxfId="28">
  <autoFilter ref="A5:AB19" xr:uid="{30AD3A42-5956-4DB5-8637-9D7BDF2D83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3" xr3:uid="{689286D1-F562-4E04-AB3E-E03E83C069C8}" name="Height (No Shoes)" dataDxfId="27"/>
    <tableColumn id="4" xr3:uid="{AC63A107-B95E-4C8E-AB0C-025DA17E1292}" name="Column1" dataDxfId="26"/>
    <tableColumn id="5" xr3:uid="{85A0DD21-8C1D-4D5B-8FC3-6E12A6BE6FF6}" name="Height (With Shoes)" dataDxfId="25"/>
    <tableColumn id="6" xr3:uid="{B821501A-786A-495D-ABD1-8EB781F891DA}" name="Column2" dataDxfId="24"/>
    <tableColumn id="7" xr3:uid="{B5D62691-FA77-4E45-91DD-BFAEA2A22ADA}" name="Wingspan" dataDxfId="23"/>
    <tableColumn id="8" xr3:uid="{F4E68876-85C4-4AA0-A3D7-9DA6F454F244}" name="Column3" dataDxfId="22"/>
    <tableColumn id="9" xr3:uid="{D17B95A9-D83F-44C8-803F-26EE20B90F1D}" name="Standing reach" dataDxfId="21"/>
    <tableColumn id="10" xr3:uid="{F43BCC80-7725-488C-B47B-22CC7BD9DB7F}" name="Column4" dataDxfId="20"/>
    <tableColumn id="11" xr3:uid="{BFEDC404-DC83-4997-B029-879347DD15CF}" name="Vertical (Max)" dataDxfId="19"/>
    <tableColumn id="12" xr3:uid="{36FC5F90-58CA-4F1E-A96F-A34D52B2E1C8}" name="Column5" dataDxfId="18"/>
    <tableColumn id="13" xr3:uid="{5A10FE9E-C6C5-492C-AE70-362F6D524D33}" name="Vertical (Max Reach)" dataDxfId="17"/>
    <tableColumn id="14" xr3:uid="{D2AAD44E-D1A5-414B-B5CD-7FA9B3622620}" name="Column6" dataDxfId="16"/>
    <tableColumn id="15" xr3:uid="{09B8BDBB-9800-4162-BCB1-C768F71D4A65}" name="Vertical (No Step)" dataDxfId="15"/>
    <tableColumn id="16" xr3:uid="{A7BCEDE4-738A-4E66-A4C2-4CA79209D5D3}" name="Column7" dataDxfId="14"/>
    <tableColumn id="17" xr3:uid="{6AC12597-4F65-442A-AE2D-966EC6A1C8F8}" name="Vertical (No Step Reach)" dataDxfId="13"/>
    <tableColumn id="18" xr3:uid="{8208ABFA-C8EB-412E-A4B0-C232FFE0DC81}" name="Column8" dataDxfId="12"/>
    <tableColumn id="19" xr3:uid="{29C9505F-5163-4288-BBB4-37F7CBEC7677}" name="Weight" dataDxfId="11"/>
    <tableColumn id="20" xr3:uid="{2B1F1C74-BA42-4D72-A973-C1104381BDE8}" name="Column9" dataDxfId="10"/>
    <tableColumn id="21" xr3:uid="{F8AA304B-A470-4576-9140-C4A8C57BB759}" name="Body Fat" dataDxfId="9"/>
    <tableColumn id="22" xr3:uid="{1B9A20A3-D9AE-4217-B56E-A3DE4349FE1C}" name="Column10" dataDxfId="8"/>
    <tableColumn id="23" xr3:uid="{5D7C3C50-4C00-42C0-8E9F-0CD37025394C}" name="Hand (Length)" dataDxfId="7"/>
    <tableColumn id="24" xr3:uid="{367B794B-EA95-4E6E-BA2E-11DC4727AD13}" name="Column11" dataDxfId="6"/>
    <tableColumn id="25" xr3:uid="{7726D0F8-7A0B-42E0-A4E2-7A9765E4D42C}" name="Hand (Width)" dataDxfId="5"/>
    <tableColumn id="26" xr3:uid="{54560F95-9EA4-4EDD-82B9-5095554128F1}" name="Column12" dataDxfId="4"/>
    <tableColumn id="29" xr3:uid="{82B278CA-FD20-4AA6-9BF1-65406BB88295}" name="Agility" dataDxfId="3"/>
    <tableColumn id="30" xr3:uid="{ADA08B7A-CF90-48D3-B839-D2D6CA73C301}" name="Column13" dataDxfId="2"/>
    <tableColumn id="31" xr3:uid="{3CA9BB8F-1426-4ADC-9852-B3B47A942C18}" name="Sprint" dataDxfId="1"/>
    <tableColumn id="32" xr3:uid="{5C8631B2-2BE1-4FF5-9DB0-14BF9AFE0A59}" name="Column1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EB4E-9EB3-42F9-82C8-E529DF7E3963}">
  <dimension ref="A1:AU66"/>
  <sheetViews>
    <sheetView zoomScale="40" zoomScaleNormal="40" workbookViewId="0">
      <selection activeCell="F72" sqref="F72"/>
    </sheetView>
  </sheetViews>
  <sheetFormatPr defaultRowHeight="14.4" x14ac:dyDescent="0.3"/>
  <cols>
    <col min="1" max="1" width="11.6640625" bestFit="1" customWidth="1"/>
    <col min="2" max="2" width="23.44140625" style="1" bestFit="1" customWidth="1"/>
    <col min="3" max="3" width="7.6640625" bestFit="1" customWidth="1"/>
    <col min="4" max="4" width="12.21875" bestFit="1" customWidth="1"/>
    <col min="5" max="5" width="20" bestFit="1" customWidth="1"/>
    <col min="6" max="6" width="21.6640625" bestFit="1" customWidth="1"/>
    <col min="7" max="7" width="12.33203125" bestFit="1" customWidth="1"/>
    <col min="8" max="8" width="16.77734375" bestFit="1" customWidth="1"/>
    <col min="9" max="9" width="15.77734375" bestFit="1" customWidth="1"/>
    <col min="10" max="10" width="21.77734375" bestFit="1" customWidth="1"/>
    <col min="11" max="11" width="19.33203125" bestFit="1" customWidth="1"/>
    <col min="12" max="12" width="25.44140625" bestFit="1" customWidth="1"/>
    <col min="13" max="13" width="10" bestFit="1" customWidth="1"/>
    <col min="14" max="14" width="11.109375" bestFit="1" customWidth="1"/>
    <col min="15" max="15" width="16.21875" bestFit="1" customWidth="1"/>
    <col min="16" max="16" width="15.5546875" bestFit="1" customWidth="1"/>
    <col min="17" max="17" width="9.109375" bestFit="1" customWidth="1"/>
    <col min="18" max="18" width="9" bestFit="1" customWidth="1"/>
    <col min="19" max="19" width="21.77734375" bestFit="1" customWidth="1"/>
    <col min="20" max="20" width="23.5546875" bestFit="1" customWidth="1"/>
    <col min="21" max="21" width="14.109375" bestFit="1" customWidth="1"/>
    <col min="22" max="22" width="18.5546875" bestFit="1" customWidth="1"/>
    <col min="23" max="23" width="17.6640625" bestFit="1" customWidth="1"/>
    <col min="24" max="24" width="23.77734375" bestFit="1" customWidth="1"/>
    <col min="25" max="25" width="21.21875" bestFit="1" customWidth="1"/>
    <col min="26" max="26" width="27.21875" bestFit="1" customWidth="1"/>
    <col min="27" max="27" width="11.77734375" bestFit="1" customWidth="1"/>
    <col min="28" max="28" width="12.88671875" bestFit="1" customWidth="1"/>
    <col min="29" max="29" width="18" bestFit="1" customWidth="1"/>
    <col min="30" max="30" width="17.33203125" bestFit="1" customWidth="1"/>
    <col min="31" max="31" width="11" bestFit="1" customWidth="1"/>
    <col min="32" max="32" width="10.77734375" bestFit="1" customWidth="1"/>
    <col min="33" max="33" width="21.77734375" bestFit="1" customWidth="1"/>
    <col min="34" max="34" width="23.5546875" bestFit="1" customWidth="1"/>
    <col min="35" max="35" width="14.109375" bestFit="1" customWidth="1"/>
    <col min="36" max="36" width="18.5546875" bestFit="1" customWidth="1"/>
    <col min="37" max="37" width="17.6640625" bestFit="1" customWidth="1"/>
    <col min="38" max="38" width="23.77734375" bestFit="1" customWidth="1"/>
    <col min="39" max="39" width="21.21875" bestFit="1" customWidth="1"/>
    <col min="40" max="40" width="27.21875" bestFit="1" customWidth="1"/>
    <col min="41" max="41" width="11.77734375" bestFit="1" customWidth="1"/>
    <col min="42" max="42" width="12.88671875" bestFit="1" customWidth="1"/>
    <col min="43" max="43" width="18" bestFit="1" customWidth="1"/>
    <col min="44" max="44" width="17.33203125" bestFit="1" customWidth="1"/>
    <col min="45" max="45" width="11" bestFit="1" customWidth="1"/>
    <col min="46" max="46" width="10.77734375" bestFit="1" customWidth="1"/>
  </cols>
  <sheetData>
    <row r="1" spans="1:47" s="4" customFormat="1" x14ac:dyDescent="0.3">
      <c r="A1" s="3" t="s">
        <v>76</v>
      </c>
      <c r="B1" s="5" t="s">
        <v>0</v>
      </c>
      <c r="C1" s="12" t="s">
        <v>1</v>
      </c>
      <c r="D1" s="13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9" t="s">
        <v>106</v>
      </c>
      <c r="T1" s="9" t="s">
        <v>107</v>
      </c>
      <c r="U1" s="9" t="s">
        <v>108</v>
      </c>
      <c r="V1" s="9" t="s">
        <v>109</v>
      </c>
      <c r="W1" s="9" t="s">
        <v>110</v>
      </c>
      <c r="X1" s="9" t="s">
        <v>111</v>
      </c>
      <c r="Y1" s="9" t="s">
        <v>112</v>
      </c>
      <c r="Z1" s="9" t="s">
        <v>113</v>
      </c>
      <c r="AA1" s="9" t="s">
        <v>114</v>
      </c>
      <c r="AB1" s="9" t="s">
        <v>115</v>
      </c>
      <c r="AC1" s="9" t="s">
        <v>116</v>
      </c>
      <c r="AD1" s="9" t="s">
        <v>117</v>
      </c>
      <c r="AE1" s="9" t="s">
        <v>118</v>
      </c>
      <c r="AF1" s="9" t="s">
        <v>119</v>
      </c>
      <c r="AG1" s="11" t="s">
        <v>120</v>
      </c>
      <c r="AH1" s="11" t="s">
        <v>121</v>
      </c>
      <c r="AI1" s="11" t="s">
        <v>122</v>
      </c>
      <c r="AJ1" s="11" t="s">
        <v>123</v>
      </c>
      <c r="AK1" s="11" t="s">
        <v>124</v>
      </c>
      <c r="AL1" s="11" t="s">
        <v>125</v>
      </c>
      <c r="AM1" s="11" t="s">
        <v>126</v>
      </c>
      <c r="AN1" s="11" t="s">
        <v>127</v>
      </c>
      <c r="AO1" s="11" t="s">
        <v>128</v>
      </c>
      <c r="AP1" s="11" t="s">
        <v>129</v>
      </c>
      <c r="AQ1" s="11" t="s">
        <v>130</v>
      </c>
      <c r="AR1" s="11" t="s">
        <v>131</v>
      </c>
      <c r="AS1" s="11" t="s">
        <v>132</v>
      </c>
      <c r="AT1" s="11" t="s">
        <v>133</v>
      </c>
      <c r="AU1" s="15" t="s">
        <v>134</v>
      </c>
    </row>
    <row r="2" spans="1:47" x14ac:dyDescent="0.3">
      <c r="A2" s="8">
        <v>0</v>
      </c>
      <c r="B2" s="6" t="s">
        <v>17</v>
      </c>
      <c r="C2" s="7">
        <v>2014</v>
      </c>
      <c r="D2" s="2"/>
      <c r="E2" s="2">
        <v>72.75</v>
      </c>
      <c r="F2" s="2">
        <v>73.75</v>
      </c>
      <c r="G2" s="2">
        <v>74</v>
      </c>
      <c r="H2" s="2">
        <v>94.5</v>
      </c>
      <c r="I2" s="2">
        <v>32</v>
      </c>
      <c r="J2" s="2">
        <v>126.5</v>
      </c>
      <c r="K2" s="2">
        <v>29</v>
      </c>
      <c r="L2" s="2">
        <v>123.5</v>
      </c>
      <c r="M2" s="2">
        <v>192</v>
      </c>
      <c r="N2" s="2">
        <v>6.1</v>
      </c>
      <c r="O2" s="2">
        <v>7.75</v>
      </c>
      <c r="P2" s="2">
        <v>8.5</v>
      </c>
      <c r="Q2" s="2">
        <v>10.78</v>
      </c>
      <c r="R2" s="2">
        <v>3.26</v>
      </c>
      <c r="S2" s="10">
        <f>STANDARDIZE(TBL_DATA[[#This Row],[Height (No Shoes)]],E$63,E$62)</f>
        <v>-1.3774525946138858</v>
      </c>
      <c r="T2" s="10">
        <f>STANDARDIZE(TBL_DATA[[#This Row],[Height (With Shoes)]],F$63,F$62)</f>
        <v>-1.5307705869081456</v>
      </c>
      <c r="U2" s="10">
        <f>STANDARDIZE(TBL_DATA[[#This Row],[Wingspan]],G$63,G$62)</f>
        <v>-2.2666531141343298</v>
      </c>
      <c r="V2" s="10">
        <f>STANDARDIZE(TBL_DATA[[#This Row],[Standing reach]],H$63,H$62)</f>
        <v>-1.8225871230337469</v>
      </c>
      <c r="W2" s="10">
        <f>STANDARDIZE(TBL_DATA[[#This Row],[Vertical (Max)]],I$63,I$62)</f>
        <v>-1.1465281066052004</v>
      </c>
      <c r="X2" s="10">
        <f>STANDARDIZE(TBL_DATA[[#This Row],[Vertical (Max Reach)]],J$63,J$62)</f>
        <v>-2.7509121329890553</v>
      </c>
      <c r="Y2" s="10">
        <f>STANDARDIZE(TBL_DATA[[#This Row],[Vertical (No Step)]],K$63,K$62)</f>
        <v>-0.41073804224958327</v>
      </c>
      <c r="Z2" s="10">
        <f>STANDARDIZE(TBL_DATA[[#This Row],[Vertical (No Step Reach)]],L$63,L$62)</f>
        <v>-2.0851322206442067</v>
      </c>
      <c r="AA2" s="10">
        <f>STANDARDIZE(TBL_DATA[[#This Row],[Weight]],M$63,M$62)</f>
        <v>-0.84615254162177678</v>
      </c>
      <c r="AB2" s="10">
        <f>STANDARDIZE(TBL_DATA[[#This Row],[Body Fat]],N$63,N$62)</f>
        <v>-0.36377979605131933</v>
      </c>
      <c r="AC2" s="10">
        <f>STANDARDIZE(TBL_DATA[[#This Row],[Hand (Length)]],O$63,O$62)</f>
        <v>-2.1947440416710804</v>
      </c>
      <c r="AD2" s="10">
        <f>STANDARDIZE(TBL_DATA[[#This Row],[Hand (Width)]],P$63,P$62)</f>
        <v>-0.92526343710279668</v>
      </c>
      <c r="AE2" s="10">
        <f>STANDARDIZE(TBL_DATA[[#This Row],[Agility]],Q$63,Q$62)</f>
        <v>-1.1905493523961377</v>
      </c>
      <c r="AF2" s="10">
        <f>STANDARDIZE(TBL_DATA[[#This Row],[Sprint]],R$63,R$62)</f>
        <v>-0.41303186803793651</v>
      </c>
      <c r="AG2" s="10">
        <f>(10*TBL_DATA[[#This Row],[Z_Height (No Shoes)]])+50</f>
        <v>36.225474053861141</v>
      </c>
      <c r="AH2" s="10">
        <f>(10*TBL_DATA[[#This Row],[Z_Height (With Shoes)]])+50</f>
        <v>34.69229413091854</v>
      </c>
      <c r="AI2" s="10">
        <f>(10*TBL_DATA[[#This Row],[Z_Wingspan]])+50</f>
        <v>27.333468858656701</v>
      </c>
      <c r="AJ2" s="10">
        <f>(10*TBL_DATA[[#This Row],[Z_Standing reach]])+50</f>
        <v>31.774128769662532</v>
      </c>
      <c r="AK2" s="10">
        <f>(10*TBL_DATA[[#This Row],[Z_Vertical (Max)]])+50</f>
        <v>38.534718933948</v>
      </c>
      <c r="AL2" s="10">
        <f>(10*TBL_DATA[[#This Row],[Z_Vertical (Max Reach)]])+50</f>
        <v>22.490878670109446</v>
      </c>
      <c r="AM2" s="10">
        <f>(10*TBL_DATA[[#This Row],[Z_Vertical (No Step)]])+50</f>
        <v>45.892619577504163</v>
      </c>
      <c r="AN2" s="10">
        <f>(10*TBL_DATA[[#This Row],[Z_Vertical (No Step Reach)]])+50</f>
        <v>29.148677793557933</v>
      </c>
      <c r="AO2" s="10">
        <f>(10*TBL_DATA[[#This Row],[Z_Weight]])+50</f>
        <v>41.538474583782232</v>
      </c>
      <c r="AP2" s="10">
        <f>(10*TBL_DATA[[#This Row],[Z_Body Fat]])+50</f>
        <v>46.362202039486803</v>
      </c>
      <c r="AQ2" s="10">
        <f>(10*TBL_DATA[[#This Row],[Z_Hand (Length)]])+50</f>
        <v>28.052559583289195</v>
      </c>
      <c r="AR2" s="10">
        <f>(10*TBL_DATA[[#This Row],[Z_Hand (Width)]])+50</f>
        <v>40.747365628972034</v>
      </c>
      <c r="AS2" s="10">
        <f>(10*TBL_DATA[[#This Row],[Z_Agility]])+50</f>
        <v>38.094506476038624</v>
      </c>
      <c r="AT2" s="10">
        <f>(10*TBL_DATA[[#This Row],[Z_Sprint]])+50</f>
        <v>45.869681319620632</v>
      </c>
      <c r="AU2" s="2">
        <f>SUM(TBL_DATA[[#This Row],[T_Height (No Shoes)]:[T_Sprint]])</f>
        <v>506.75705041940802</v>
      </c>
    </row>
    <row r="3" spans="1:47" x14ac:dyDescent="0.3">
      <c r="A3" s="8">
        <v>1</v>
      </c>
      <c r="B3" s="6" t="s">
        <v>18</v>
      </c>
      <c r="C3" s="7">
        <v>2014</v>
      </c>
      <c r="D3" s="2">
        <v>4</v>
      </c>
      <c r="E3" s="2">
        <v>79.5</v>
      </c>
      <c r="F3" s="2">
        <v>80.75</v>
      </c>
      <c r="G3" s="2">
        <v>83.75</v>
      </c>
      <c r="H3" s="2">
        <v>105</v>
      </c>
      <c r="I3" s="2">
        <v>39</v>
      </c>
      <c r="J3" s="2">
        <v>144</v>
      </c>
      <c r="K3" s="2">
        <v>32.5</v>
      </c>
      <c r="L3" s="2">
        <v>137.5</v>
      </c>
      <c r="M3" s="2">
        <v>220</v>
      </c>
      <c r="N3" s="2">
        <v>5.0999999999999996</v>
      </c>
      <c r="O3" s="2">
        <v>8.75</v>
      </c>
      <c r="P3" s="2">
        <v>10.5</v>
      </c>
      <c r="Q3" s="2">
        <v>10.81</v>
      </c>
      <c r="R3" s="2">
        <v>3.27</v>
      </c>
      <c r="S3" s="10">
        <f>STANDARDIZE(TBL_DATA[[#This Row],[Height (No Shoes)]],E$63,E$62)</f>
        <v>0.74467698296824136</v>
      </c>
      <c r="T3" s="10">
        <f>STANDARDIZE(TBL_DATA[[#This Row],[Height (With Shoes)]],F$63,F$62)</f>
        <v>0.73520881235014834</v>
      </c>
      <c r="U3" s="10">
        <f>STANDARDIZE(TBL_DATA[[#This Row],[Wingspan]],G$63,G$62)</f>
        <v>0.44414148858037528</v>
      </c>
      <c r="V3" s="10">
        <f>STANDARDIZE(TBL_DATA[[#This Row],[Standing reach]],H$63,H$62)</f>
        <v>0.62929718254585365</v>
      </c>
      <c r="W3" s="10">
        <f>STANDARDIZE(TBL_DATA[[#This Row],[Vertical (Max)]],I$63,I$62)</f>
        <v>1.0181636366544911</v>
      </c>
      <c r="X3" s="10">
        <f>STANDARDIZE(TBL_DATA[[#This Row],[Vertical (Max Reach)]],J$63,J$62)</f>
        <v>1.4838945115708553</v>
      </c>
      <c r="Y3" s="10">
        <f>STANDARDIZE(TBL_DATA[[#This Row],[Vertical (No Step)]],K$63,K$62)</f>
        <v>0.93779128230435671</v>
      </c>
      <c r="Z3" s="10">
        <f>STANDARDIZE(TBL_DATA[[#This Row],[Vertical (No Step Reach)]],L$63,L$62)</f>
        <v>1.2600961203676913</v>
      </c>
      <c r="AA3" s="10">
        <f>STANDARDIZE(TBL_DATA[[#This Row],[Weight]],M$63,M$62)</f>
        <v>0.34553032177053022</v>
      </c>
      <c r="AB3" s="10">
        <f>STANDARDIZE(TBL_DATA[[#This Row],[Body Fat]],N$63,N$62)</f>
        <v>-0.75472711785510471</v>
      </c>
      <c r="AC3" s="10">
        <f>STANDARDIZE(TBL_DATA[[#This Row],[Hand (Length)]],O$63,O$62)</f>
        <v>7.7008562865651733E-2</v>
      </c>
      <c r="AD3" s="10">
        <f>STANDARDIZE(TBL_DATA[[#This Row],[Hand (Width)]],P$63,P$62)</f>
        <v>1.8214305397055064</v>
      </c>
      <c r="AE3" s="10">
        <f>STANDARDIZE(TBL_DATA[[#This Row],[Agility]],Q$63,Q$62)</f>
        <v>-1.1292739650738666</v>
      </c>
      <c r="AF3" s="10">
        <f>STANDARDIZE(TBL_DATA[[#This Row],[Sprint]],R$63,R$62)</f>
        <v>-0.32023616200297839</v>
      </c>
      <c r="AG3" s="10">
        <f>(10*TBL_DATA[[#This Row],[Z_Height (No Shoes)]])+50</f>
        <v>57.44676982968241</v>
      </c>
      <c r="AH3" s="10">
        <f>(10*TBL_DATA[[#This Row],[Z_Height (With Shoes)]])+50</f>
        <v>57.352088123501481</v>
      </c>
      <c r="AI3" s="10">
        <f>(10*TBL_DATA[[#This Row],[Z_Wingspan]])+50</f>
        <v>54.441414885803752</v>
      </c>
      <c r="AJ3" s="10">
        <f>(10*TBL_DATA[[#This Row],[Z_Standing reach]])+50</f>
        <v>56.292971825458537</v>
      </c>
      <c r="AK3" s="10">
        <f>(10*TBL_DATA[[#This Row],[Z_Vertical (Max)]])+50</f>
        <v>60.181636366544907</v>
      </c>
      <c r="AL3" s="10">
        <f>(10*TBL_DATA[[#This Row],[Z_Vertical (Max Reach)]])+50</f>
        <v>64.838945115708555</v>
      </c>
      <c r="AM3" s="10">
        <f>(10*TBL_DATA[[#This Row],[Z_Vertical (No Step)]])+50</f>
        <v>59.377912823043566</v>
      </c>
      <c r="AN3" s="10">
        <f>(10*TBL_DATA[[#This Row],[Z_Vertical (No Step Reach)]])+50</f>
        <v>62.600961203676917</v>
      </c>
      <c r="AO3" s="10">
        <f>(10*TBL_DATA[[#This Row],[Z_Weight]])+50</f>
        <v>53.4553032177053</v>
      </c>
      <c r="AP3" s="10">
        <f>(10*TBL_DATA[[#This Row],[Z_Body Fat]])+50</f>
        <v>42.45272882144895</v>
      </c>
      <c r="AQ3" s="10">
        <f>(10*TBL_DATA[[#This Row],[Z_Hand (Length)]])+50</f>
        <v>50.770085628656517</v>
      </c>
      <c r="AR3" s="10">
        <f>(10*TBL_DATA[[#This Row],[Z_Hand (Width)]])+50</f>
        <v>68.214305397055057</v>
      </c>
      <c r="AS3" s="10">
        <f>(10*TBL_DATA[[#This Row],[Z_Agility]])+50</f>
        <v>38.707260349261333</v>
      </c>
      <c r="AT3" s="10">
        <f>(10*TBL_DATA[[#This Row],[Z_Sprint]])+50</f>
        <v>46.797638379970216</v>
      </c>
      <c r="AU3" s="2">
        <f>SUM(TBL_DATA[[#This Row],[T_Height (No Shoes)]:[T_Sprint]])</f>
        <v>772.93002196751752</v>
      </c>
    </row>
    <row r="4" spans="1:47" x14ac:dyDescent="0.3">
      <c r="A4" s="8">
        <v>2</v>
      </c>
      <c r="B4" s="6" t="s">
        <v>19</v>
      </c>
      <c r="C4" s="7">
        <v>2014</v>
      </c>
      <c r="D4" s="2">
        <v>15</v>
      </c>
      <c r="E4" s="2">
        <v>81</v>
      </c>
      <c r="F4" s="2">
        <v>81.75</v>
      </c>
      <c r="G4" s="2">
        <v>88</v>
      </c>
      <c r="H4" s="2">
        <v>109</v>
      </c>
      <c r="I4" s="2"/>
      <c r="J4" s="2"/>
      <c r="K4" s="2"/>
      <c r="L4" s="2"/>
      <c r="M4" s="2">
        <v>239</v>
      </c>
      <c r="N4" s="2">
        <v>7.6</v>
      </c>
      <c r="O4" s="2">
        <v>9.25</v>
      </c>
      <c r="P4" s="2">
        <v>9.5</v>
      </c>
      <c r="Q4" s="2"/>
      <c r="R4" s="2"/>
      <c r="S4" s="10">
        <f>STANDARDIZE(TBL_DATA[[#This Row],[Height (No Shoes)]],E$63,E$62)</f>
        <v>1.2162613335420474</v>
      </c>
      <c r="T4" s="10">
        <f>STANDARDIZE(TBL_DATA[[#This Row],[Height (With Shoes)]],F$63,F$62)</f>
        <v>1.0589201551013332</v>
      </c>
      <c r="U4" s="10">
        <f>STANDARDIZE(TBL_DATA[[#This Row],[Wingspan]],G$63,G$62)</f>
        <v>1.6257699051483236</v>
      </c>
      <c r="V4" s="10">
        <f>STANDARDIZE(TBL_DATA[[#This Row],[Standing reach]],H$63,H$62)</f>
        <v>1.5633483465761777</v>
      </c>
      <c r="W4" s="10">
        <f>STANDARDIZE(TBL_DATA[[#This Row],[Vertical (Max)]],I$63,I$62)</f>
        <v>-11.042261790078076</v>
      </c>
      <c r="X4" s="10">
        <f>STANDARDIZE(TBL_DATA[[#This Row],[Vertical (Max Reach)]],J$63,J$62)</f>
        <v>-33.362514449379269</v>
      </c>
      <c r="Y4" s="10">
        <f>STANDARDIZE(TBL_DATA[[#This Row],[Vertical (No Step)]],K$63,K$62)</f>
        <v>-11.5842667314108</v>
      </c>
      <c r="Z4" s="10">
        <f>STANDARDIZE(TBL_DATA[[#This Row],[Vertical (No Step Reach)]],L$63,L$62)</f>
        <v>-31.594825085999162</v>
      </c>
      <c r="AA4" s="10">
        <f>STANDARDIZE(TBL_DATA[[#This Row],[Weight]],M$63,M$62)</f>
        <v>1.1541722647867385</v>
      </c>
      <c r="AB4" s="10">
        <f>STANDARDIZE(TBL_DATA[[#This Row],[Body Fat]],N$63,N$62)</f>
        <v>0.22264118665435872</v>
      </c>
      <c r="AC4" s="10">
        <f>STANDARDIZE(TBL_DATA[[#This Row],[Hand (Length)]],O$63,O$62)</f>
        <v>1.2128848651340178</v>
      </c>
      <c r="AD4" s="10">
        <f>STANDARDIZE(TBL_DATA[[#This Row],[Hand (Width)]],P$63,P$62)</f>
        <v>0.44808355130135485</v>
      </c>
      <c r="AE4" s="10">
        <f>STANDARDIZE(TBL_DATA[[#This Row],[Agility]],Q$63,Q$62)</f>
        <v>-23.208838530198122</v>
      </c>
      <c r="AF4" s="10">
        <f>STANDARDIZE(TBL_DATA[[#This Row],[Sprint]],R$63,R$62)</f>
        <v>-30.664432035433581</v>
      </c>
      <c r="AG4" s="10">
        <f>(10*TBL_DATA[[#This Row],[Z_Height (No Shoes)]])+50</f>
        <v>62.162613335420474</v>
      </c>
      <c r="AH4" s="10">
        <f>(10*TBL_DATA[[#This Row],[Z_Height (With Shoes)]])+50</f>
        <v>60.589201551013332</v>
      </c>
      <c r="AI4" s="10">
        <f>(10*TBL_DATA[[#This Row],[Z_Wingspan]])+50</f>
        <v>66.257699051483229</v>
      </c>
      <c r="AJ4" s="10">
        <f>(10*TBL_DATA[[#This Row],[Z_Standing reach]])+50</f>
        <v>65.633483465761771</v>
      </c>
      <c r="AK4" s="10">
        <f>(10*TBL_DATA[[#This Row],[Z_Vertical (Max)]])+50</f>
        <v>-60.42261790078075</v>
      </c>
      <c r="AL4" s="10">
        <f>(10*TBL_DATA[[#This Row],[Z_Vertical (Max Reach)]])+50</f>
        <v>-283.62514449379267</v>
      </c>
      <c r="AM4" s="10">
        <f>(10*TBL_DATA[[#This Row],[Z_Vertical (No Step)]])+50</f>
        <v>-65.842667314107999</v>
      </c>
      <c r="AN4" s="10">
        <f>(10*TBL_DATA[[#This Row],[Z_Vertical (No Step Reach)]])+50</f>
        <v>-265.94825085999162</v>
      </c>
      <c r="AO4" s="10">
        <f>(10*TBL_DATA[[#This Row],[Z_Weight]])+50</f>
        <v>61.541722647867388</v>
      </c>
      <c r="AP4" s="10">
        <f>(10*TBL_DATA[[#This Row],[Z_Body Fat]])+50</f>
        <v>52.226411866543586</v>
      </c>
      <c r="AQ4" s="10">
        <f>(10*TBL_DATA[[#This Row],[Z_Hand (Length)]])+50</f>
        <v>62.128848651340178</v>
      </c>
      <c r="AR4" s="10">
        <f>(10*TBL_DATA[[#This Row],[Z_Hand (Width)]])+50</f>
        <v>54.480835513013545</v>
      </c>
      <c r="AS4" s="10">
        <f>(10*TBL_DATA[[#This Row],[Z_Agility]])+50</f>
        <v>-182.08838530198122</v>
      </c>
      <c r="AT4" s="10">
        <f>(10*TBL_DATA[[#This Row],[Z_Sprint]])+50</f>
        <v>-256.64432035433583</v>
      </c>
      <c r="AU4" s="2">
        <f>SUM(TBL_DATA[[#This Row],[T_Height (No Shoes)]:[T_Sprint]])</f>
        <v>-629.55057014254658</v>
      </c>
    </row>
    <row r="5" spans="1:47" x14ac:dyDescent="0.3">
      <c r="A5" s="8">
        <v>3</v>
      </c>
      <c r="B5" s="6" t="s">
        <v>20</v>
      </c>
      <c r="C5" s="7">
        <v>2014</v>
      </c>
      <c r="D5" s="2">
        <v>50</v>
      </c>
      <c r="E5" s="2">
        <v>84.25</v>
      </c>
      <c r="F5" s="2">
        <v>85.25</v>
      </c>
      <c r="G5" s="2">
        <v>85.5</v>
      </c>
      <c r="H5" s="2">
        <v>109</v>
      </c>
      <c r="I5" s="2">
        <v>30</v>
      </c>
      <c r="J5" s="2">
        <v>139</v>
      </c>
      <c r="K5" s="2">
        <v>27</v>
      </c>
      <c r="L5" s="2">
        <v>136</v>
      </c>
      <c r="M5" s="2">
        <v>231</v>
      </c>
      <c r="N5" s="2">
        <v>7.7</v>
      </c>
      <c r="O5" s="2">
        <v>9.25</v>
      </c>
      <c r="P5" s="2">
        <v>8.75</v>
      </c>
      <c r="Q5" s="2">
        <v>12.05</v>
      </c>
      <c r="R5" s="2">
        <v>3.48</v>
      </c>
      <c r="S5" s="10">
        <f>STANDARDIZE(TBL_DATA[[#This Row],[Height (No Shoes)]],E$63,E$62)</f>
        <v>2.2380274264519606</v>
      </c>
      <c r="T5" s="10">
        <f>STANDARDIZE(TBL_DATA[[#This Row],[Height (With Shoes)]],F$63,F$62)</f>
        <v>2.1919098547304801</v>
      </c>
      <c r="U5" s="10">
        <f>STANDARDIZE(TBL_DATA[[#This Row],[Wingspan]],G$63,G$62)</f>
        <v>0.93069436599070698</v>
      </c>
      <c r="V5" s="10">
        <f>STANDARDIZE(TBL_DATA[[#This Row],[Standing reach]],H$63,H$62)</f>
        <v>1.5633483465761777</v>
      </c>
      <c r="W5" s="10">
        <f>STANDARDIZE(TBL_DATA[[#This Row],[Vertical (Max)]],I$63,I$62)</f>
        <v>-1.7650114618222552</v>
      </c>
      <c r="X5" s="10">
        <f>STANDARDIZE(TBL_DATA[[#This Row],[Vertical (Max Reach)]],J$63,J$62)</f>
        <v>0.27394975598230942</v>
      </c>
      <c r="Y5" s="10">
        <f>STANDARDIZE(TBL_DATA[[#This Row],[Vertical (No Step)]],K$63,K$62)</f>
        <v>-1.1813262277089775</v>
      </c>
      <c r="Z5" s="10">
        <f>STANDARDIZE(TBL_DATA[[#This Row],[Vertical (No Step Reach)]],L$63,L$62)</f>
        <v>0.90167879811641649</v>
      </c>
      <c r="AA5" s="10">
        <f>STANDARDIZE(TBL_DATA[[#This Row],[Weight]],M$63,M$62)</f>
        <v>0.81369144667465088</v>
      </c>
      <c r="AB5" s="10">
        <f>STANDARDIZE(TBL_DATA[[#This Row],[Body Fat]],N$63,N$62)</f>
        <v>0.26173591883473746</v>
      </c>
      <c r="AC5" s="10">
        <f>STANDARDIZE(TBL_DATA[[#This Row],[Hand (Length)]],O$63,O$62)</f>
        <v>1.2128848651340178</v>
      </c>
      <c r="AD5" s="10">
        <f>STANDARDIZE(TBL_DATA[[#This Row],[Hand (Width)]],P$63,P$62)</f>
        <v>-0.58192669000175878</v>
      </c>
      <c r="AE5" s="10">
        <f>STANDARDIZE(TBL_DATA[[#This Row],[Agility]],Q$63,Q$62)</f>
        <v>1.4034420442465849</v>
      </c>
      <c r="AF5" s="10">
        <f>STANDARDIZE(TBL_DATA[[#This Row],[Sprint]],R$63,R$62)</f>
        <v>1.6284736647310967</v>
      </c>
      <c r="AG5" s="10">
        <f>(10*TBL_DATA[[#This Row],[Z_Height (No Shoes)]])+50</f>
        <v>72.380274264519613</v>
      </c>
      <c r="AH5" s="10">
        <f>(10*TBL_DATA[[#This Row],[Z_Height (With Shoes)]])+50</f>
        <v>71.919098547304799</v>
      </c>
      <c r="AI5" s="10">
        <f>(10*TBL_DATA[[#This Row],[Z_Wingspan]])+50</f>
        <v>59.30694365990707</v>
      </c>
      <c r="AJ5" s="10">
        <f>(10*TBL_DATA[[#This Row],[Z_Standing reach]])+50</f>
        <v>65.633483465761771</v>
      </c>
      <c r="AK5" s="10">
        <f>(10*TBL_DATA[[#This Row],[Z_Vertical (Max)]])+50</f>
        <v>32.349885381777447</v>
      </c>
      <c r="AL5" s="10">
        <f>(10*TBL_DATA[[#This Row],[Z_Vertical (Max Reach)]])+50</f>
        <v>52.739497559823093</v>
      </c>
      <c r="AM5" s="10">
        <f>(10*TBL_DATA[[#This Row],[Z_Vertical (No Step)]])+50</f>
        <v>38.186737722910223</v>
      </c>
      <c r="AN5" s="10">
        <f>(10*TBL_DATA[[#This Row],[Z_Vertical (No Step Reach)]])+50</f>
        <v>59.016787981164164</v>
      </c>
      <c r="AO5" s="10">
        <f>(10*TBL_DATA[[#This Row],[Z_Weight]])+50</f>
        <v>58.136914466746511</v>
      </c>
      <c r="AP5" s="10">
        <f>(10*TBL_DATA[[#This Row],[Z_Body Fat]])+50</f>
        <v>52.617359188347372</v>
      </c>
      <c r="AQ5" s="10">
        <f>(10*TBL_DATA[[#This Row],[Z_Hand (Length)]])+50</f>
        <v>62.128848651340178</v>
      </c>
      <c r="AR5" s="10">
        <f>(10*TBL_DATA[[#This Row],[Z_Hand (Width)]])+50</f>
        <v>44.180733099982412</v>
      </c>
      <c r="AS5" s="10">
        <f>(10*TBL_DATA[[#This Row],[Z_Agility]])+50</f>
        <v>64.034420442465844</v>
      </c>
      <c r="AT5" s="10">
        <f>(10*TBL_DATA[[#This Row],[Z_Sprint]])+50</f>
        <v>66.284736647310964</v>
      </c>
      <c r="AU5" s="2">
        <f>SUM(TBL_DATA[[#This Row],[T_Height (No Shoes)]:[T_Sprint]])</f>
        <v>798.91572107936133</v>
      </c>
    </row>
    <row r="6" spans="1:47" x14ac:dyDescent="0.3">
      <c r="A6" s="8">
        <v>4</v>
      </c>
      <c r="B6" s="6" t="s">
        <v>21</v>
      </c>
      <c r="C6" s="7">
        <v>2014</v>
      </c>
      <c r="D6" s="2"/>
      <c r="E6" s="2">
        <v>81.25</v>
      </c>
      <c r="F6" s="2">
        <v>82.75</v>
      </c>
      <c r="G6" s="2">
        <v>87.5</v>
      </c>
      <c r="H6" s="2">
        <v>109.5</v>
      </c>
      <c r="I6" s="2">
        <v>31.5</v>
      </c>
      <c r="J6" s="2">
        <v>141</v>
      </c>
      <c r="K6" s="2">
        <v>28.5</v>
      </c>
      <c r="L6" s="2">
        <v>138</v>
      </c>
      <c r="M6" s="2">
        <v>252</v>
      </c>
      <c r="N6" s="2">
        <v>13.6</v>
      </c>
      <c r="O6" s="2">
        <v>9.25</v>
      </c>
      <c r="P6" s="2">
        <v>10.5</v>
      </c>
      <c r="Q6" s="2">
        <v>11.2</v>
      </c>
      <c r="R6" s="2">
        <v>3.48</v>
      </c>
      <c r="S6" s="10">
        <f>STANDARDIZE(TBL_DATA[[#This Row],[Height (No Shoes)]],E$63,E$62)</f>
        <v>1.2948587253043484</v>
      </c>
      <c r="T6" s="10">
        <f>STANDARDIZE(TBL_DATA[[#This Row],[Height (With Shoes)]],F$63,F$62)</f>
        <v>1.382631497852518</v>
      </c>
      <c r="U6" s="10">
        <f>STANDARDIZE(TBL_DATA[[#This Row],[Wingspan]],G$63,G$62)</f>
        <v>1.4867547973168003</v>
      </c>
      <c r="V6" s="10">
        <f>STANDARDIZE(TBL_DATA[[#This Row],[Standing reach]],H$63,H$62)</f>
        <v>1.6801047420799682</v>
      </c>
      <c r="W6" s="10">
        <f>STANDARDIZE(TBL_DATA[[#This Row],[Vertical (Max)]],I$63,I$62)</f>
        <v>-1.301148945409464</v>
      </c>
      <c r="X6" s="10">
        <f>STANDARDIZE(TBL_DATA[[#This Row],[Vertical (Max Reach)]],J$63,J$62)</f>
        <v>0.75792765821772778</v>
      </c>
      <c r="Y6" s="10">
        <f>STANDARDIZE(TBL_DATA[[#This Row],[Vertical (No Step)]],K$63,K$62)</f>
        <v>-0.60338508861443185</v>
      </c>
      <c r="Z6" s="10">
        <f>STANDARDIZE(TBL_DATA[[#This Row],[Vertical (No Step Reach)]],L$63,L$62)</f>
        <v>1.3795685611181161</v>
      </c>
      <c r="AA6" s="10">
        <f>STANDARDIZE(TBL_DATA[[#This Row],[Weight]],M$63,M$62)</f>
        <v>1.7074535942188811</v>
      </c>
      <c r="AB6" s="10">
        <f>STANDARDIZE(TBL_DATA[[#This Row],[Body Fat]],N$63,N$62)</f>
        <v>2.5683251174770709</v>
      </c>
      <c r="AC6" s="10">
        <f>STANDARDIZE(TBL_DATA[[#This Row],[Hand (Length)]],O$63,O$62)</f>
        <v>1.2128848651340178</v>
      </c>
      <c r="AD6" s="10">
        <f>STANDARDIZE(TBL_DATA[[#This Row],[Hand (Width)]],P$63,P$62)</f>
        <v>1.8214305397055064</v>
      </c>
      <c r="AE6" s="10">
        <f>STANDARDIZE(TBL_DATA[[#This Row],[Agility]],Q$63,Q$62)</f>
        <v>-0.3326939298843723</v>
      </c>
      <c r="AF6" s="10">
        <f>STANDARDIZE(TBL_DATA[[#This Row],[Sprint]],R$63,R$62)</f>
        <v>1.6284736647310967</v>
      </c>
      <c r="AG6" s="10">
        <f>(10*TBL_DATA[[#This Row],[Z_Height (No Shoes)]])+50</f>
        <v>62.948587253043485</v>
      </c>
      <c r="AH6" s="10">
        <f>(10*TBL_DATA[[#This Row],[Z_Height (With Shoes)]])+50</f>
        <v>63.826314978525183</v>
      </c>
      <c r="AI6" s="10">
        <f>(10*TBL_DATA[[#This Row],[Z_Wingspan]])+50</f>
        <v>64.867547973168001</v>
      </c>
      <c r="AJ6" s="10">
        <f>(10*TBL_DATA[[#This Row],[Z_Standing reach]])+50</f>
        <v>66.801047420799677</v>
      </c>
      <c r="AK6" s="10">
        <f>(10*TBL_DATA[[#This Row],[Z_Vertical (Max)]])+50</f>
        <v>36.988510545905356</v>
      </c>
      <c r="AL6" s="10">
        <f>(10*TBL_DATA[[#This Row],[Z_Vertical (Max Reach)]])+50</f>
        <v>57.579276582177279</v>
      </c>
      <c r="AM6" s="10">
        <f>(10*TBL_DATA[[#This Row],[Z_Vertical (No Step)]])+50</f>
        <v>43.966149113855678</v>
      </c>
      <c r="AN6" s="10">
        <f>(10*TBL_DATA[[#This Row],[Z_Vertical (No Step Reach)]])+50</f>
        <v>63.795685611181163</v>
      </c>
      <c r="AO6" s="10">
        <f>(10*TBL_DATA[[#This Row],[Z_Weight]])+50</f>
        <v>67.074535942188817</v>
      </c>
      <c r="AP6" s="10">
        <f>(10*TBL_DATA[[#This Row],[Z_Body Fat]])+50</f>
        <v>75.683251174770703</v>
      </c>
      <c r="AQ6" s="10">
        <f>(10*TBL_DATA[[#This Row],[Z_Hand (Length)]])+50</f>
        <v>62.128848651340178</v>
      </c>
      <c r="AR6" s="10">
        <f>(10*TBL_DATA[[#This Row],[Z_Hand (Width)]])+50</f>
        <v>68.214305397055057</v>
      </c>
      <c r="AS6" s="10">
        <f>(10*TBL_DATA[[#This Row],[Z_Agility]])+50</f>
        <v>46.673060701156274</v>
      </c>
      <c r="AT6" s="10">
        <f>(10*TBL_DATA[[#This Row],[Z_Sprint]])+50</f>
        <v>66.284736647310964</v>
      </c>
      <c r="AU6" s="2">
        <f>SUM(TBL_DATA[[#This Row],[T_Height (No Shoes)]:[T_Sprint]])</f>
        <v>846.83185799247781</v>
      </c>
    </row>
    <row r="7" spans="1:47" x14ac:dyDescent="0.3">
      <c r="A7" s="8">
        <v>5</v>
      </c>
      <c r="B7" s="6" t="s">
        <v>22</v>
      </c>
      <c r="C7" s="7">
        <v>2014</v>
      </c>
      <c r="D7" s="2"/>
      <c r="E7" s="2">
        <v>78.5</v>
      </c>
      <c r="F7" s="2">
        <v>80</v>
      </c>
      <c r="G7" s="2">
        <v>81.5</v>
      </c>
      <c r="H7" s="2">
        <v>104</v>
      </c>
      <c r="I7" s="2">
        <v>35</v>
      </c>
      <c r="J7" s="2">
        <v>139</v>
      </c>
      <c r="K7" s="2">
        <v>27</v>
      </c>
      <c r="L7" s="2">
        <v>131</v>
      </c>
      <c r="M7" s="2">
        <v>218</v>
      </c>
      <c r="N7" s="2">
        <v>5.0999999999999996</v>
      </c>
      <c r="O7" s="2">
        <v>9</v>
      </c>
      <c r="P7" s="2">
        <v>9</v>
      </c>
      <c r="Q7" s="2">
        <v>11</v>
      </c>
      <c r="R7" s="2">
        <v>3.32</v>
      </c>
      <c r="S7" s="10">
        <f>STANDARDIZE(TBL_DATA[[#This Row],[Height (No Shoes)]],E$63,E$62)</f>
        <v>0.43028741591903735</v>
      </c>
      <c r="T7" s="10">
        <f>STANDARDIZE(TBL_DATA[[#This Row],[Height (With Shoes)]],F$63,F$62)</f>
        <v>0.49242530528675976</v>
      </c>
      <c r="U7" s="10">
        <f>STANDARDIZE(TBL_DATA[[#This Row],[Wingspan]],G$63,G$62)</f>
        <v>-0.18142649666147975</v>
      </c>
      <c r="V7" s="10">
        <f>STANDARDIZE(TBL_DATA[[#This Row],[Standing reach]],H$63,H$62)</f>
        <v>0.39578439153827266</v>
      </c>
      <c r="W7" s="10">
        <f>STANDARDIZE(TBL_DATA[[#This Row],[Vertical (Max)]],I$63,I$62)</f>
        <v>-0.21880307377961833</v>
      </c>
      <c r="X7" s="10">
        <f>STANDARDIZE(TBL_DATA[[#This Row],[Vertical (Max Reach)]],J$63,J$62)</f>
        <v>0.27394975598230942</v>
      </c>
      <c r="Y7" s="10">
        <f>STANDARDIZE(TBL_DATA[[#This Row],[Vertical (No Step)]],K$63,K$62)</f>
        <v>-1.1813262277089775</v>
      </c>
      <c r="Z7" s="10">
        <f>STANDARDIZE(TBL_DATA[[#This Row],[Vertical (No Step Reach)]],L$63,L$62)</f>
        <v>-0.29304560938783281</v>
      </c>
      <c r="AA7" s="10">
        <f>STANDARDIZE(TBL_DATA[[#This Row],[Weight]],M$63,M$62)</f>
        <v>0.26041011724250834</v>
      </c>
      <c r="AB7" s="10">
        <f>STANDARDIZE(TBL_DATA[[#This Row],[Body Fat]],N$63,N$62)</f>
        <v>-0.75472711785510471</v>
      </c>
      <c r="AC7" s="10">
        <f>STANDARDIZE(TBL_DATA[[#This Row],[Hand (Length)]],O$63,O$62)</f>
        <v>0.64494671399983472</v>
      </c>
      <c r="AD7" s="10">
        <f>STANDARDIZE(TBL_DATA[[#This Row],[Hand (Width)]],P$63,P$62)</f>
        <v>-0.23858994290072091</v>
      </c>
      <c r="AE7" s="10">
        <f>STANDARDIZE(TBL_DATA[[#This Row],[Agility]],Q$63,Q$62)</f>
        <v>-0.74119651203283066</v>
      </c>
      <c r="AF7" s="10">
        <f>STANDARDIZE(TBL_DATA[[#This Row],[Sprint]],R$63,R$62)</f>
        <v>0.14374236817179981</v>
      </c>
      <c r="AG7" s="10">
        <f>(10*TBL_DATA[[#This Row],[Z_Height (No Shoes)]])+50</f>
        <v>54.302874159190374</v>
      </c>
      <c r="AH7" s="10">
        <f>(10*TBL_DATA[[#This Row],[Z_Height (With Shoes)]])+50</f>
        <v>54.924253052867599</v>
      </c>
      <c r="AI7" s="10">
        <f>(10*TBL_DATA[[#This Row],[Z_Wingspan]])+50</f>
        <v>48.1857350333852</v>
      </c>
      <c r="AJ7" s="10">
        <f>(10*TBL_DATA[[#This Row],[Z_Standing reach]])+50</f>
        <v>53.957843915382725</v>
      </c>
      <c r="AK7" s="10">
        <f>(10*TBL_DATA[[#This Row],[Z_Vertical (Max)]])+50</f>
        <v>47.811969262203817</v>
      </c>
      <c r="AL7" s="10">
        <f>(10*TBL_DATA[[#This Row],[Z_Vertical (Max Reach)]])+50</f>
        <v>52.739497559823093</v>
      </c>
      <c r="AM7" s="10">
        <f>(10*TBL_DATA[[#This Row],[Z_Vertical (No Step)]])+50</f>
        <v>38.186737722910223</v>
      </c>
      <c r="AN7" s="10">
        <f>(10*TBL_DATA[[#This Row],[Z_Vertical (No Step Reach)]])+50</f>
        <v>47.069543906121673</v>
      </c>
      <c r="AO7" s="10">
        <f>(10*TBL_DATA[[#This Row],[Z_Weight]])+50</f>
        <v>52.604101172425082</v>
      </c>
      <c r="AP7" s="10">
        <f>(10*TBL_DATA[[#This Row],[Z_Body Fat]])+50</f>
        <v>42.45272882144895</v>
      </c>
      <c r="AQ7" s="10">
        <f>(10*TBL_DATA[[#This Row],[Z_Hand (Length)]])+50</f>
        <v>56.449467139998347</v>
      </c>
      <c r="AR7" s="10">
        <f>(10*TBL_DATA[[#This Row],[Z_Hand (Width)]])+50</f>
        <v>47.61410057099279</v>
      </c>
      <c r="AS7" s="10">
        <f>(10*TBL_DATA[[#This Row],[Z_Agility]])+50</f>
        <v>42.588034879671696</v>
      </c>
      <c r="AT7" s="10">
        <f>(10*TBL_DATA[[#This Row],[Z_Sprint]])+50</f>
        <v>51.437423681717995</v>
      </c>
      <c r="AU7" s="2">
        <f>SUM(TBL_DATA[[#This Row],[T_Height (No Shoes)]:[T_Sprint]])</f>
        <v>690.32431087813961</v>
      </c>
    </row>
    <row r="8" spans="1:47" x14ac:dyDescent="0.3">
      <c r="A8" s="8">
        <v>6</v>
      </c>
      <c r="B8" s="6" t="s">
        <v>23</v>
      </c>
      <c r="C8" s="7">
        <v>2014</v>
      </c>
      <c r="D8" s="2">
        <v>28</v>
      </c>
      <c r="E8" s="2">
        <v>75.5</v>
      </c>
      <c r="F8" s="2">
        <v>77</v>
      </c>
      <c r="G8" s="2">
        <v>81.75</v>
      </c>
      <c r="H8" s="2">
        <v>100.5</v>
      </c>
      <c r="I8" s="2">
        <v>37.5</v>
      </c>
      <c r="J8" s="2">
        <v>138</v>
      </c>
      <c r="K8" s="2">
        <v>31</v>
      </c>
      <c r="L8" s="2">
        <v>131.5</v>
      </c>
      <c r="M8" s="2">
        <v>201</v>
      </c>
      <c r="N8" s="2">
        <v>6.5</v>
      </c>
      <c r="O8" s="2">
        <v>8.75</v>
      </c>
      <c r="P8" s="2">
        <v>9</v>
      </c>
      <c r="Q8" s="2">
        <v>11.3</v>
      </c>
      <c r="R8" s="2">
        <v>3.22</v>
      </c>
      <c r="S8" s="10">
        <f>STANDARDIZE(TBL_DATA[[#This Row],[Height (No Shoes)]],E$63,E$62)</f>
        <v>-0.51288128522857468</v>
      </c>
      <c r="T8" s="10">
        <f>STANDARDIZE(TBL_DATA[[#This Row],[Height (With Shoes)]],F$63,F$62)</f>
        <v>-0.47870872296679479</v>
      </c>
      <c r="U8" s="10">
        <f>STANDARDIZE(TBL_DATA[[#This Row],[Wingspan]],G$63,G$62)</f>
        <v>-0.11191894274571808</v>
      </c>
      <c r="V8" s="10">
        <f>STANDARDIZE(TBL_DATA[[#This Row],[Standing reach]],H$63,H$62)</f>
        <v>-0.42151037698826083</v>
      </c>
      <c r="W8" s="10">
        <f>STANDARDIZE(TBL_DATA[[#This Row],[Vertical (Max)]],I$63,I$62)</f>
        <v>0.55430112024170008</v>
      </c>
      <c r="X8" s="10">
        <f>STANDARDIZE(TBL_DATA[[#This Row],[Vertical (Max Reach)]],J$63,J$62)</f>
        <v>3.1960804864600248E-2</v>
      </c>
      <c r="Y8" s="10">
        <f>STANDARDIZE(TBL_DATA[[#This Row],[Vertical (No Step)]],K$63,K$62)</f>
        <v>0.35985014320981101</v>
      </c>
      <c r="Z8" s="10">
        <f>STANDARDIZE(TBL_DATA[[#This Row],[Vertical (No Step Reach)]],L$63,L$62)</f>
        <v>-0.17357316863740788</v>
      </c>
      <c r="AA8" s="10">
        <f>STANDARDIZE(TBL_DATA[[#This Row],[Weight]],M$63,M$62)</f>
        <v>-0.46311162124567806</v>
      </c>
      <c r="AB8" s="10">
        <f>STANDARDIZE(TBL_DATA[[#This Row],[Body Fat]],N$63,N$62)</f>
        <v>-0.20740086732980503</v>
      </c>
      <c r="AC8" s="10">
        <f>STANDARDIZE(TBL_DATA[[#This Row],[Hand (Length)]],O$63,O$62)</f>
        <v>7.7008562865651733E-2</v>
      </c>
      <c r="AD8" s="10">
        <f>STANDARDIZE(TBL_DATA[[#This Row],[Hand (Width)]],P$63,P$62)</f>
        <v>-0.23858994290072091</v>
      </c>
      <c r="AE8" s="10">
        <f>STANDARDIZE(TBL_DATA[[#This Row],[Agility]],Q$63,Q$62)</f>
        <v>-0.12844263881013945</v>
      </c>
      <c r="AF8" s="10">
        <f>STANDARDIZE(TBL_DATA[[#This Row],[Sprint]],R$63,R$62)</f>
        <v>-0.78421469217775663</v>
      </c>
      <c r="AG8" s="10">
        <f>(10*TBL_DATA[[#This Row],[Z_Height (No Shoes)]])+50</f>
        <v>44.871187147714252</v>
      </c>
      <c r="AH8" s="10">
        <f>(10*TBL_DATA[[#This Row],[Z_Height (With Shoes)]])+50</f>
        <v>45.212912770332053</v>
      </c>
      <c r="AI8" s="10">
        <f>(10*TBL_DATA[[#This Row],[Z_Wingspan]])+50</f>
        <v>48.880810572542821</v>
      </c>
      <c r="AJ8" s="10">
        <f>(10*TBL_DATA[[#This Row],[Z_Standing reach]])+50</f>
        <v>45.78489623011739</v>
      </c>
      <c r="AK8" s="10">
        <f>(10*TBL_DATA[[#This Row],[Z_Vertical (Max)]])+50</f>
        <v>55.543011202416999</v>
      </c>
      <c r="AL8" s="10">
        <f>(10*TBL_DATA[[#This Row],[Z_Vertical (Max Reach)]])+50</f>
        <v>50.319608048646003</v>
      </c>
      <c r="AM8" s="10">
        <f>(10*TBL_DATA[[#This Row],[Z_Vertical (No Step)]])+50</f>
        <v>53.598501432098111</v>
      </c>
      <c r="AN8" s="10">
        <f>(10*TBL_DATA[[#This Row],[Z_Vertical (No Step Reach)]])+50</f>
        <v>48.264268313625919</v>
      </c>
      <c r="AO8" s="10">
        <f>(10*TBL_DATA[[#This Row],[Z_Weight]])+50</f>
        <v>45.368883787543218</v>
      </c>
      <c r="AP8" s="10">
        <f>(10*TBL_DATA[[#This Row],[Z_Body Fat]])+50</f>
        <v>47.925991326701947</v>
      </c>
      <c r="AQ8" s="10">
        <f>(10*TBL_DATA[[#This Row],[Z_Hand (Length)]])+50</f>
        <v>50.770085628656517</v>
      </c>
      <c r="AR8" s="10">
        <f>(10*TBL_DATA[[#This Row],[Z_Hand (Width)]])+50</f>
        <v>47.61410057099279</v>
      </c>
      <c r="AS8" s="10">
        <f>(10*TBL_DATA[[#This Row],[Z_Agility]])+50</f>
        <v>48.715573611898606</v>
      </c>
      <c r="AT8" s="10">
        <f>(10*TBL_DATA[[#This Row],[Z_Sprint]])+50</f>
        <v>42.157853078222431</v>
      </c>
      <c r="AU8" s="2">
        <f>SUM(TBL_DATA[[#This Row],[T_Height (No Shoes)]:[T_Sprint]])</f>
        <v>675.02768372150899</v>
      </c>
    </row>
    <row r="9" spans="1:47" x14ac:dyDescent="0.3">
      <c r="A9" s="8">
        <v>7</v>
      </c>
      <c r="B9" s="6" t="s">
        <v>24</v>
      </c>
      <c r="C9" s="7">
        <v>2014</v>
      </c>
      <c r="D9" s="2">
        <v>49</v>
      </c>
      <c r="E9" s="2">
        <v>80.75</v>
      </c>
      <c r="F9" s="2">
        <v>81.75</v>
      </c>
      <c r="G9" s="2">
        <v>84.75</v>
      </c>
      <c r="H9" s="2">
        <v>107</v>
      </c>
      <c r="I9" s="2">
        <v>33.5</v>
      </c>
      <c r="J9" s="2">
        <v>140.5</v>
      </c>
      <c r="K9" s="2">
        <v>31</v>
      </c>
      <c r="L9" s="2">
        <v>138</v>
      </c>
      <c r="M9" s="2">
        <v>252</v>
      </c>
      <c r="N9" s="2">
        <v>8.6999999999999993</v>
      </c>
      <c r="O9" s="2">
        <v>8.75</v>
      </c>
      <c r="P9" s="2">
        <v>9</v>
      </c>
      <c r="Q9" s="2">
        <v>11.39</v>
      </c>
      <c r="R9" s="2">
        <v>3.37</v>
      </c>
      <c r="S9" s="10">
        <f>STANDARDIZE(TBL_DATA[[#This Row],[Height (No Shoes)]],E$63,E$62)</f>
        <v>1.1376639417797463</v>
      </c>
      <c r="T9" s="10">
        <f>STANDARDIZE(TBL_DATA[[#This Row],[Height (With Shoes)]],F$63,F$62)</f>
        <v>1.0589201551013332</v>
      </c>
      <c r="U9" s="10">
        <f>STANDARDIZE(TBL_DATA[[#This Row],[Wingspan]],G$63,G$62)</f>
        <v>0.72217170424342203</v>
      </c>
      <c r="V9" s="10">
        <f>STANDARDIZE(TBL_DATA[[#This Row],[Standing reach]],H$63,H$62)</f>
        <v>1.0963227645610156</v>
      </c>
      <c r="W9" s="10">
        <f>STANDARDIZE(TBL_DATA[[#This Row],[Vertical (Max)]],I$63,I$62)</f>
        <v>-0.68266559019240936</v>
      </c>
      <c r="X9" s="10">
        <f>STANDARDIZE(TBL_DATA[[#This Row],[Vertical (Max Reach)]],J$63,J$62)</f>
        <v>0.63693318265887322</v>
      </c>
      <c r="Y9" s="10">
        <f>STANDARDIZE(TBL_DATA[[#This Row],[Vertical (No Step)]],K$63,K$62)</f>
        <v>0.35985014320981101</v>
      </c>
      <c r="Z9" s="10">
        <f>STANDARDIZE(TBL_DATA[[#This Row],[Vertical (No Step Reach)]],L$63,L$62)</f>
        <v>1.3795685611181161</v>
      </c>
      <c r="AA9" s="10">
        <f>STANDARDIZE(TBL_DATA[[#This Row],[Weight]],M$63,M$62)</f>
        <v>1.7074535942188811</v>
      </c>
      <c r="AB9" s="10">
        <f>STANDARDIZE(TBL_DATA[[#This Row],[Body Fat]],N$63,N$62)</f>
        <v>0.65268324063852245</v>
      </c>
      <c r="AC9" s="10">
        <f>STANDARDIZE(TBL_DATA[[#This Row],[Hand (Length)]],O$63,O$62)</f>
        <v>7.7008562865651733E-2</v>
      </c>
      <c r="AD9" s="10">
        <f>STANDARDIZE(TBL_DATA[[#This Row],[Hand (Width)]],P$63,P$62)</f>
        <v>-0.23858994290072091</v>
      </c>
      <c r="AE9" s="10">
        <f>STANDARDIZE(TBL_DATA[[#This Row],[Agility]],Q$63,Q$62)</f>
        <v>5.5383523156667169E-2</v>
      </c>
      <c r="AF9" s="10">
        <f>STANDARDIZE(TBL_DATA[[#This Row],[Sprint]],R$63,R$62)</f>
        <v>0.60772089834658216</v>
      </c>
      <c r="AG9" s="10">
        <f>(10*TBL_DATA[[#This Row],[Z_Height (No Shoes)]])+50</f>
        <v>61.376639417797463</v>
      </c>
      <c r="AH9" s="10">
        <f>(10*TBL_DATA[[#This Row],[Z_Height (With Shoes)]])+50</f>
        <v>60.589201551013332</v>
      </c>
      <c r="AI9" s="10">
        <f>(10*TBL_DATA[[#This Row],[Z_Wingspan]])+50</f>
        <v>57.221717042434221</v>
      </c>
      <c r="AJ9" s="10">
        <f>(10*TBL_DATA[[#This Row],[Z_Standing reach]])+50</f>
        <v>60.963227645610161</v>
      </c>
      <c r="AK9" s="10">
        <f>(10*TBL_DATA[[#This Row],[Z_Vertical (Max)]])+50</f>
        <v>43.173344098075908</v>
      </c>
      <c r="AL9" s="10">
        <f>(10*TBL_DATA[[#This Row],[Z_Vertical (Max Reach)]])+50</f>
        <v>56.369331826588734</v>
      </c>
      <c r="AM9" s="10">
        <f>(10*TBL_DATA[[#This Row],[Z_Vertical (No Step)]])+50</f>
        <v>53.598501432098111</v>
      </c>
      <c r="AN9" s="10">
        <f>(10*TBL_DATA[[#This Row],[Z_Vertical (No Step Reach)]])+50</f>
        <v>63.795685611181163</v>
      </c>
      <c r="AO9" s="10">
        <f>(10*TBL_DATA[[#This Row],[Z_Weight]])+50</f>
        <v>67.074535942188817</v>
      </c>
      <c r="AP9" s="10">
        <f>(10*TBL_DATA[[#This Row],[Z_Body Fat]])+50</f>
        <v>56.526832406385225</v>
      </c>
      <c r="AQ9" s="10">
        <f>(10*TBL_DATA[[#This Row],[Z_Hand (Length)]])+50</f>
        <v>50.770085628656517</v>
      </c>
      <c r="AR9" s="10">
        <f>(10*TBL_DATA[[#This Row],[Z_Hand (Width)]])+50</f>
        <v>47.61410057099279</v>
      </c>
      <c r="AS9" s="10">
        <f>(10*TBL_DATA[[#This Row],[Z_Agility]])+50</f>
        <v>50.553835231566673</v>
      </c>
      <c r="AT9" s="10">
        <f>(10*TBL_DATA[[#This Row],[Z_Sprint]])+50</f>
        <v>56.077208983465823</v>
      </c>
      <c r="AU9" s="2">
        <f>SUM(TBL_DATA[[#This Row],[T_Height (No Shoes)]:[T_Sprint]])</f>
        <v>785.70424738805491</v>
      </c>
    </row>
    <row r="10" spans="1:47" x14ac:dyDescent="0.3">
      <c r="A10" s="8">
        <v>8</v>
      </c>
      <c r="B10" s="6" t="s">
        <v>25</v>
      </c>
      <c r="C10" s="7">
        <v>2014</v>
      </c>
      <c r="D10" s="2">
        <v>34</v>
      </c>
      <c r="E10" s="2">
        <v>78</v>
      </c>
      <c r="F10" s="2">
        <v>79.25</v>
      </c>
      <c r="G10" s="2">
        <v>82.75</v>
      </c>
      <c r="H10" s="2">
        <v>101.5</v>
      </c>
      <c r="I10" s="2">
        <v>40</v>
      </c>
      <c r="J10" s="2">
        <v>141.5</v>
      </c>
      <c r="K10" s="2">
        <v>34</v>
      </c>
      <c r="L10" s="2">
        <v>135.5</v>
      </c>
      <c r="M10" s="2">
        <v>209</v>
      </c>
      <c r="N10" s="2">
        <v>4.5</v>
      </c>
      <c r="O10" s="2">
        <v>8.5</v>
      </c>
      <c r="P10" s="2">
        <v>9</v>
      </c>
      <c r="Q10" s="2">
        <v>11.15</v>
      </c>
      <c r="R10" s="2">
        <v>3.18</v>
      </c>
      <c r="S10" s="10">
        <f>STANDARDIZE(TBL_DATA[[#This Row],[Height (No Shoes)]],E$63,E$62)</f>
        <v>0.27309263239443532</v>
      </c>
      <c r="T10" s="10">
        <f>STANDARDIZE(TBL_DATA[[#This Row],[Height (With Shoes)]],F$63,F$62)</f>
        <v>0.24964179822337113</v>
      </c>
      <c r="U10" s="10">
        <f>STANDARDIZE(TBL_DATA[[#This Row],[Wingspan]],G$63,G$62)</f>
        <v>0.16611127291732861</v>
      </c>
      <c r="V10" s="10">
        <f>STANDARDIZE(TBL_DATA[[#This Row],[Standing reach]],H$63,H$62)</f>
        <v>-0.18799758598067984</v>
      </c>
      <c r="W10" s="10">
        <f>STANDARDIZE(TBL_DATA[[#This Row],[Vertical (Max)]],I$63,I$62)</f>
        <v>1.3274053142630184</v>
      </c>
      <c r="X10" s="10">
        <f>STANDARDIZE(TBL_DATA[[#This Row],[Vertical (Max Reach)]],J$63,J$62)</f>
        <v>0.87892213377658235</v>
      </c>
      <c r="Y10" s="10">
        <f>STANDARDIZE(TBL_DATA[[#This Row],[Vertical (No Step)]],K$63,K$62)</f>
        <v>1.5157324213989023</v>
      </c>
      <c r="Z10" s="10">
        <f>STANDARDIZE(TBL_DATA[[#This Row],[Vertical (No Step Reach)]],L$63,L$62)</f>
        <v>0.78220635736599153</v>
      </c>
      <c r="AA10" s="10">
        <f>STANDARDIZE(TBL_DATA[[#This Row],[Weight]],M$63,M$62)</f>
        <v>-0.12263080313359036</v>
      </c>
      <c r="AB10" s="10">
        <f>STANDARDIZE(TBL_DATA[[#This Row],[Body Fat]],N$63,N$62)</f>
        <v>-0.98929551093737578</v>
      </c>
      <c r="AC10" s="10">
        <f>STANDARDIZE(TBL_DATA[[#This Row],[Hand (Length)]],O$63,O$62)</f>
        <v>-0.49092958826853128</v>
      </c>
      <c r="AD10" s="10">
        <f>STANDARDIZE(TBL_DATA[[#This Row],[Hand (Width)]],P$63,P$62)</f>
        <v>-0.23858994290072091</v>
      </c>
      <c r="AE10" s="10">
        <f>STANDARDIZE(TBL_DATA[[#This Row],[Agility]],Q$63,Q$62)</f>
        <v>-0.43481957542148503</v>
      </c>
      <c r="AF10" s="10">
        <f>STANDARDIZE(TBL_DATA[[#This Row],[Sprint]],R$63,R$62)</f>
        <v>-1.1553975163175809</v>
      </c>
      <c r="AG10" s="10">
        <f>(10*TBL_DATA[[#This Row],[Z_Height (No Shoes)]])+50</f>
        <v>52.730926323944352</v>
      </c>
      <c r="AH10" s="10">
        <f>(10*TBL_DATA[[#This Row],[Z_Height (With Shoes)]])+50</f>
        <v>52.496417982233709</v>
      </c>
      <c r="AI10" s="10">
        <f>(10*TBL_DATA[[#This Row],[Z_Wingspan]])+50</f>
        <v>51.661112729173283</v>
      </c>
      <c r="AJ10" s="10">
        <f>(10*TBL_DATA[[#This Row],[Z_Standing reach]])+50</f>
        <v>48.120024140193202</v>
      </c>
      <c r="AK10" s="10">
        <f>(10*TBL_DATA[[#This Row],[Z_Vertical (Max)]])+50</f>
        <v>63.27405314263018</v>
      </c>
      <c r="AL10" s="10">
        <f>(10*TBL_DATA[[#This Row],[Z_Vertical (Max Reach)]])+50</f>
        <v>58.789221337765824</v>
      </c>
      <c r="AM10" s="10">
        <f>(10*TBL_DATA[[#This Row],[Z_Vertical (No Step)]])+50</f>
        <v>65.157324213989028</v>
      </c>
      <c r="AN10" s="10">
        <f>(10*TBL_DATA[[#This Row],[Z_Vertical (No Step Reach)]])+50</f>
        <v>57.822063573659918</v>
      </c>
      <c r="AO10" s="10">
        <f>(10*TBL_DATA[[#This Row],[Z_Weight]])+50</f>
        <v>48.773691968664096</v>
      </c>
      <c r="AP10" s="10">
        <f>(10*TBL_DATA[[#This Row],[Z_Body Fat]])+50</f>
        <v>40.107044890626241</v>
      </c>
      <c r="AQ10" s="10">
        <f>(10*TBL_DATA[[#This Row],[Z_Hand (Length)]])+50</f>
        <v>45.090704117314687</v>
      </c>
      <c r="AR10" s="10">
        <f>(10*TBL_DATA[[#This Row],[Z_Hand (Width)]])+50</f>
        <v>47.61410057099279</v>
      </c>
      <c r="AS10" s="10">
        <f>(10*TBL_DATA[[#This Row],[Z_Agility]])+50</f>
        <v>45.651804245785151</v>
      </c>
      <c r="AT10" s="10">
        <f>(10*TBL_DATA[[#This Row],[Z_Sprint]])+50</f>
        <v>38.446024836824193</v>
      </c>
      <c r="AU10" s="2">
        <f>SUM(TBL_DATA[[#This Row],[T_Height (No Shoes)]:[T_Sprint]])</f>
        <v>715.73451407379662</v>
      </c>
    </row>
    <row r="11" spans="1:47" x14ac:dyDescent="0.3">
      <c r="A11" s="8">
        <v>9</v>
      </c>
      <c r="B11" s="6" t="s">
        <v>26</v>
      </c>
      <c r="C11" s="7">
        <v>2014</v>
      </c>
      <c r="D11" s="2">
        <v>60</v>
      </c>
      <c r="E11" s="2">
        <v>79.75</v>
      </c>
      <c r="F11" s="2">
        <v>81</v>
      </c>
      <c r="G11" s="2">
        <v>84.5</v>
      </c>
      <c r="H11" s="2">
        <v>105</v>
      </c>
      <c r="I11" s="2">
        <v>37.5</v>
      </c>
      <c r="J11" s="2">
        <v>142.5</v>
      </c>
      <c r="K11" s="2">
        <v>33</v>
      </c>
      <c r="L11" s="2">
        <v>138</v>
      </c>
      <c r="M11" s="2">
        <v>218</v>
      </c>
      <c r="N11" s="2">
        <v>5.3</v>
      </c>
      <c r="O11" s="2">
        <v>8.75</v>
      </c>
      <c r="P11" s="2">
        <v>9.75</v>
      </c>
      <c r="Q11" s="2">
        <v>12.63</v>
      </c>
      <c r="R11" s="2">
        <v>3.36</v>
      </c>
      <c r="S11" s="10">
        <f>STANDARDIZE(TBL_DATA[[#This Row],[Height (No Shoes)]],E$63,E$62)</f>
        <v>0.82327437473054232</v>
      </c>
      <c r="T11" s="10">
        <f>STANDARDIZE(TBL_DATA[[#This Row],[Height (With Shoes)]],F$63,F$62)</f>
        <v>0.81613664803794461</v>
      </c>
      <c r="U11" s="10">
        <f>STANDARDIZE(TBL_DATA[[#This Row],[Wingspan]],G$63,G$62)</f>
        <v>0.65266415032766034</v>
      </c>
      <c r="V11" s="10">
        <f>STANDARDIZE(TBL_DATA[[#This Row],[Standing reach]],H$63,H$62)</f>
        <v>0.62929718254585365</v>
      </c>
      <c r="W11" s="10">
        <f>STANDARDIZE(TBL_DATA[[#This Row],[Vertical (Max)]],I$63,I$62)</f>
        <v>0.55430112024170008</v>
      </c>
      <c r="X11" s="10">
        <f>STANDARDIZE(TBL_DATA[[#This Row],[Vertical (Max Reach)]],J$63,J$62)</f>
        <v>1.1209110848942916</v>
      </c>
      <c r="Y11" s="10">
        <f>STANDARDIZE(TBL_DATA[[#This Row],[Vertical (No Step)]],K$63,K$62)</f>
        <v>1.1304383286692052</v>
      </c>
      <c r="Z11" s="10">
        <f>STANDARDIZE(TBL_DATA[[#This Row],[Vertical (No Step Reach)]],L$63,L$62)</f>
        <v>1.3795685611181161</v>
      </c>
      <c r="AA11" s="10">
        <f>STANDARDIZE(TBL_DATA[[#This Row],[Weight]],M$63,M$62)</f>
        <v>0.26041011724250834</v>
      </c>
      <c r="AB11" s="10">
        <f>STANDARDIZE(TBL_DATA[[#This Row],[Body Fat]],N$63,N$62)</f>
        <v>-0.67653765349434747</v>
      </c>
      <c r="AC11" s="10">
        <f>STANDARDIZE(TBL_DATA[[#This Row],[Hand (Length)]],O$63,O$62)</f>
        <v>7.7008562865651733E-2</v>
      </c>
      <c r="AD11" s="10">
        <f>STANDARDIZE(TBL_DATA[[#This Row],[Hand (Width)]],P$63,P$62)</f>
        <v>0.7914202984023927</v>
      </c>
      <c r="AE11" s="10">
        <f>STANDARDIZE(TBL_DATA[[#This Row],[Agility]],Q$63,Q$62)</f>
        <v>2.5880995324771185</v>
      </c>
      <c r="AF11" s="10">
        <f>STANDARDIZE(TBL_DATA[[#This Row],[Sprint]],R$63,R$62)</f>
        <v>0.51492519231162404</v>
      </c>
      <c r="AG11" s="10">
        <f>(10*TBL_DATA[[#This Row],[Z_Height (No Shoes)]])+50</f>
        <v>58.23274374730542</v>
      </c>
      <c r="AH11" s="10">
        <f>(10*TBL_DATA[[#This Row],[Z_Height (With Shoes)]])+50</f>
        <v>58.161366480379442</v>
      </c>
      <c r="AI11" s="10">
        <f>(10*TBL_DATA[[#This Row],[Z_Wingspan]])+50</f>
        <v>56.526641503276601</v>
      </c>
      <c r="AJ11" s="10">
        <f>(10*TBL_DATA[[#This Row],[Z_Standing reach]])+50</f>
        <v>56.292971825458537</v>
      </c>
      <c r="AK11" s="10">
        <f>(10*TBL_DATA[[#This Row],[Z_Vertical (Max)]])+50</f>
        <v>55.543011202416999</v>
      </c>
      <c r="AL11" s="10">
        <f>(10*TBL_DATA[[#This Row],[Z_Vertical (Max Reach)]])+50</f>
        <v>61.209110848942913</v>
      </c>
      <c r="AM11" s="10">
        <f>(10*TBL_DATA[[#This Row],[Z_Vertical (No Step)]])+50</f>
        <v>61.304383286692051</v>
      </c>
      <c r="AN11" s="10">
        <f>(10*TBL_DATA[[#This Row],[Z_Vertical (No Step Reach)]])+50</f>
        <v>63.795685611181163</v>
      </c>
      <c r="AO11" s="10">
        <f>(10*TBL_DATA[[#This Row],[Z_Weight]])+50</f>
        <v>52.604101172425082</v>
      </c>
      <c r="AP11" s="10">
        <f>(10*TBL_DATA[[#This Row],[Z_Body Fat]])+50</f>
        <v>43.234623465056529</v>
      </c>
      <c r="AQ11" s="10">
        <f>(10*TBL_DATA[[#This Row],[Z_Hand (Length)]])+50</f>
        <v>50.770085628656517</v>
      </c>
      <c r="AR11" s="10">
        <f>(10*TBL_DATA[[#This Row],[Z_Hand (Width)]])+50</f>
        <v>57.91420298402393</v>
      </c>
      <c r="AS11" s="10">
        <f>(10*TBL_DATA[[#This Row],[Z_Agility]])+50</f>
        <v>75.880995324771192</v>
      </c>
      <c r="AT11" s="10">
        <f>(10*TBL_DATA[[#This Row],[Z_Sprint]])+50</f>
        <v>55.149251923116239</v>
      </c>
      <c r="AU11" s="2">
        <f>SUM(TBL_DATA[[#This Row],[T_Height (No Shoes)]:[T_Sprint]])</f>
        <v>806.61917500370259</v>
      </c>
    </row>
    <row r="12" spans="1:47" x14ac:dyDescent="0.3">
      <c r="A12" s="8">
        <v>10</v>
      </c>
      <c r="B12" s="6" t="s">
        <v>27</v>
      </c>
      <c r="C12" s="7">
        <v>2014</v>
      </c>
      <c r="D12" s="2">
        <v>5</v>
      </c>
      <c r="E12" s="2">
        <v>76.5</v>
      </c>
      <c r="F12" s="2">
        <v>78</v>
      </c>
      <c r="G12" s="2">
        <v>81.5</v>
      </c>
      <c r="H12" s="2">
        <v>103</v>
      </c>
      <c r="I12" s="2">
        <v>34.5</v>
      </c>
      <c r="J12" s="2">
        <v>137.5</v>
      </c>
      <c r="K12" s="2">
        <v>31.5</v>
      </c>
      <c r="L12" s="2">
        <v>134.5</v>
      </c>
      <c r="M12" s="2">
        <v>196</v>
      </c>
      <c r="N12" s="2">
        <v>6.4</v>
      </c>
      <c r="O12" s="2">
        <v>8.5</v>
      </c>
      <c r="P12" s="2">
        <v>9.5</v>
      </c>
      <c r="Q12" s="2">
        <v>10.75</v>
      </c>
      <c r="R12" s="2">
        <v>3.19</v>
      </c>
      <c r="S12" s="10">
        <f>STANDARDIZE(TBL_DATA[[#This Row],[Height (No Shoes)]],E$63,E$62)</f>
        <v>-0.19849171817937072</v>
      </c>
      <c r="T12" s="10">
        <f>STANDARDIZE(TBL_DATA[[#This Row],[Height (With Shoes)]],F$63,F$62)</f>
        <v>-0.15499738021560994</v>
      </c>
      <c r="U12" s="10">
        <f>STANDARDIZE(TBL_DATA[[#This Row],[Wingspan]],G$63,G$62)</f>
        <v>-0.18142649666147975</v>
      </c>
      <c r="V12" s="10">
        <f>STANDARDIZE(TBL_DATA[[#This Row],[Standing reach]],H$63,H$62)</f>
        <v>0.16227160053069165</v>
      </c>
      <c r="W12" s="10">
        <f>STANDARDIZE(TBL_DATA[[#This Row],[Vertical (Max)]],I$63,I$62)</f>
        <v>-0.37342391258388202</v>
      </c>
      <c r="X12" s="10">
        <f>STANDARDIZE(TBL_DATA[[#This Row],[Vertical (Max Reach)]],J$63,J$62)</f>
        <v>-8.9033670694254344E-2</v>
      </c>
      <c r="Y12" s="10">
        <f>STANDARDIZE(TBL_DATA[[#This Row],[Vertical (No Step)]],K$63,K$62)</f>
        <v>0.55249718957465954</v>
      </c>
      <c r="Z12" s="10">
        <f>STANDARDIZE(TBL_DATA[[#This Row],[Vertical (No Step Reach)]],L$63,L$62)</f>
        <v>0.54326147586514162</v>
      </c>
      <c r="AA12" s="10">
        <f>STANDARDIZE(TBL_DATA[[#This Row],[Weight]],M$63,M$62)</f>
        <v>-0.6759121325657329</v>
      </c>
      <c r="AB12" s="10">
        <f>STANDARDIZE(TBL_DATA[[#This Row],[Body Fat]],N$63,N$62)</f>
        <v>-0.24649559951018341</v>
      </c>
      <c r="AC12" s="10">
        <f>STANDARDIZE(TBL_DATA[[#This Row],[Hand (Length)]],O$63,O$62)</f>
        <v>-0.49092958826853128</v>
      </c>
      <c r="AD12" s="10">
        <f>STANDARDIZE(TBL_DATA[[#This Row],[Hand (Width)]],P$63,P$62)</f>
        <v>0.44808355130135485</v>
      </c>
      <c r="AE12" s="10">
        <f>STANDARDIZE(TBL_DATA[[#This Row],[Agility]],Q$63,Q$62)</f>
        <v>-1.2518247397184055</v>
      </c>
      <c r="AF12" s="10">
        <f>STANDARDIZE(TBL_DATA[[#This Row],[Sprint]],R$63,R$62)</f>
        <v>-1.0626018102826269</v>
      </c>
      <c r="AG12" s="10">
        <f>(10*TBL_DATA[[#This Row],[Z_Height (No Shoes)]])+50</f>
        <v>48.015082818206295</v>
      </c>
      <c r="AH12" s="10">
        <f>(10*TBL_DATA[[#This Row],[Z_Height (With Shoes)]])+50</f>
        <v>48.450026197843897</v>
      </c>
      <c r="AI12" s="10">
        <f>(10*TBL_DATA[[#This Row],[Z_Wingspan]])+50</f>
        <v>48.1857350333852</v>
      </c>
      <c r="AJ12" s="10">
        <f>(10*TBL_DATA[[#This Row],[Z_Standing reach]])+50</f>
        <v>51.62271600530692</v>
      </c>
      <c r="AK12" s="10">
        <f>(10*TBL_DATA[[#This Row],[Z_Vertical (Max)]])+50</f>
        <v>46.265760874161181</v>
      </c>
      <c r="AL12" s="10">
        <f>(10*TBL_DATA[[#This Row],[Z_Vertical (Max Reach)]])+50</f>
        <v>49.109663293057459</v>
      </c>
      <c r="AM12" s="10">
        <f>(10*TBL_DATA[[#This Row],[Z_Vertical (No Step)]])+50</f>
        <v>55.524971895746596</v>
      </c>
      <c r="AN12" s="10">
        <f>(10*TBL_DATA[[#This Row],[Z_Vertical (No Step Reach)]])+50</f>
        <v>55.432614758651418</v>
      </c>
      <c r="AO12" s="10">
        <f>(10*TBL_DATA[[#This Row],[Z_Weight]])+50</f>
        <v>43.240878674342667</v>
      </c>
      <c r="AP12" s="10">
        <f>(10*TBL_DATA[[#This Row],[Z_Body Fat]])+50</f>
        <v>47.535044004898168</v>
      </c>
      <c r="AQ12" s="10">
        <f>(10*TBL_DATA[[#This Row],[Z_Hand (Length)]])+50</f>
        <v>45.090704117314687</v>
      </c>
      <c r="AR12" s="10">
        <f>(10*TBL_DATA[[#This Row],[Z_Hand (Width)]])+50</f>
        <v>54.480835513013545</v>
      </c>
      <c r="AS12" s="10">
        <f>(10*TBL_DATA[[#This Row],[Z_Agility]])+50</f>
        <v>37.481752602815945</v>
      </c>
      <c r="AT12" s="10">
        <f>(10*TBL_DATA[[#This Row],[Z_Sprint]])+50</f>
        <v>39.373981897173735</v>
      </c>
      <c r="AU12" s="2">
        <f>SUM(TBL_DATA[[#This Row],[T_Height (No Shoes)]:[T_Sprint]])</f>
        <v>669.80976768591768</v>
      </c>
    </row>
    <row r="13" spans="1:47" x14ac:dyDescent="0.3">
      <c r="A13" s="8">
        <v>11</v>
      </c>
      <c r="B13" s="6" t="s">
        <v>28</v>
      </c>
      <c r="C13" s="7">
        <v>2014</v>
      </c>
      <c r="D13" s="2">
        <v>37</v>
      </c>
      <c r="E13" s="2">
        <v>79.25</v>
      </c>
      <c r="F13" s="2">
        <v>80.5</v>
      </c>
      <c r="G13" s="2">
        <v>86</v>
      </c>
      <c r="H13" s="2">
        <v>106.5</v>
      </c>
      <c r="I13" s="2">
        <v>32</v>
      </c>
      <c r="J13" s="2">
        <v>138.5</v>
      </c>
      <c r="K13" s="2">
        <v>26.5</v>
      </c>
      <c r="L13" s="2">
        <v>133</v>
      </c>
      <c r="M13" s="2">
        <v>196</v>
      </c>
      <c r="N13" s="2">
        <v>3.9</v>
      </c>
      <c r="O13" s="2">
        <v>9.25</v>
      </c>
      <c r="P13" s="2">
        <v>10.5</v>
      </c>
      <c r="Q13" s="2">
        <v>11.46</v>
      </c>
      <c r="R13" s="2">
        <v>3.44</v>
      </c>
      <c r="S13" s="10">
        <f>STANDARDIZE(TBL_DATA[[#This Row],[Height (No Shoes)]],E$63,E$62)</f>
        <v>0.66607959120594029</v>
      </c>
      <c r="T13" s="10">
        <f>STANDARDIZE(TBL_DATA[[#This Row],[Height (With Shoes)]],F$63,F$62)</f>
        <v>0.65428097666235219</v>
      </c>
      <c r="U13" s="10">
        <f>STANDARDIZE(TBL_DATA[[#This Row],[Wingspan]],G$63,G$62)</f>
        <v>1.0697094738222304</v>
      </c>
      <c r="V13" s="10">
        <f>STANDARDIZE(TBL_DATA[[#This Row],[Standing reach]],H$63,H$62)</f>
        <v>0.97956636905722516</v>
      </c>
      <c r="W13" s="10">
        <f>STANDARDIZE(TBL_DATA[[#This Row],[Vertical (Max)]],I$63,I$62)</f>
        <v>-1.1465281066052004</v>
      </c>
      <c r="X13" s="10">
        <f>STANDARDIZE(TBL_DATA[[#This Row],[Vertical (Max Reach)]],J$63,J$62)</f>
        <v>0.15295528042345483</v>
      </c>
      <c r="Y13" s="10">
        <f>STANDARDIZE(TBL_DATA[[#This Row],[Vertical (No Step)]],K$63,K$62)</f>
        <v>-1.373973274073826</v>
      </c>
      <c r="Z13" s="10">
        <f>STANDARDIZE(TBL_DATA[[#This Row],[Vertical (No Step Reach)]],L$63,L$62)</f>
        <v>0.18484415361386689</v>
      </c>
      <c r="AA13" s="10">
        <f>STANDARDIZE(TBL_DATA[[#This Row],[Weight]],M$63,M$62)</f>
        <v>-0.6759121325657329</v>
      </c>
      <c r="AB13" s="10">
        <f>STANDARDIZE(TBL_DATA[[#This Row],[Body Fat]],N$63,N$62)</f>
        <v>-1.2238639040196471</v>
      </c>
      <c r="AC13" s="10">
        <f>STANDARDIZE(TBL_DATA[[#This Row],[Hand (Length)]],O$63,O$62)</f>
        <v>1.2128848651340178</v>
      </c>
      <c r="AD13" s="10">
        <f>STANDARDIZE(TBL_DATA[[#This Row],[Hand (Width)]],P$63,P$62)</f>
        <v>1.8214305397055064</v>
      </c>
      <c r="AE13" s="10">
        <f>STANDARDIZE(TBL_DATA[[#This Row],[Agility]],Q$63,Q$62)</f>
        <v>0.19835942690862868</v>
      </c>
      <c r="AF13" s="10">
        <f>STANDARDIZE(TBL_DATA[[#This Row],[Sprint]],R$63,R$62)</f>
        <v>1.2572908405912724</v>
      </c>
      <c r="AG13" s="10">
        <f>(10*TBL_DATA[[#This Row],[Z_Height (No Shoes)]])+50</f>
        <v>56.660795912059399</v>
      </c>
      <c r="AH13" s="10">
        <f>(10*TBL_DATA[[#This Row],[Z_Height (With Shoes)]])+50</f>
        <v>56.54280976662352</v>
      </c>
      <c r="AI13" s="10">
        <f>(10*TBL_DATA[[#This Row],[Z_Wingspan]])+50</f>
        <v>60.697094738222304</v>
      </c>
      <c r="AJ13" s="10">
        <f>(10*TBL_DATA[[#This Row],[Z_Standing reach]])+50</f>
        <v>59.795663690572255</v>
      </c>
      <c r="AK13" s="10">
        <f>(10*TBL_DATA[[#This Row],[Z_Vertical (Max)]])+50</f>
        <v>38.534718933948</v>
      </c>
      <c r="AL13" s="10">
        <f>(10*TBL_DATA[[#This Row],[Z_Vertical (Max Reach)]])+50</f>
        <v>51.529552804234548</v>
      </c>
      <c r="AM13" s="10">
        <f>(10*TBL_DATA[[#This Row],[Z_Vertical (No Step)]])+50</f>
        <v>36.260267259261738</v>
      </c>
      <c r="AN13" s="10">
        <f>(10*TBL_DATA[[#This Row],[Z_Vertical (No Step Reach)]])+50</f>
        <v>51.848441536138665</v>
      </c>
      <c r="AO13" s="10">
        <f>(10*TBL_DATA[[#This Row],[Z_Weight]])+50</f>
        <v>43.240878674342667</v>
      </c>
      <c r="AP13" s="10">
        <f>(10*TBL_DATA[[#This Row],[Z_Body Fat]])+50</f>
        <v>37.761360959803525</v>
      </c>
      <c r="AQ13" s="10">
        <f>(10*TBL_DATA[[#This Row],[Z_Hand (Length)]])+50</f>
        <v>62.128848651340178</v>
      </c>
      <c r="AR13" s="10">
        <f>(10*TBL_DATA[[#This Row],[Z_Hand (Width)]])+50</f>
        <v>68.214305397055057</v>
      </c>
      <c r="AS13" s="10">
        <f>(10*TBL_DATA[[#This Row],[Z_Agility]])+50</f>
        <v>51.983594269086289</v>
      </c>
      <c r="AT13" s="10">
        <f>(10*TBL_DATA[[#This Row],[Z_Sprint]])+50</f>
        <v>62.572908405912727</v>
      </c>
      <c r="AU13" s="2">
        <f>SUM(TBL_DATA[[#This Row],[T_Height (No Shoes)]:[T_Sprint]])</f>
        <v>737.771240998601</v>
      </c>
    </row>
    <row r="14" spans="1:47" x14ac:dyDescent="0.3">
      <c r="A14" s="8">
        <v>12</v>
      </c>
      <c r="B14" s="6" t="s">
        <v>29</v>
      </c>
      <c r="C14" s="7">
        <v>2014</v>
      </c>
      <c r="D14" s="2"/>
      <c r="E14" s="2">
        <v>74.75</v>
      </c>
      <c r="F14" s="2">
        <v>76.5</v>
      </c>
      <c r="G14" s="2">
        <v>80</v>
      </c>
      <c r="H14" s="2">
        <v>99</v>
      </c>
      <c r="I14" s="2">
        <v>35.5</v>
      </c>
      <c r="J14" s="2">
        <v>134.5</v>
      </c>
      <c r="K14" s="2">
        <v>31.5</v>
      </c>
      <c r="L14" s="2">
        <v>130.5</v>
      </c>
      <c r="M14" s="2">
        <v>200</v>
      </c>
      <c r="N14" s="2">
        <v>5</v>
      </c>
      <c r="O14" s="2">
        <v>8.25</v>
      </c>
      <c r="P14" s="2">
        <v>9</v>
      </c>
      <c r="Q14" s="2">
        <v>10.95</v>
      </c>
      <c r="R14" s="2">
        <v>3.16</v>
      </c>
      <c r="S14" s="10">
        <f>STANDARDIZE(TBL_DATA[[#This Row],[Height (No Shoes)]],E$63,E$62)</f>
        <v>-0.74867346051547778</v>
      </c>
      <c r="T14" s="10">
        <f>STANDARDIZE(TBL_DATA[[#This Row],[Height (With Shoes)]],F$63,F$62)</f>
        <v>-0.64056439434238721</v>
      </c>
      <c r="U14" s="10">
        <f>STANDARDIZE(TBL_DATA[[#This Row],[Wingspan]],G$63,G$62)</f>
        <v>-0.59847182015604983</v>
      </c>
      <c r="V14" s="10">
        <f>STANDARDIZE(TBL_DATA[[#This Row],[Standing reach]],H$63,H$62)</f>
        <v>-0.77177956349963239</v>
      </c>
      <c r="W14" s="10">
        <f>STANDARDIZE(TBL_DATA[[#This Row],[Vertical (Max)]],I$63,I$62)</f>
        <v>-6.4182234975354649E-2</v>
      </c>
      <c r="X14" s="10">
        <f>STANDARDIZE(TBL_DATA[[#This Row],[Vertical (Max Reach)]],J$63,J$62)</f>
        <v>-0.81500052404738188</v>
      </c>
      <c r="Y14" s="10">
        <f>STANDARDIZE(TBL_DATA[[#This Row],[Vertical (No Step)]],K$63,K$62)</f>
        <v>0.55249718957465954</v>
      </c>
      <c r="Z14" s="10">
        <f>STANDARDIZE(TBL_DATA[[#This Row],[Vertical (No Step Reach)]],L$63,L$62)</f>
        <v>-0.41251805013825771</v>
      </c>
      <c r="AA14" s="10">
        <f>STANDARDIZE(TBL_DATA[[#This Row],[Weight]],M$63,M$62)</f>
        <v>-0.50567172350968903</v>
      </c>
      <c r="AB14" s="10">
        <f>STANDARDIZE(TBL_DATA[[#This Row],[Body Fat]],N$63,N$62)</f>
        <v>-0.79382185003548311</v>
      </c>
      <c r="AC14" s="10">
        <f>STANDARDIZE(TBL_DATA[[#This Row],[Hand (Length)]],O$63,O$62)</f>
        <v>-1.0588677394027144</v>
      </c>
      <c r="AD14" s="10">
        <f>STANDARDIZE(TBL_DATA[[#This Row],[Hand (Width)]],P$63,P$62)</f>
        <v>-0.23858994290072091</v>
      </c>
      <c r="AE14" s="10">
        <f>STANDARDIZE(TBL_DATA[[#This Row],[Agility]],Q$63,Q$62)</f>
        <v>-0.84332215756994711</v>
      </c>
      <c r="AF14" s="10">
        <f>STANDARDIZE(TBL_DATA[[#This Row],[Sprint]],R$63,R$62)</f>
        <v>-1.340988928387493</v>
      </c>
      <c r="AG14" s="10">
        <f>(10*TBL_DATA[[#This Row],[Z_Height (No Shoes)]])+50</f>
        <v>42.51326539484522</v>
      </c>
      <c r="AH14" s="10">
        <f>(10*TBL_DATA[[#This Row],[Z_Height (With Shoes)]])+50</f>
        <v>43.594356056576132</v>
      </c>
      <c r="AI14" s="10">
        <f>(10*TBL_DATA[[#This Row],[Z_Wingspan]])+50</f>
        <v>44.015281798439503</v>
      </c>
      <c r="AJ14" s="10">
        <f>(10*TBL_DATA[[#This Row],[Z_Standing reach]])+50</f>
        <v>42.282204365003679</v>
      </c>
      <c r="AK14" s="10">
        <f>(10*TBL_DATA[[#This Row],[Z_Vertical (Max)]])+50</f>
        <v>49.358177650246454</v>
      </c>
      <c r="AL14" s="10">
        <f>(10*TBL_DATA[[#This Row],[Z_Vertical (Max Reach)]])+50</f>
        <v>41.849994759526183</v>
      </c>
      <c r="AM14" s="10">
        <f>(10*TBL_DATA[[#This Row],[Z_Vertical (No Step)]])+50</f>
        <v>55.524971895746596</v>
      </c>
      <c r="AN14" s="10">
        <f>(10*TBL_DATA[[#This Row],[Z_Vertical (No Step Reach)]])+50</f>
        <v>45.874819498617427</v>
      </c>
      <c r="AO14" s="10">
        <f>(10*TBL_DATA[[#This Row],[Z_Weight]])+50</f>
        <v>44.94328276490311</v>
      </c>
      <c r="AP14" s="10">
        <f>(10*TBL_DATA[[#This Row],[Z_Body Fat]])+50</f>
        <v>42.061781499645171</v>
      </c>
      <c r="AQ14" s="10">
        <f>(10*TBL_DATA[[#This Row],[Z_Hand (Length)]])+50</f>
        <v>39.411322605972856</v>
      </c>
      <c r="AR14" s="10">
        <f>(10*TBL_DATA[[#This Row],[Z_Hand (Width)]])+50</f>
        <v>47.61410057099279</v>
      </c>
      <c r="AS14" s="10">
        <f>(10*TBL_DATA[[#This Row],[Z_Agility]])+50</f>
        <v>41.56677842430053</v>
      </c>
      <c r="AT14" s="10">
        <f>(10*TBL_DATA[[#This Row],[Z_Sprint]])+50</f>
        <v>36.590110716125068</v>
      </c>
      <c r="AU14" s="2">
        <f>SUM(TBL_DATA[[#This Row],[T_Height (No Shoes)]:[T_Sprint]])</f>
        <v>617.20044800094081</v>
      </c>
    </row>
    <row r="15" spans="1:47" x14ac:dyDescent="0.3">
      <c r="A15" s="8">
        <v>13</v>
      </c>
      <c r="B15" s="6" t="s">
        <v>30</v>
      </c>
      <c r="C15" s="7">
        <v>2014</v>
      </c>
      <c r="D15" s="2"/>
      <c r="E15" s="2">
        <v>72</v>
      </c>
      <c r="F15" s="2">
        <v>73.25</v>
      </c>
      <c r="G15" s="2">
        <v>79</v>
      </c>
      <c r="H15" s="2">
        <v>97.5</v>
      </c>
      <c r="I15" s="2">
        <v>39.5</v>
      </c>
      <c r="J15" s="2">
        <v>137</v>
      </c>
      <c r="K15" s="2">
        <v>29</v>
      </c>
      <c r="L15" s="2">
        <v>126.5</v>
      </c>
      <c r="M15" s="2">
        <v>193</v>
      </c>
      <c r="N15" s="2">
        <v>7.7</v>
      </c>
      <c r="O15" s="2">
        <v>8.25</v>
      </c>
      <c r="P15" s="2">
        <v>8</v>
      </c>
      <c r="Q15" s="2">
        <v>11.28</v>
      </c>
      <c r="R15" s="2">
        <v>3.28</v>
      </c>
      <c r="S15" s="10">
        <f>STANDARDIZE(TBL_DATA[[#This Row],[Height (No Shoes)]],E$63,E$62)</f>
        <v>-1.6132447699007888</v>
      </c>
      <c r="T15" s="10">
        <f>STANDARDIZE(TBL_DATA[[#This Row],[Height (With Shoes)]],F$63,F$62)</f>
        <v>-1.6926262582837379</v>
      </c>
      <c r="U15" s="10">
        <f>STANDARDIZE(TBL_DATA[[#This Row],[Wingspan]],G$63,G$62)</f>
        <v>-0.87650203581909647</v>
      </c>
      <c r="V15" s="10">
        <f>STANDARDIZE(TBL_DATA[[#This Row],[Standing reach]],H$63,H$62)</f>
        <v>-1.1220487500110039</v>
      </c>
      <c r="W15" s="10">
        <f>STANDARDIZE(TBL_DATA[[#This Row],[Vertical (Max)]],I$63,I$62)</f>
        <v>1.1727844754587549</v>
      </c>
      <c r="X15" s="10">
        <f>STANDARDIZE(TBL_DATA[[#This Row],[Vertical (Max Reach)]],J$63,J$62)</f>
        <v>-0.21002814625310895</v>
      </c>
      <c r="Y15" s="10">
        <f>STANDARDIZE(TBL_DATA[[#This Row],[Vertical (No Step)]],K$63,K$62)</f>
        <v>-0.41073804224958327</v>
      </c>
      <c r="Z15" s="10">
        <f>STANDARDIZE(TBL_DATA[[#This Row],[Vertical (No Step Reach)]],L$63,L$62)</f>
        <v>-1.3682975761416571</v>
      </c>
      <c r="AA15" s="10">
        <f>STANDARDIZE(TBL_DATA[[#This Row],[Weight]],M$63,M$62)</f>
        <v>-0.80359243935776581</v>
      </c>
      <c r="AB15" s="10">
        <f>STANDARDIZE(TBL_DATA[[#This Row],[Body Fat]],N$63,N$62)</f>
        <v>0.26173591883473746</v>
      </c>
      <c r="AC15" s="10">
        <f>STANDARDIZE(TBL_DATA[[#This Row],[Hand (Length)]],O$63,O$62)</f>
        <v>-1.0588677394027144</v>
      </c>
      <c r="AD15" s="10">
        <f>STANDARDIZE(TBL_DATA[[#This Row],[Hand (Width)]],P$63,P$62)</f>
        <v>-1.6119369313048724</v>
      </c>
      <c r="AE15" s="10">
        <f>STANDARDIZE(TBL_DATA[[#This Row],[Agility]],Q$63,Q$62)</f>
        <v>-0.1692928970249882</v>
      </c>
      <c r="AF15" s="10">
        <f>STANDARDIZE(TBL_DATA[[#This Row],[Sprint]],R$63,R$62)</f>
        <v>-0.22744045596802442</v>
      </c>
      <c r="AG15" s="10">
        <f>(10*TBL_DATA[[#This Row],[Z_Height (No Shoes)]])+50</f>
        <v>33.867552300992116</v>
      </c>
      <c r="AH15" s="10">
        <f>(10*TBL_DATA[[#This Row],[Z_Height (With Shoes)]])+50</f>
        <v>33.073737417162619</v>
      </c>
      <c r="AI15" s="10">
        <f>(10*TBL_DATA[[#This Row],[Z_Wingspan]])+50</f>
        <v>41.234979641809034</v>
      </c>
      <c r="AJ15" s="10">
        <f>(10*TBL_DATA[[#This Row],[Z_Standing reach]])+50</f>
        <v>38.779512499889961</v>
      </c>
      <c r="AK15" s="10">
        <f>(10*TBL_DATA[[#This Row],[Z_Vertical (Max)]])+50</f>
        <v>61.727844754587551</v>
      </c>
      <c r="AL15" s="10">
        <f>(10*TBL_DATA[[#This Row],[Z_Vertical (Max Reach)]])+50</f>
        <v>47.899718537468914</v>
      </c>
      <c r="AM15" s="10">
        <f>(10*TBL_DATA[[#This Row],[Z_Vertical (No Step)]])+50</f>
        <v>45.892619577504163</v>
      </c>
      <c r="AN15" s="10">
        <f>(10*TBL_DATA[[#This Row],[Z_Vertical (No Step Reach)]])+50</f>
        <v>36.317024238583429</v>
      </c>
      <c r="AO15" s="10">
        <f>(10*TBL_DATA[[#This Row],[Z_Weight]])+50</f>
        <v>41.964075606422341</v>
      </c>
      <c r="AP15" s="10">
        <f>(10*TBL_DATA[[#This Row],[Z_Body Fat]])+50</f>
        <v>52.617359188347372</v>
      </c>
      <c r="AQ15" s="10">
        <f>(10*TBL_DATA[[#This Row],[Z_Hand (Length)]])+50</f>
        <v>39.411322605972856</v>
      </c>
      <c r="AR15" s="10">
        <f>(10*TBL_DATA[[#This Row],[Z_Hand (Width)]])+50</f>
        <v>33.880630686951278</v>
      </c>
      <c r="AS15" s="10">
        <f>(10*TBL_DATA[[#This Row],[Z_Agility]])+50</f>
        <v>48.307071029750119</v>
      </c>
      <c r="AT15" s="10">
        <f>(10*TBL_DATA[[#This Row],[Z_Sprint]])+50</f>
        <v>47.725595440319758</v>
      </c>
      <c r="AU15" s="2">
        <f>SUM(TBL_DATA[[#This Row],[T_Height (No Shoes)]:[T_Sprint]])</f>
        <v>602.69904352576157</v>
      </c>
    </row>
    <row r="16" spans="1:47" x14ac:dyDescent="0.3">
      <c r="A16" s="8">
        <v>14</v>
      </c>
      <c r="B16" s="6" t="s">
        <v>31</v>
      </c>
      <c r="C16" s="7">
        <v>2014</v>
      </c>
      <c r="D16" s="2">
        <v>56</v>
      </c>
      <c r="E16" s="2">
        <v>77</v>
      </c>
      <c r="F16" s="2">
        <v>78.5</v>
      </c>
      <c r="G16" s="2">
        <v>81</v>
      </c>
      <c r="H16" s="2">
        <v>102</v>
      </c>
      <c r="I16" s="2">
        <v>35</v>
      </c>
      <c r="J16" s="2">
        <v>137</v>
      </c>
      <c r="K16" s="2">
        <v>29</v>
      </c>
      <c r="L16" s="2">
        <v>131</v>
      </c>
      <c r="M16" s="2">
        <v>192</v>
      </c>
      <c r="N16" s="2">
        <v>6.9</v>
      </c>
      <c r="O16" s="2">
        <v>8.25</v>
      </c>
      <c r="P16" s="2">
        <v>8.5</v>
      </c>
      <c r="Q16" s="2">
        <v>11.32</v>
      </c>
      <c r="R16" s="2">
        <v>3.28</v>
      </c>
      <c r="S16" s="10">
        <f>STANDARDIZE(TBL_DATA[[#This Row],[Height (No Shoes)]],E$63,E$62)</f>
        <v>-4.1296934654768705E-2</v>
      </c>
      <c r="T16" s="10">
        <f>STANDARDIZE(TBL_DATA[[#This Row],[Height (With Shoes)]],F$63,F$62)</f>
        <v>6.8582911599824959E-3</v>
      </c>
      <c r="U16" s="10">
        <f>STANDARDIZE(TBL_DATA[[#This Row],[Wingspan]],G$63,G$62)</f>
        <v>-0.32044160449300307</v>
      </c>
      <c r="V16" s="10">
        <f>STANDARDIZE(TBL_DATA[[#This Row],[Standing reach]],H$63,H$62)</f>
        <v>-7.1241190476889343E-2</v>
      </c>
      <c r="W16" s="10">
        <f>STANDARDIZE(TBL_DATA[[#This Row],[Vertical (Max)]],I$63,I$62)</f>
        <v>-0.21880307377961833</v>
      </c>
      <c r="X16" s="10">
        <f>STANDARDIZE(TBL_DATA[[#This Row],[Vertical (Max Reach)]],J$63,J$62)</f>
        <v>-0.21002814625310895</v>
      </c>
      <c r="Y16" s="10">
        <f>STANDARDIZE(TBL_DATA[[#This Row],[Vertical (No Step)]],K$63,K$62)</f>
        <v>-0.41073804224958327</v>
      </c>
      <c r="Z16" s="10">
        <f>STANDARDIZE(TBL_DATA[[#This Row],[Vertical (No Step Reach)]],L$63,L$62)</f>
        <v>-0.29304560938783281</v>
      </c>
      <c r="AA16" s="10">
        <f>STANDARDIZE(TBL_DATA[[#This Row],[Weight]],M$63,M$62)</f>
        <v>-0.84615254162177678</v>
      </c>
      <c r="AB16" s="10">
        <f>STANDARDIZE(TBL_DATA[[#This Row],[Body Fat]],N$63,N$62)</f>
        <v>-5.102193860829074E-2</v>
      </c>
      <c r="AC16" s="10">
        <f>STANDARDIZE(TBL_DATA[[#This Row],[Hand (Length)]],O$63,O$62)</f>
        <v>-1.0588677394027144</v>
      </c>
      <c r="AD16" s="10">
        <f>STANDARDIZE(TBL_DATA[[#This Row],[Hand (Width)]],P$63,P$62)</f>
        <v>-0.92526343710279668</v>
      </c>
      <c r="AE16" s="10">
        <f>STANDARDIZE(TBL_DATA[[#This Row],[Agility]],Q$63,Q$62)</f>
        <v>-8.7592380595294353E-2</v>
      </c>
      <c r="AF16" s="10">
        <f>STANDARDIZE(TBL_DATA[[#This Row],[Sprint]],R$63,R$62)</f>
        <v>-0.22744045596802442</v>
      </c>
      <c r="AG16" s="10">
        <f>(10*TBL_DATA[[#This Row],[Z_Height (No Shoes)]])+50</f>
        <v>49.58703065345231</v>
      </c>
      <c r="AH16" s="10">
        <f>(10*TBL_DATA[[#This Row],[Z_Height (With Shoes)]])+50</f>
        <v>50.068582911599826</v>
      </c>
      <c r="AI16" s="10">
        <f>(10*TBL_DATA[[#This Row],[Z_Wingspan]])+50</f>
        <v>46.795583955069972</v>
      </c>
      <c r="AJ16" s="10">
        <f>(10*TBL_DATA[[#This Row],[Z_Standing reach]])+50</f>
        <v>49.287588095231108</v>
      </c>
      <c r="AK16" s="10">
        <f>(10*TBL_DATA[[#This Row],[Z_Vertical (Max)]])+50</f>
        <v>47.811969262203817</v>
      </c>
      <c r="AL16" s="10">
        <f>(10*TBL_DATA[[#This Row],[Z_Vertical (Max Reach)]])+50</f>
        <v>47.899718537468914</v>
      </c>
      <c r="AM16" s="10">
        <f>(10*TBL_DATA[[#This Row],[Z_Vertical (No Step)]])+50</f>
        <v>45.892619577504163</v>
      </c>
      <c r="AN16" s="10">
        <f>(10*TBL_DATA[[#This Row],[Z_Vertical (No Step Reach)]])+50</f>
        <v>47.069543906121673</v>
      </c>
      <c r="AO16" s="10">
        <f>(10*TBL_DATA[[#This Row],[Z_Weight]])+50</f>
        <v>41.538474583782232</v>
      </c>
      <c r="AP16" s="10">
        <f>(10*TBL_DATA[[#This Row],[Z_Body Fat]])+50</f>
        <v>49.489780613917091</v>
      </c>
      <c r="AQ16" s="10">
        <f>(10*TBL_DATA[[#This Row],[Z_Hand (Length)]])+50</f>
        <v>39.411322605972856</v>
      </c>
      <c r="AR16" s="10">
        <f>(10*TBL_DATA[[#This Row],[Z_Hand (Width)]])+50</f>
        <v>40.747365628972034</v>
      </c>
      <c r="AS16" s="10">
        <f>(10*TBL_DATA[[#This Row],[Z_Agility]])+50</f>
        <v>49.124076194047056</v>
      </c>
      <c r="AT16" s="10">
        <f>(10*TBL_DATA[[#This Row],[Z_Sprint]])+50</f>
        <v>47.725595440319758</v>
      </c>
      <c r="AU16" s="2">
        <f>SUM(TBL_DATA[[#This Row],[T_Height (No Shoes)]:[T_Sprint]])</f>
        <v>652.44925196566282</v>
      </c>
    </row>
    <row r="17" spans="1:47" x14ac:dyDescent="0.3">
      <c r="A17" s="8">
        <v>15</v>
      </c>
      <c r="B17" s="6" t="s">
        <v>32</v>
      </c>
      <c r="C17" s="7">
        <v>2014</v>
      </c>
      <c r="D17" s="2">
        <v>11</v>
      </c>
      <c r="E17" s="2">
        <v>78.25</v>
      </c>
      <c r="F17" s="2">
        <v>79.75</v>
      </c>
      <c r="G17" s="2">
        <v>81.25</v>
      </c>
      <c r="H17" s="2">
        <v>103</v>
      </c>
      <c r="I17" s="2">
        <v>36.5</v>
      </c>
      <c r="J17" s="2">
        <v>139.5</v>
      </c>
      <c r="K17" s="2">
        <v>28.5</v>
      </c>
      <c r="L17" s="2">
        <v>131.5</v>
      </c>
      <c r="M17" s="2">
        <v>218</v>
      </c>
      <c r="N17" s="2">
        <v>7.1</v>
      </c>
      <c r="O17" s="2">
        <v>8.75</v>
      </c>
      <c r="P17" s="2">
        <v>9.75</v>
      </c>
      <c r="Q17" s="2">
        <v>11.1</v>
      </c>
      <c r="R17" s="2">
        <v>3.29</v>
      </c>
      <c r="S17" s="10">
        <f>STANDARDIZE(TBL_DATA[[#This Row],[Height (No Shoes)]],E$63,E$62)</f>
        <v>0.35169002415673634</v>
      </c>
      <c r="T17" s="10">
        <f>STANDARDIZE(TBL_DATA[[#This Row],[Height (With Shoes)]],F$63,F$62)</f>
        <v>0.41149746959896355</v>
      </c>
      <c r="U17" s="10">
        <f>STANDARDIZE(TBL_DATA[[#This Row],[Wingspan]],G$63,G$62)</f>
        <v>-0.25093405057724144</v>
      </c>
      <c r="V17" s="10">
        <f>STANDARDIZE(TBL_DATA[[#This Row],[Standing reach]],H$63,H$62)</f>
        <v>0.16227160053069165</v>
      </c>
      <c r="W17" s="10">
        <f>STANDARDIZE(TBL_DATA[[#This Row],[Vertical (Max)]],I$63,I$62)</f>
        <v>0.2450594426331727</v>
      </c>
      <c r="X17" s="10">
        <f>STANDARDIZE(TBL_DATA[[#This Row],[Vertical (Max Reach)]],J$63,J$62)</f>
        <v>0.39494423154116404</v>
      </c>
      <c r="Y17" s="10">
        <f>STANDARDIZE(TBL_DATA[[#This Row],[Vertical (No Step)]],K$63,K$62)</f>
        <v>-0.60338508861443185</v>
      </c>
      <c r="Z17" s="10">
        <f>STANDARDIZE(TBL_DATA[[#This Row],[Vertical (No Step Reach)]],L$63,L$62)</f>
        <v>-0.17357316863740788</v>
      </c>
      <c r="AA17" s="10">
        <f>STANDARDIZE(TBL_DATA[[#This Row],[Weight]],M$63,M$62)</f>
        <v>0.26041011724250834</v>
      </c>
      <c r="AB17" s="10">
        <f>STANDARDIZE(TBL_DATA[[#This Row],[Body Fat]],N$63,N$62)</f>
        <v>2.7167525752466056E-2</v>
      </c>
      <c r="AC17" s="10">
        <f>STANDARDIZE(TBL_DATA[[#This Row],[Hand (Length)]],O$63,O$62)</f>
        <v>7.7008562865651733E-2</v>
      </c>
      <c r="AD17" s="10">
        <f>STANDARDIZE(TBL_DATA[[#This Row],[Hand (Width)]],P$63,P$62)</f>
        <v>0.7914202984023927</v>
      </c>
      <c r="AE17" s="10">
        <f>STANDARDIZE(TBL_DATA[[#This Row],[Agility]],Q$63,Q$62)</f>
        <v>-0.53694522095860142</v>
      </c>
      <c r="AF17" s="10">
        <f>STANDARDIZE(TBL_DATA[[#This Row],[Sprint]],R$63,R$62)</f>
        <v>-0.1346447499330663</v>
      </c>
      <c r="AG17" s="10">
        <f>(10*TBL_DATA[[#This Row],[Z_Height (No Shoes)]])+50</f>
        <v>53.516900241567363</v>
      </c>
      <c r="AH17" s="10">
        <f>(10*TBL_DATA[[#This Row],[Z_Height (With Shoes)]])+50</f>
        <v>54.114974695989638</v>
      </c>
      <c r="AI17" s="10">
        <f>(10*TBL_DATA[[#This Row],[Z_Wingspan]])+50</f>
        <v>47.490659494227586</v>
      </c>
      <c r="AJ17" s="10">
        <f>(10*TBL_DATA[[#This Row],[Z_Standing reach]])+50</f>
        <v>51.62271600530692</v>
      </c>
      <c r="AK17" s="10">
        <f>(10*TBL_DATA[[#This Row],[Z_Vertical (Max)]])+50</f>
        <v>52.450594426331726</v>
      </c>
      <c r="AL17" s="10">
        <f>(10*TBL_DATA[[#This Row],[Z_Vertical (Max Reach)]])+50</f>
        <v>53.949442315411638</v>
      </c>
      <c r="AM17" s="10">
        <f>(10*TBL_DATA[[#This Row],[Z_Vertical (No Step)]])+50</f>
        <v>43.966149113855678</v>
      </c>
      <c r="AN17" s="10">
        <f>(10*TBL_DATA[[#This Row],[Z_Vertical (No Step Reach)]])+50</f>
        <v>48.264268313625919</v>
      </c>
      <c r="AO17" s="10">
        <f>(10*TBL_DATA[[#This Row],[Z_Weight]])+50</f>
        <v>52.604101172425082</v>
      </c>
      <c r="AP17" s="10">
        <f>(10*TBL_DATA[[#This Row],[Z_Body Fat]])+50</f>
        <v>50.271675257524663</v>
      </c>
      <c r="AQ17" s="10">
        <f>(10*TBL_DATA[[#This Row],[Z_Hand (Length)]])+50</f>
        <v>50.770085628656517</v>
      </c>
      <c r="AR17" s="10">
        <f>(10*TBL_DATA[[#This Row],[Z_Hand (Width)]])+50</f>
        <v>57.91420298402393</v>
      </c>
      <c r="AS17" s="10">
        <f>(10*TBL_DATA[[#This Row],[Z_Agility]])+50</f>
        <v>44.630547790413985</v>
      </c>
      <c r="AT17" s="10">
        <f>(10*TBL_DATA[[#This Row],[Z_Sprint]])+50</f>
        <v>48.653552500669335</v>
      </c>
      <c r="AU17" s="2">
        <f>SUM(TBL_DATA[[#This Row],[T_Height (No Shoes)]:[T_Sprint]])</f>
        <v>710.21986994002998</v>
      </c>
    </row>
    <row r="18" spans="1:47" x14ac:dyDescent="0.3">
      <c r="A18" s="8">
        <v>16</v>
      </c>
      <c r="B18" s="6" t="s">
        <v>33</v>
      </c>
      <c r="C18" s="7">
        <v>2014</v>
      </c>
      <c r="D18" s="2">
        <v>45</v>
      </c>
      <c r="E18" s="2">
        <v>81.5</v>
      </c>
      <c r="F18" s="2">
        <v>83</v>
      </c>
      <c r="G18" s="2">
        <v>84.5</v>
      </c>
      <c r="H18" s="2">
        <v>105</v>
      </c>
      <c r="I18" s="2">
        <v>35</v>
      </c>
      <c r="J18" s="2">
        <v>140</v>
      </c>
      <c r="K18" s="2">
        <v>28.5</v>
      </c>
      <c r="L18" s="2">
        <v>133.5</v>
      </c>
      <c r="M18" s="2">
        <v>234</v>
      </c>
      <c r="N18" s="2">
        <v>6.2</v>
      </c>
      <c r="O18" s="2">
        <v>9</v>
      </c>
      <c r="P18" s="2">
        <v>9.25</v>
      </c>
      <c r="Q18" s="2">
        <v>11.28</v>
      </c>
      <c r="R18" s="2">
        <v>3.2</v>
      </c>
      <c r="S18" s="10">
        <f>STANDARDIZE(TBL_DATA[[#This Row],[Height (No Shoes)]],E$63,E$62)</f>
        <v>1.3734561170666493</v>
      </c>
      <c r="T18" s="10">
        <f>STANDARDIZE(TBL_DATA[[#This Row],[Height (With Shoes)]],F$63,F$62)</f>
        <v>1.4635593335403143</v>
      </c>
      <c r="U18" s="10">
        <f>STANDARDIZE(TBL_DATA[[#This Row],[Wingspan]],G$63,G$62)</f>
        <v>0.65266415032766034</v>
      </c>
      <c r="V18" s="10">
        <f>STANDARDIZE(TBL_DATA[[#This Row],[Standing reach]],H$63,H$62)</f>
        <v>0.62929718254585365</v>
      </c>
      <c r="W18" s="10">
        <f>STANDARDIZE(TBL_DATA[[#This Row],[Vertical (Max)]],I$63,I$62)</f>
        <v>-0.21880307377961833</v>
      </c>
      <c r="X18" s="10">
        <f>STANDARDIZE(TBL_DATA[[#This Row],[Vertical (Max Reach)]],J$63,J$62)</f>
        <v>0.51593870710001866</v>
      </c>
      <c r="Y18" s="10">
        <f>STANDARDIZE(TBL_DATA[[#This Row],[Vertical (No Step)]],K$63,K$62)</f>
        <v>-0.60338508861443185</v>
      </c>
      <c r="Z18" s="10">
        <f>STANDARDIZE(TBL_DATA[[#This Row],[Vertical (No Step Reach)]],L$63,L$62)</f>
        <v>0.30431659436429181</v>
      </c>
      <c r="AA18" s="10">
        <f>STANDARDIZE(TBL_DATA[[#This Row],[Weight]],M$63,M$62)</f>
        <v>0.94137175346668378</v>
      </c>
      <c r="AB18" s="10">
        <f>STANDARDIZE(TBL_DATA[[#This Row],[Body Fat]],N$63,N$62)</f>
        <v>-0.32468506387094054</v>
      </c>
      <c r="AC18" s="10">
        <f>STANDARDIZE(TBL_DATA[[#This Row],[Hand (Length)]],O$63,O$62)</f>
        <v>0.64494671399983472</v>
      </c>
      <c r="AD18" s="10">
        <f>STANDARDIZE(TBL_DATA[[#This Row],[Hand (Width)]],P$63,P$62)</f>
        <v>0.10474680420031697</v>
      </c>
      <c r="AE18" s="10">
        <f>STANDARDIZE(TBL_DATA[[#This Row],[Agility]],Q$63,Q$62)</f>
        <v>-0.1692928970249882</v>
      </c>
      <c r="AF18" s="10">
        <f>STANDARDIZE(TBL_DATA[[#This Row],[Sprint]],R$63,R$62)</f>
        <v>-0.96980610424766867</v>
      </c>
      <c r="AG18" s="10">
        <f>(10*TBL_DATA[[#This Row],[Z_Height (No Shoes)]])+50</f>
        <v>63.734561170666495</v>
      </c>
      <c r="AH18" s="10">
        <f>(10*TBL_DATA[[#This Row],[Z_Height (With Shoes)]])+50</f>
        <v>64.635593335403144</v>
      </c>
      <c r="AI18" s="10">
        <f>(10*TBL_DATA[[#This Row],[Z_Wingspan]])+50</f>
        <v>56.526641503276601</v>
      </c>
      <c r="AJ18" s="10">
        <f>(10*TBL_DATA[[#This Row],[Z_Standing reach]])+50</f>
        <v>56.292971825458537</v>
      </c>
      <c r="AK18" s="10">
        <f>(10*TBL_DATA[[#This Row],[Z_Vertical (Max)]])+50</f>
        <v>47.811969262203817</v>
      </c>
      <c r="AL18" s="10">
        <f>(10*TBL_DATA[[#This Row],[Z_Vertical (Max Reach)]])+50</f>
        <v>55.159387071000189</v>
      </c>
      <c r="AM18" s="10">
        <f>(10*TBL_DATA[[#This Row],[Z_Vertical (No Step)]])+50</f>
        <v>43.966149113855678</v>
      </c>
      <c r="AN18" s="10">
        <f>(10*TBL_DATA[[#This Row],[Z_Vertical (No Step Reach)]])+50</f>
        <v>53.043165943642919</v>
      </c>
      <c r="AO18" s="10">
        <f>(10*TBL_DATA[[#This Row],[Z_Weight]])+50</f>
        <v>59.413717534666837</v>
      </c>
      <c r="AP18" s="10">
        <f>(10*TBL_DATA[[#This Row],[Z_Body Fat]])+50</f>
        <v>46.753149361290596</v>
      </c>
      <c r="AQ18" s="10">
        <f>(10*TBL_DATA[[#This Row],[Z_Hand (Length)]])+50</f>
        <v>56.449467139998347</v>
      </c>
      <c r="AR18" s="10">
        <f>(10*TBL_DATA[[#This Row],[Z_Hand (Width)]])+50</f>
        <v>51.047468042003167</v>
      </c>
      <c r="AS18" s="10">
        <f>(10*TBL_DATA[[#This Row],[Z_Agility]])+50</f>
        <v>48.307071029750119</v>
      </c>
      <c r="AT18" s="10">
        <f>(10*TBL_DATA[[#This Row],[Z_Sprint]])+50</f>
        <v>40.301938957523312</v>
      </c>
      <c r="AU18" s="2">
        <f>SUM(TBL_DATA[[#This Row],[T_Height (No Shoes)]:[T_Sprint]])</f>
        <v>743.44325129073979</v>
      </c>
    </row>
    <row r="19" spans="1:47" x14ac:dyDescent="0.3">
      <c r="A19" s="8">
        <v>17</v>
      </c>
      <c r="B19" s="6" t="s">
        <v>34</v>
      </c>
      <c r="C19" s="7">
        <v>2014</v>
      </c>
      <c r="D19" s="2">
        <v>10</v>
      </c>
      <c r="E19" s="2">
        <v>74.5</v>
      </c>
      <c r="F19" s="2">
        <v>75.75</v>
      </c>
      <c r="G19" s="2">
        <v>80</v>
      </c>
      <c r="H19" s="2">
        <v>98.5</v>
      </c>
      <c r="I19" s="2">
        <v>35.5</v>
      </c>
      <c r="J19" s="2">
        <v>134</v>
      </c>
      <c r="K19" s="2">
        <v>31.5</v>
      </c>
      <c r="L19" s="2">
        <v>130</v>
      </c>
      <c r="M19" s="2">
        <v>185</v>
      </c>
      <c r="N19" s="2">
        <v>5.7</v>
      </c>
      <c r="O19" s="2">
        <v>8.75</v>
      </c>
      <c r="P19" s="2">
        <v>9</v>
      </c>
      <c r="Q19" s="2">
        <v>11.06</v>
      </c>
      <c r="R19" s="2">
        <v>3.23</v>
      </c>
      <c r="S19" s="10">
        <f>STANDARDIZE(TBL_DATA[[#This Row],[Height (No Shoes)]],E$63,E$62)</f>
        <v>-0.82727085227777875</v>
      </c>
      <c r="T19" s="10">
        <f>STANDARDIZE(TBL_DATA[[#This Row],[Height (With Shoes)]],F$63,F$62)</f>
        <v>-0.88334790140577579</v>
      </c>
      <c r="U19" s="10">
        <f>STANDARDIZE(TBL_DATA[[#This Row],[Wingspan]],G$63,G$62)</f>
        <v>-0.59847182015604983</v>
      </c>
      <c r="V19" s="10">
        <f>STANDARDIZE(TBL_DATA[[#This Row],[Standing reach]],H$63,H$62)</f>
        <v>-0.88853595900342286</v>
      </c>
      <c r="W19" s="10">
        <f>STANDARDIZE(TBL_DATA[[#This Row],[Vertical (Max)]],I$63,I$62)</f>
        <v>-6.4182234975354649E-2</v>
      </c>
      <c r="X19" s="10">
        <f>STANDARDIZE(TBL_DATA[[#This Row],[Vertical (Max Reach)]],J$63,J$62)</f>
        <v>-0.93599499960623644</v>
      </c>
      <c r="Y19" s="10">
        <f>STANDARDIZE(TBL_DATA[[#This Row],[Vertical (No Step)]],K$63,K$62)</f>
        <v>0.55249718957465954</v>
      </c>
      <c r="Z19" s="10">
        <f>STANDARDIZE(TBL_DATA[[#This Row],[Vertical (No Step Reach)]],L$63,L$62)</f>
        <v>-0.53199049088868267</v>
      </c>
      <c r="AA19" s="10">
        <f>STANDARDIZE(TBL_DATA[[#This Row],[Weight]],M$63,M$62)</f>
        <v>-1.1440732574698536</v>
      </c>
      <c r="AB19" s="10">
        <f>STANDARDIZE(TBL_DATA[[#This Row],[Body Fat]],N$63,N$62)</f>
        <v>-0.5201587247728332</v>
      </c>
      <c r="AC19" s="10">
        <f>STANDARDIZE(TBL_DATA[[#This Row],[Hand (Length)]],O$63,O$62)</f>
        <v>7.7008562865651733E-2</v>
      </c>
      <c r="AD19" s="10">
        <f>STANDARDIZE(TBL_DATA[[#This Row],[Hand (Width)]],P$63,P$62)</f>
        <v>-0.23858994290072091</v>
      </c>
      <c r="AE19" s="10">
        <f>STANDARDIZE(TBL_DATA[[#This Row],[Agility]],Q$63,Q$62)</f>
        <v>-0.61864573738829165</v>
      </c>
      <c r="AF19" s="10">
        <f>STANDARDIZE(TBL_DATA[[#This Row],[Sprint]],R$63,R$62)</f>
        <v>-0.69141898614280262</v>
      </c>
      <c r="AG19" s="10">
        <f>(10*TBL_DATA[[#This Row],[Z_Height (No Shoes)]])+50</f>
        <v>41.727291477222209</v>
      </c>
      <c r="AH19" s="10">
        <f>(10*TBL_DATA[[#This Row],[Z_Height (With Shoes)]])+50</f>
        <v>41.166520985942242</v>
      </c>
      <c r="AI19" s="10">
        <f>(10*TBL_DATA[[#This Row],[Z_Wingspan]])+50</f>
        <v>44.015281798439503</v>
      </c>
      <c r="AJ19" s="10">
        <f>(10*TBL_DATA[[#This Row],[Z_Standing reach]])+50</f>
        <v>41.114640409965773</v>
      </c>
      <c r="AK19" s="10">
        <f>(10*TBL_DATA[[#This Row],[Z_Vertical (Max)]])+50</f>
        <v>49.358177650246454</v>
      </c>
      <c r="AL19" s="10">
        <f>(10*TBL_DATA[[#This Row],[Z_Vertical (Max Reach)]])+50</f>
        <v>40.640050003937631</v>
      </c>
      <c r="AM19" s="10">
        <f>(10*TBL_DATA[[#This Row],[Z_Vertical (No Step)]])+50</f>
        <v>55.524971895746596</v>
      </c>
      <c r="AN19" s="10">
        <f>(10*TBL_DATA[[#This Row],[Z_Vertical (No Step Reach)]])+50</f>
        <v>44.680095091113174</v>
      </c>
      <c r="AO19" s="10">
        <f>(10*TBL_DATA[[#This Row],[Z_Weight]])+50</f>
        <v>38.559267425301464</v>
      </c>
      <c r="AP19" s="10">
        <f>(10*TBL_DATA[[#This Row],[Z_Body Fat]])+50</f>
        <v>44.798412752271666</v>
      </c>
      <c r="AQ19" s="10">
        <f>(10*TBL_DATA[[#This Row],[Z_Hand (Length)]])+50</f>
        <v>50.770085628656517</v>
      </c>
      <c r="AR19" s="10">
        <f>(10*TBL_DATA[[#This Row],[Z_Hand (Width)]])+50</f>
        <v>47.61410057099279</v>
      </c>
      <c r="AS19" s="10">
        <f>(10*TBL_DATA[[#This Row],[Z_Agility]])+50</f>
        <v>43.813542626117084</v>
      </c>
      <c r="AT19" s="10">
        <f>(10*TBL_DATA[[#This Row],[Z_Sprint]])+50</f>
        <v>43.085810138571972</v>
      </c>
      <c r="AU19" s="2">
        <f>SUM(TBL_DATA[[#This Row],[T_Height (No Shoes)]:[T_Sprint]])</f>
        <v>626.8682484545252</v>
      </c>
    </row>
    <row r="20" spans="1:47" x14ac:dyDescent="0.3">
      <c r="A20" s="8">
        <v>18</v>
      </c>
      <c r="B20" s="6" t="s">
        <v>35</v>
      </c>
      <c r="C20" s="7">
        <v>2014</v>
      </c>
      <c r="D20" s="2">
        <v>19</v>
      </c>
      <c r="E20" s="2">
        <v>74.5</v>
      </c>
      <c r="F20" s="2">
        <v>76.5</v>
      </c>
      <c r="G20" s="2">
        <v>78.75</v>
      </c>
      <c r="H20" s="2">
        <v>96</v>
      </c>
      <c r="I20" s="2"/>
      <c r="J20" s="2"/>
      <c r="K20" s="2"/>
      <c r="L20" s="2"/>
      <c r="M20" s="2">
        <v>205</v>
      </c>
      <c r="N20" s="2">
        <v>4.5999999999999996</v>
      </c>
      <c r="O20" s="2">
        <v>8.5</v>
      </c>
      <c r="P20" s="2">
        <v>9.5</v>
      </c>
      <c r="Q20" s="2"/>
      <c r="R20" s="2"/>
      <c r="S20" s="10">
        <f>STANDARDIZE(TBL_DATA[[#This Row],[Height (No Shoes)]],E$63,E$62)</f>
        <v>-0.82727085227777875</v>
      </c>
      <c r="T20" s="10">
        <f>STANDARDIZE(TBL_DATA[[#This Row],[Height (With Shoes)]],F$63,F$62)</f>
        <v>-0.64056439434238721</v>
      </c>
      <c r="U20" s="10">
        <f>STANDARDIZE(TBL_DATA[[#This Row],[Wingspan]],G$63,G$62)</f>
        <v>-0.94600958973485816</v>
      </c>
      <c r="V20" s="10">
        <f>STANDARDIZE(TBL_DATA[[#This Row],[Standing reach]],H$63,H$62)</f>
        <v>-1.4723179365223753</v>
      </c>
      <c r="W20" s="10">
        <f>STANDARDIZE(TBL_DATA[[#This Row],[Vertical (Max)]],I$63,I$62)</f>
        <v>-11.042261790078076</v>
      </c>
      <c r="X20" s="10">
        <f>STANDARDIZE(TBL_DATA[[#This Row],[Vertical (Max Reach)]],J$63,J$62)</f>
        <v>-33.362514449379269</v>
      </c>
      <c r="Y20" s="10">
        <f>STANDARDIZE(TBL_DATA[[#This Row],[Vertical (No Step)]],K$63,K$62)</f>
        <v>-11.5842667314108</v>
      </c>
      <c r="Z20" s="10">
        <f>STANDARDIZE(TBL_DATA[[#This Row],[Vertical (No Step Reach)]],L$63,L$62)</f>
        <v>-31.594825085999162</v>
      </c>
      <c r="AA20" s="10">
        <f>STANDARDIZE(TBL_DATA[[#This Row],[Weight]],M$63,M$62)</f>
        <v>-0.29287121218963419</v>
      </c>
      <c r="AB20" s="10">
        <f>STANDARDIZE(TBL_DATA[[#This Row],[Body Fat]],N$63,N$62)</f>
        <v>-0.95020077875699738</v>
      </c>
      <c r="AC20" s="10">
        <f>STANDARDIZE(TBL_DATA[[#This Row],[Hand (Length)]],O$63,O$62)</f>
        <v>-0.49092958826853128</v>
      </c>
      <c r="AD20" s="10">
        <f>STANDARDIZE(TBL_DATA[[#This Row],[Hand (Width)]],P$63,P$62)</f>
        <v>0.44808355130135485</v>
      </c>
      <c r="AE20" s="10">
        <f>STANDARDIZE(TBL_DATA[[#This Row],[Agility]],Q$63,Q$62)</f>
        <v>-23.208838530198122</v>
      </c>
      <c r="AF20" s="10">
        <f>STANDARDIZE(TBL_DATA[[#This Row],[Sprint]],R$63,R$62)</f>
        <v>-30.664432035433581</v>
      </c>
      <c r="AG20" s="10">
        <f>(10*TBL_DATA[[#This Row],[Z_Height (No Shoes)]])+50</f>
        <v>41.727291477222209</v>
      </c>
      <c r="AH20" s="10">
        <f>(10*TBL_DATA[[#This Row],[Z_Height (With Shoes)]])+50</f>
        <v>43.594356056576132</v>
      </c>
      <c r="AI20" s="10">
        <f>(10*TBL_DATA[[#This Row],[Z_Wingspan]])+50</f>
        <v>40.53990410265142</v>
      </c>
      <c r="AJ20" s="10">
        <f>(10*TBL_DATA[[#This Row],[Z_Standing reach]])+50</f>
        <v>35.276820634776243</v>
      </c>
      <c r="AK20" s="10">
        <f>(10*TBL_DATA[[#This Row],[Z_Vertical (Max)]])+50</f>
        <v>-60.42261790078075</v>
      </c>
      <c r="AL20" s="10">
        <f>(10*TBL_DATA[[#This Row],[Z_Vertical (Max Reach)]])+50</f>
        <v>-283.62514449379267</v>
      </c>
      <c r="AM20" s="10">
        <f>(10*TBL_DATA[[#This Row],[Z_Vertical (No Step)]])+50</f>
        <v>-65.842667314107999</v>
      </c>
      <c r="AN20" s="10">
        <f>(10*TBL_DATA[[#This Row],[Z_Vertical (No Step Reach)]])+50</f>
        <v>-265.94825085999162</v>
      </c>
      <c r="AO20" s="10">
        <f>(10*TBL_DATA[[#This Row],[Z_Weight]])+50</f>
        <v>47.071287878103661</v>
      </c>
      <c r="AP20" s="10">
        <f>(10*TBL_DATA[[#This Row],[Z_Body Fat]])+50</f>
        <v>40.497992212430027</v>
      </c>
      <c r="AQ20" s="10">
        <f>(10*TBL_DATA[[#This Row],[Z_Hand (Length)]])+50</f>
        <v>45.090704117314687</v>
      </c>
      <c r="AR20" s="10">
        <f>(10*TBL_DATA[[#This Row],[Z_Hand (Width)]])+50</f>
        <v>54.480835513013545</v>
      </c>
      <c r="AS20" s="10">
        <f>(10*TBL_DATA[[#This Row],[Z_Agility]])+50</f>
        <v>-182.08838530198122</v>
      </c>
      <c r="AT20" s="10">
        <f>(10*TBL_DATA[[#This Row],[Z_Sprint]])+50</f>
        <v>-256.64432035433583</v>
      </c>
      <c r="AU20" s="2">
        <f>SUM(TBL_DATA[[#This Row],[T_Height (No Shoes)]:[T_Sprint]])</f>
        <v>-766.29219423290226</v>
      </c>
    </row>
    <row r="21" spans="1:47" x14ac:dyDescent="0.3">
      <c r="A21" s="8">
        <v>19</v>
      </c>
      <c r="B21" s="6" t="s">
        <v>36</v>
      </c>
      <c r="C21" s="7">
        <v>2014</v>
      </c>
      <c r="D21" s="2">
        <v>40</v>
      </c>
      <c r="E21" s="2">
        <v>77.5</v>
      </c>
      <c r="F21" s="2">
        <v>78.75</v>
      </c>
      <c r="G21" s="2">
        <v>82</v>
      </c>
      <c r="H21" s="2">
        <v>100.5</v>
      </c>
      <c r="I21" s="2">
        <v>41.5</v>
      </c>
      <c r="J21" s="2">
        <v>142</v>
      </c>
      <c r="K21" s="2">
        <v>36.5</v>
      </c>
      <c r="L21" s="2">
        <v>137</v>
      </c>
      <c r="M21" s="2">
        <v>211</v>
      </c>
      <c r="N21" s="2">
        <v>5.0999999999999996</v>
      </c>
      <c r="O21" s="2">
        <v>9</v>
      </c>
      <c r="P21" s="2">
        <v>9.5</v>
      </c>
      <c r="Q21" s="2">
        <v>11.22</v>
      </c>
      <c r="R21" s="2">
        <v>3.15</v>
      </c>
      <c r="S21" s="10">
        <f>STANDARDIZE(TBL_DATA[[#This Row],[Height (No Shoes)]],E$63,E$62)</f>
        <v>0.1158978488698333</v>
      </c>
      <c r="T21" s="10">
        <f>STANDARDIZE(TBL_DATA[[#This Row],[Height (With Shoes)]],F$63,F$62)</f>
        <v>8.77861268477787E-2</v>
      </c>
      <c r="U21" s="10">
        <f>STANDARDIZE(TBL_DATA[[#This Row],[Wingspan]],G$63,G$62)</f>
        <v>-4.241138882995641E-2</v>
      </c>
      <c r="V21" s="10">
        <f>STANDARDIZE(TBL_DATA[[#This Row],[Standing reach]],H$63,H$62)</f>
        <v>-0.42151037698826083</v>
      </c>
      <c r="W21" s="10">
        <f>STANDARDIZE(TBL_DATA[[#This Row],[Vertical (Max)]],I$63,I$62)</f>
        <v>1.7912678306758094</v>
      </c>
      <c r="X21" s="10">
        <f>STANDARDIZE(TBL_DATA[[#This Row],[Vertical (Max Reach)]],J$63,J$62)</f>
        <v>0.99991660933543702</v>
      </c>
      <c r="Y21" s="10">
        <f>STANDARDIZE(TBL_DATA[[#This Row],[Vertical (No Step)]],K$63,K$62)</f>
        <v>2.4789676532231453</v>
      </c>
      <c r="Z21" s="10">
        <f>STANDARDIZE(TBL_DATA[[#This Row],[Vertical (No Step Reach)]],L$63,L$62)</f>
        <v>1.1406236796172662</v>
      </c>
      <c r="AA21" s="10">
        <f>STANDARDIZE(TBL_DATA[[#This Row],[Weight]],M$63,M$62)</f>
        <v>-3.7510598605568435E-2</v>
      </c>
      <c r="AB21" s="10">
        <f>STANDARDIZE(TBL_DATA[[#This Row],[Body Fat]],N$63,N$62)</f>
        <v>-0.75472711785510471</v>
      </c>
      <c r="AC21" s="10">
        <f>STANDARDIZE(TBL_DATA[[#This Row],[Hand (Length)]],O$63,O$62)</f>
        <v>0.64494671399983472</v>
      </c>
      <c r="AD21" s="10">
        <f>STANDARDIZE(TBL_DATA[[#This Row],[Hand (Width)]],P$63,P$62)</f>
        <v>0.44808355130135485</v>
      </c>
      <c r="AE21" s="10">
        <f>STANDARDIZE(TBL_DATA[[#This Row],[Agility]],Q$63,Q$62)</f>
        <v>-0.29184367166952352</v>
      </c>
      <c r="AF21" s="10">
        <f>STANDARDIZE(TBL_DATA[[#This Row],[Sprint]],R$63,R$62)</f>
        <v>-1.433784634422451</v>
      </c>
      <c r="AG21" s="10">
        <f>(10*TBL_DATA[[#This Row],[Z_Height (No Shoes)]])+50</f>
        <v>51.158978488698331</v>
      </c>
      <c r="AH21" s="10">
        <f>(10*TBL_DATA[[#This Row],[Z_Height (With Shoes)]])+50</f>
        <v>50.877861268477787</v>
      </c>
      <c r="AI21" s="10">
        <f>(10*TBL_DATA[[#This Row],[Z_Wingspan]])+50</f>
        <v>49.575886111700434</v>
      </c>
      <c r="AJ21" s="10">
        <f>(10*TBL_DATA[[#This Row],[Z_Standing reach]])+50</f>
        <v>45.78489623011739</v>
      </c>
      <c r="AK21" s="10">
        <f>(10*TBL_DATA[[#This Row],[Z_Vertical (Max)]])+50</f>
        <v>67.912678306758096</v>
      </c>
      <c r="AL21" s="10">
        <f>(10*TBL_DATA[[#This Row],[Z_Vertical (Max Reach)]])+50</f>
        <v>59.999166093354368</v>
      </c>
      <c r="AM21" s="10">
        <f>(10*TBL_DATA[[#This Row],[Z_Vertical (No Step)]])+50</f>
        <v>74.789676532231454</v>
      </c>
      <c r="AN21" s="10">
        <f>(10*TBL_DATA[[#This Row],[Z_Vertical (No Step Reach)]])+50</f>
        <v>61.406236796172664</v>
      </c>
      <c r="AO21" s="10">
        <f>(10*TBL_DATA[[#This Row],[Z_Weight]])+50</f>
        <v>49.624894013944314</v>
      </c>
      <c r="AP21" s="10">
        <f>(10*TBL_DATA[[#This Row],[Z_Body Fat]])+50</f>
        <v>42.45272882144895</v>
      </c>
      <c r="AQ21" s="10">
        <f>(10*TBL_DATA[[#This Row],[Z_Hand (Length)]])+50</f>
        <v>56.449467139998347</v>
      </c>
      <c r="AR21" s="10">
        <f>(10*TBL_DATA[[#This Row],[Z_Hand (Width)]])+50</f>
        <v>54.480835513013545</v>
      </c>
      <c r="AS21" s="10">
        <f>(10*TBL_DATA[[#This Row],[Z_Agility]])+50</f>
        <v>47.081563283304767</v>
      </c>
      <c r="AT21" s="10">
        <f>(10*TBL_DATA[[#This Row],[Z_Sprint]])+50</f>
        <v>35.662153655775491</v>
      </c>
      <c r="AU21" s="2">
        <f>SUM(TBL_DATA[[#This Row],[T_Height (No Shoes)]:[T_Sprint]])</f>
        <v>747.25702225499583</v>
      </c>
    </row>
    <row r="22" spans="1:47" x14ac:dyDescent="0.3">
      <c r="A22" s="8">
        <v>20</v>
      </c>
      <c r="B22" s="6" t="s">
        <v>37</v>
      </c>
      <c r="C22" s="7">
        <v>2014</v>
      </c>
      <c r="D22" s="2"/>
      <c r="E22" s="2">
        <v>83.5</v>
      </c>
      <c r="F22" s="2">
        <v>84.5</v>
      </c>
      <c r="G22" s="2">
        <v>88.5</v>
      </c>
      <c r="H22" s="2">
        <v>112.5</v>
      </c>
      <c r="I22" s="2">
        <v>29.5</v>
      </c>
      <c r="J22" s="2">
        <v>142</v>
      </c>
      <c r="K22" s="2">
        <v>26.5</v>
      </c>
      <c r="L22" s="2">
        <v>139</v>
      </c>
      <c r="M22" s="2">
        <v>220</v>
      </c>
      <c r="N22" s="2">
        <v>7.5</v>
      </c>
      <c r="O22" s="2">
        <v>8.75</v>
      </c>
      <c r="P22" s="2">
        <v>8.75</v>
      </c>
      <c r="Q22" s="2">
        <v>11</v>
      </c>
      <c r="R22" s="2">
        <v>3.55</v>
      </c>
      <c r="S22" s="10">
        <f>STANDARDIZE(TBL_DATA[[#This Row],[Height (No Shoes)]],E$63,E$62)</f>
        <v>2.0022352511650574</v>
      </c>
      <c r="T22" s="10">
        <f>STANDARDIZE(TBL_DATA[[#This Row],[Height (With Shoes)]],F$63,F$62)</f>
        <v>1.9491263476670915</v>
      </c>
      <c r="U22" s="10">
        <f>STANDARDIZE(TBL_DATA[[#This Row],[Wingspan]],G$63,G$62)</f>
        <v>1.764785012979847</v>
      </c>
      <c r="V22" s="10">
        <f>STANDARDIZE(TBL_DATA[[#This Row],[Standing reach]],H$63,H$62)</f>
        <v>2.380643115102711</v>
      </c>
      <c r="W22" s="10">
        <f>STANDARDIZE(TBL_DATA[[#This Row],[Vertical (Max)]],I$63,I$62)</f>
        <v>-1.9196323006265188</v>
      </c>
      <c r="X22" s="10">
        <f>STANDARDIZE(TBL_DATA[[#This Row],[Vertical (Max Reach)]],J$63,J$62)</f>
        <v>0.99991660933543702</v>
      </c>
      <c r="Y22" s="10">
        <f>STANDARDIZE(TBL_DATA[[#This Row],[Vertical (No Step)]],K$63,K$62)</f>
        <v>-1.373973274073826</v>
      </c>
      <c r="Z22" s="10">
        <f>STANDARDIZE(TBL_DATA[[#This Row],[Vertical (No Step Reach)]],L$63,L$62)</f>
        <v>1.618513442618966</v>
      </c>
      <c r="AA22" s="10">
        <f>STANDARDIZE(TBL_DATA[[#This Row],[Weight]],M$63,M$62)</f>
        <v>0.34553032177053022</v>
      </c>
      <c r="AB22" s="10">
        <f>STANDARDIZE(TBL_DATA[[#This Row],[Body Fat]],N$63,N$62)</f>
        <v>0.18354645447398032</v>
      </c>
      <c r="AC22" s="10">
        <f>STANDARDIZE(TBL_DATA[[#This Row],[Hand (Length)]],O$63,O$62)</f>
        <v>7.7008562865651733E-2</v>
      </c>
      <c r="AD22" s="10">
        <f>STANDARDIZE(TBL_DATA[[#This Row],[Hand (Width)]],P$63,P$62)</f>
        <v>-0.58192669000175878</v>
      </c>
      <c r="AE22" s="10">
        <f>STANDARDIZE(TBL_DATA[[#This Row],[Agility]],Q$63,Q$62)</f>
        <v>-0.74119651203283066</v>
      </c>
      <c r="AF22" s="10">
        <f>STANDARDIZE(TBL_DATA[[#This Row],[Sprint]],R$63,R$62)</f>
        <v>2.2780436069757868</v>
      </c>
      <c r="AG22" s="10">
        <f>(10*TBL_DATA[[#This Row],[Z_Height (No Shoes)]])+50</f>
        <v>70.022352511650581</v>
      </c>
      <c r="AH22" s="10">
        <f>(10*TBL_DATA[[#This Row],[Z_Height (With Shoes)]])+50</f>
        <v>69.491263476670923</v>
      </c>
      <c r="AI22" s="10">
        <f>(10*TBL_DATA[[#This Row],[Z_Wingspan]])+50</f>
        <v>67.647850129798471</v>
      </c>
      <c r="AJ22" s="10">
        <f>(10*TBL_DATA[[#This Row],[Z_Standing reach]])+50</f>
        <v>73.806431151027112</v>
      </c>
      <c r="AK22" s="10">
        <f>(10*TBL_DATA[[#This Row],[Z_Vertical (Max)]])+50</f>
        <v>30.803676993734811</v>
      </c>
      <c r="AL22" s="10">
        <f>(10*TBL_DATA[[#This Row],[Z_Vertical (Max Reach)]])+50</f>
        <v>59.999166093354368</v>
      </c>
      <c r="AM22" s="10">
        <f>(10*TBL_DATA[[#This Row],[Z_Vertical (No Step)]])+50</f>
        <v>36.260267259261738</v>
      </c>
      <c r="AN22" s="10">
        <f>(10*TBL_DATA[[#This Row],[Z_Vertical (No Step Reach)]])+50</f>
        <v>66.185134426189663</v>
      </c>
      <c r="AO22" s="10">
        <f>(10*TBL_DATA[[#This Row],[Z_Weight]])+50</f>
        <v>53.4553032177053</v>
      </c>
      <c r="AP22" s="10">
        <f>(10*TBL_DATA[[#This Row],[Z_Body Fat]])+50</f>
        <v>51.8354645447398</v>
      </c>
      <c r="AQ22" s="10">
        <f>(10*TBL_DATA[[#This Row],[Z_Hand (Length)]])+50</f>
        <v>50.770085628656517</v>
      </c>
      <c r="AR22" s="10">
        <f>(10*TBL_DATA[[#This Row],[Z_Hand (Width)]])+50</f>
        <v>44.180733099982412</v>
      </c>
      <c r="AS22" s="10">
        <f>(10*TBL_DATA[[#This Row],[Z_Agility]])+50</f>
        <v>42.588034879671696</v>
      </c>
      <c r="AT22" s="10">
        <f>(10*TBL_DATA[[#This Row],[Z_Sprint]])+50</f>
        <v>72.780436069757869</v>
      </c>
      <c r="AU22" s="2">
        <f>SUM(TBL_DATA[[#This Row],[T_Height (No Shoes)]:[T_Sprint]])</f>
        <v>789.82619948220122</v>
      </c>
    </row>
    <row r="23" spans="1:47" x14ac:dyDescent="0.3">
      <c r="A23" s="8">
        <v>21</v>
      </c>
      <c r="B23" s="6" t="s">
        <v>38</v>
      </c>
      <c r="C23" s="7">
        <v>2014</v>
      </c>
      <c r="D23" s="2"/>
      <c r="E23" s="2">
        <v>75</v>
      </c>
      <c r="F23" s="2">
        <v>76.25</v>
      </c>
      <c r="G23" s="2">
        <v>80.25</v>
      </c>
      <c r="H23" s="2">
        <v>100</v>
      </c>
      <c r="I23" s="2">
        <v>32</v>
      </c>
      <c r="J23" s="2">
        <v>132</v>
      </c>
      <c r="K23" s="2">
        <v>28</v>
      </c>
      <c r="L23" s="2">
        <v>128</v>
      </c>
      <c r="M23" s="2">
        <v>202</v>
      </c>
      <c r="N23" s="2">
        <v>6.1</v>
      </c>
      <c r="O23" s="2">
        <v>9</v>
      </c>
      <c r="P23" s="2">
        <v>9.25</v>
      </c>
      <c r="Q23" s="2">
        <v>11.6</v>
      </c>
      <c r="R23" s="2">
        <v>3.5</v>
      </c>
      <c r="S23" s="10">
        <f>STANDARDIZE(TBL_DATA[[#This Row],[Height (No Shoes)]],E$63,E$62)</f>
        <v>-0.67007606875317671</v>
      </c>
      <c r="T23" s="10">
        <f>STANDARDIZE(TBL_DATA[[#This Row],[Height (With Shoes)]],F$63,F$62)</f>
        <v>-0.72149223003018337</v>
      </c>
      <c r="U23" s="10">
        <f>STANDARDIZE(TBL_DATA[[#This Row],[Wingspan]],G$63,G$62)</f>
        <v>-0.52896426624028814</v>
      </c>
      <c r="V23" s="10">
        <f>STANDARDIZE(TBL_DATA[[#This Row],[Standing reach]],H$63,H$62)</f>
        <v>-0.53826677249205135</v>
      </c>
      <c r="W23" s="10">
        <f>STANDARDIZE(TBL_DATA[[#This Row],[Vertical (Max)]],I$63,I$62)</f>
        <v>-1.1465281066052004</v>
      </c>
      <c r="X23" s="10">
        <f>STANDARDIZE(TBL_DATA[[#This Row],[Vertical (Max Reach)]],J$63,J$62)</f>
        <v>-1.4199729018416549</v>
      </c>
      <c r="Y23" s="10">
        <f>STANDARDIZE(TBL_DATA[[#This Row],[Vertical (No Step)]],K$63,K$62)</f>
        <v>-0.79603213497928038</v>
      </c>
      <c r="Z23" s="10">
        <f>STANDARDIZE(TBL_DATA[[#This Row],[Vertical (No Step Reach)]],L$63,L$62)</f>
        <v>-1.0098802538903824</v>
      </c>
      <c r="AA23" s="10">
        <f>STANDARDIZE(TBL_DATA[[#This Row],[Weight]],M$63,M$62)</f>
        <v>-0.42055151898166709</v>
      </c>
      <c r="AB23" s="10">
        <f>STANDARDIZE(TBL_DATA[[#This Row],[Body Fat]],N$63,N$62)</f>
        <v>-0.36377979605131933</v>
      </c>
      <c r="AC23" s="10">
        <f>STANDARDIZE(TBL_DATA[[#This Row],[Hand (Length)]],O$63,O$62)</f>
        <v>0.64494671399983472</v>
      </c>
      <c r="AD23" s="10">
        <f>STANDARDIZE(TBL_DATA[[#This Row],[Hand (Width)]],P$63,P$62)</f>
        <v>0.10474680420031697</v>
      </c>
      <c r="AE23" s="10">
        <f>STANDARDIZE(TBL_DATA[[#This Row],[Agility]],Q$63,Q$62)</f>
        <v>0.48431123441254809</v>
      </c>
      <c r="AF23" s="10">
        <f>STANDARDIZE(TBL_DATA[[#This Row],[Sprint]],R$63,R$62)</f>
        <v>1.8140650768010087</v>
      </c>
      <c r="AG23" s="10">
        <f>(10*TBL_DATA[[#This Row],[Z_Height (No Shoes)]])+50</f>
        <v>43.299239312468231</v>
      </c>
      <c r="AH23" s="10">
        <f>(10*TBL_DATA[[#This Row],[Z_Height (With Shoes)]])+50</f>
        <v>42.785077699698164</v>
      </c>
      <c r="AI23" s="10">
        <f>(10*TBL_DATA[[#This Row],[Z_Wingspan]])+50</f>
        <v>44.710357337597117</v>
      </c>
      <c r="AJ23" s="10">
        <f>(10*TBL_DATA[[#This Row],[Z_Standing reach]])+50</f>
        <v>44.617332275079484</v>
      </c>
      <c r="AK23" s="10">
        <f>(10*TBL_DATA[[#This Row],[Z_Vertical (Max)]])+50</f>
        <v>38.534718933948</v>
      </c>
      <c r="AL23" s="10">
        <f>(10*TBL_DATA[[#This Row],[Z_Vertical (Max Reach)]])+50</f>
        <v>35.800270981583452</v>
      </c>
      <c r="AM23" s="10">
        <f>(10*TBL_DATA[[#This Row],[Z_Vertical (No Step)]])+50</f>
        <v>42.039678650207193</v>
      </c>
      <c r="AN23" s="10">
        <f>(10*TBL_DATA[[#This Row],[Z_Vertical (No Step Reach)]])+50</f>
        <v>39.901197461096174</v>
      </c>
      <c r="AO23" s="10">
        <f>(10*TBL_DATA[[#This Row],[Z_Weight]])+50</f>
        <v>45.794484810183327</v>
      </c>
      <c r="AP23" s="10">
        <f>(10*TBL_DATA[[#This Row],[Z_Body Fat]])+50</f>
        <v>46.362202039486803</v>
      </c>
      <c r="AQ23" s="10">
        <f>(10*TBL_DATA[[#This Row],[Z_Hand (Length)]])+50</f>
        <v>56.449467139998347</v>
      </c>
      <c r="AR23" s="10">
        <f>(10*TBL_DATA[[#This Row],[Z_Hand (Width)]])+50</f>
        <v>51.047468042003167</v>
      </c>
      <c r="AS23" s="10">
        <f>(10*TBL_DATA[[#This Row],[Z_Agility]])+50</f>
        <v>54.84311234412548</v>
      </c>
      <c r="AT23" s="10">
        <f>(10*TBL_DATA[[#This Row],[Z_Sprint]])+50</f>
        <v>68.14065076801009</v>
      </c>
      <c r="AU23" s="2">
        <f>SUM(TBL_DATA[[#This Row],[T_Height (No Shoes)]:[T_Sprint]])</f>
        <v>654.32525779548519</v>
      </c>
    </row>
    <row r="24" spans="1:47" x14ac:dyDescent="0.3">
      <c r="A24" s="8">
        <v>22</v>
      </c>
      <c r="B24" s="6" t="s">
        <v>39</v>
      </c>
      <c r="C24" s="7">
        <v>2014</v>
      </c>
      <c r="D24" s="2"/>
      <c r="E24" s="2">
        <v>69.75</v>
      </c>
      <c r="F24" s="2">
        <v>71</v>
      </c>
      <c r="G24" s="2">
        <v>74</v>
      </c>
      <c r="H24" s="2">
        <v>93</v>
      </c>
      <c r="I24" s="2">
        <v>43.5</v>
      </c>
      <c r="J24" s="2">
        <v>136.5</v>
      </c>
      <c r="K24" s="2">
        <v>33.5</v>
      </c>
      <c r="L24" s="2">
        <v>126.5</v>
      </c>
      <c r="M24" s="2">
        <v>180</v>
      </c>
      <c r="N24" s="2">
        <v>6.5</v>
      </c>
      <c r="O24" s="2">
        <v>7.5</v>
      </c>
      <c r="P24" s="2">
        <v>8.75</v>
      </c>
      <c r="Q24" s="2">
        <v>11.26</v>
      </c>
      <c r="R24" s="2">
        <v>3.24</v>
      </c>
      <c r="S24" s="10">
        <f>STANDARDIZE(TBL_DATA[[#This Row],[Height (No Shoes)]],E$63,E$62)</f>
        <v>-2.320621295761498</v>
      </c>
      <c r="T24" s="10">
        <f>STANDARDIZE(TBL_DATA[[#This Row],[Height (With Shoes)]],F$63,F$62)</f>
        <v>-2.4209767794739037</v>
      </c>
      <c r="U24" s="10">
        <f>STANDARDIZE(TBL_DATA[[#This Row],[Wingspan]],G$63,G$62)</f>
        <v>-2.2666531141343298</v>
      </c>
      <c r="V24" s="10">
        <f>STANDARDIZE(TBL_DATA[[#This Row],[Standing reach]],H$63,H$62)</f>
        <v>-2.1728563095451183</v>
      </c>
      <c r="W24" s="10">
        <f>STANDARDIZE(TBL_DATA[[#This Row],[Vertical (Max)]],I$63,I$62)</f>
        <v>2.4097511858928642</v>
      </c>
      <c r="X24" s="10">
        <f>STANDARDIZE(TBL_DATA[[#This Row],[Vertical (Max Reach)]],J$63,J$62)</f>
        <v>-0.33102262181196351</v>
      </c>
      <c r="Y24" s="10">
        <f>STANDARDIZE(TBL_DATA[[#This Row],[Vertical (No Step)]],K$63,K$62)</f>
        <v>1.3230853750340539</v>
      </c>
      <c r="Z24" s="10">
        <f>STANDARDIZE(TBL_DATA[[#This Row],[Vertical (No Step Reach)]],L$63,L$62)</f>
        <v>-1.3682975761416571</v>
      </c>
      <c r="AA24" s="10">
        <f>STANDARDIZE(TBL_DATA[[#This Row],[Weight]],M$63,M$62)</f>
        <v>-1.3568737687899084</v>
      </c>
      <c r="AB24" s="10">
        <f>STANDARDIZE(TBL_DATA[[#This Row],[Body Fat]],N$63,N$62)</f>
        <v>-0.20740086732980503</v>
      </c>
      <c r="AC24" s="10">
        <f>STANDARDIZE(TBL_DATA[[#This Row],[Hand (Length)]],O$63,O$62)</f>
        <v>-2.7626821928052632</v>
      </c>
      <c r="AD24" s="10">
        <f>STANDARDIZE(TBL_DATA[[#This Row],[Hand (Width)]],P$63,P$62)</f>
        <v>-0.58192669000175878</v>
      </c>
      <c r="AE24" s="10">
        <f>STANDARDIZE(TBL_DATA[[#This Row],[Agility]],Q$63,Q$62)</f>
        <v>-0.21014315523983332</v>
      </c>
      <c r="AF24" s="10">
        <f>STANDARDIZE(TBL_DATA[[#This Row],[Sprint]],R$63,R$62)</f>
        <v>-0.59862328010784449</v>
      </c>
      <c r="AG24" s="10">
        <f>(10*TBL_DATA[[#This Row],[Z_Height (No Shoes)]])+50</f>
        <v>26.79378704238502</v>
      </c>
      <c r="AH24" s="10">
        <f>(10*TBL_DATA[[#This Row],[Z_Height (With Shoes)]])+50</f>
        <v>25.790232205260963</v>
      </c>
      <c r="AI24" s="10">
        <f>(10*TBL_DATA[[#This Row],[Z_Wingspan]])+50</f>
        <v>27.333468858656701</v>
      </c>
      <c r="AJ24" s="10">
        <f>(10*TBL_DATA[[#This Row],[Z_Standing reach]])+50</f>
        <v>28.271436904548818</v>
      </c>
      <c r="AK24" s="10">
        <f>(10*TBL_DATA[[#This Row],[Z_Vertical (Max)]])+50</f>
        <v>74.097511858928641</v>
      </c>
      <c r="AL24" s="10">
        <f>(10*TBL_DATA[[#This Row],[Z_Vertical (Max Reach)]])+50</f>
        <v>46.689773781880362</v>
      </c>
      <c r="AM24" s="10">
        <f>(10*TBL_DATA[[#This Row],[Z_Vertical (No Step)]])+50</f>
        <v>63.230853750340543</v>
      </c>
      <c r="AN24" s="10">
        <f>(10*TBL_DATA[[#This Row],[Z_Vertical (No Step Reach)]])+50</f>
        <v>36.317024238583429</v>
      </c>
      <c r="AO24" s="10">
        <f>(10*TBL_DATA[[#This Row],[Z_Weight]])+50</f>
        <v>36.431262312100912</v>
      </c>
      <c r="AP24" s="10">
        <f>(10*TBL_DATA[[#This Row],[Z_Body Fat]])+50</f>
        <v>47.925991326701947</v>
      </c>
      <c r="AQ24" s="10">
        <f>(10*TBL_DATA[[#This Row],[Z_Hand (Length)]])+50</f>
        <v>22.373178071947368</v>
      </c>
      <c r="AR24" s="10">
        <f>(10*TBL_DATA[[#This Row],[Z_Hand (Width)]])+50</f>
        <v>44.180733099982412</v>
      </c>
      <c r="AS24" s="10">
        <f>(10*TBL_DATA[[#This Row],[Z_Agility]])+50</f>
        <v>47.898568447601669</v>
      </c>
      <c r="AT24" s="10">
        <f>(10*TBL_DATA[[#This Row],[Z_Sprint]])+50</f>
        <v>44.013767198921556</v>
      </c>
      <c r="AU24" s="2">
        <f>SUM(TBL_DATA[[#This Row],[T_Height (No Shoes)]:[T_Sprint]])</f>
        <v>571.34758909784034</v>
      </c>
    </row>
    <row r="25" spans="1:47" x14ac:dyDescent="0.3">
      <c r="A25" s="8">
        <v>23</v>
      </c>
      <c r="B25" s="6" t="s">
        <v>40</v>
      </c>
      <c r="C25" s="7">
        <v>2014</v>
      </c>
      <c r="D25" s="2"/>
      <c r="E25" s="2">
        <v>79.5</v>
      </c>
      <c r="F25" s="2">
        <v>80.75</v>
      </c>
      <c r="G25" s="2">
        <v>86.25</v>
      </c>
      <c r="H25" s="2">
        <v>106.5</v>
      </c>
      <c r="I25" s="2">
        <v>34</v>
      </c>
      <c r="J25" s="2">
        <v>140.5</v>
      </c>
      <c r="K25" s="2">
        <v>29.5</v>
      </c>
      <c r="L25" s="2">
        <v>136</v>
      </c>
      <c r="M25" s="2">
        <v>228</v>
      </c>
      <c r="N25" s="2">
        <v>6.2</v>
      </c>
      <c r="O25" s="2">
        <v>9.25</v>
      </c>
      <c r="P25" s="2">
        <v>9</v>
      </c>
      <c r="Q25" s="2">
        <v>11.61</v>
      </c>
      <c r="R25" s="2">
        <v>3.28</v>
      </c>
      <c r="S25" s="10">
        <f>STANDARDIZE(TBL_DATA[[#This Row],[Height (No Shoes)]],E$63,E$62)</f>
        <v>0.74467698296824136</v>
      </c>
      <c r="T25" s="10">
        <f>STANDARDIZE(TBL_DATA[[#This Row],[Height (With Shoes)]],F$63,F$62)</f>
        <v>0.73520881235014834</v>
      </c>
      <c r="U25" s="10">
        <f>STANDARDIZE(TBL_DATA[[#This Row],[Wingspan]],G$63,G$62)</f>
        <v>1.139217027737992</v>
      </c>
      <c r="V25" s="10">
        <f>STANDARDIZE(TBL_DATA[[#This Row],[Standing reach]],H$63,H$62)</f>
        <v>0.97956636905722516</v>
      </c>
      <c r="W25" s="10">
        <f>STANDARDIZE(TBL_DATA[[#This Row],[Vertical (Max)]],I$63,I$62)</f>
        <v>-0.52804475138814566</v>
      </c>
      <c r="X25" s="10">
        <f>STANDARDIZE(TBL_DATA[[#This Row],[Vertical (Max Reach)]],J$63,J$62)</f>
        <v>0.63693318265887322</v>
      </c>
      <c r="Y25" s="10">
        <f>STANDARDIZE(TBL_DATA[[#This Row],[Vertical (No Step)]],K$63,K$62)</f>
        <v>-0.21809099588473468</v>
      </c>
      <c r="Z25" s="10">
        <f>STANDARDIZE(TBL_DATA[[#This Row],[Vertical (No Step Reach)]],L$63,L$62)</f>
        <v>0.90167879811641649</v>
      </c>
      <c r="AA25" s="10">
        <f>STANDARDIZE(TBL_DATA[[#This Row],[Weight]],M$63,M$62)</f>
        <v>0.68601113988261797</v>
      </c>
      <c r="AB25" s="10">
        <f>STANDARDIZE(TBL_DATA[[#This Row],[Body Fat]],N$63,N$62)</f>
        <v>-0.32468506387094054</v>
      </c>
      <c r="AC25" s="10">
        <f>STANDARDIZE(TBL_DATA[[#This Row],[Hand (Length)]],O$63,O$62)</f>
        <v>1.2128848651340178</v>
      </c>
      <c r="AD25" s="10">
        <f>STANDARDIZE(TBL_DATA[[#This Row],[Hand (Width)]],P$63,P$62)</f>
        <v>-0.23858994290072091</v>
      </c>
      <c r="AE25" s="10">
        <f>STANDARDIZE(TBL_DATA[[#This Row],[Agility]],Q$63,Q$62)</f>
        <v>0.50473636351997064</v>
      </c>
      <c r="AF25" s="10">
        <f>STANDARDIZE(TBL_DATA[[#This Row],[Sprint]],R$63,R$62)</f>
        <v>-0.22744045596802442</v>
      </c>
      <c r="AG25" s="10">
        <f>(10*TBL_DATA[[#This Row],[Z_Height (No Shoes)]])+50</f>
        <v>57.44676982968241</v>
      </c>
      <c r="AH25" s="10">
        <f>(10*TBL_DATA[[#This Row],[Z_Height (With Shoes)]])+50</f>
        <v>57.352088123501481</v>
      </c>
      <c r="AI25" s="10">
        <f>(10*TBL_DATA[[#This Row],[Z_Wingspan]])+50</f>
        <v>61.392170277379918</v>
      </c>
      <c r="AJ25" s="10">
        <f>(10*TBL_DATA[[#This Row],[Z_Standing reach]])+50</f>
        <v>59.795663690572255</v>
      </c>
      <c r="AK25" s="10">
        <f>(10*TBL_DATA[[#This Row],[Z_Vertical (Max)]])+50</f>
        <v>44.719552486118545</v>
      </c>
      <c r="AL25" s="10">
        <f>(10*TBL_DATA[[#This Row],[Z_Vertical (Max Reach)]])+50</f>
        <v>56.369331826588734</v>
      </c>
      <c r="AM25" s="10">
        <f>(10*TBL_DATA[[#This Row],[Z_Vertical (No Step)]])+50</f>
        <v>47.819090041152656</v>
      </c>
      <c r="AN25" s="10">
        <f>(10*TBL_DATA[[#This Row],[Z_Vertical (No Step Reach)]])+50</f>
        <v>59.016787981164164</v>
      </c>
      <c r="AO25" s="10">
        <f>(10*TBL_DATA[[#This Row],[Z_Weight]])+50</f>
        <v>56.860111398826177</v>
      </c>
      <c r="AP25" s="10">
        <f>(10*TBL_DATA[[#This Row],[Z_Body Fat]])+50</f>
        <v>46.753149361290596</v>
      </c>
      <c r="AQ25" s="10">
        <f>(10*TBL_DATA[[#This Row],[Z_Hand (Length)]])+50</f>
        <v>62.128848651340178</v>
      </c>
      <c r="AR25" s="10">
        <f>(10*TBL_DATA[[#This Row],[Z_Hand (Width)]])+50</f>
        <v>47.61410057099279</v>
      </c>
      <c r="AS25" s="10">
        <f>(10*TBL_DATA[[#This Row],[Z_Agility]])+50</f>
        <v>55.047363635199709</v>
      </c>
      <c r="AT25" s="10">
        <f>(10*TBL_DATA[[#This Row],[Z_Sprint]])+50</f>
        <v>47.725595440319758</v>
      </c>
      <c r="AU25" s="2">
        <f>SUM(TBL_DATA[[#This Row],[T_Height (No Shoes)]:[T_Sprint]])</f>
        <v>760.04062331412956</v>
      </c>
    </row>
    <row r="26" spans="1:47" x14ac:dyDescent="0.3">
      <c r="A26" s="8">
        <v>24</v>
      </c>
      <c r="B26" s="6" t="s">
        <v>41</v>
      </c>
      <c r="C26" s="7">
        <v>2014</v>
      </c>
      <c r="D26" s="2">
        <v>17</v>
      </c>
      <c r="E26" s="2">
        <v>77.25</v>
      </c>
      <c r="F26" s="2">
        <v>78.75</v>
      </c>
      <c r="G26" s="2">
        <v>84</v>
      </c>
      <c r="H26" s="2">
        <v>104</v>
      </c>
      <c r="I26" s="2">
        <v>35.5</v>
      </c>
      <c r="J26" s="2">
        <v>139.5</v>
      </c>
      <c r="K26" s="2">
        <v>28</v>
      </c>
      <c r="L26" s="2">
        <v>132</v>
      </c>
      <c r="M26" s="2">
        <v>213</v>
      </c>
      <c r="N26" s="2">
        <v>5.0999999999999996</v>
      </c>
      <c r="O26" s="2">
        <v>9</v>
      </c>
      <c r="P26" s="2">
        <v>9.5</v>
      </c>
      <c r="Q26" s="2"/>
      <c r="R26" s="2"/>
      <c r="S26" s="10">
        <f>STANDARDIZE(TBL_DATA[[#This Row],[Height (No Shoes)]],E$63,E$62)</f>
        <v>3.7300457107532305E-2</v>
      </c>
      <c r="T26" s="10">
        <f>STANDARDIZE(TBL_DATA[[#This Row],[Height (With Shoes)]],F$63,F$62)</f>
        <v>8.77861268477787E-2</v>
      </c>
      <c r="U26" s="10">
        <f>STANDARDIZE(TBL_DATA[[#This Row],[Wingspan]],G$63,G$62)</f>
        <v>0.51364904249613696</v>
      </c>
      <c r="V26" s="10">
        <f>STANDARDIZE(TBL_DATA[[#This Row],[Standing reach]],H$63,H$62)</f>
        <v>0.39578439153827266</v>
      </c>
      <c r="W26" s="10">
        <f>STANDARDIZE(TBL_DATA[[#This Row],[Vertical (Max)]],I$63,I$62)</f>
        <v>-6.4182234975354649E-2</v>
      </c>
      <c r="X26" s="10">
        <f>STANDARDIZE(TBL_DATA[[#This Row],[Vertical (Max Reach)]],J$63,J$62)</f>
        <v>0.39494423154116404</v>
      </c>
      <c r="Y26" s="10">
        <f>STANDARDIZE(TBL_DATA[[#This Row],[Vertical (No Step)]],K$63,K$62)</f>
        <v>-0.79603213497928038</v>
      </c>
      <c r="Z26" s="10">
        <f>STANDARDIZE(TBL_DATA[[#This Row],[Vertical (No Step Reach)]],L$63,L$62)</f>
        <v>-5.4100727886982947E-2</v>
      </c>
      <c r="AA26" s="10">
        <f>STANDARDIZE(TBL_DATA[[#This Row],[Weight]],M$63,M$62)</f>
        <v>4.7609605922453495E-2</v>
      </c>
      <c r="AB26" s="10">
        <f>STANDARDIZE(TBL_DATA[[#This Row],[Body Fat]],N$63,N$62)</f>
        <v>-0.75472711785510471</v>
      </c>
      <c r="AC26" s="10">
        <f>STANDARDIZE(TBL_DATA[[#This Row],[Hand (Length)]],O$63,O$62)</f>
        <v>0.64494671399983472</v>
      </c>
      <c r="AD26" s="10">
        <f>STANDARDIZE(TBL_DATA[[#This Row],[Hand (Width)]],P$63,P$62)</f>
        <v>0.44808355130135485</v>
      </c>
      <c r="AE26" s="10">
        <f>STANDARDIZE(TBL_DATA[[#This Row],[Agility]],Q$63,Q$62)</f>
        <v>-23.208838530198122</v>
      </c>
      <c r="AF26" s="10">
        <f>STANDARDIZE(TBL_DATA[[#This Row],[Sprint]],R$63,R$62)</f>
        <v>-30.664432035433581</v>
      </c>
      <c r="AG26" s="10">
        <f>(10*TBL_DATA[[#This Row],[Z_Height (No Shoes)]])+50</f>
        <v>50.37300457107532</v>
      </c>
      <c r="AH26" s="10">
        <f>(10*TBL_DATA[[#This Row],[Z_Height (With Shoes)]])+50</f>
        <v>50.877861268477787</v>
      </c>
      <c r="AI26" s="10">
        <f>(10*TBL_DATA[[#This Row],[Z_Wingspan]])+50</f>
        <v>55.136490424961366</v>
      </c>
      <c r="AJ26" s="10">
        <f>(10*TBL_DATA[[#This Row],[Z_Standing reach]])+50</f>
        <v>53.957843915382725</v>
      </c>
      <c r="AK26" s="10">
        <f>(10*TBL_DATA[[#This Row],[Z_Vertical (Max)]])+50</f>
        <v>49.358177650246454</v>
      </c>
      <c r="AL26" s="10">
        <f>(10*TBL_DATA[[#This Row],[Z_Vertical (Max Reach)]])+50</f>
        <v>53.949442315411638</v>
      </c>
      <c r="AM26" s="10">
        <f>(10*TBL_DATA[[#This Row],[Z_Vertical (No Step)]])+50</f>
        <v>42.039678650207193</v>
      </c>
      <c r="AN26" s="10">
        <f>(10*TBL_DATA[[#This Row],[Z_Vertical (No Step Reach)]])+50</f>
        <v>49.458992721130173</v>
      </c>
      <c r="AO26" s="10">
        <f>(10*TBL_DATA[[#This Row],[Z_Weight]])+50</f>
        <v>50.476096059224538</v>
      </c>
      <c r="AP26" s="10">
        <f>(10*TBL_DATA[[#This Row],[Z_Body Fat]])+50</f>
        <v>42.45272882144895</v>
      </c>
      <c r="AQ26" s="10">
        <f>(10*TBL_DATA[[#This Row],[Z_Hand (Length)]])+50</f>
        <v>56.449467139998347</v>
      </c>
      <c r="AR26" s="10">
        <f>(10*TBL_DATA[[#This Row],[Z_Hand (Width)]])+50</f>
        <v>54.480835513013545</v>
      </c>
      <c r="AS26" s="10">
        <f>(10*TBL_DATA[[#This Row],[Z_Agility]])+50</f>
        <v>-182.08838530198122</v>
      </c>
      <c r="AT26" s="10">
        <f>(10*TBL_DATA[[#This Row],[Z_Sprint]])+50</f>
        <v>-256.64432035433583</v>
      </c>
      <c r="AU26" s="2">
        <f>SUM(TBL_DATA[[#This Row],[T_Height (No Shoes)]:[T_Sprint]])</f>
        <v>170.27791339426096</v>
      </c>
    </row>
    <row r="27" spans="1:47" x14ac:dyDescent="0.3">
      <c r="A27" s="8">
        <v>25</v>
      </c>
      <c r="B27" s="6" t="s">
        <v>42</v>
      </c>
      <c r="C27" s="7">
        <v>2014</v>
      </c>
      <c r="D27" s="2">
        <v>35</v>
      </c>
      <c r="E27" s="2">
        <v>79</v>
      </c>
      <c r="F27" s="2">
        <v>80.5</v>
      </c>
      <c r="G27" s="2">
        <v>85.25</v>
      </c>
      <c r="H27" s="2">
        <v>103.5</v>
      </c>
      <c r="I27" s="2">
        <v>36</v>
      </c>
      <c r="J27" s="2">
        <v>139.5</v>
      </c>
      <c r="K27" s="2">
        <v>31</v>
      </c>
      <c r="L27" s="2">
        <v>134.5</v>
      </c>
      <c r="M27" s="2">
        <v>263</v>
      </c>
      <c r="N27" s="2">
        <v>8.1999999999999993</v>
      </c>
      <c r="O27" s="2">
        <v>9.75</v>
      </c>
      <c r="P27" s="2">
        <v>10.5</v>
      </c>
      <c r="Q27" s="2">
        <v>11.92</v>
      </c>
      <c r="R27" s="2">
        <v>3.26</v>
      </c>
      <c r="S27" s="10">
        <f>STANDARDIZE(TBL_DATA[[#This Row],[Height (No Shoes)]],E$63,E$62)</f>
        <v>0.58748219944363933</v>
      </c>
      <c r="T27" s="10">
        <f>STANDARDIZE(TBL_DATA[[#This Row],[Height (With Shoes)]],F$63,F$62)</f>
        <v>0.65428097666235219</v>
      </c>
      <c r="U27" s="10">
        <f>STANDARDIZE(TBL_DATA[[#This Row],[Wingspan]],G$63,G$62)</f>
        <v>0.8611868120749453</v>
      </c>
      <c r="V27" s="10">
        <f>STANDARDIZE(TBL_DATA[[#This Row],[Standing reach]],H$63,H$62)</f>
        <v>0.27902799603448214</v>
      </c>
      <c r="W27" s="10">
        <f>STANDARDIZE(TBL_DATA[[#This Row],[Vertical (Max)]],I$63,I$62)</f>
        <v>9.0438603828909031E-2</v>
      </c>
      <c r="X27" s="10">
        <f>STANDARDIZE(TBL_DATA[[#This Row],[Vertical (Max Reach)]],J$63,J$62)</f>
        <v>0.39494423154116404</v>
      </c>
      <c r="Y27" s="10">
        <f>STANDARDIZE(TBL_DATA[[#This Row],[Vertical (No Step)]],K$63,K$62)</f>
        <v>0.35985014320981101</v>
      </c>
      <c r="Z27" s="10">
        <f>STANDARDIZE(TBL_DATA[[#This Row],[Vertical (No Step Reach)]],L$63,L$62)</f>
        <v>0.54326147586514162</v>
      </c>
      <c r="AA27" s="10">
        <f>STANDARDIZE(TBL_DATA[[#This Row],[Weight]],M$63,M$62)</f>
        <v>2.1756147191230015</v>
      </c>
      <c r="AB27" s="10">
        <f>STANDARDIZE(TBL_DATA[[#This Row],[Body Fat]],N$63,N$62)</f>
        <v>0.45720957973662979</v>
      </c>
      <c r="AC27" s="10">
        <f>STANDARDIZE(TBL_DATA[[#This Row],[Hand (Length)]],O$63,O$62)</f>
        <v>2.3487611674023836</v>
      </c>
      <c r="AD27" s="10">
        <f>STANDARDIZE(TBL_DATA[[#This Row],[Hand (Width)]],P$63,P$62)</f>
        <v>1.8214305397055064</v>
      </c>
      <c r="AE27" s="10">
        <f>STANDARDIZE(TBL_DATA[[#This Row],[Agility]],Q$63,Q$62)</f>
        <v>1.1379153658500845</v>
      </c>
      <c r="AF27" s="10">
        <f>STANDARDIZE(TBL_DATA[[#This Row],[Sprint]],R$63,R$62)</f>
        <v>-0.41303186803793651</v>
      </c>
      <c r="AG27" s="10">
        <f>(10*TBL_DATA[[#This Row],[Z_Height (No Shoes)]])+50</f>
        <v>55.874821994436395</v>
      </c>
      <c r="AH27" s="10">
        <f>(10*TBL_DATA[[#This Row],[Z_Height (With Shoes)]])+50</f>
        <v>56.54280976662352</v>
      </c>
      <c r="AI27" s="10">
        <f>(10*TBL_DATA[[#This Row],[Z_Wingspan]])+50</f>
        <v>58.611868120749449</v>
      </c>
      <c r="AJ27" s="10">
        <f>(10*TBL_DATA[[#This Row],[Z_Standing reach]])+50</f>
        <v>52.790279960344819</v>
      </c>
      <c r="AK27" s="10">
        <f>(10*TBL_DATA[[#This Row],[Z_Vertical (Max)]])+50</f>
        <v>50.90438603828909</v>
      </c>
      <c r="AL27" s="10">
        <f>(10*TBL_DATA[[#This Row],[Z_Vertical (Max Reach)]])+50</f>
        <v>53.949442315411638</v>
      </c>
      <c r="AM27" s="10">
        <f>(10*TBL_DATA[[#This Row],[Z_Vertical (No Step)]])+50</f>
        <v>53.598501432098111</v>
      </c>
      <c r="AN27" s="10">
        <f>(10*TBL_DATA[[#This Row],[Z_Vertical (No Step Reach)]])+50</f>
        <v>55.432614758651418</v>
      </c>
      <c r="AO27" s="10">
        <f>(10*TBL_DATA[[#This Row],[Z_Weight]])+50</f>
        <v>71.756147191230014</v>
      </c>
      <c r="AP27" s="10">
        <f>(10*TBL_DATA[[#This Row],[Z_Body Fat]])+50</f>
        <v>54.572095797366302</v>
      </c>
      <c r="AQ27" s="10">
        <f>(10*TBL_DATA[[#This Row],[Z_Hand (Length)]])+50</f>
        <v>73.487611674023839</v>
      </c>
      <c r="AR27" s="10">
        <f>(10*TBL_DATA[[#This Row],[Z_Hand (Width)]])+50</f>
        <v>68.214305397055057</v>
      </c>
      <c r="AS27" s="10">
        <f>(10*TBL_DATA[[#This Row],[Z_Agility]])+50</f>
        <v>61.37915365850084</v>
      </c>
      <c r="AT27" s="10">
        <f>(10*TBL_DATA[[#This Row],[Z_Sprint]])+50</f>
        <v>45.869681319620632</v>
      </c>
      <c r="AU27" s="2">
        <f>SUM(TBL_DATA[[#This Row],[T_Height (No Shoes)]:[T_Sprint]])</f>
        <v>812.98371942440122</v>
      </c>
    </row>
    <row r="28" spans="1:47" x14ac:dyDescent="0.3">
      <c r="A28" s="8">
        <v>26</v>
      </c>
      <c r="B28" s="6" t="s">
        <v>43</v>
      </c>
      <c r="C28" s="7">
        <v>2014</v>
      </c>
      <c r="D28" s="2">
        <v>39</v>
      </c>
      <c r="E28" s="2">
        <v>78.5</v>
      </c>
      <c r="F28" s="2">
        <v>79.75</v>
      </c>
      <c r="G28" s="2">
        <v>86.75</v>
      </c>
      <c r="H28" s="2">
        <v>107</v>
      </c>
      <c r="I28" s="2"/>
      <c r="J28" s="2"/>
      <c r="K28" s="2"/>
      <c r="L28" s="2"/>
      <c r="M28" s="2">
        <v>214</v>
      </c>
      <c r="N28" s="2">
        <v>3.8</v>
      </c>
      <c r="O28" s="2">
        <v>9.25</v>
      </c>
      <c r="P28" s="2">
        <v>9.25</v>
      </c>
      <c r="Q28" s="2"/>
      <c r="R28" s="2"/>
      <c r="S28" s="10">
        <f>STANDARDIZE(TBL_DATA[[#This Row],[Height (No Shoes)]],E$63,E$62)</f>
        <v>0.43028741591903735</v>
      </c>
      <c r="T28" s="10">
        <f>STANDARDIZE(TBL_DATA[[#This Row],[Height (With Shoes)]],F$63,F$62)</f>
        <v>0.41149746959896355</v>
      </c>
      <c r="U28" s="10">
        <f>STANDARDIZE(TBL_DATA[[#This Row],[Wingspan]],G$63,G$62)</f>
        <v>1.2782321355695154</v>
      </c>
      <c r="V28" s="10">
        <f>STANDARDIZE(TBL_DATA[[#This Row],[Standing reach]],H$63,H$62)</f>
        <v>1.0963227645610156</v>
      </c>
      <c r="W28" s="10">
        <f>STANDARDIZE(TBL_DATA[[#This Row],[Vertical (Max)]],I$63,I$62)</f>
        <v>-11.042261790078076</v>
      </c>
      <c r="X28" s="10">
        <f>STANDARDIZE(TBL_DATA[[#This Row],[Vertical (Max Reach)]],J$63,J$62)</f>
        <v>-33.362514449379269</v>
      </c>
      <c r="Y28" s="10">
        <f>STANDARDIZE(TBL_DATA[[#This Row],[Vertical (No Step)]],K$63,K$62)</f>
        <v>-11.5842667314108</v>
      </c>
      <c r="Z28" s="10">
        <f>STANDARDIZE(TBL_DATA[[#This Row],[Vertical (No Step Reach)]],L$63,L$62)</f>
        <v>-31.594825085999162</v>
      </c>
      <c r="AA28" s="10">
        <f>STANDARDIZE(TBL_DATA[[#This Row],[Weight]],M$63,M$62)</f>
        <v>9.0169708186464456E-2</v>
      </c>
      <c r="AB28" s="10">
        <f>STANDARDIZE(TBL_DATA[[#This Row],[Body Fat]],N$63,N$62)</f>
        <v>-1.2629586362000256</v>
      </c>
      <c r="AC28" s="10">
        <f>STANDARDIZE(TBL_DATA[[#This Row],[Hand (Length)]],O$63,O$62)</f>
        <v>1.2128848651340178</v>
      </c>
      <c r="AD28" s="10">
        <f>STANDARDIZE(TBL_DATA[[#This Row],[Hand (Width)]],P$63,P$62)</f>
        <v>0.10474680420031697</v>
      </c>
      <c r="AE28" s="10">
        <f>STANDARDIZE(TBL_DATA[[#This Row],[Agility]],Q$63,Q$62)</f>
        <v>-23.208838530198122</v>
      </c>
      <c r="AF28" s="10">
        <f>STANDARDIZE(TBL_DATA[[#This Row],[Sprint]],R$63,R$62)</f>
        <v>-30.664432035433581</v>
      </c>
      <c r="AG28" s="10">
        <f>(10*TBL_DATA[[#This Row],[Z_Height (No Shoes)]])+50</f>
        <v>54.302874159190374</v>
      </c>
      <c r="AH28" s="10">
        <f>(10*TBL_DATA[[#This Row],[Z_Height (With Shoes)]])+50</f>
        <v>54.114974695989638</v>
      </c>
      <c r="AI28" s="10">
        <f>(10*TBL_DATA[[#This Row],[Z_Wingspan]])+50</f>
        <v>62.782321355695153</v>
      </c>
      <c r="AJ28" s="10">
        <f>(10*TBL_DATA[[#This Row],[Z_Standing reach]])+50</f>
        <v>60.963227645610161</v>
      </c>
      <c r="AK28" s="10">
        <f>(10*TBL_DATA[[#This Row],[Z_Vertical (Max)]])+50</f>
        <v>-60.42261790078075</v>
      </c>
      <c r="AL28" s="10">
        <f>(10*TBL_DATA[[#This Row],[Z_Vertical (Max Reach)]])+50</f>
        <v>-283.62514449379267</v>
      </c>
      <c r="AM28" s="10">
        <f>(10*TBL_DATA[[#This Row],[Z_Vertical (No Step)]])+50</f>
        <v>-65.842667314107999</v>
      </c>
      <c r="AN28" s="10">
        <f>(10*TBL_DATA[[#This Row],[Z_Vertical (No Step Reach)]])+50</f>
        <v>-265.94825085999162</v>
      </c>
      <c r="AO28" s="10">
        <f>(10*TBL_DATA[[#This Row],[Z_Weight]])+50</f>
        <v>50.901697081864647</v>
      </c>
      <c r="AP28" s="10">
        <f>(10*TBL_DATA[[#This Row],[Z_Body Fat]])+50</f>
        <v>37.370413637999746</v>
      </c>
      <c r="AQ28" s="10">
        <f>(10*TBL_DATA[[#This Row],[Z_Hand (Length)]])+50</f>
        <v>62.128848651340178</v>
      </c>
      <c r="AR28" s="10">
        <f>(10*TBL_DATA[[#This Row],[Z_Hand (Width)]])+50</f>
        <v>51.047468042003167</v>
      </c>
      <c r="AS28" s="10">
        <f>(10*TBL_DATA[[#This Row],[Z_Agility]])+50</f>
        <v>-182.08838530198122</v>
      </c>
      <c r="AT28" s="10">
        <f>(10*TBL_DATA[[#This Row],[Z_Sprint]])+50</f>
        <v>-256.64432035433583</v>
      </c>
      <c r="AU28" s="2">
        <f>SUM(TBL_DATA[[#This Row],[T_Height (No Shoes)]:[T_Sprint]])</f>
        <v>-680.95956095529709</v>
      </c>
    </row>
    <row r="29" spans="1:47" x14ac:dyDescent="0.3">
      <c r="A29" s="8">
        <v>27</v>
      </c>
      <c r="B29" s="6" t="s">
        <v>44</v>
      </c>
      <c r="C29" s="7">
        <v>2014</v>
      </c>
      <c r="D29" s="2">
        <v>33</v>
      </c>
      <c r="E29" s="2">
        <v>76.75</v>
      </c>
      <c r="F29" s="2">
        <v>78.25</v>
      </c>
      <c r="G29" s="2">
        <v>78</v>
      </c>
      <c r="H29" s="2">
        <v>100</v>
      </c>
      <c r="I29" s="2">
        <v>33.5</v>
      </c>
      <c r="J29" s="2">
        <v>133.5</v>
      </c>
      <c r="K29" s="2">
        <v>28.5</v>
      </c>
      <c r="L29" s="2">
        <v>128.5</v>
      </c>
      <c r="M29" s="2">
        <v>215</v>
      </c>
      <c r="N29" s="2">
        <v>6.2</v>
      </c>
      <c r="O29" s="2">
        <v>8.5</v>
      </c>
      <c r="P29" s="2">
        <v>9.75</v>
      </c>
      <c r="Q29" s="2">
        <v>11.11</v>
      </c>
      <c r="R29" s="2">
        <v>3.31</v>
      </c>
      <c r="S29" s="10">
        <f>STANDARDIZE(TBL_DATA[[#This Row],[Height (No Shoes)]],E$63,E$62)</f>
        <v>-0.11989432641706971</v>
      </c>
      <c r="T29" s="10">
        <f>STANDARDIZE(TBL_DATA[[#This Row],[Height (With Shoes)]],F$63,F$62)</f>
        <v>-7.406954452781371E-2</v>
      </c>
      <c r="U29" s="10">
        <f>STANDARDIZE(TBL_DATA[[#This Row],[Wingspan]],G$63,G$62)</f>
        <v>-1.1545322514821432</v>
      </c>
      <c r="V29" s="10">
        <f>STANDARDIZE(TBL_DATA[[#This Row],[Standing reach]],H$63,H$62)</f>
        <v>-0.53826677249205135</v>
      </c>
      <c r="W29" s="10">
        <f>STANDARDIZE(TBL_DATA[[#This Row],[Vertical (Max)]],I$63,I$62)</f>
        <v>-0.68266559019240936</v>
      </c>
      <c r="X29" s="10">
        <f>STANDARDIZE(TBL_DATA[[#This Row],[Vertical (Max Reach)]],J$63,J$62)</f>
        <v>-1.056989475165091</v>
      </c>
      <c r="Y29" s="10">
        <f>STANDARDIZE(TBL_DATA[[#This Row],[Vertical (No Step)]],K$63,K$62)</f>
        <v>-0.60338508861443185</v>
      </c>
      <c r="Z29" s="10">
        <f>STANDARDIZE(TBL_DATA[[#This Row],[Vertical (No Step Reach)]],L$63,L$62)</f>
        <v>-0.89040781313995743</v>
      </c>
      <c r="AA29" s="10">
        <f>STANDARDIZE(TBL_DATA[[#This Row],[Weight]],M$63,M$62)</f>
        <v>0.13272981045047541</v>
      </c>
      <c r="AB29" s="10">
        <f>STANDARDIZE(TBL_DATA[[#This Row],[Body Fat]],N$63,N$62)</f>
        <v>-0.32468506387094054</v>
      </c>
      <c r="AC29" s="10">
        <f>STANDARDIZE(TBL_DATA[[#This Row],[Hand (Length)]],O$63,O$62)</f>
        <v>-0.49092958826853128</v>
      </c>
      <c r="AD29" s="10">
        <f>STANDARDIZE(TBL_DATA[[#This Row],[Hand (Width)]],P$63,P$62)</f>
        <v>0.7914202984023927</v>
      </c>
      <c r="AE29" s="10">
        <f>STANDARDIZE(TBL_DATA[[#This Row],[Agility]],Q$63,Q$62)</f>
        <v>-0.51652009185117886</v>
      </c>
      <c r="AF29" s="10">
        <f>STANDARDIZE(TBL_DATA[[#This Row],[Sprint]],R$63,R$62)</f>
        <v>5.0946662136845809E-2</v>
      </c>
      <c r="AG29" s="10">
        <f>(10*TBL_DATA[[#This Row],[Z_Height (No Shoes)]])+50</f>
        <v>48.801056735829306</v>
      </c>
      <c r="AH29" s="10">
        <f>(10*TBL_DATA[[#This Row],[Z_Height (With Shoes)]])+50</f>
        <v>49.259304554721865</v>
      </c>
      <c r="AI29" s="10">
        <f>(10*TBL_DATA[[#This Row],[Z_Wingspan]])+50</f>
        <v>38.454677485178564</v>
      </c>
      <c r="AJ29" s="10">
        <f>(10*TBL_DATA[[#This Row],[Z_Standing reach]])+50</f>
        <v>44.617332275079484</v>
      </c>
      <c r="AK29" s="10">
        <f>(10*TBL_DATA[[#This Row],[Z_Vertical (Max)]])+50</f>
        <v>43.173344098075908</v>
      </c>
      <c r="AL29" s="10">
        <f>(10*TBL_DATA[[#This Row],[Z_Vertical (Max Reach)]])+50</f>
        <v>39.430105248349093</v>
      </c>
      <c r="AM29" s="10">
        <f>(10*TBL_DATA[[#This Row],[Z_Vertical (No Step)]])+50</f>
        <v>43.966149113855678</v>
      </c>
      <c r="AN29" s="10">
        <f>(10*TBL_DATA[[#This Row],[Z_Vertical (No Step Reach)]])+50</f>
        <v>41.095921868600428</v>
      </c>
      <c r="AO29" s="10">
        <f>(10*TBL_DATA[[#This Row],[Z_Weight]])+50</f>
        <v>51.327298104504756</v>
      </c>
      <c r="AP29" s="10">
        <f>(10*TBL_DATA[[#This Row],[Z_Body Fat]])+50</f>
        <v>46.753149361290596</v>
      </c>
      <c r="AQ29" s="10">
        <f>(10*TBL_DATA[[#This Row],[Z_Hand (Length)]])+50</f>
        <v>45.090704117314687</v>
      </c>
      <c r="AR29" s="10">
        <f>(10*TBL_DATA[[#This Row],[Z_Hand (Width)]])+50</f>
        <v>57.91420298402393</v>
      </c>
      <c r="AS29" s="10">
        <f>(10*TBL_DATA[[#This Row],[Z_Agility]])+50</f>
        <v>44.834799081488214</v>
      </c>
      <c r="AT29" s="10">
        <f>(10*TBL_DATA[[#This Row],[Z_Sprint]])+50</f>
        <v>50.50946662136846</v>
      </c>
      <c r="AU29" s="2">
        <f>SUM(TBL_DATA[[#This Row],[T_Height (No Shoes)]:[T_Sprint]])</f>
        <v>645.22751164968099</v>
      </c>
    </row>
    <row r="30" spans="1:47" x14ac:dyDescent="0.3">
      <c r="A30" s="8">
        <v>28</v>
      </c>
      <c r="B30" s="6" t="s">
        <v>45</v>
      </c>
      <c r="C30" s="7">
        <v>2014</v>
      </c>
      <c r="D30" s="2">
        <v>36</v>
      </c>
      <c r="E30" s="2">
        <v>79.25</v>
      </c>
      <c r="F30" s="2">
        <v>80.5</v>
      </c>
      <c r="G30" s="2">
        <v>86.25</v>
      </c>
      <c r="H30" s="2">
        <v>105</v>
      </c>
      <c r="I30" s="2">
        <v>35.5</v>
      </c>
      <c r="J30" s="2">
        <v>140.5</v>
      </c>
      <c r="K30" s="2">
        <v>31</v>
      </c>
      <c r="L30" s="2">
        <v>136</v>
      </c>
      <c r="M30" s="2">
        <v>257</v>
      </c>
      <c r="N30" s="2">
        <v>10.8</v>
      </c>
      <c r="O30" s="2">
        <v>9.25</v>
      </c>
      <c r="P30" s="2">
        <v>9.5</v>
      </c>
      <c r="Q30" s="2">
        <v>11.57</v>
      </c>
      <c r="R30" s="2">
        <v>3.45</v>
      </c>
      <c r="S30" s="10">
        <f>STANDARDIZE(TBL_DATA[[#This Row],[Height (No Shoes)]],E$63,E$62)</f>
        <v>0.66607959120594029</v>
      </c>
      <c r="T30" s="10">
        <f>STANDARDIZE(TBL_DATA[[#This Row],[Height (With Shoes)]],F$63,F$62)</f>
        <v>0.65428097666235219</v>
      </c>
      <c r="U30" s="10">
        <f>STANDARDIZE(TBL_DATA[[#This Row],[Wingspan]],G$63,G$62)</f>
        <v>1.139217027737992</v>
      </c>
      <c r="V30" s="10">
        <f>STANDARDIZE(TBL_DATA[[#This Row],[Standing reach]],H$63,H$62)</f>
        <v>0.62929718254585365</v>
      </c>
      <c r="W30" s="10">
        <f>STANDARDIZE(TBL_DATA[[#This Row],[Vertical (Max)]],I$63,I$62)</f>
        <v>-6.4182234975354649E-2</v>
      </c>
      <c r="X30" s="10">
        <f>STANDARDIZE(TBL_DATA[[#This Row],[Vertical (Max Reach)]],J$63,J$62)</f>
        <v>0.63693318265887322</v>
      </c>
      <c r="Y30" s="10">
        <f>STANDARDIZE(TBL_DATA[[#This Row],[Vertical (No Step)]],K$63,K$62)</f>
        <v>0.35985014320981101</v>
      </c>
      <c r="Z30" s="10">
        <f>STANDARDIZE(TBL_DATA[[#This Row],[Vertical (No Step Reach)]],L$63,L$62)</f>
        <v>0.90167879811641649</v>
      </c>
      <c r="AA30" s="10">
        <f>STANDARDIZE(TBL_DATA[[#This Row],[Weight]],M$63,M$62)</f>
        <v>1.9202541055389359</v>
      </c>
      <c r="AB30" s="10">
        <f>STANDARDIZE(TBL_DATA[[#This Row],[Body Fat]],N$63,N$62)</f>
        <v>1.4736726164264724</v>
      </c>
      <c r="AC30" s="10">
        <f>STANDARDIZE(TBL_DATA[[#This Row],[Hand (Length)]],O$63,O$62)</f>
        <v>1.2128848651340178</v>
      </c>
      <c r="AD30" s="10">
        <f>STANDARDIZE(TBL_DATA[[#This Row],[Hand (Width)]],P$63,P$62)</f>
        <v>0.44808355130135485</v>
      </c>
      <c r="AE30" s="10">
        <f>STANDARDIZE(TBL_DATA[[#This Row],[Agility]],Q$63,Q$62)</f>
        <v>0.42303584709028041</v>
      </c>
      <c r="AF30" s="10">
        <f>STANDARDIZE(TBL_DATA[[#This Row],[Sprint]],R$63,R$62)</f>
        <v>1.3500865466262306</v>
      </c>
      <c r="AG30" s="10">
        <f>(10*TBL_DATA[[#This Row],[Z_Height (No Shoes)]])+50</f>
        <v>56.660795912059399</v>
      </c>
      <c r="AH30" s="10">
        <f>(10*TBL_DATA[[#This Row],[Z_Height (With Shoes)]])+50</f>
        <v>56.54280976662352</v>
      </c>
      <c r="AI30" s="10">
        <f>(10*TBL_DATA[[#This Row],[Z_Wingspan]])+50</f>
        <v>61.392170277379918</v>
      </c>
      <c r="AJ30" s="10">
        <f>(10*TBL_DATA[[#This Row],[Z_Standing reach]])+50</f>
        <v>56.292971825458537</v>
      </c>
      <c r="AK30" s="10">
        <f>(10*TBL_DATA[[#This Row],[Z_Vertical (Max)]])+50</f>
        <v>49.358177650246454</v>
      </c>
      <c r="AL30" s="10">
        <f>(10*TBL_DATA[[#This Row],[Z_Vertical (Max Reach)]])+50</f>
        <v>56.369331826588734</v>
      </c>
      <c r="AM30" s="10">
        <f>(10*TBL_DATA[[#This Row],[Z_Vertical (No Step)]])+50</f>
        <v>53.598501432098111</v>
      </c>
      <c r="AN30" s="10">
        <f>(10*TBL_DATA[[#This Row],[Z_Vertical (No Step Reach)]])+50</f>
        <v>59.016787981164164</v>
      </c>
      <c r="AO30" s="10">
        <f>(10*TBL_DATA[[#This Row],[Z_Weight]])+50</f>
        <v>69.202541055389361</v>
      </c>
      <c r="AP30" s="10">
        <f>(10*TBL_DATA[[#This Row],[Z_Body Fat]])+50</f>
        <v>64.736726164264724</v>
      </c>
      <c r="AQ30" s="10">
        <f>(10*TBL_DATA[[#This Row],[Z_Hand (Length)]])+50</f>
        <v>62.128848651340178</v>
      </c>
      <c r="AR30" s="10">
        <f>(10*TBL_DATA[[#This Row],[Z_Hand (Width)]])+50</f>
        <v>54.480835513013545</v>
      </c>
      <c r="AS30" s="10">
        <f>(10*TBL_DATA[[#This Row],[Z_Agility]])+50</f>
        <v>54.2303584709028</v>
      </c>
      <c r="AT30" s="10">
        <f>(10*TBL_DATA[[#This Row],[Z_Sprint]])+50</f>
        <v>63.500865466262304</v>
      </c>
      <c r="AU30" s="2">
        <f>SUM(TBL_DATA[[#This Row],[T_Height (No Shoes)]:[T_Sprint]])</f>
        <v>817.51172199279165</v>
      </c>
    </row>
    <row r="31" spans="1:47" x14ac:dyDescent="0.3">
      <c r="A31" s="8">
        <v>29</v>
      </c>
      <c r="B31" s="6" t="s">
        <v>46</v>
      </c>
      <c r="C31" s="7">
        <v>2014</v>
      </c>
      <c r="D31" s="2">
        <v>22</v>
      </c>
      <c r="E31" s="2">
        <v>75.5</v>
      </c>
      <c r="F31" s="2">
        <v>76.75</v>
      </c>
      <c r="G31" s="2">
        <v>82</v>
      </c>
      <c r="H31" s="2">
        <v>102</v>
      </c>
      <c r="I31" s="2">
        <v>29.5</v>
      </c>
      <c r="J31" s="2">
        <v>131.5</v>
      </c>
      <c r="K31" s="2">
        <v>24.5</v>
      </c>
      <c r="L31" s="2">
        <v>126.5</v>
      </c>
      <c r="M31" s="2">
        <v>209</v>
      </c>
      <c r="N31" s="2">
        <v>10.8</v>
      </c>
      <c r="O31" s="2">
        <v>8.5</v>
      </c>
      <c r="P31" s="2">
        <v>7.5</v>
      </c>
      <c r="Q31" s="2">
        <v>12.13</v>
      </c>
      <c r="R31" s="2">
        <v>3.5</v>
      </c>
      <c r="S31" s="10">
        <f>STANDARDIZE(TBL_DATA[[#This Row],[Height (No Shoes)]],E$63,E$62)</f>
        <v>-0.51288128522857468</v>
      </c>
      <c r="T31" s="10">
        <f>STANDARDIZE(TBL_DATA[[#This Row],[Height (With Shoes)]],F$63,F$62)</f>
        <v>-0.55963655865459094</v>
      </c>
      <c r="U31" s="10">
        <f>STANDARDIZE(TBL_DATA[[#This Row],[Wingspan]],G$63,G$62)</f>
        <v>-4.241138882995641E-2</v>
      </c>
      <c r="V31" s="10">
        <f>STANDARDIZE(TBL_DATA[[#This Row],[Standing reach]],H$63,H$62)</f>
        <v>-7.1241190476889343E-2</v>
      </c>
      <c r="W31" s="10">
        <f>STANDARDIZE(TBL_DATA[[#This Row],[Vertical (Max)]],I$63,I$62)</f>
        <v>-1.9196323006265188</v>
      </c>
      <c r="X31" s="10">
        <f>STANDARDIZE(TBL_DATA[[#This Row],[Vertical (Max Reach)]],J$63,J$62)</f>
        <v>-1.5409673774005095</v>
      </c>
      <c r="Y31" s="10">
        <f>STANDARDIZE(TBL_DATA[[#This Row],[Vertical (No Step)]],K$63,K$62)</f>
        <v>-2.1445614595332203</v>
      </c>
      <c r="Z31" s="10">
        <f>STANDARDIZE(TBL_DATA[[#This Row],[Vertical (No Step Reach)]],L$63,L$62)</f>
        <v>-1.3682975761416571</v>
      </c>
      <c r="AA31" s="10">
        <f>STANDARDIZE(TBL_DATA[[#This Row],[Weight]],M$63,M$62)</f>
        <v>-0.12263080313359036</v>
      </c>
      <c r="AB31" s="10">
        <f>STANDARDIZE(TBL_DATA[[#This Row],[Body Fat]],N$63,N$62)</f>
        <v>1.4736726164264724</v>
      </c>
      <c r="AC31" s="10">
        <f>STANDARDIZE(TBL_DATA[[#This Row],[Hand (Length)]],O$63,O$62)</f>
        <v>-0.49092958826853128</v>
      </c>
      <c r="AD31" s="10">
        <f>STANDARDIZE(TBL_DATA[[#This Row],[Hand (Width)]],P$63,P$62)</f>
        <v>-2.2986104255069484</v>
      </c>
      <c r="AE31" s="10">
        <f>STANDARDIZE(TBL_DATA[[#This Row],[Agility]],Q$63,Q$62)</f>
        <v>1.5668430771059689</v>
      </c>
      <c r="AF31" s="10">
        <f>STANDARDIZE(TBL_DATA[[#This Row],[Sprint]],R$63,R$62)</f>
        <v>1.8140650768010087</v>
      </c>
      <c r="AG31" s="10">
        <f>(10*TBL_DATA[[#This Row],[Z_Height (No Shoes)]])+50</f>
        <v>44.871187147714252</v>
      </c>
      <c r="AH31" s="10">
        <f>(10*TBL_DATA[[#This Row],[Z_Height (With Shoes)]])+50</f>
        <v>44.403634413454093</v>
      </c>
      <c r="AI31" s="10">
        <f>(10*TBL_DATA[[#This Row],[Z_Wingspan]])+50</f>
        <v>49.575886111700434</v>
      </c>
      <c r="AJ31" s="10">
        <f>(10*TBL_DATA[[#This Row],[Z_Standing reach]])+50</f>
        <v>49.287588095231108</v>
      </c>
      <c r="AK31" s="10">
        <f>(10*TBL_DATA[[#This Row],[Z_Vertical (Max)]])+50</f>
        <v>30.803676993734811</v>
      </c>
      <c r="AL31" s="10">
        <f>(10*TBL_DATA[[#This Row],[Z_Vertical (Max Reach)]])+50</f>
        <v>34.590326225994907</v>
      </c>
      <c r="AM31" s="10">
        <f>(10*TBL_DATA[[#This Row],[Z_Vertical (No Step)]])+50</f>
        <v>28.554385404667798</v>
      </c>
      <c r="AN31" s="10">
        <f>(10*TBL_DATA[[#This Row],[Z_Vertical (No Step Reach)]])+50</f>
        <v>36.317024238583429</v>
      </c>
      <c r="AO31" s="10">
        <f>(10*TBL_DATA[[#This Row],[Z_Weight]])+50</f>
        <v>48.773691968664096</v>
      </c>
      <c r="AP31" s="10">
        <f>(10*TBL_DATA[[#This Row],[Z_Body Fat]])+50</f>
        <v>64.736726164264724</v>
      </c>
      <c r="AQ31" s="10">
        <f>(10*TBL_DATA[[#This Row],[Z_Hand (Length)]])+50</f>
        <v>45.090704117314687</v>
      </c>
      <c r="AR31" s="10">
        <f>(10*TBL_DATA[[#This Row],[Z_Hand (Width)]])+50</f>
        <v>27.013895744930515</v>
      </c>
      <c r="AS31" s="10">
        <f>(10*TBL_DATA[[#This Row],[Z_Agility]])+50</f>
        <v>65.66843077105969</v>
      </c>
      <c r="AT31" s="10">
        <f>(10*TBL_DATA[[#This Row],[Z_Sprint]])+50</f>
        <v>68.14065076801009</v>
      </c>
      <c r="AU31" s="2">
        <f>SUM(TBL_DATA[[#This Row],[T_Height (No Shoes)]:[T_Sprint]])</f>
        <v>637.82780816532465</v>
      </c>
    </row>
    <row r="32" spans="1:47" x14ac:dyDescent="0.3">
      <c r="A32" s="8">
        <v>30</v>
      </c>
      <c r="B32" s="6" t="s">
        <v>47</v>
      </c>
      <c r="C32" s="7">
        <v>2014</v>
      </c>
      <c r="D32" s="2"/>
      <c r="E32" s="2">
        <v>85.25</v>
      </c>
      <c r="F32" s="2">
        <v>86</v>
      </c>
      <c r="G32" s="2">
        <v>88</v>
      </c>
      <c r="H32" s="2">
        <v>108.5</v>
      </c>
      <c r="I32" s="2">
        <v>33</v>
      </c>
      <c r="J32" s="2">
        <v>141.5</v>
      </c>
      <c r="K32" s="2">
        <v>29</v>
      </c>
      <c r="L32" s="2">
        <v>137.5</v>
      </c>
      <c r="M32" s="2">
        <v>254</v>
      </c>
      <c r="N32" s="2">
        <v>7.5</v>
      </c>
      <c r="O32" s="2">
        <v>9.25</v>
      </c>
      <c r="P32" s="2">
        <v>10</v>
      </c>
      <c r="Q32" s="2">
        <v>12.15</v>
      </c>
      <c r="R32" s="2">
        <v>3.36</v>
      </c>
      <c r="S32" s="10">
        <f>STANDARDIZE(TBL_DATA[[#This Row],[Height (No Shoes)]],E$63,E$62)</f>
        <v>2.5524169935011645</v>
      </c>
      <c r="T32" s="10">
        <f>STANDARDIZE(TBL_DATA[[#This Row],[Height (With Shoes)]],F$63,F$62)</f>
        <v>2.4346933617938689</v>
      </c>
      <c r="U32" s="10">
        <f>STANDARDIZE(TBL_DATA[[#This Row],[Wingspan]],G$63,G$62)</f>
        <v>1.6257699051483236</v>
      </c>
      <c r="V32" s="10">
        <f>STANDARDIZE(TBL_DATA[[#This Row],[Standing reach]],H$63,H$62)</f>
        <v>1.4465919510723872</v>
      </c>
      <c r="W32" s="10">
        <f>STANDARDIZE(TBL_DATA[[#This Row],[Vertical (Max)]],I$63,I$62)</f>
        <v>-0.83728642899667305</v>
      </c>
      <c r="X32" s="10">
        <f>STANDARDIZE(TBL_DATA[[#This Row],[Vertical (Max Reach)]],J$63,J$62)</f>
        <v>0.87892213377658235</v>
      </c>
      <c r="Y32" s="10">
        <f>STANDARDIZE(TBL_DATA[[#This Row],[Vertical (No Step)]],K$63,K$62)</f>
        <v>-0.41073804224958327</v>
      </c>
      <c r="Z32" s="10">
        <f>STANDARDIZE(TBL_DATA[[#This Row],[Vertical (No Step Reach)]],L$63,L$62)</f>
        <v>1.2600961203676913</v>
      </c>
      <c r="AA32" s="10">
        <f>STANDARDIZE(TBL_DATA[[#This Row],[Weight]],M$63,M$62)</f>
        <v>1.792573798746903</v>
      </c>
      <c r="AB32" s="10">
        <f>STANDARDIZE(TBL_DATA[[#This Row],[Body Fat]],N$63,N$62)</f>
        <v>0.18354645447398032</v>
      </c>
      <c r="AC32" s="10">
        <f>STANDARDIZE(TBL_DATA[[#This Row],[Hand (Length)]],O$63,O$62)</f>
        <v>1.2128848651340178</v>
      </c>
      <c r="AD32" s="10">
        <f>STANDARDIZE(TBL_DATA[[#This Row],[Hand (Width)]],P$63,P$62)</f>
        <v>1.1347570455034306</v>
      </c>
      <c r="AE32" s="10">
        <f>STANDARDIZE(TBL_DATA[[#This Row],[Agility]],Q$63,Q$62)</f>
        <v>1.607693335320814</v>
      </c>
      <c r="AF32" s="10">
        <f>STANDARDIZE(TBL_DATA[[#This Row],[Sprint]],R$63,R$62)</f>
        <v>0.51492519231162404</v>
      </c>
      <c r="AG32" s="10">
        <f>(10*TBL_DATA[[#This Row],[Z_Height (No Shoes)]])+50</f>
        <v>75.524169935011642</v>
      </c>
      <c r="AH32" s="10">
        <f>(10*TBL_DATA[[#This Row],[Z_Height (With Shoes)]])+50</f>
        <v>74.346933617938689</v>
      </c>
      <c r="AI32" s="10">
        <f>(10*TBL_DATA[[#This Row],[Z_Wingspan]])+50</f>
        <v>66.257699051483229</v>
      </c>
      <c r="AJ32" s="10">
        <f>(10*TBL_DATA[[#This Row],[Z_Standing reach]])+50</f>
        <v>64.465919510723865</v>
      </c>
      <c r="AK32" s="10">
        <f>(10*TBL_DATA[[#This Row],[Z_Vertical (Max)]])+50</f>
        <v>41.627135710033272</v>
      </c>
      <c r="AL32" s="10">
        <f>(10*TBL_DATA[[#This Row],[Z_Vertical (Max Reach)]])+50</f>
        <v>58.789221337765824</v>
      </c>
      <c r="AM32" s="10">
        <f>(10*TBL_DATA[[#This Row],[Z_Vertical (No Step)]])+50</f>
        <v>45.892619577504163</v>
      </c>
      <c r="AN32" s="10">
        <f>(10*TBL_DATA[[#This Row],[Z_Vertical (No Step Reach)]])+50</f>
        <v>62.600961203676917</v>
      </c>
      <c r="AO32" s="10">
        <f>(10*TBL_DATA[[#This Row],[Z_Weight]])+50</f>
        <v>67.925737987469034</v>
      </c>
      <c r="AP32" s="10">
        <f>(10*TBL_DATA[[#This Row],[Z_Body Fat]])+50</f>
        <v>51.8354645447398</v>
      </c>
      <c r="AQ32" s="10">
        <f>(10*TBL_DATA[[#This Row],[Z_Hand (Length)]])+50</f>
        <v>62.128848651340178</v>
      </c>
      <c r="AR32" s="10">
        <f>(10*TBL_DATA[[#This Row],[Z_Hand (Width)]])+50</f>
        <v>61.347570455034308</v>
      </c>
      <c r="AS32" s="10">
        <f>(10*TBL_DATA[[#This Row],[Z_Agility]])+50</f>
        <v>66.076933353208148</v>
      </c>
      <c r="AT32" s="10">
        <f>(10*TBL_DATA[[#This Row],[Z_Sprint]])+50</f>
        <v>55.149251923116239</v>
      </c>
      <c r="AU32" s="2">
        <f>SUM(TBL_DATA[[#This Row],[T_Height (No Shoes)]:[T_Sprint]])</f>
        <v>853.96846685904518</v>
      </c>
    </row>
    <row r="33" spans="1:47" x14ac:dyDescent="0.3">
      <c r="A33" s="8">
        <v>31</v>
      </c>
      <c r="B33" s="6" t="s">
        <v>48</v>
      </c>
      <c r="C33" s="7">
        <v>2014</v>
      </c>
      <c r="D33" s="2">
        <v>46</v>
      </c>
      <c r="E33" s="2">
        <v>75.25</v>
      </c>
      <c r="F33" s="2">
        <v>77</v>
      </c>
      <c r="G33" s="2">
        <v>80</v>
      </c>
      <c r="H33" s="2">
        <v>98</v>
      </c>
      <c r="I33" s="2">
        <v>38.5</v>
      </c>
      <c r="J33" s="2">
        <v>136.5</v>
      </c>
      <c r="K33" s="2">
        <v>33</v>
      </c>
      <c r="L33" s="2">
        <v>131</v>
      </c>
      <c r="M33" s="2">
        <v>186</v>
      </c>
      <c r="N33" s="2">
        <v>4.3</v>
      </c>
      <c r="O33" s="2">
        <v>8.25</v>
      </c>
      <c r="P33" s="2">
        <v>9</v>
      </c>
      <c r="Q33" s="2">
        <v>10.76</v>
      </c>
      <c r="R33" s="2">
        <v>3.28</v>
      </c>
      <c r="S33" s="10">
        <f>STANDARDIZE(TBL_DATA[[#This Row],[Height (No Shoes)]],E$63,E$62)</f>
        <v>-0.59147867699087575</v>
      </c>
      <c r="T33" s="10">
        <f>STANDARDIZE(TBL_DATA[[#This Row],[Height (With Shoes)]],F$63,F$62)</f>
        <v>-0.47870872296679479</v>
      </c>
      <c r="U33" s="10">
        <f>STANDARDIZE(TBL_DATA[[#This Row],[Wingspan]],G$63,G$62)</f>
        <v>-0.59847182015604983</v>
      </c>
      <c r="V33" s="10">
        <f>STANDARDIZE(TBL_DATA[[#This Row],[Standing reach]],H$63,H$62)</f>
        <v>-1.0052923545072134</v>
      </c>
      <c r="W33" s="10">
        <f>STANDARDIZE(TBL_DATA[[#This Row],[Vertical (Max)]],I$63,I$62)</f>
        <v>0.86354279785022747</v>
      </c>
      <c r="X33" s="10">
        <f>STANDARDIZE(TBL_DATA[[#This Row],[Vertical (Max Reach)]],J$63,J$62)</f>
        <v>-0.33102262181196351</v>
      </c>
      <c r="Y33" s="10">
        <f>STANDARDIZE(TBL_DATA[[#This Row],[Vertical (No Step)]],K$63,K$62)</f>
        <v>1.1304383286692052</v>
      </c>
      <c r="Z33" s="10">
        <f>STANDARDIZE(TBL_DATA[[#This Row],[Vertical (No Step Reach)]],L$63,L$62)</f>
        <v>-0.29304560938783281</v>
      </c>
      <c r="AA33" s="10">
        <f>STANDARDIZE(TBL_DATA[[#This Row],[Weight]],M$63,M$62)</f>
        <v>-1.1015131552058426</v>
      </c>
      <c r="AB33" s="10">
        <f>STANDARDIZE(TBL_DATA[[#This Row],[Body Fat]],N$63,N$62)</f>
        <v>-1.0674849752981328</v>
      </c>
      <c r="AC33" s="10">
        <f>STANDARDIZE(TBL_DATA[[#This Row],[Hand (Length)]],O$63,O$62)</f>
        <v>-1.0588677394027144</v>
      </c>
      <c r="AD33" s="10">
        <f>STANDARDIZE(TBL_DATA[[#This Row],[Hand (Width)]],P$63,P$62)</f>
        <v>-0.23858994290072091</v>
      </c>
      <c r="AE33" s="10">
        <f>STANDARDIZE(TBL_DATA[[#This Row],[Agility]],Q$63,Q$62)</f>
        <v>-1.2313996106109828</v>
      </c>
      <c r="AF33" s="10">
        <f>STANDARDIZE(TBL_DATA[[#This Row],[Sprint]],R$63,R$62)</f>
        <v>-0.22744045596802442</v>
      </c>
      <c r="AG33" s="10">
        <f>(10*TBL_DATA[[#This Row],[Z_Height (No Shoes)]])+50</f>
        <v>44.085213230091242</v>
      </c>
      <c r="AH33" s="10">
        <f>(10*TBL_DATA[[#This Row],[Z_Height (With Shoes)]])+50</f>
        <v>45.212912770332053</v>
      </c>
      <c r="AI33" s="10">
        <f>(10*TBL_DATA[[#This Row],[Z_Wingspan]])+50</f>
        <v>44.015281798439503</v>
      </c>
      <c r="AJ33" s="10">
        <f>(10*TBL_DATA[[#This Row],[Z_Standing reach]])+50</f>
        <v>39.947076454927867</v>
      </c>
      <c r="AK33" s="10">
        <f>(10*TBL_DATA[[#This Row],[Z_Vertical (Max)]])+50</f>
        <v>58.635427978502278</v>
      </c>
      <c r="AL33" s="10">
        <f>(10*TBL_DATA[[#This Row],[Z_Vertical (Max Reach)]])+50</f>
        <v>46.689773781880362</v>
      </c>
      <c r="AM33" s="10">
        <f>(10*TBL_DATA[[#This Row],[Z_Vertical (No Step)]])+50</f>
        <v>61.304383286692051</v>
      </c>
      <c r="AN33" s="10">
        <f>(10*TBL_DATA[[#This Row],[Z_Vertical (No Step Reach)]])+50</f>
        <v>47.069543906121673</v>
      </c>
      <c r="AO33" s="10">
        <f>(10*TBL_DATA[[#This Row],[Z_Weight]])+50</f>
        <v>38.984868447941572</v>
      </c>
      <c r="AP33" s="10">
        <f>(10*TBL_DATA[[#This Row],[Z_Body Fat]])+50</f>
        <v>39.325150247018669</v>
      </c>
      <c r="AQ33" s="10">
        <f>(10*TBL_DATA[[#This Row],[Z_Hand (Length)]])+50</f>
        <v>39.411322605972856</v>
      </c>
      <c r="AR33" s="10">
        <f>(10*TBL_DATA[[#This Row],[Z_Hand (Width)]])+50</f>
        <v>47.61410057099279</v>
      </c>
      <c r="AS33" s="10">
        <f>(10*TBL_DATA[[#This Row],[Z_Agility]])+50</f>
        <v>37.686003893890174</v>
      </c>
      <c r="AT33" s="10">
        <f>(10*TBL_DATA[[#This Row],[Z_Sprint]])+50</f>
        <v>47.725595440319758</v>
      </c>
      <c r="AU33" s="2">
        <f>SUM(TBL_DATA[[#This Row],[T_Height (No Shoes)]:[T_Sprint]])</f>
        <v>637.70665441312292</v>
      </c>
    </row>
    <row r="34" spans="1:47" x14ac:dyDescent="0.3">
      <c r="A34" s="8">
        <v>32</v>
      </c>
      <c r="B34" s="6" t="s">
        <v>49</v>
      </c>
      <c r="C34" s="7">
        <v>2014</v>
      </c>
      <c r="D34" s="2">
        <v>58</v>
      </c>
      <c r="E34" s="2">
        <v>75.75</v>
      </c>
      <c r="F34" s="2">
        <v>77.25</v>
      </c>
      <c r="G34" s="2">
        <v>84.5</v>
      </c>
      <c r="H34" s="2">
        <v>104</v>
      </c>
      <c r="I34" s="2">
        <v>34.5</v>
      </c>
      <c r="J34" s="2">
        <v>138.5</v>
      </c>
      <c r="K34" s="2">
        <v>27.5</v>
      </c>
      <c r="L34" s="2">
        <v>131.5</v>
      </c>
      <c r="M34" s="2">
        <v>179</v>
      </c>
      <c r="N34" s="2">
        <v>5.2</v>
      </c>
      <c r="O34" s="2">
        <v>8.75</v>
      </c>
      <c r="P34" s="2">
        <v>8.5</v>
      </c>
      <c r="Q34" s="2">
        <v>11.07</v>
      </c>
      <c r="R34" s="2">
        <v>3.39</v>
      </c>
      <c r="S34" s="10">
        <f>STANDARDIZE(TBL_DATA[[#This Row],[Height (No Shoes)]],E$63,E$62)</f>
        <v>-0.43428389346627372</v>
      </c>
      <c r="T34" s="10">
        <f>STANDARDIZE(TBL_DATA[[#This Row],[Height (With Shoes)]],F$63,F$62)</f>
        <v>-0.39778088727899857</v>
      </c>
      <c r="U34" s="10">
        <f>STANDARDIZE(TBL_DATA[[#This Row],[Wingspan]],G$63,G$62)</f>
        <v>0.65266415032766034</v>
      </c>
      <c r="V34" s="10">
        <f>STANDARDIZE(TBL_DATA[[#This Row],[Standing reach]],H$63,H$62)</f>
        <v>0.39578439153827266</v>
      </c>
      <c r="W34" s="10">
        <f>STANDARDIZE(TBL_DATA[[#This Row],[Vertical (Max)]],I$63,I$62)</f>
        <v>-0.37342391258388202</v>
      </c>
      <c r="X34" s="10">
        <f>STANDARDIZE(TBL_DATA[[#This Row],[Vertical (Max Reach)]],J$63,J$62)</f>
        <v>0.15295528042345483</v>
      </c>
      <c r="Y34" s="10">
        <f>STANDARDIZE(TBL_DATA[[#This Row],[Vertical (No Step)]],K$63,K$62)</f>
        <v>-0.98867918134412891</v>
      </c>
      <c r="Z34" s="10">
        <f>STANDARDIZE(TBL_DATA[[#This Row],[Vertical (No Step Reach)]],L$63,L$62)</f>
        <v>-0.17357316863740788</v>
      </c>
      <c r="AA34" s="10">
        <f>STANDARDIZE(TBL_DATA[[#This Row],[Weight]],M$63,M$62)</f>
        <v>-1.3994338710539194</v>
      </c>
      <c r="AB34" s="10">
        <f>STANDARDIZE(TBL_DATA[[#This Row],[Body Fat]],N$63,N$62)</f>
        <v>-0.71563238567472587</v>
      </c>
      <c r="AC34" s="10">
        <f>STANDARDIZE(TBL_DATA[[#This Row],[Hand (Length)]],O$63,O$62)</f>
        <v>7.7008562865651733E-2</v>
      </c>
      <c r="AD34" s="10">
        <f>STANDARDIZE(TBL_DATA[[#This Row],[Hand (Width)]],P$63,P$62)</f>
        <v>-0.92526343710279668</v>
      </c>
      <c r="AE34" s="10">
        <f>STANDARDIZE(TBL_DATA[[#This Row],[Agility]],Q$63,Q$62)</f>
        <v>-0.59822060828086909</v>
      </c>
      <c r="AF34" s="10">
        <f>STANDARDIZE(TBL_DATA[[#This Row],[Sprint]],R$63,R$62)</f>
        <v>0.79331231041649419</v>
      </c>
      <c r="AG34" s="10">
        <f>(10*TBL_DATA[[#This Row],[Z_Height (No Shoes)]])+50</f>
        <v>45.657161065337263</v>
      </c>
      <c r="AH34" s="10">
        <f>(10*TBL_DATA[[#This Row],[Z_Height (With Shoes)]])+50</f>
        <v>46.022191127210014</v>
      </c>
      <c r="AI34" s="10">
        <f>(10*TBL_DATA[[#This Row],[Z_Wingspan]])+50</f>
        <v>56.526641503276601</v>
      </c>
      <c r="AJ34" s="10">
        <f>(10*TBL_DATA[[#This Row],[Z_Standing reach]])+50</f>
        <v>53.957843915382725</v>
      </c>
      <c r="AK34" s="10">
        <f>(10*TBL_DATA[[#This Row],[Z_Vertical (Max)]])+50</f>
        <v>46.265760874161181</v>
      </c>
      <c r="AL34" s="10">
        <f>(10*TBL_DATA[[#This Row],[Z_Vertical (Max Reach)]])+50</f>
        <v>51.529552804234548</v>
      </c>
      <c r="AM34" s="10">
        <f>(10*TBL_DATA[[#This Row],[Z_Vertical (No Step)]])+50</f>
        <v>40.113208186558708</v>
      </c>
      <c r="AN34" s="10">
        <f>(10*TBL_DATA[[#This Row],[Z_Vertical (No Step Reach)]])+50</f>
        <v>48.264268313625919</v>
      </c>
      <c r="AO34" s="10">
        <f>(10*TBL_DATA[[#This Row],[Z_Weight]])+50</f>
        <v>36.005661289460804</v>
      </c>
      <c r="AP34" s="10">
        <f>(10*TBL_DATA[[#This Row],[Z_Body Fat]])+50</f>
        <v>42.843676143252743</v>
      </c>
      <c r="AQ34" s="10">
        <f>(10*TBL_DATA[[#This Row],[Z_Hand (Length)]])+50</f>
        <v>50.770085628656517</v>
      </c>
      <c r="AR34" s="10">
        <f>(10*TBL_DATA[[#This Row],[Z_Hand (Width)]])+50</f>
        <v>40.747365628972034</v>
      </c>
      <c r="AS34" s="10">
        <f>(10*TBL_DATA[[#This Row],[Z_Agility]])+50</f>
        <v>44.017793917191312</v>
      </c>
      <c r="AT34" s="10">
        <f>(10*TBL_DATA[[#This Row],[Z_Sprint]])+50</f>
        <v>57.933123104164942</v>
      </c>
      <c r="AU34" s="2">
        <f>SUM(TBL_DATA[[#This Row],[T_Height (No Shoes)]:[T_Sprint]])</f>
        <v>660.65433350148521</v>
      </c>
    </row>
    <row r="35" spans="1:47" x14ac:dyDescent="0.3">
      <c r="A35" s="8">
        <v>33</v>
      </c>
      <c r="B35" s="6" t="s">
        <v>50</v>
      </c>
      <c r="C35" s="7">
        <v>2014</v>
      </c>
      <c r="D35" s="2">
        <v>7</v>
      </c>
      <c r="E35" s="2">
        <v>79.75</v>
      </c>
      <c r="F35" s="2">
        <v>81</v>
      </c>
      <c r="G35" s="2">
        <v>84</v>
      </c>
      <c r="H35" s="2">
        <v>105.5</v>
      </c>
      <c r="I35" s="2">
        <v>35.5</v>
      </c>
      <c r="J35" s="2">
        <v>141</v>
      </c>
      <c r="K35" s="2">
        <v>29</v>
      </c>
      <c r="L35" s="2">
        <v>134.5</v>
      </c>
      <c r="M35" s="2">
        <v>250</v>
      </c>
      <c r="N35" s="2">
        <v>9.4</v>
      </c>
      <c r="O35" s="2">
        <v>8.75</v>
      </c>
      <c r="P35" s="2">
        <v>8.25</v>
      </c>
      <c r="Q35" s="2">
        <v>11.45</v>
      </c>
      <c r="R35" s="2">
        <v>3.27</v>
      </c>
      <c r="S35" s="10">
        <f>STANDARDIZE(TBL_DATA[[#This Row],[Height (No Shoes)]],E$63,E$62)</f>
        <v>0.82327437473054232</v>
      </c>
      <c r="T35" s="10">
        <f>STANDARDIZE(TBL_DATA[[#This Row],[Height (With Shoes)]],F$63,F$62)</f>
        <v>0.81613664803794461</v>
      </c>
      <c r="U35" s="10">
        <f>STANDARDIZE(TBL_DATA[[#This Row],[Wingspan]],G$63,G$62)</f>
        <v>0.51364904249613696</v>
      </c>
      <c r="V35" s="10">
        <f>STANDARDIZE(TBL_DATA[[#This Row],[Standing reach]],H$63,H$62)</f>
        <v>0.74605357804964412</v>
      </c>
      <c r="W35" s="10">
        <f>STANDARDIZE(TBL_DATA[[#This Row],[Vertical (Max)]],I$63,I$62)</f>
        <v>-6.4182234975354649E-2</v>
      </c>
      <c r="X35" s="10">
        <f>STANDARDIZE(TBL_DATA[[#This Row],[Vertical (Max Reach)]],J$63,J$62)</f>
        <v>0.75792765821772778</v>
      </c>
      <c r="Y35" s="10">
        <f>STANDARDIZE(TBL_DATA[[#This Row],[Vertical (No Step)]],K$63,K$62)</f>
        <v>-0.41073804224958327</v>
      </c>
      <c r="Z35" s="10">
        <f>STANDARDIZE(TBL_DATA[[#This Row],[Vertical (No Step Reach)]],L$63,L$62)</f>
        <v>0.54326147586514162</v>
      </c>
      <c r="AA35" s="10">
        <f>STANDARDIZE(TBL_DATA[[#This Row],[Weight]],M$63,M$62)</f>
        <v>1.6223333896908592</v>
      </c>
      <c r="AB35" s="10">
        <f>STANDARDIZE(TBL_DATA[[#This Row],[Body Fat]],N$63,N$62)</f>
        <v>0.9263463659011727</v>
      </c>
      <c r="AC35" s="10">
        <f>STANDARDIZE(TBL_DATA[[#This Row],[Hand (Length)]],O$63,O$62)</f>
        <v>7.7008562865651733E-2</v>
      </c>
      <c r="AD35" s="10">
        <f>STANDARDIZE(TBL_DATA[[#This Row],[Hand (Width)]],P$63,P$62)</f>
        <v>-1.2686001842038346</v>
      </c>
      <c r="AE35" s="10">
        <f>STANDARDIZE(TBL_DATA[[#This Row],[Agility]],Q$63,Q$62)</f>
        <v>0.17793429780120251</v>
      </c>
      <c r="AF35" s="10">
        <f>STANDARDIZE(TBL_DATA[[#This Row],[Sprint]],R$63,R$62)</f>
        <v>-0.32023616200297839</v>
      </c>
      <c r="AG35" s="10">
        <f>(10*TBL_DATA[[#This Row],[Z_Height (No Shoes)]])+50</f>
        <v>58.23274374730542</v>
      </c>
      <c r="AH35" s="10">
        <f>(10*TBL_DATA[[#This Row],[Z_Height (With Shoes)]])+50</f>
        <v>58.161366480379442</v>
      </c>
      <c r="AI35" s="10">
        <f>(10*TBL_DATA[[#This Row],[Z_Wingspan]])+50</f>
        <v>55.136490424961366</v>
      </c>
      <c r="AJ35" s="10">
        <f>(10*TBL_DATA[[#This Row],[Z_Standing reach]])+50</f>
        <v>57.460535780496443</v>
      </c>
      <c r="AK35" s="10">
        <f>(10*TBL_DATA[[#This Row],[Z_Vertical (Max)]])+50</f>
        <v>49.358177650246454</v>
      </c>
      <c r="AL35" s="10">
        <f>(10*TBL_DATA[[#This Row],[Z_Vertical (Max Reach)]])+50</f>
        <v>57.579276582177279</v>
      </c>
      <c r="AM35" s="10">
        <f>(10*TBL_DATA[[#This Row],[Z_Vertical (No Step)]])+50</f>
        <v>45.892619577504163</v>
      </c>
      <c r="AN35" s="10">
        <f>(10*TBL_DATA[[#This Row],[Z_Vertical (No Step Reach)]])+50</f>
        <v>55.432614758651418</v>
      </c>
      <c r="AO35" s="10">
        <f>(10*TBL_DATA[[#This Row],[Z_Weight]])+50</f>
        <v>66.223333896908599</v>
      </c>
      <c r="AP35" s="10">
        <f>(10*TBL_DATA[[#This Row],[Z_Body Fat]])+50</f>
        <v>59.263463659011727</v>
      </c>
      <c r="AQ35" s="10">
        <f>(10*TBL_DATA[[#This Row],[Z_Hand (Length)]])+50</f>
        <v>50.770085628656517</v>
      </c>
      <c r="AR35" s="10">
        <f>(10*TBL_DATA[[#This Row],[Z_Hand (Width)]])+50</f>
        <v>37.313998157961656</v>
      </c>
      <c r="AS35" s="10">
        <f>(10*TBL_DATA[[#This Row],[Z_Agility]])+50</f>
        <v>51.779342978012025</v>
      </c>
      <c r="AT35" s="10">
        <f>(10*TBL_DATA[[#This Row],[Z_Sprint]])+50</f>
        <v>46.797638379970216</v>
      </c>
      <c r="AU35" s="2">
        <f>SUM(TBL_DATA[[#This Row],[T_Height (No Shoes)]:[T_Sprint]])</f>
        <v>749.40168770224261</v>
      </c>
    </row>
    <row r="36" spans="1:47" x14ac:dyDescent="0.3">
      <c r="A36" s="8">
        <v>34</v>
      </c>
      <c r="B36" s="6" t="s">
        <v>51</v>
      </c>
      <c r="C36" s="7">
        <v>2014</v>
      </c>
      <c r="D36" s="2">
        <v>32</v>
      </c>
      <c r="E36" s="2">
        <v>76.5</v>
      </c>
      <c r="F36" s="2">
        <v>78</v>
      </c>
      <c r="G36" s="2">
        <v>83.25</v>
      </c>
      <c r="H36" s="2">
        <v>102</v>
      </c>
      <c r="I36" s="2">
        <v>37</v>
      </c>
      <c r="J36" s="2">
        <v>139</v>
      </c>
      <c r="K36" s="2">
        <v>33</v>
      </c>
      <c r="L36" s="2">
        <v>135</v>
      </c>
      <c r="M36" s="2">
        <v>196</v>
      </c>
      <c r="N36" s="2">
        <v>4.5</v>
      </c>
      <c r="O36" s="2">
        <v>8.75</v>
      </c>
      <c r="P36" s="2">
        <v>9.75</v>
      </c>
      <c r="Q36" s="2">
        <v>12.71</v>
      </c>
      <c r="R36" s="2">
        <v>3.1</v>
      </c>
      <c r="S36" s="10">
        <f>STANDARDIZE(TBL_DATA[[#This Row],[Height (No Shoes)]],E$63,E$62)</f>
        <v>-0.19849171817937072</v>
      </c>
      <c r="T36" s="10">
        <f>STANDARDIZE(TBL_DATA[[#This Row],[Height (With Shoes)]],F$63,F$62)</f>
        <v>-0.15499738021560994</v>
      </c>
      <c r="U36" s="10">
        <f>STANDARDIZE(TBL_DATA[[#This Row],[Wingspan]],G$63,G$62)</f>
        <v>0.30512638074885196</v>
      </c>
      <c r="V36" s="10">
        <f>STANDARDIZE(TBL_DATA[[#This Row],[Standing reach]],H$63,H$62)</f>
        <v>-7.1241190476889343E-2</v>
      </c>
      <c r="W36" s="10">
        <f>STANDARDIZE(TBL_DATA[[#This Row],[Vertical (Max)]],I$63,I$62)</f>
        <v>0.39968028143743639</v>
      </c>
      <c r="X36" s="10">
        <f>STANDARDIZE(TBL_DATA[[#This Row],[Vertical (Max Reach)]],J$63,J$62)</f>
        <v>0.27394975598230942</v>
      </c>
      <c r="Y36" s="10">
        <f>STANDARDIZE(TBL_DATA[[#This Row],[Vertical (No Step)]],K$63,K$62)</f>
        <v>1.1304383286692052</v>
      </c>
      <c r="Z36" s="10">
        <f>STANDARDIZE(TBL_DATA[[#This Row],[Vertical (No Step Reach)]],L$63,L$62)</f>
        <v>0.66273391661556658</v>
      </c>
      <c r="AA36" s="10">
        <f>STANDARDIZE(TBL_DATA[[#This Row],[Weight]],M$63,M$62)</f>
        <v>-0.6759121325657329</v>
      </c>
      <c r="AB36" s="10">
        <f>STANDARDIZE(TBL_DATA[[#This Row],[Body Fat]],N$63,N$62)</f>
        <v>-0.98929551093737578</v>
      </c>
      <c r="AC36" s="10">
        <f>STANDARDIZE(TBL_DATA[[#This Row],[Hand (Length)]],O$63,O$62)</f>
        <v>7.7008562865651733E-2</v>
      </c>
      <c r="AD36" s="10">
        <f>STANDARDIZE(TBL_DATA[[#This Row],[Hand (Width)]],P$63,P$62)</f>
        <v>0.7914202984023927</v>
      </c>
      <c r="AE36" s="10">
        <f>STANDARDIZE(TBL_DATA[[#This Row],[Agility]],Q$63,Q$62)</f>
        <v>2.7515005653365026</v>
      </c>
      <c r="AF36" s="10">
        <f>STANDARDIZE(TBL_DATA[[#This Row],[Sprint]],R$63,R$62)</f>
        <v>-1.8977631645972293</v>
      </c>
      <c r="AG36" s="10">
        <f>(10*TBL_DATA[[#This Row],[Z_Height (No Shoes)]])+50</f>
        <v>48.015082818206295</v>
      </c>
      <c r="AH36" s="10">
        <f>(10*TBL_DATA[[#This Row],[Z_Height (With Shoes)]])+50</f>
        <v>48.450026197843897</v>
      </c>
      <c r="AI36" s="10">
        <f>(10*TBL_DATA[[#This Row],[Z_Wingspan]])+50</f>
        <v>53.051263807488517</v>
      </c>
      <c r="AJ36" s="10">
        <f>(10*TBL_DATA[[#This Row],[Z_Standing reach]])+50</f>
        <v>49.287588095231108</v>
      </c>
      <c r="AK36" s="10">
        <f>(10*TBL_DATA[[#This Row],[Z_Vertical (Max)]])+50</f>
        <v>53.996802814374362</v>
      </c>
      <c r="AL36" s="10">
        <f>(10*TBL_DATA[[#This Row],[Z_Vertical (Max Reach)]])+50</f>
        <v>52.739497559823093</v>
      </c>
      <c r="AM36" s="10">
        <f>(10*TBL_DATA[[#This Row],[Z_Vertical (No Step)]])+50</f>
        <v>61.304383286692051</v>
      </c>
      <c r="AN36" s="10">
        <f>(10*TBL_DATA[[#This Row],[Z_Vertical (No Step Reach)]])+50</f>
        <v>56.627339166155664</v>
      </c>
      <c r="AO36" s="10">
        <f>(10*TBL_DATA[[#This Row],[Z_Weight]])+50</f>
        <v>43.240878674342667</v>
      </c>
      <c r="AP36" s="10">
        <f>(10*TBL_DATA[[#This Row],[Z_Body Fat]])+50</f>
        <v>40.107044890626241</v>
      </c>
      <c r="AQ36" s="10">
        <f>(10*TBL_DATA[[#This Row],[Z_Hand (Length)]])+50</f>
        <v>50.770085628656517</v>
      </c>
      <c r="AR36" s="10">
        <f>(10*TBL_DATA[[#This Row],[Z_Hand (Width)]])+50</f>
        <v>57.91420298402393</v>
      </c>
      <c r="AS36" s="10">
        <f>(10*TBL_DATA[[#This Row],[Z_Agility]])+50</f>
        <v>77.515005653365023</v>
      </c>
      <c r="AT36" s="10">
        <f>(10*TBL_DATA[[#This Row],[Z_Sprint]])+50</f>
        <v>31.022368354027709</v>
      </c>
      <c r="AU36" s="2">
        <f>SUM(TBL_DATA[[#This Row],[T_Height (No Shoes)]:[T_Sprint]])</f>
        <v>724.04156993085712</v>
      </c>
    </row>
    <row r="37" spans="1:47" x14ac:dyDescent="0.3">
      <c r="A37" s="8">
        <v>35</v>
      </c>
      <c r="B37" s="6" t="s">
        <v>52</v>
      </c>
      <c r="C37" s="7">
        <v>2014</v>
      </c>
      <c r="D37" s="2"/>
      <c r="E37" s="2">
        <v>74.25</v>
      </c>
      <c r="F37" s="2">
        <v>75.75</v>
      </c>
      <c r="G37" s="2">
        <v>77.5</v>
      </c>
      <c r="H37" s="2">
        <v>99</v>
      </c>
      <c r="I37" s="2">
        <v>33</v>
      </c>
      <c r="J37" s="2">
        <v>132</v>
      </c>
      <c r="K37" s="2">
        <v>27</v>
      </c>
      <c r="L37" s="2">
        <v>126</v>
      </c>
      <c r="M37" s="2">
        <v>183</v>
      </c>
      <c r="N37" s="2">
        <v>7.2</v>
      </c>
      <c r="O37" s="2">
        <v>8</v>
      </c>
      <c r="P37" s="2">
        <v>7.75</v>
      </c>
      <c r="Q37" s="2">
        <v>10.83</v>
      </c>
      <c r="R37" s="2"/>
      <c r="S37" s="10">
        <f>STANDARDIZE(TBL_DATA[[#This Row],[Height (No Shoes)]],E$63,E$62)</f>
        <v>-0.90586824404007971</v>
      </c>
      <c r="T37" s="10">
        <f>STANDARDIZE(TBL_DATA[[#This Row],[Height (With Shoes)]],F$63,F$62)</f>
        <v>-0.88334790140577579</v>
      </c>
      <c r="U37" s="10">
        <f>STANDARDIZE(TBL_DATA[[#This Row],[Wingspan]],G$63,G$62)</f>
        <v>-1.2935473593136666</v>
      </c>
      <c r="V37" s="10">
        <f>STANDARDIZE(TBL_DATA[[#This Row],[Standing reach]],H$63,H$62)</f>
        <v>-0.77177956349963239</v>
      </c>
      <c r="W37" s="10">
        <f>STANDARDIZE(TBL_DATA[[#This Row],[Vertical (Max)]],I$63,I$62)</f>
        <v>-0.83728642899667305</v>
      </c>
      <c r="X37" s="10">
        <f>STANDARDIZE(TBL_DATA[[#This Row],[Vertical (Max Reach)]],J$63,J$62)</f>
        <v>-1.4199729018416549</v>
      </c>
      <c r="Y37" s="10">
        <f>STANDARDIZE(TBL_DATA[[#This Row],[Vertical (No Step)]],K$63,K$62)</f>
        <v>-1.1813262277089775</v>
      </c>
      <c r="Z37" s="10">
        <f>STANDARDIZE(TBL_DATA[[#This Row],[Vertical (No Step Reach)]],L$63,L$62)</f>
        <v>-1.487770016892082</v>
      </c>
      <c r="AA37" s="10">
        <f>STANDARDIZE(TBL_DATA[[#This Row],[Weight]],M$63,M$62)</f>
        <v>-1.2291934619978755</v>
      </c>
      <c r="AB37" s="10">
        <f>STANDARDIZE(TBL_DATA[[#This Row],[Body Fat]],N$63,N$62)</f>
        <v>6.6262257932844806E-2</v>
      </c>
      <c r="AC37" s="10">
        <f>STANDARDIZE(TBL_DATA[[#This Row],[Hand (Length)]],O$63,O$62)</f>
        <v>-1.6268058905368974</v>
      </c>
      <c r="AD37" s="10">
        <f>STANDARDIZE(TBL_DATA[[#This Row],[Hand (Width)]],P$63,P$62)</f>
        <v>-1.9552736784059104</v>
      </c>
      <c r="AE37" s="10">
        <f>STANDARDIZE(TBL_DATA[[#This Row],[Agility]],Q$63,Q$62)</f>
        <v>-1.0884237068590215</v>
      </c>
      <c r="AF37" s="10">
        <f>STANDARDIZE(TBL_DATA[[#This Row],[Sprint]],R$63,R$62)</f>
        <v>-30.664432035433581</v>
      </c>
      <c r="AG37" s="10">
        <f>(10*TBL_DATA[[#This Row],[Z_Height (No Shoes)]])+50</f>
        <v>40.941317559599199</v>
      </c>
      <c r="AH37" s="10">
        <f>(10*TBL_DATA[[#This Row],[Z_Height (With Shoes)]])+50</f>
        <v>41.166520985942242</v>
      </c>
      <c r="AI37" s="10">
        <f>(10*TBL_DATA[[#This Row],[Z_Wingspan]])+50</f>
        <v>37.064526406863337</v>
      </c>
      <c r="AJ37" s="10">
        <f>(10*TBL_DATA[[#This Row],[Z_Standing reach]])+50</f>
        <v>42.282204365003679</v>
      </c>
      <c r="AK37" s="10">
        <f>(10*TBL_DATA[[#This Row],[Z_Vertical (Max)]])+50</f>
        <v>41.627135710033272</v>
      </c>
      <c r="AL37" s="10">
        <f>(10*TBL_DATA[[#This Row],[Z_Vertical (Max Reach)]])+50</f>
        <v>35.800270981583452</v>
      </c>
      <c r="AM37" s="10">
        <f>(10*TBL_DATA[[#This Row],[Z_Vertical (No Step)]])+50</f>
        <v>38.186737722910223</v>
      </c>
      <c r="AN37" s="10">
        <f>(10*TBL_DATA[[#This Row],[Z_Vertical (No Step Reach)]])+50</f>
        <v>35.122299831079182</v>
      </c>
      <c r="AO37" s="10">
        <f>(10*TBL_DATA[[#This Row],[Z_Weight]])+50</f>
        <v>37.708065380021246</v>
      </c>
      <c r="AP37" s="10">
        <f>(10*TBL_DATA[[#This Row],[Z_Body Fat]])+50</f>
        <v>50.662622579328449</v>
      </c>
      <c r="AQ37" s="10">
        <f>(10*TBL_DATA[[#This Row],[Z_Hand (Length)]])+50</f>
        <v>33.731941094631026</v>
      </c>
      <c r="AR37" s="10">
        <f>(10*TBL_DATA[[#This Row],[Z_Hand (Width)]])+50</f>
        <v>30.447263215940897</v>
      </c>
      <c r="AS37" s="10">
        <f>(10*TBL_DATA[[#This Row],[Z_Agility]])+50</f>
        <v>39.115762931409783</v>
      </c>
      <c r="AT37" s="10">
        <f>(10*TBL_DATA[[#This Row],[Z_Sprint]])+50</f>
        <v>-256.64432035433583</v>
      </c>
      <c r="AU37" s="2">
        <f>SUM(TBL_DATA[[#This Row],[T_Height (No Shoes)]:[T_Sprint]])</f>
        <v>247.21234841001024</v>
      </c>
    </row>
    <row r="38" spans="1:47" x14ac:dyDescent="0.3">
      <c r="A38" s="8">
        <v>36</v>
      </c>
      <c r="B38" s="6" t="s">
        <v>53</v>
      </c>
      <c r="C38" s="7">
        <v>2014</v>
      </c>
      <c r="D38" s="2"/>
      <c r="E38" s="2">
        <v>79.5</v>
      </c>
      <c r="F38" s="2">
        <v>81.25</v>
      </c>
      <c r="G38" s="2">
        <v>85</v>
      </c>
      <c r="H38" s="2">
        <v>107</v>
      </c>
      <c r="I38" s="2">
        <v>35.5</v>
      </c>
      <c r="J38" s="2">
        <v>142.5</v>
      </c>
      <c r="K38" s="2">
        <v>30.5</v>
      </c>
      <c r="L38" s="2">
        <v>137.5</v>
      </c>
      <c r="M38" s="2">
        <v>209</v>
      </c>
      <c r="N38" s="2">
        <v>6</v>
      </c>
      <c r="O38" s="2">
        <v>9</v>
      </c>
      <c r="P38" s="2">
        <v>8.5</v>
      </c>
      <c r="Q38" s="2">
        <v>11.6</v>
      </c>
      <c r="R38" s="2">
        <v>3.26</v>
      </c>
      <c r="S38" s="10">
        <f>STANDARDIZE(TBL_DATA[[#This Row],[Height (No Shoes)]],E$63,E$62)</f>
        <v>0.74467698296824136</v>
      </c>
      <c r="T38" s="10">
        <f>STANDARDIZE(TBL_DATA[[#This Row],[Height (With Shoes)]],F$63,F$62)</f>
        <v>0.89706448372574077</v>
      </c>
      <c r="U38" s="10">
        <f>STANDARDIZE(TBL_DATA[[#This Row],[Wingspan]],G$63,G$62)</f>
        <v>0.79167925815918361</v>
      </c>
      <c r="V38" s="10">
        <f>STANDARDIZE(TBL_DATA[[#This Row],[Standing reach]],H$63,H$62)</f>
        <v>1.0963227645610156</v>
      </c>
      <c r="W38" s="10">
        <f>STANDARDIZE(TBL_DATA[[#This Row],[Vertical (Max)]],I$63,I$62)</f>
        <v>-6.4182234975354649E-2</v>
      </c>
      <c r="X38" s="10">
        <f>STANDARDIZE(TBL_DATA[[#This Row],[Vertical (Max Reach)]],J$63,J$62)</f>
        <v>1.1209110848942916</v>
      </c>
      <c r="Y38" s="10">
        <f>STANDARDIZE(TBL_DATA[[#This Row],[Vertical (No Step)]],K$63,K$62)</f>
        <v>0.16720309684496243</v>
      </c>
      <c r="Z38" s="10">
        <f>STANDARDIZE(TBL_DATA[[#This Row],[Vertical (No Step Reach)]],L$63,L$62)</f>
        <v>1.2600961203676913</v>
      </c>
      <c r="AA38" s="10">
        <f>STANDARDIZE(TBL_DATA[[#This Row],[Weight]],M$63,M$62)</f>
        <v>-0.12263080313359036</v>
      </c>
      <c r="AB38" s="10">
        <f>STANDARDIZE(TBL_DATA[[#This Row],[Body Fat]],N$63,N$62)</f>
        <v>-0.40287452823169773</v>
      </c>
      <c r="AC38" s="10">
        <f>STANDARDIZE(TBL_DATA[[#This Row],[Hand (Length)]],O$63,O$62)</f>
        <v>0.64494671399983472</v>
      </c>
      <c r="AD38" s="10">
        <f>STANDARDIZE(TBL_DATA[[#This Row],[Hand (Width)]],P$63,P$62)</f>
        <v>-0.92526343710279668</v>
      </c>
      <c r="AE38" s="10">
        <f>STANDARDIZE(TBL_DATA[[#This Row],[Agility]],Q$63,Q$62)</f>
        <v>0.48431123441254809</v>
      </c>
      <c r="AF38" s="10">
        <f>STANDARDIZE(TBL_DATA[[#This Row],[Sprint]],R$63,R$62)</f>
        <v>-0.41303186803793651</v>
      </c>
      <c r="AG38" s="10">
        <f>(10*TBL_DATA[[#This Row],[Z_Height (No Shoes)]])+50</f>
        <v>57.44676982968241</v>
      </c>
      <c r="AH38" s="10">
        <f>(10*TBL_DATA[[#This Row],[Z_Height (With Shoes)]])+50</f>
        <v>58.97064483725741</v>
      </c>
      <c r="AI38" s="10">
        <f>(10*TBL_DATA[[#This Row],[Z_Wingspan]])+50</f>
        <v>57.916792581591835</v>
      </c>
      <c r="AJ38" s="10">
        <f>(10*TBL_DATA[[#This Row],[Z_Standing reach]])+50</f>
        <v>60.963227645610161</v>
      </c>
      <c r="AK38" s="10">
        <f>(10*TBL_DATA[[#This Row],[Z_Vertical (Max)]])+50</f>
        <v>49.358177650246454</v>
      </c>
      <c r="AL38" s="10">
        <f>(10*TBL_DATA[[#This Row],[Z_Vertical (Max Reach)]])+50</f>
        <v>61.209110848942913</v>
      </c>
      <c r="AM38" s="10">
        <f>(10*TBL_DATA[[#This Row],[Z_Vertical (No Step)]])+50</f>
        <v>51.672030968449626</v>
      </c>
      <c r="AN38" s="10">
        <f>(10*TBL_DATA[[#This Row],[Z_Vertical (No Step Reach)]])+50</f>
        <v>62.600961203676917</v>
      </c>
      <c r="AO38" s="10">
        <f>(10*TBL_DATA[[#This Row],[Z_Weight]])+50</f>
        <v>48.773691968664096</v>
      </c>
      <c r="AP38" s="10">
        <f>(10*TBL_DATA[[#This Row],[Z_Body Fat]])+50</f>
        <v>45.971254717683024</v>
      </c>
      <c r="AQ38" s="10">
        <f>(10*TBL_DATA[[#This Row],[Z_Hand (Length)]])+50</f>
        <v>56.449467139998347</v>
      </c>
      <c r="AR38" s="10">
        <f>(10*TBL_DATA[[#This Row],[Z_Hand (Width)]])+50</f>
        <v>40.747365628972034</v>
      </c>
      <c r="AS38" s="10">
        <f>(10*TBL_DATA[[#This Row],[Z_Agility]])+50</f>
        <v>54.84311234412548</v>
      </c>
      <c r="AT38" s="10">
        <f>(10*TBL_DATA[[#This Row],[Z_Sprint]])+50</f>
        <v>45.869681319620632</v>
      </c>
      <c r="AU38" s="2">
        <f>SUM(TBL_DATA[[#This Row],[T_Height (No Shoes)]:[T_Sprint]])</f>
        <v>752.7922886845214</v>
      </c>
    </row>
    <row r="39" spans="1:47" x14ac:dyDescent="0.3">
      <c r="A39" s="8">
        <v>37</v>
      </c>
      <c r="B39" s="6" t="s">
        <v>54</v>
      </c>
      <c r="C39" s="7">
        <v>2014</v>
      </c>
      <c r="D39" s="2">
        <v>30</v>
      </c>
      <c r="E39" s="2">
        <v>79.5</v>
      </c>
      <c r="F39" s="2">
        <v>80.5</v>
      </c>
      <c r="G39" s="2">
        <v>86.75</v>
      </c>
      <c r="H39" s="2">
        <v>107.5</v>
      </c>
      <c r="I39" s="2"/>
      <c r="J39" s="2"/>
      <c r="K39" s="2"/>
      <c r="L39" s="2"/>
      <c r="M39" s="2">
        <v>230</v>
      </c>
      <c r="N39" s="2">
        <v>13.4</v>
      </c>
      <c r="O39" s="2">
        <v>8.25</v>
      </c>
      <c r="P39" s="2">
        <v>8.75</v>
      </c>
      <c r="Q39" s="2"/>
      <c r="R39" s="2"/>
      <c r="S39" s="10">
        <f>STANDARDIZE(TBL_DATA[[#This Row],[Height (No Shoes)]],E$63,E$62)</f>
        <v>0.74467698296824136</v>
      </c>
      <c r="T39" s="10">
        <f>STANDARDIZE(TBL_DATA[[#This Row],[Height (With Shoes)]],F$63,F$62)</f>
        <v>0.65428097666235219</v>
      </c>
      <c r="U39" s="10">
        <f>STANDARDIZE(TBL_DATA[[#This Row],[Wingspan]],G$63,G$62)</f>
        <v>1.2782321355695154</v>
      </c>
      <c r="V39" s="10">
        <f>STANDARDIZE(TBL_DATA[[#This Row],[Standing reach]],H$63,H$62)</f>
        <v>1.2130791600648061</v>
      </c>
      <c r="W39" s="10">
        <f>STANDARDIZE(TBL_DATA[[#This Row],[Vertical (Max)]],I$63,I$62)</f>
        <v>-11.042261790078076</v>
      </c>
      <c r="X39" s="10">
        <f>STANDARDIZE(TBL_DATA[[#This Row],[Vertical (Max Reach)]],J$63,J$62)</f>
        <v>-33.362514449379269</v>
      </c>
      <c r="Y39" s="10">
        <f>STANDARDIZE(TBL_DATA[[#This Row],[Vertical (No Step)]],K$63,K$62)</f>
        <v>-11.5842667314108</v>
      </c>
      <c r="Z39" s="10">
        <f>STANDARDIZE(TBL_DATA[[#This Row],[Vertical (No Step Reach)]],L$63,L$62)</f>
        <v>-31.594825085999162</v>
      </c>
      <c r="AA39" s="10">
        <f>STANDARDIZE(TBL_DATA[[#This Row],[Weight]],M$63,M$62)</f>
        <v>0.77113134441063991</v>
      </c>
      <c r="AB39" s="10">
        <f>STANDARDIZE(TBL_DATA[[#This Row],[Body Fat]],N$63,N$62)</f>
        <v>2.4901356531163139</v>
      </c>
      <c r="AC39" s="10">
        <f>STANDARDIZE(TBL_DATA[[#This Row],[Hand (Length)]],O$63,O$62)</f>
        <v>-1.0588677394027144</v>
      </c>
      <c r="AD39" s="10">
        <f>STANDARDIZE(TBL_DATA[[#This Row],[Hand (Width)]],P$63,P$62)</f>
        <v>-0.58192669000175878</v>
      </c>
      <c r="AE39" s="10">
        <f>STANDARDIZE(TBL_DATA[[#This Row],[Agility]],Q$63,Q$62)</f>
        <v>-23.208838530198122</v>
      </c>
      <c r="AF39" s="10">
        <f>STANDARDIZE(TBL_DATA[[#This Row],[Sprint]],R$63,R$62)</f>
        <v>-30.664432035433581</v>
      </c>
      <c r="AG39" s="10">
        <f>(10*TBL_DATA[[#This Row],[Z_Height (No Shoes)]])+50</f>
        <v>57.44676982968241</v>
      </c>
      <c r="AH39" s="10">
        <f>(10*TBL_DATA[[#This Row],[Z_Height (With Shoes)]])+50</f>
        <v>56.54280976662352</v>
      </c>
      <c r="AI39" s="10">
        <f>(10*TBL_DATA[[#This Row],[Z_Wingspan]])+50</f>
        <v>62.782321355695153</v>
      </c>
      <c r="AJ39" s="10">
        <f>(10*TBL_DATA[[#This Row],[Z_Standing reach]])+50</f>
        <v>62.13079160064806</v>
      </c>
      <c r="AK39" s="10">
        <f>(10*TBL_DATA[[#This Row],[Z_Vertical (Max)]])+50</f>
        <v>-60.42261790078075</v>
      </c>
      <c r="AL39" s="10">
        <f>(10*TBL_DATA[[#This Row],[Z_Vertical (Max Reach)]])+50</f>
        <v>-283.62514449379267</v>
      </c>
      <c r="AM39" s="10">
        <f>(10*TBL_DATA[[#This Row],[Z_Vertical (No Step)]])+50</f>
        <v>-65.842667314107999</v>
      </c>
      <c r="AN39" s="10">
        <f>(10*TBL_DATA[[#This Row],[Z_Vertical (No Step Reach)]])+50</f>
        <v>-265.94825085999162</v>
      </c>
      <c r="AO39" s="10">
        <f>(10*TBL_DATA[[#This Row],[Z_Weight]])+50</f>
        <v>57.711313444106402</v>
      </c>
      <c r="AP39" s="10">
        <f>(10*TBL_DATA[[#This Row],[Z_Body Fat]])+50</f>
        <v>74.901356531163145</v>
      </c>
      <c r="AQ39" s="10">
        <f>(10*TBL_DATA[[#This Row],[Z_Hand (Length)]])+50</f>
        <v>39.411322605972856</v>
      </c>
      <c r="AR39" s="10">
        <f>(10*TBL_DATA[[#This Row],[Z_Hand (Width)]])+50</f>
        <v>44.180733099982412</v>
      </c>
      <c r="AS39" s="10">
        <f>(10*TBL_DATA[[#This Row],[Z_Agility]])+50</f>
        <v>-182.08838530198122</v>
      </c>
      <c r="AT39" s="10">
        <f>(10*TBL_DATA[[#This Row],[Z_Sprint]])+50</f>
        <v>-256.64432035433583</v>
      </c>
      <c r="AU39" s="2">
        <f>SUM(TBL_DATA[[#This Row],[T_Height (No Shoes)]:[T_Sprint]])</f>
        <v>-659.46396799111608</v>
      </c>
    </row>
    <row r="40" spans="1:47" x14ac:dyDescent="0.3">
      <c r="A40" s="8">
        <v>38</v>
      </c>
      <c r="B40" s="6" t="s">
        <v>55</v>
      </c>
      <c r="C40" s="7">
        <v>2014</v>
      </c>
      <c r="D40" s="2"/>
      <c r="E40" s="2">
        <v>78.5</v>
      </c>
      <c r="F40" s="2">
        <v>79.5</v>
      </c>
      <c r="G40" s="2">
        <v>85.75</v>
      </c>
      <c r="H40" s="2">
        <v>106</v>
      </c>
      <c r="I40" s="2">
        <v>31</v>
      </c>
      <c r="J40" s="2">
        <v>137</v>
      </c>
      <c r="K40" s="2">
        <v>25</v>
      </c>
      <c r="L40" s="2">
        <v>131</v>
      </c>
      <c r="M40" s="2">
        <v>239</v>
      </c>
      <c r="N40" s="2">
        <v>16.3</v>
      </c>
      <c r="O40" s="2">
        <v>8.75</v>
      </c>
      <c r="P40" s="2">
        <v>9.75</v>
      </c>
      <c r="Q40" s="2">
        <v>11.97</v>
      </c>
      <c r="R40" s="2">
        <v>3.44</v>
      </c>
      <c r="S40" s="10">
        <f>STANDARDIZE(TBL_DATA[[#This Row],[Height (No Shoes)]],E$63,E$62)</f>
        <v>0.43028741591903735</v>
      </c>
      <c r="T40" s="10">
        <f>STANDARDIZE(TBL_DATA[[#This Row],[Height (With Shoes)]],F$63,F$62)</f>
        <v>0.33056963391116734</v>
      </c>
      <c r="U40" s="10">
        <f>STANDARDIZE(TBL_DATA[[#This Row],[Wingspan]],G$63,G$62)</f>
        <v>1.0002019199064687</v>
      </c>
      <c r="V40" s="10">
        <f>STANDARDIZE(TBL_DATA[[#This Row],[Standing reach]],H$63,H$62)</f>
        <v>0.86280997355343469</v>
      </c>
      <c r="W40" s="10">
        <f>STANDARDIZE(TBL_DATA[[#This Row],[Vertical (Max)]],I$63,I$62)</f>
        <v>-1.4557697842137278</v>
      </c>
      <c r="X40" s="10">
        <f>STANDARDIZE(TBL_DATA[[#This Row],[Vertical (Max Reach)]],J$63,J$62)</f>
        <v>-0.21002814625310895</v>
      </c>
      <c r="Y40" s="10">
        <f>STANDARDIZE(TBL_DATA[[#This Row],[Vertical (No Step)]],K$63,K$62)</f>
        <v>-1.9519144131683717</v>
      </c>
      <c r="Z40" s="10">
        <f>STANDARDIZE(TBL_DATA[[#This Row],[Vertical (No Step Reach)]],L$63,L$62)</f>
        <v>-0.29304560938783281</v>
      </c>
      <c r="AA40" s="10">
        <f>STANDARDIZE(TBL_DATA[[#This Row],[Weight]],M$63,M$62)</f>
        <v>1.1541722647867385</v>
      </c>
      <c r="AB40" s="10">
        <f>STANDARDIZE(TBL_DATA[[#This Row],[Body Fat]],N$63,N$62)</f>
        <v>3.6238828863472916</v>
      </c>
      <c r="AC40" s="10">
        <f>STANDARDIZE(TBL_DATA[[#This Row],[Hand (Length)]],O$63,O$62)</f>
        <v>7.7008562865651733E-2</v>
      </c>
      <c r="AD40" s="10">
        <f>STANDARDIZE(TBL_DATA[[#This Row],[Hand (Width)]],P$63,P$62)</f>
        <v>0.7914202984023927</v>
      </c>
      <c r="AE40" s="10">
        <f>STANDARDIZE(TBL_DATA[[#This Row],[Agility]],Q$63,Q$62)</f>
        <v>1.2400410113872009</v>
      </c>
      <c r="AF40" s="10">
        <f>STANDARDIZE(TBL_DATA[[#This Row],[Sprint]],R$63,R$62)</f>
        <v>1.2572908405912724</v>
      </c>
      <c r="AG40" s="10">
        <f>(10*TBL_DATA[[#This Row],[Z_Height (No Shoes)]])+50</f>
        <v>54.302874159190374</v>
      </c>
      <c r="AH40" s="10">
        <f>(10*TBL_DATA[[#This Row],[Z_Height (With Shoes)]])+50</f>
        <v>53.305696339111677</v>
      </c>
      <c r="AI40" s="10">
        <f>(10*TBL_DATA[[#This Row],[Z_Wingspan]])+50</f>
        <v>60.002019199064691</v>
      </c>
      <c r="AJ40" s="10">
        <f>(10*TBL_DATA[[#This Row],[Z_Standing reach]])+50</f>
        <v>58.628099735534349</v>
      </c>
      <c r="AK40" s="10">
        <f>(10*TBL_DATA[[#This Row],[Z_Vertical (Max)]])+50</f>
        <v>35.44230215786272</v>
      </c>
      <c r="AL40" s="10">
        <f>(10*TBL_DATA[[#This Row],[Z_Vertical (Max Reach)]])+50</f>
        <v>47.899718537468914</v>
      </c>
      <c r="AM40" s="10">
        <f>(10*TBL_DATA[[#This Row],[Z_Vertical (No Step)]])+50</f>
        <v>30.480855868316283</v>
      </c>
      <c r="AN40" s="10">
        <f>(10*TBL_DATA[[#This Row],[Z_Vertical (No Step Reach)]])+50</f>
        <v>47.069543906121673</v>
      </c>
      <c r="AO40" s="10">
        <f>(10*TBL_DATA[[#This Row],[Z_Weight]])+50</f>
        <v>61.541722647867388</v>
      </c>
      <c r="AP40" s="10">
        <f>(10*TBL_DATA[[#This Row],[Z_Body Fat]])+50</f>
        <v>86.238828863472918</v>
      </c>
      <c r="AQ40" s="10">
        <f>(10*TBL_DATA[[#This Row],[Z_Hand (Length)]])+50</f>
        <v>50.770085628656517</v>
      </c>
      <c r="AR40" s="10">
        <f>(10*TBL_DATA[[#This Row],[Z_Hand (Width)]])+50</f>
        <v>57.91420298402393</v>
      </c>
      <c r="AS40" s="10">
        <f>(10*TBL_DATA[[#This Row],[Z_Agility]])+50</f>
        <v>62.400410113872013</v>
      </c>
      <c r="AT40" s="10">
        <f>(10*TBL_DATA[[#This Row],[Z_Sprint]])+50</f>
        <v>62.572908405912727</v>
      </c>
      <c r="AU40" s="2">
        <f>SUM(TBL_DATA[[#This Row],[T_Height (No Shoes)]:[T_Sprint]])</f>
        <v>768.56926854647611</v>
      </c>
    </row>
    <row r="41" spans="1:47" x14ac:dyDescent="0.3">
      <c r="A41" s="8">
        <v>39</v>
      </c>
      <c r="B41" s="6" t="s">
        <v>56</v>
      </c>
      <c r="C41" s="7">
        <v>2014</v>
      </c>
      <c r="D41" s="2">
        <v>48</v>
      </c>
      <c r="E41" s="2">
        <v>76</v>
      </c>
      <c r="F41" s="2">
        <v>77.25</v>
      </c>
      <c r="G41" s="2">
        <v>83</v>
      </c>
      <c r="H41" s="2">
        <v>101</v>
      </c>
      <c r="I41" s="2">
        <v>32.5</v>
      </c>
      <c r="J41" s="2">
        <v>133.5</v>
      </c>
      <c r="K41" s="2">
        <v>27.5</v>
      </c>
      <c r="L41" s="2">
        <v>128.5</v>
      </c>
      <c r="M41" s="2">
        <v>226</v>
      </c>
      <c r="N41" s="2">
        <v>10.8</v>
      </c>
      <c r="O41" s="2">
        <v>9</v>
      </c>
      <c r="P41" s="2">
        <v>9.25</v>
      </c>
      <c r="Q41" s="2">
        <v>11.63</v>
      </c>
      <c r="R41" s="2">
        <v>3.45</v>
      </c>
      <c r="S41" s="10">
        <f>STANDARDIZE(TBL_DATA[[#This Row],[Height (No Shoes)]],E$63,E$62)</f>
        <v>-0.3556865017039727</v>
      </c>
      <c r="T41" s="10">
        <f>STANDARDIZE(TBL_DATA[[#This Row],[Height (With Shoes)]],F$63,F$62)</f>
        <v>-0.39778088727899857</v>
      </c>
      <c r="U41" s="10">
        <f>STANDARDIZE(TBL_DATA[[#This Row],[Wingspan]],G$63,G$62)</f>
        <v>0.23561882683309027</v>
      </c>
      <c r="V41" s="10">
        <f>STANDARDIZE(TBL_DATA[[#This Row],[Standing reach]],H$63,H$62)</f>
        <v>-0.30475398148447036</v>
      </c>
      <c r="W41" s="10">
        <f>STANDARDIZE(TBL_DATA[[#This Row],[Vertical (Max)]],I$63,I$62)</f>
        <v>-0.99190726780093674</v>
      </c>
      <c r="X41" s="10">
        <f>STANDARDIZE(TBL_DATA[[#This Row],[Vertical (Max Reach)]],J$63,J$62)</f>
        <v>-1.056989475165091</v>
      </c>
      <c r="Y41" s="10">
        <f>STANDARDIZE(TBL_DATA[[#This Row],[Vertical (No Step)]],K$63,K$62)</f>
        <v>-0.98867918134412891</v>
      </c>
      <c r="Z41" s="10">
        <f>STANDARDIZE(TBL_DATA[[#This Row],[Vertical (No Step Reach)]],L$63,L$62)</f>
        <v>-0.89040781313995743</v>
      </c>
      <c r="AA41" s="10">
        <f>STANDARDIZE(TBL_DATA[[#This Row],[Weight]],M$63,M$62)</f>
        <v>0.60089093535459603</v>
      </c>
      <c r="AB41" s="10">
        <f>STANDARDIZE(TBL_DATA[[#This Row],[Body Fat]],N$63,N$62)</f>
        <v>1.4736726164264724</v>
      </c>
      <c r="AC41" s="10">
        <f>STANDARDIZE(TBL_DATA[[#This Row],[Hand (Length)]],O$63,O$62)</f>
        <v>0.64494671399983472</v>
      </c>
      <c r="AD41" s="10">
        <f>STANDARDIZE(TBL_DATA[[#This Row],[Hand (Width)]],P$63,P$62)</f>
        <v>0.10474680420031697</v>
      </c>
      <c r="AE41" s="10">
        <f>STANDARDIZE(TBL_DATA[[#This Row],[Agility]],Q$63,Q$62)</f>
        <v>0.54558662173481942</v>
      </c>
      <c r="AF41" s="10">
        <f>STANDARDIZE(TBL_DATA[[#This Row],[Sprint]],R$63,R$62)</f>
        <v>1.3500865466262306</v>
      </c>
      <c r="AG41" s="10">
        <f>(10*TBL_DATA[[#This Row],[Z_Height (No Shoes)]])+50</f>
        <v>46.443134982960274</v>
      </c>
      <c r="AH41" s="10">
        <f>(10*TBL_DATA[[#This Row],[Z_Height (With Shoes)]])+50</f>
        <v>46.022191127210014</v>
      </c>
      <c r="AI41" s="10">
        <f>(10*TBL_DATA[[#This Row],[Z_Wingspan]])+50</f>
        <v>52.356188268330904</v>
      </c>
      <c r="AJ41" s="10">
        <f>(10*TBL_DATA[[#This Row],[Z_Standing reach]])+50</f>
        <v>46.952460185155296</v>
      </c>
      <c r="AK41" s="10">
        <f>(10*TBL_DATA[[#This Row],[Z_Vertical (Max)]])+50</f>
        <v>40.080927321990629</v>
      </c>
      <c r="AL41" s="10">
        <f>(10*TBL_DATA[[#This Row],[Z_Vertical (Max Reach)]])+50</f>
        <v>39.430105248349093</v>
      </c>
      <c r="AM41" s="10">
        <f>(10*TBL_DATA[[#This Row],[Z_Vertical (No Step)]])+50</f>
        <v>40.113208186558708</v>
      </c>
      <c r="AN41" s="10">
        <f>(10*TBL_DATA[[#This Row],[Z_Vertical (No Step Reach)]])+50</f>
        <v>41.095921868600428</v>
      </c>
      <c r="AO41" s="10">
        <f>(10*TBL_DATA[[#This Row],[Z_Weight]])+50</f>
        <v>56.00890935354596</v>
      </c>
      <c r="AP41" s="10">
        <f>(10*TBL_DATA[[#This Row],[Z_Body Fat]])+50</f>
        <v>64.736726164264724</v>
      </c>
      <c r="AQ41" s="10">
        <f>(10*TBL_DATA[[#This Row],[Z_Hand (Length)]])+50</f>
        <v>56.449467139998347</v>
      </c>
      <c r="AR41" s="10">
        <f>(10*TBL_DATA[[#This Row],[Z_Hand (Width)]])+50</f>
        <v>51.047468042003167</v>
      </c>
      <c r="AS41" s="10">
        <f>(10*TBL_DATA[[#This Row],[Z_Agility]])+50</f>
        <v>55.455866217348195</v>
      </c>
      <c r="AT41" s="10">
        <f>(10*TBL_DATA[[#This Row],[Z_Sprint]])+50</f>
        <v>63.500865466262304</v>
      </c>
      <c r="AU41" s="2">
        <f>SUM(TBL_DATA[[#This Row],[T_Height (No Shoes)]:[T_Sprint]])</f>
        <v>699.69343957257809</v>
      </c>
    </row>
    <row r="42" spans="1:47" x14ac:dyDescent="0.3">
      <c r="A42" s="8">
        <v>40</v>
      </c>
      <c r="B42" s="6" t="s">
        <v>57</v>
      </c>
      <c r="C42" s="7">
        <v>2014</v>
      </c>
      <c r="D42" s="2">
        <v>6</v>
      </c>
      <c r="E42" s="2">
        <v>74</v>
      </c>
      <c r="F42" s="2">
        <v>75.25</v>
      </c>
      <c r="G42" s="2">
        <v>81.25</v>
      </c>
      <c r="H42" s="2">
        <v>99</v>
      </c>
      <c r="I42" s="2">
        <v>36</v>
      </c>
      <c r="J42" s="2">
        <v>135</v>
      </c>
      <c r="K42" s="2">
        <v>33</v>
      </c>
      <c r="L42" s="2">
        <v>132</v>
      </c>
      <c r="M42" s="2">
        <v>227</v>
      </c>
      <c r="N42" s="2">
        <v>10.6</v>
      </c>
      <c r="O42" s="2">
        <v>9</v>
      </c>
      <c r="P42" s="2">
        <v>8.75</v>
      </c>
      <c r="Q42" s="2">
        <v>10.82</v>
      </c>
      <c r="R42" s="2">
        <v>3.26</v>
      </c>
      <c r="S42" s="10">
        <f>STANDARDIZE(TBL_DATA[[#This Row],[Height (No Shoes)]],E$63,E$62)</f>
        <v>-0.98446563580238078</v>
      </c>
      <c r="T42" s="10">
        <f>STANDARDIZE(TBL_DATA[[#This Row],[Height (With Shoes)]],F$63,F$62)</f>
        <v>-1.0452035727813682</v>
      </c>
      <c r="U42" s="10">
        <f>STANDARDIZE(TBL_DATA[[#This Row],[Wingspan]],G$63,G$62)</f>
        <v>-0.25093405057724144</v>
      </c>
      <c r="V42" s="10">
        <f>STANDARDIZE(TBL_DATA[[#This Row],[Standing reach]],H$63,H$62)</f>
        <v>-0.77177956349963239</v>
      </c>
      <c r="W42" s="10">
        <f>STANDARDIZE(TBL_DATA[[#This Row],[Vertical (Max)]],I$63,I$62)</f>
        <v>9.0438603828909031E-2</v>
      </c>
      <c r="X42" s="10">
        <f>STANDARDIZE(TBL_DATA[[#This Row],[Vertical (Max Reach)]],J$63,J$62)</f>
        <v>-0.69400604848852732</v>
      </c>
      <c r="Y42" s="10">
        <f>STANDARDIZE(TBL_DATA[[#This Row],[Vertical (No Step)]],K$63,K$62)</f>
        <v>1.1304383286692052</v>
      </c>
      <c r="Z42" s="10">
        <f>STANDARDIZE(TBL_DATA[[#This Row],[Vertical (No Step Reach)]],L$63,L$62)</f>
        <v>-5.4100727886982947E-2</v>
      </c>
      <c r="AA42" s="10">
        <f>STANDARDIZE(TBL_DATA[[#This Row],[Weight]],M$63,M$62)</f>
        <v>0.643451037618607</v>
      </c>
      <c r="AB42" s="10">
        <f>STANDARDIZE(TBL_DATA[[#This Row],[Body Fat]],N$63,N$62)</f>
        <v>1.3954831520657147</v>
      </c>
      <c r="AC42" s="10">
        <f>STANDARDIZE(TBL_DATA[[#This Row],[Hand (Length)]],O$63,O$62)</f>
        <v>0.64494671399983472</v>
      </c>
      <c r="AD42" s="10">
        <f>STANDARDIZE(TBL_DATA[[#This Row],[Hand (Width)]],P$63,P$62)</f>
        <v>-0.58192669000175878</v>
      </c>
      <c r="AE42" s="10">
        <f>STANDARDIZE(TBL_DATA[[#This Row],[Agility]],Q$63,Q$62)</f>
        <v>-1.1088488359664439</v>
      </c>
      <c r="AF42" s="10">
        <f>STANDARDIZE(TBL_DATA[[#This Row],[Sprint]],R$63,R$62)</f>
        <v>-0.41303186803793651</v>
      </c>
      <c r="AG42" s="10">
        <f>(10*TBL_DATA[[#This Row],[Z_Height (No Shoes)]])+50</f>
        <v>40.155343641976188</v>
      </c>
      <c r="AH42" s="10">
        <f>(10*TBL_DATA[[#This Row],[Z_Height (With Shoes)]])+50</f>
        <v>39.54796427218632</v>
      </c>
      <c r="AI42" s="10">
        <f>(10*TBL_DATA[[#This Row],[Z_Wingspan]])+50</f>
        <v>47.490659494227586</v>
      </c>
      <c r="AJ42" s="10">
        <f>(10*TBL_DATA[[#This Row],[Z_Standing reach]])+50</f>
        <v>42.282204365003679</v>
      </c>
      <c r="AK42" s="10">
        <f>(10*TBL_DATA[[#This Row],[Z_Vertical (Max)]])+50</f>
        <v>50.90438603828909</v>
      </c>
      <c r="AL42" s="10">
        <f>(10*TBL_DATA[[#This Row],[Z_Vertical (Max Reach)]])+50</f>
        <v>43.059939515114728</v>
      </c>
      <c r="AM42" s="10">
        <f>(10*TBL_DATA[[#This Row],[Z_Vertical (No Step)]])+50</f>
        <v>61.304383286692051</v>
      </c>
      <c r="AN42" s="10">
        <f>(10*TBL_DATA[[#This Row],[Z_Vertical (No Step Reach)]])+50</f>
        <v>49.458992721130173</v>
      </c>
      <c r="AO42" s="10">
        <f>(10*TBL_DATA[[#This Row],[Z_Weight]])+50</f>
        <v>56.434510376186068</v>
      </c>
      <c r="AP42" s="10">
        <f>(10*TBL_DATA[[#This Row],[Z_Body Fat]])+50</f>
        <v>63.954831520657152</v>
      </c>
      <c r="AQ42" s="10">
        <f>(10*TBL_DATA[[#This Row],[Z_Hand (Length)]])+50</f>
        <v>56.449467139998347</v>
      </c>
      <c r="AR42" s="10">
        <f>(10*TBL_DATA[[#This Row],[Z_Hand (Width)]])+50</f>
        <v>44.180733099982412</v>
      </c>
      <c r="AS42" s="10">
        <f>(10*TBL_DATA[[#This Row],[Z_Agility]])+50</f>
        <v>38.911511640335561</v>
      </c>
      <c r="AT42" s="10">
        <f>(10*TBL_DATA[[#This Row],[Z_Sprint]])+50</f>
        <v>45.869681319620632</v>
      </c>
      <c r="AU42" s="2">
        <f>SUM(TBL_DATA[[#This Row],[T_Height (No Shoes)]:[T_Sprint]])</f>
        <v>680.00460843140002</v>
      </c>
    </row>
    <row r="43" spans="1:47" x14ac:dyDescent="0.3">
      <c r="A43" s="8">
        <v>41</v>
      </c>
      <c r="B43" s="6" t="s">
        <v>58</v>
      </c>
      <c r="C43" s="7">
        <v>2014</v>
      </c>
      <c r="D43" s="2">
        <v>44</v>
      </c>
      <c r="E43" s="2">
        <v>74.5</v>
      </c>
      <c r="F43" s="2">
        <v>75.5</v>
      </c>
      <c r="G43" s="2">
        <v>80.75</v>
      </c>
      <c r="H43" s="2">
        <v>100</v>
      </c>
      <c r="I43" s="2">
        <v>43.5</v>
      </c>
      <c r="J43" s="2">
        <v>143.5</v>
      </c>
      <c r="K43" s="2">
        <v>36.5</v>
      </c>
      <c r="L43" s="2">
        <v>136.5</v>
      </c>
      <c r="M43" s="2">
        <v>184</v>
      </c>
      <c r="N43" s="2">
        <v>4.2</v>
      </c>
      <c r="O43" s="2">
        <v>8.25</v>
      </c>
      <c r="P43" s="2">
        <v>9.75</v>
      </c>
      <c r="Q43" s="2">
        <v>12.62</v>
      </c>
      <c r="R43" s="2">
        <v>3.18</v>
      </c>
      <c r="S43" s="10">
        <f>STANDARDIZE(TBL_DATA[[#This Row],[Height (No Shoes)]],E$63,E$62)</f>
        <v>-0.82727085227777875</v>
      </c>
      <c r="T43" s="10">
        <f>STANDARDIZE(TBL_DATA[[#This Row],[Height (With Shoes)]],F$63,F$62)</f>
        <v>-0.96427573709357206</v>
      </c>
      <c r="U43" s="10">
        <f>STANDARDIZE(TBL_DATA[[#This Row],[Wingspan]],G$63,G$62)</f>
        <v>-0.38994915840876476</v>
      </c>
      <c r="V43" s="10">
        <f>STANDARDIZE(TBL_DATA[[#This Row],[Standing reach]],H$63,H$62)</f>
        <v>-0.53826677249205135</v>
      </c>
      <c r="W43" s="10">
        <f>STANDARDIZE(TBL_DATA[[#This Row],[Vertical (Max)]],I$63,I$62)</f>
        <v>2.4097511858928642</v>
      </c>
      <c r="X43" s="10">
        <f>STANDARDIZE(TBL_DATA[[#This Row],[Vertical (Max Reach)]],J$63,J$62)</f>
        <v>1.3629000360120007</v>
      </c>
      <c r="Y43" s="10">
        <f>STANDARDIZE(TBL_DATA[[#This Row],[Vertical (No Step)]],K$63,K$62)</f>
        <v>2.4789676532231453</v>
      </c>
      <c r="Z43" s="10">
        <f>STANDARDIZE(TBL_DATA[[#This Row],[Vertical (No Step Reach)]],L$63,L$62)</f>
        <v>1.0211512388668413</v>
      </c>
      <c r="AA43" s="10">
        <f>STANDARDIZE(TBL_DATA[[#This Row],[Weight]],M$63,M$62)</f>
        <v>-1.1866333597338645</v>
      </c>
      <c r="AB43" s="10">
        <f>STANDARDIZE(TBL_DATA[[#This Row],[Body Fat]],N$63,N$62)</f>
        <v>-1.1065797074785113</v>
      </c>
      <c r="AC43" s="10">
        <f>STANDARDIZE(TBL_DATA[[#This Row],[Hand (Length)]],O$63,O$62)</f>
        <v>-1.0588677394027144</v>
      </c>
      <c r="AD43" s="10">
        <f>STANDARDIZE(TBL_DATA[[#This Row],[Hand (Width)]],P$63,P$62)</f>
        <v>0.7914202984023927</v>
      </c>
      <c r="AE43" s="10">
        <f>STANDARDIZE(TBL_DATA[[#This Row],[Agility]],Q$63,Q$62)</f>
        <v>2.5676744033696921</v>
      </c>
      <c r="AF43" s="10">
        <f>STANDARDIZE(TBL_DATA[[#This Row],[Sprint]],R$63,R$62)</f>
        <v>-1.1553975163175809</v>
      </c>
      <c r="AG43" s="10">
        <f>(10*TBL_DATA[[#This Row],[Z_Height (No Shoes)]])+50</f>
        <v>41.727291477222209</v>
      </c>
      <c r="AH43" s="10">
        <f>(10*TBL_DATA[[#This Row],[Z_Height (With Shoes)]])+50</f>
        <v>40.357242629064281</v>
      </c>
      <c r="AI43" s="10">
        <f>(10*TBL_DATA[[#This Row],[Z_Wingspan]])+50</f>
        <v>46.100508415912351</v>
      </c>
      <c r="AJ43" s="10">
        <f>(10*TBL_DATA[[#This Row],[Z_Standing reach]])+50</f>
        <v>44.617332275079484</v>
      </c>
      <c r="AK43" s="10">
        <f>(10*TBL_DATA[[#This Row],[Z_Vertical (Max)]])+50</f>
        <v>74.097511858928641</v>
      </c>
      <c r="AL43" s="10">
        <f>(10*TBL_DATA[[#This Row],[Z_Vertical (Max Reach)]])+50</f>
        <v>63.629000360120003</v>
      </c>
      <c r="AM43" s="10">
        <f>(10*TBL_DATA[[#This Row],[Z_Vertical (No Step)]])+50</f>
        <v>74.789676532231454</v>
      </c>
      <c r="AN43" s="10">
        <f>(10*TBL_DATA[[#This Row],[Z_Vertical (No Step Reach)]])+50</f>
        <v>60.21151238866841</v>
      </c>
      <c r="AO43" s="10">
        <f>(10*TBL_DATA[[#This Row],[Z_Weight]])+50</f>
        <v>38.133666402661355</v>
      </c>
      <c r="AP43" s="10">
        <f>(10*TBL_DATA[[#This Row],[Z_Body Fat]])+50</f>
        <v>38.93420292521489</v>
      </c>
      <c r="AQ43" s="10">
        <f>(10*TBL_DATA[[#This Row],[Z_Hand (Length)]])+50</f>
        <v>39.411322605972856</v>
      </c>
      <c r="AR43" s="10">
        <f>(10*TBL_DATA[[#This Row],[Z_Hand (Width)]])+50</f>
        <v>57.91420298402393</v>
      </c>
      <c r="AS43" s="10">
        <f>(10*TBL_DATA[[#This Row],[Z_Agility]])+50</f>
        <v>75.67674403369692</v>
      </c>
      <c r="AT43" s="10">
        <f>(10*TBL_DATA[[#This Row],[Z_Sprint]])+50</f>
        <v>38.446024836824193</v>
      </c>
      <c r="AU43" s="2">
        <f>SUM(TBL_DATA[[#This Row],[T_Height (No Shoes)]:[T_Sprint]])</f>
        <v>734.04623972562092</v>
      </c>
    </row>
    <row r="44" spans="1:47" x14ac:dyDescent="0.3">
      <c r="A44" s="8">
        <v>42</v>
      </c>
      <c r="B44" s="6" t="s">
        <v>59</v>
      </c>
      <c r="C44" s="7">
        <v>2014</v>
      </c>
      <c r="D44" s="2"/>
      <c r="E44" s="2">
        <v>77.25</v>
      </c>
      <c r="F44" s="2">
        <v>79</v>
      </c>
      <c r="G44" s="2">
        <v>83.25</v>
      </c>
      <c r="H44" s="2">
        <v>103.5</v>
      </c>
      <c r="I44" s="2">
        <v>35</v>
      </c>
      <c r="J44" s="2">
        <v>138.5</v>
      </c>
      <c r="K44" s="2">
        <v>29.5</v>
      </c>
      <c r="L44" s="2">
        <v>133</v>
      </c>
      <c r="M44" s="2">
        <v>219</v>
      </c>
      <c r="N44" s="2">
        <v>6.5</v>
      </c>
      <c r="O44" s="2">
        <v>8.75</v>
      </c>
      <c r="P44" s="2">
        <v>9.25</v>
      </c>
      <c r="Q44" s="2">
        <v>11.55</v>
      </c>
      <c r="R44" s="2">
        <v>3.14</v>
      </c>
      <c r="S44" s="10">
        <f>STANDARDIZE(TBL_DATA[[#This Row],[Height (No Shoes)]],E$63,E$62)</f>
        <v>3.7300457107532305E-2</v>
      </c>
      <c r="T44" s="10">
        <f>STANDARDIZE(TBL_DATA[[#This Row],[Height (With Shoes)]],F$63,F$62)</f>
        <v>0.16871396253557491</v>
      </c>
      <c r="U44" s="10">
        <f>STANDARDIZE(TBL_DATA[[#This Row],[Wingspan]],G$63,G$62)</f>
        <v>0.30512638074885196</v>
      </c>
      <c r="V44" s="10">
        <f>STANDARDIZE(TBL_DATA[[#This Row],[Standing reach]],H$63,H$62)</f>
        <v>0.27902799603448214</v>
      </c>
      <c r="W44" s="10">
        <f>STANDARDIZE(TBL_DATA[[#This Row],[Vertical (Max)]],I$63,I$62)</f>
        <v>-0.21880307377961833</v>
      </c>
      <c r="X44" s="10">
        <f>STANDARDIZE(TBL_DATA[[#This Row],[Vertical (Max Reach)]],J$63,J$62)</f>
        <v>0.15295528042345483</v>
      </c>
      <c r="Y44" s="10">
        <f>STANDARDIZE(TBL_DATA[[#This Row],[Vertical (No Step)]],K$63,K$62)</f>
        <v>-0.21809099588473468</v>
      </c>
      <c r="Z44" s="10">
        <f>STANDARDIZE(TBL_DATA[[#This Row],[Vertical (No Step Reach)]],L$63,L$62)</f>
        <v>0.18484415361386689</v>
      </c>
      <c r="AA44" s="10">
        <f>STANDARDIZE(TBL_DATA[[#This Row],[Weight]],M$63,M$62)</f>
        <v>0.30297021950651926</v>
      </c>
      <c r="AB44" s="10">
        <f>STANDARDIZE(TBL_DATA[[#This Row],[Body Fat]],N$63,N$62)</f>
        <v>-0.20740086732980503</v>
      </c>
      <c r="AC44" s="10">
        <f>STANDARDIZE(TBL_DATA[[#This Row],[Hand (Length)]],O$63,O$62)</f>
        <v>7.7008562865651733E-2</v>
      </c>
      <c r="AD44" s="10">
        <f>STANDARDIZE(TBL_DATA[[#This Row],[Hand (Width)]],P$63,P$62)</f>
        <v>0.10474680420031697</v>
      </c>
      <c r="AE44" s="10">
        <f>STANDARDIZE(TBL_DATA[[#This Row],[Agility]],Q$63,Q$62)</f>
        <v>0.3821855888754353</v>
      </c>
      <c r="AF44" s="10">
        <f>STANDARDIZE(TBL_DATA[[#This Row],[Sprint]],R$63,R$62)</f>
        <v>-1.526580340457405</v>
      </c>
      <c r="AG44" s="10">
        <f>(10*TBL_DATA[[#This Row],[Z_Height (No Shoes)]])+50</f>
        <v>50.37300457107532</v>
      </c>
      <c r="AH44" s="10">
        <f>(10*TBL_DATA[[#This Row],[Z_Height (With Shoes)]])+50</f>
        <v>51.687139625355748</v>
      </c>
      <c r="AI44" s="10">
        <f>(10*TBL_DATA[[#This Row],[Z_Wingspan]])+50</f>
        <v>53.051263807488517</v>
      </c>
      <c r="AJ44" s="10">
        <f>(10*TBL_DATA[[#This Row],[Z_Standing reach]])+50</f>
        <v>52.790279960344819</v>
      </c>
      <c r="AK44" s="10">
        <f>(10*TBL_DATA[[#This Row],[Z_Vertical (Max)]])+50</f>
        <v>47.811969262203817</v>
      </c>
      <c r="AL44" s="10">
        <f>(10*TBL_DATA[[#This Row],[Z_Vertical (Max Reach)]])+50</f>
        <v>51.529552804234548</v>
      </c>
      <c r="AM44" s="10">
        <f>(10*TBL_DATA[[#This Row],[Z_Vertical (No Step)]])+50</f>
        <v>47.819090041152656</v>
      </c>
      <c r="AN44" s="10">
        <f>(10*TBL_DATA[[#This Row],[Z_Vertical (No Step Reach)]])+50</f>
        <v>51.848441536138665</v>
      </c>
      <c r="AO44" s="10">
        <f>(10*TBL_DATA[[#This Row],[Z_Weight]])+50</f>
        <v>53.029702195065191</v>
      </c>
      <c r="AP44" s="10">
        <f>(10*TBL_DATA[[#This Row],[Z_Body Fat]])+50</f>
        <v>47.925991326701947</v>
      </c>
      <c r="AQ44" s="10">
        <f>(10*TBL_DATA[[#This Row],[Z_Hand (Length)]])+50</f>
        <v>50.770085628656517</v>
      </c>
      <c r="AR44" s="10">
        <f>(10*TBL_DATA[[#This Row],[Z_Hand (Width)]])+50</f>
        <v>51.047468042003167</v>
      </c>
      <c r="AS44" s="10">
        <f>(10*TBL_DATA[[#This Row],[Z_Agility]])+50</f>
        <v>53.821855888754357</v>
      </c>
      <c r="AT44" s="10">
        <f>(10*TBL_DATA[[#This Row],[Z_Sprint]])+50</f>
        <v>34.734196595425949</v>
      </c>
      <c r="AU44" s="2">
        <f>SUM(TBL_DATA[[#This Row],[T_Height (No Shoes)]:[T_Sprint]])</f>
        <v>698.24004128460115</v>
      </c>
    </row>
    <row r="45" spans="1:47" x14ac:dyDescent="0.3">
      <c r="A45" s="8">
        <v>43</v>
      </c>
      <c r="B45" s="6" t="s">
        <v>60</v>
      </c>
      <c r="C45" s="7">
        <v>2014</v>
      </c>
      <c r="D45" s="2">
        <v>42</v>
      </c>
      <c r="E45" s="2">
        <v>73.5</v>
      </c>
      <c r="F45" s="2">
        <v>75</v>
      </c>
      <c r="G45" s="2">
        <v>79.25</v>
      </c>
      <c r="H45" s="2">
        <v>96.5</v>
      </c>
      <c r="I45" s="2">
        <v>41.5</v>
      </c>
      <c r="J45" s="2">
        <v>138</v>
      </c>
      <c r="K45" s="2">
        <v>33.5</v>
      </c>
      <c r="L45" s="2">
        <v>130</v>
      </c>
      <c r="M45" s="2">
        <v>198</v>
      </c>
      <c r="N45" s="2">
        <v>6.1</v>
      </c>
      <c r="O45" s="2">
        <v>8.75</v>
      </c>
      <c r="P45" s="2">
        <v>9.75</v>
      </c>
      <c r="Q45" s="2">
        <v>10.8</v>
      </c>
      <c r="R45" s="2">
        <v>3.27</v>
      </c>
      <c r="S45" s="10">
        <f>STANDARDIZE(TBL_DATA[[#This Row],[Height (No Shoes)]],E$63,E$62)</f>
        <v>-1.1416604193269828</v>
      </c>
      <c r="T45" s="10">
        <f>STANDARDIZE(TBL_DATA[[#This Row],[Height (With Shoes)]],F$63,F$62)</f>
        <v>-1.1261314084691645</v>
      </c>
      <c r="U45" s="10">
        <f>STANDARDIZE(TBL_DATA[[#This Row],[Wingspan]],G$63,G$62)</f>
        <v>-0.80699448190333478</v>
      </c>
      <c r="V45" s="10">
        <f>STANDARDIZE(TBL_DATA[[#This Row],[Standing reach]],H$63,H$62)</f>
        <v>-1.3555615410185848</v>
      </c>
      <c r="W45" s="10">
        <f>STANDARDIZE(TBL_DATA[[#This Row],[Vertical (Max)]],I$63,I$62)</f>
        <v>1.7912678306758094</v>
      </c>
      <c r="X45" s="10">
        <f>STANDARDIZE(TBL_DATA[[#This Row],[Vertical (Max Reach)]],J$63,J$62)</f>
        <v>3.1960804864600248E-2</v>
      </c>
      <c r="Y45" s="10">
        <f>STANDARDIZE(TBL_DATA[[#This Row],[Vertical (No Step)]],K$63,K$62)</f>
        <v>1.3230853750340539</v>
      </c>
      <c r="Z45" s="10">
        <f>STANDARDIZE(TBL_DATA[[#This Row],[Vertical (No Step Reach)]],L$63,L$62)</f>
        <v>-0.53199049088868267</v>
      </c>
      <c r="AA45" s="10">
        <f>STANDARDIZE(TBL_DATA[[#This Row],[Weight]],M$63,M$62)</f>
        <v>-0.59079192803771097</v>
      </c>
      <c r="AB45" s="10">
        <f>STANDARDIZE(TBL_DATA[[#This Row],[Body Fat]],N$63,N$62)</f>
        <v>-0.36377979605131933</v>
      </c>
      <c r="AC45" s="10">
        <f>STANDARDIZE(TBL_DATA[[#This Row],[Hand (Length)]],O$63,O$62)</f>
        <v>7.7008562865651733E-2</v>
      </c>
      <c r="AD45" s="10">
        <f>STANDARDIZE(TBL_DATA[[#This Row],[Hand (Width)]],P$63,P$62)</f>
        <v>0.7914202984023927</v>
      </c>
      <c r="AE45" s="10">
        <f>STANDARDIZE(TBL_DATA[[#This Row],[Agility]],Q$63,Q$62)</f>
        <v>-1.149699094181289</v>
      </c>
      <c r="AF45" s="10">
        <f>STANDARDIZE(TBL_DATA[[#This Row],[Sprint]],R$63,R$62)</f>
        <v>-0.32023616200297839</v>
      </c>
      <c r="AG45" s="10">
        <f>(10*TBL_DATA[[#This Row],[Z_Height (No Shoes)]])+50</f>
        <v>38.583395806730174</v>
      </c>
      <c r="AH45" s="10">
        <f>(10*TBL_DATA[[#This Row],[Z_Height (With Shoes)]])+50</f>
        <v>38.738685915308352</v>
      </c>
      <c r="AI45" s="10">
        <f>(10*TBL_DATA[[#This Row],[Z_Wingspan]])+50</f>
        <v>41.930055180966654</v>
      </c>
      <c r="AJ45" s="10">
        <f>(10*TBL_DATA[[#This Row],[Z_Standing reach]])+50</f>
        <v>36.444384589814149</v>
      </c>
      <c r="AK45" s="10">
        <f>(10*TBL_DATA[[#This Row],[Z_Vertical (Max)]])+50</f>
        <v>67.912678306758096</v>
      </c>
      <c r="AL45" s="10">
        <f>(10*TBL_DATA[[#This Row],[Z_Vertical (Max Reach)]])+50</f>
        <v>50.319608048646003</v>
      </c>
      <c r="AM45" s="10">
        <f>(10*TBL_DATA[[#This Row],[Z_Vertical (No Step)]])+50</f>
        <v>63.230853750340543</v>
      </c>
      <c r="AN45" s="10">
        <f>(10*TBL_DATA[[#This Row],[Z_Vertical (No Step Reach)]])+50</f>
        <v>44.680095091113174</v>
      </c>
      <c r="AO45" s="10">
        <f>(10*TBL_DATA[[#This Row],[Z_Weight]])+50</f>
        <v>44.092080719622892</v>
      </c>
      <c r="AP45" s="10">
        <f>(10*TBL_DATA[[#This Row],[Z_Body Fat]])+50</f>
        <v>46.362202039486803</v>
      </c>
      <c r="AQ45" s="10">
        <f>(10*TBL_DATA[[#This Row],[Z_Hand (Length)]])+50</f>
        <v>50.770085628656517</v>
      </c>
      <c r="AR45" s="10">
        <f>(10*TBL_DATA[[#This Row],[Z_Hand (Width)]])+50</f>
        <v>57.91420298402393</v>
      </c>
      <c r="AS45" s="10">
        <f>(10*TBL_DATA[[#This Row],[Z_Agility]])+50</f>
        <v>38.503009058187111</v>
      </c>
      <c r="AT45" s="10">
        <f>(10*TBL_DATA[[#This Row],[Z_Sprint]])+50</f>
        <v>46.797638379970216</v>
      </c>
      <c r="AU45" s="2">
        <f>SUM(TBL_DATA[[#This Row],[T_Height (No Shoes)]:[T_Sprint]])</f>
        <v>666.27897549962461</v>
      </c>
    </row>
    <row r="46" spans="1:47" x14ac:dyDescent="0.3">
      <c r="A46" s="8">
        <v>44</v>
      </c>
      <c r="B46" s="6" t="s">
        <v>61</v>
      </c>
      <c r="C46" s="7">
        <v>2014</v>
      </c>
      <c r="D46" s="2">
        <v>8</v>
      </c>
      <c r="E46" s="2">
        <v>77.25</v>
      </c>
      <c r="F46" s="2">
        <v>78.5</v>
      </c>
      <c r="G46" s="2">
        <v>79.75</v>
      </c>
      <c r="H46" s="2">
        <v>102</v>
      </c>
      <c r="I46" s="2">
        <v>35.5</v>
      </c>
      <c r="J46" s="2">
        <v>137.5</v>
      </c>
      <c r="K46" s="2">
        <v>29</v>
      </c>
      <c r="L46" s="2">
        <v>131</v>
      </c>
      <c r="M46" s="2">
        <v>207</v>
      </c>
      <c r="N46" s="2">
        <v>12.1</v>
      </c>
      <c r="O46" s="2">
        <v>8.5</v>
      </c>
      <c r="P46" s="2">
        <v>8.5</v>
      </c>
      <c r="Q46" s="2">
        <v>10.79</v>
      </c>
      <c r="R46" s="2">
        <v>3.27</v>
      </c>
      <c r="S46" s="10">
        <f>STANDARDIZE(TBL_DATA[[#This Row],[Height (No Shoes)]],E$63,E$62)</f>
        <v>3.7300457107532305E-2</v>
      </c>
      <c r="T46" s="10">
        <f>STANDARDIZE(TBL_DATA[[#This Row],[Height (With Shoes)]],F$63,F$62)</f>
        <v>6.8582911599824959E-3</v>
      </c>
      <c r="U46" s="10">
        <f>STANDARDIZE(TBL_DATA[[#This Row],[Wingspan]],G$63,G$62)</f>
        <v>-0.6679793740718114</v>
      </c>
      <c r="V46" s="10">
        <f>STANDARDIZE(TBL_DATA[[#This Row],[Standing reach]],H$63,H$62)</f>
        <v>-7.1241190476889343E-2</v>
      </c>
      <c r="W46" s="10">
        <f>STANDARDIZE(TBL_DATA[[#This Row],[Vertical (Max)]],I$63,I$62)</f>
        <v>-6.4182234975354649E-2</v>
      </c>
      <c r="X46" s="10">
        <f>STANDARDIZE(TBL_DATA[[#This Row],[Vertical (Max Reach)]],J$63,J$62)</f>
        <v>-8.9033670694254344E-2</v>
      </c>
      <c r="Y46" s="10">
        <f>STANDARDIZE(TBL_DATA[[#This Row],[Vertical (No Step)]],K$63,K$62)</f>
        <v>-0.41073804224958327</v>
      </c>
      <c r="Z46" s="10">
        <f>STANDARDIZE(TBL_DATA[[#This Row],[Vertical (No Step Reach)]],L$63,L$62)</f>
        <v>-0.29304560938783281</v>
      </c>
      <c r="AA46" s="10">
        <f>STANDARDIZE(TBL_DATA[[#This Row],[Weight]],M$63,M$62)</f>
        <v>-0.20775100766161228</v>
      </c>
      <c r="AB46" s="10">
        <f>STANDARDIZE(TBL_DATA[[#This Row],[Body Fat]],N$63,N$62)</f>
        <v>1.9819041347713928</v>
      </c>
      <c r="AC46" s="10">
        <f>STANDARDIZE(TBL_DATA[[#This Row],[Hand (Length)]],O$63,O$62)</f>
        <v>-0.49092958826853128</v>
      </c>
      <c r="AD46" s="10">
        <f>STANDARDIZE(TBL_DATA[[#This Row],[Hand (Width)]],P$63,P$62)</f>
        <v>-0.92526343710279668</v>
      </c>
      <c r="AE46" s="10">
        <f>STANDARDIZE(TBL_DATA[[#This Row],[Agility]],Q$63,Q$62)</f>
        <v>-1.1701242232887152</v>
      </c>
      <c r="AF46" s="10">
        <f>STANDARDIZE(TBL_DATA[[#This Row],[Sprint]],R$63,R$62)</f>
        <v>-0.32023616200297839</v>
      </c>
      <c r="AG46" s="10">
        <f>(10*TBL_DATA[[#This Row],[Z_Height (No Shoes)]])+50</f>
        <v>50.37300457107532</v>
      </c>
      <c r="AH46" s="10">
        <f>(10*TBL_DATA[[#This Row],[Z_Height (With Shoes)]])+50</f>
        <v>50.068582911599826</v>
      </c>
      <c r="AI46" s="10">
        <f>(10*TBL_DATA[[#This Row],[Z_Wingspan]])+50</f>
        <v>43.320206259281889</v>
      </c>
      <c r="AJ46" s="10">
        <f>(10*TBL_DATA[[#This Row],[Z_Standing reach]])+50</f>
        <v>49.287588095231108</v>
      </c>
      <c r="AK46" s="10">
        <f>(10*TBL_DATA[[#This Row],[Z_Vertical (Max)]])+50</f>
        <v>49.358177650246454</v>
      </c>
      <c r="AL46" s="10">
        <f>(10*TBL_DATA[[#This Row],[Z_Vertical (Max Reach)]])+50</f>
        <v>49.109663293057459</v>
      </c>
      <c r="AM46" s="10">
        <f>(10*TBL_DATA[[#This Row],[Z_Vertical (No Step)]])+50</f>
        <v>45.892619577504163</v>
      </c>
      <c r="AN46" s="10">
        <f>(10*TBL_DATA[[#This Row],[Z_Vertical (No Step Reach)]])+50</f>
        <v>47.069543906121673</v>
      </c>
      <c r="AO46" s="10">
        <f>(10*TBL_DATA[[#This Row],[Z_Weight]])+50</f>
        <v>47.922489923383878</v>
      </c>
      <c r="AP46" s="10">
        <f>(10*TBL_DATA[[#This Row],[Z_Body Fat]])+50</f>
        <v>69.81904134771392</v>
      </c>
      <c r="AQ46" s="10">
        <f>(10*TBL_DATA[[#This Row],[Z_Hand (Length)]])+50</f>
        <v>45.090704117314687</v>
      </c>
      <c r="AR46" s="10">
        <f>(10*TBL_DATA[[#This Row],[Z_Hand (Width)]])+50</f>
        <v>40.747365628972034</v>
      </c>
      <c r="AS46" s="10">
        <f>(10*TBL_DATA[[#This Row],[Z_Agility]])+50</f>
        <v>38.298757767112846</v>
      </c>
      <c r="AT46" s="10">
        <f>(10*TBL_DATA[[#This Row],[Z_Sprint]])+50</f>
        <v>46.797638379970216</v>
      </c>
      <c r="AU46" s="2">
        <f>SUM(TBL_DATA[[#This Row],[T_Height (No Shoes)]:[T_Sprint]])</f>
        <v>673.15538342858542</v>
      </c>
    </row>
    <row r="47" spans="1:47" x14ac:dyDescent="0.3">
      <c r="A47" s="8">
        <v>45</v>
      </c>
      <c r="B47" s="6" t="s">
        <v>62</v>
      </c>
      <c r="C47" s="7">
        <v>2014</v>
      </c>
      <c r="D47" s="2">
        <v>9</v>
      </c>
      <c r="E47" s="2">
        <v>80</v>
      </c>
      <c r="F47" s="2">
        <v>81.5</v>
      </c>
      <c r="G47" s="2">
        <v>88.25</v>
      </c>
      <c r="H47" s="2">
        <v>108</v>
      </c>
      <c r="I47" s="2">
        <v>37</v>
      </c>
      <c r="J47" s="2">
        <v>145</v>
      </c>
      <c r="K47" s="2">
        <v>31</v>
      </c>
      <c r="L47" s="2">
        <v>139</v>
      </c>
      <c r="M47" s="2">
        <v>247</v>
      </c>
      <c r="N47" s="2">
        <v>7.3</v>
      </c>
      <c r="O47" s="2">
        <v>9.75</v>
      </c>
      <c r="P47" s="2">
        <v>11.75</v>
      </c>
      <c r="Q47" s="2">
        <v>11.45</v>
      </c>
      <c r="R47" s="2">
        <v>3.28</v>
      </c>
      <c r="S47" s="10">
        <f>STANDARDIZE(TBL_DATA[[#This Row],[Height (No Shoes)]],E$63,E$62)</f>
        <v>0.9018717664928434</v>
      </c>
      <c r="T47" s="10">
        <f>STANDARDIZE(TBL_DATA[[#This Row],[Height (With Shoes)]],F$63,F$62)</f>
        <v>0.97799231941353704</v>
      </c>
      <c r="U47" s="10">
        <f>STANDARDIZE(TBL_DATA[[#This Row],[Wingspan]],G$63,G$62)</f>
        <v>1.6952774590640853</v>
      </c>
      <c r="V47" s="10">
        <f>STANDARDIZE(TBL_DATA[[#This Row],[Standing reach]],H$63,H$62)</f>
        <v>1.3298355555685966</v>
      </c>
      <c r="W47" s="10">
        <f>STANDARDIZE(TBL_DATA[[#This Row],[Vertical (Max)]],I$63,I$62)</f>
        <v>0.39968028143743639</v>
      </c>
      <c r="X47" s="10">
        <f>STANDARDIZE(TBL_DATA[[#This Row],[Vertical (Max Reach)]],J$63,J$62)</f>
        <v>1.7258834626885644</v>
      </c>
      <c r="Y47" s="10">
        <f>STANDARDIZE(TBL_DATA[[#This Row],[Vertical (No Step)]],K$63,K$62)</f>
        <v>0.35985014320981101</v>
      </c>
      <c r="Z47" s="10">
        <f>STANDARDIZE(TBL_DATA[[#This Row],[Vertical (No Step Reach)]],L$63,L$62)</f>
        <v>1.618513442618966</v>
      </c>
      <c r="AA47" s="10">
        <f>STANDARDIZE(TBL_DATA[[#This Row],[Weight]],M$63,M$62)</f>
        <v>1.4946530828988263</v>
      </c>
      <c r="AB47" s="10">
        <f>STANDARDIZE(TBL_DATA[[#This Row],[Body Fat]],N$63,N$62)</f>
        <v>0.10535699011322319</v>
      </c>
      <c r="AC47" s="10">
        <f>STANDARDIZE(TBL_DATA[[#This Row],[Hand (Length)]],O$63,O$62)</f>
        <v>2.3487611674023836</v>
      </c>
      <c r="AD47" s="10">
        <f>STANDARDIZE(TBL_DATA[[#This Row],[Hand (Width)]],P$63,P$62)</f>
        <v>3.5381142752106958</v>
      </c>
      <c r="AE47" s="10">
        <f>STANDARDIZE(TBL_DATA[[#This Row],[Agility]],Q$63,Q$62)</f>
        <v>0.17793429780120251</v>
      </c>
      <c r="AF47" s="10">
        <f>STANDARDIZE(TBL_DATA[[#This Row],[Sprint]],R$63,R$62)</f>
        <v>-0.22744045596802442</v>
      </c>
      <c r="AG47" s="10">
        <f>(10*TBL_DATA[[#This Row],[Z_Height (No Shoes)]])+50</f>
        <v>59.018717664928431</v>
      </c>
      <c r="AH47" s="10">
        <f>(10*TBL_DATA[[#This Row],[Z_Height (With Shoes)]])+50</f>
        <v>59.779923194135371</v>
      </c>
      <c r="AI47" s="10">
        <f>(10*TBL_DATA[[#This Row],[Z_Wingspan]])+50</f>
        <v>66.952774590640857</v>
      </c>
      <c r="AJ47" s="10">
        <f>(10*TBL_DATA[[#This Row],[Z_Standing reach]])+50</f>
        <v>63.298355555685966</v>
      </c>
      <c r="AK47" s="10">
        <f>(10*TBL_DATA[[#This Row],[Z_Vertical (Max)]])+50</f>
        <v>53.996802814374362</v>
      </c>
      <c r="AL47" s="10">
        <f>(10*TBL_DATA[[#This Row],[Z_Vertical (Max Reach)]])+50</f>
        <v>67.258834626885644</v>
      </c>
      <c r="AM47" s="10">
        <f>(10*TBL_DATA[[#This Row],[Z_Vertical (No Step)]])+50</f>
        <v>53.598501432098111</v>
      </c>
      <c r="AN47" s="10">
        <f>(10*TBL_DATA[[#This Row],[Z_Vertical (No Step Reach)]])+50</f>
        <v>66.185134426189663</v>
      </c>
      <c r="AO47" s="10">
        <f>(10*TBL_DATA[[#This Row],[Z_Weight]])+50</f>
        <v>64.946530828988259</v>
      </c>
      <c r="AP47" s="10">
        <f>(10*TBL_DATA[[#This Row],[Z_Body Fat]])+50</f>
        <v>51.053569901132235</v>
      </c>
      <c r="AQ47" s="10">
        <f>(10*TBL_DATA[[#This Row],[Z_Hand (Length)]])+50</f>
        <v>73.487611674023839</v>
      </c>
      <c r="AR47" s="10">
        <f>(10*TBL_DATA[[#This Row],[Z_Hand (Width)]])+50</f>
        <v>85.381142752106967</v>
      </c>
      <c r="AS47" s="10">
        <f>(10*TBL_DATA[[#This Row],[Z_Agility]])+50</f>
        <v>51.779342978012025</v>
      </c>
      <c r="AT47" s="10">
        <f>(10*TBL_DATA[[#This Row],[Z_Sprint]])+50</f>
        <v>47.725595440319758</v>
      </c>
      <c r="AU47" s="2">
        <f>SUM(TBL_DATA[[#This Row],[T_Height (No Shoes)]:[T_Sprint]])</f>
        <v>864.46283787952143</v>
      </c>
    </row>
    <row r="48" spans="1:47" x14ac:dyDescent="0.3">
      <c r="A48" s="8">
        <v>46</v>
      </c>
      <c r="B48" s="6" t="s">
        <v>63</v>
      </c>
      <c r="C48" s="7">
        <v>2014</v>
      </c>
      <c r="D48" s="2">
        <v>26</v>
      </c>
      <c r="E48" s="2">
        <v>76.25</v>
      </c>
      <c r="F48" s="2">
        <v>77.25</v>
      </c>
      <c r="G48" s="2">
        <v>81</v>
      </c>
      <c r="H48" s="2">
        <v>101</v>
      </c>
      <c r="I48" s="2">
        <v>37</v>
      </c>
      <c r="J48" s="2">
        <v>138</v>
      </c>
      <c r="K48" s="2">
        <v>32</v>
      </c>
      <c r="L48" s="2">
        <v>133</v>
      </c>
      <c r="M48" s="2">
        <v>229</v>
      </c>
      <c r="N48" s="2">
        <v>8.1999999999999993</v>
      </c>
      <c r="O48" s="2">
        <v>8.75</v>
      </c>
      <c r="P48" s="2">
        <v>9.75</v>
      </c>
      <c r="Q48" s="2">
        <v>11.12</v>
      </c>
      <c r="R48" s="2">
        <v>3.32</v>
      </c>
      <c r="S48" s="10">
        <f>STANDARDIZE(TBL_DATA[[#This Row],[Height (No Shoes)]],E$63,E$62)</f>
        <v>-0.27708910994167174</v>
      </c>
      <c r="T48" s="10">
        <f>STANDARDIZE(TBL_DATA[[#This Row],[Height (With Shoes)]],F$63,F$62)</f>
        <v>-0.39778088727899857</v>
      </c>
      <c r="U48" s="10">
        <f>STANDARDIZE(TBL_DATA[[#This Row],[Wingspan]],G$63,G$62)</f>
        <v>-0.32044160449300307</v>
      </c>
      <c r="V48" s="10">
        <f>STANDARDIZE(TBL_DATA[[#This Row],[Standing reach]],H$63,H$62)</f>
        <v>-0.30475398148447036</v>
      </c>
      <c r="W48" s="10">
        <f>STANDARDIZE(TBL_DATA[[#This Row],[Vertical (Max)]],I$63,I$62)</f>
        <v>0.39968028143743639</v>
      </c>
      <c r="X48" s="10">
        <f>STANDARDIZE(TBL_DATA[[#This Row],[Vertical (Max Reach)]],J$63,J$62)</f>
        <v>3.1960804864600248E-2</v>
      </c>
      <c r="Y48" s="10">
        <f>STANDARDIZE(TBL_DATA[[#This Row],[Vertical (No Step)]],K$63,K$62)</f>
        <v>0.74514423593950807</v>
      </c>
      <c r="Z48" s="10">
        <f>STANDARDIZE(TBL_DATA[[#This Row],[Vertical (No Step Reach)]],L$63,L$62)</f>
        <v>0.18484415361386689</v>
      </c>
      <c r="AA48" s="10">
        <f>STANDARDIZE(TBL_DATA[[#This Row],[Weight]],M$63,M$62)</f>
        <v>0.72857124214662894</v>
      </c>
      <c r="AB48" s="10">
        <f>STANDARDIZE(TBL_DATA[[#This Row],[Body Fat]],N$63,N$62)</f>
        <v>0.45720957973662979</v>
      </c>
      <c r="AC48" s="10">
        <f>STANDARDIZE(TBL_DATA[[#This Row],[Hand (Length)]],O$63,O$62)</f>
        <v>7.7008562865651733E-2</v>
      </c>
      <c r="AD48" s="10">
        <f>STANDARDIZE(TBL_DATA[[#This Row],[Hand (Width)]],P$63,P$62)</f>
        <v>0.7914202984023927</v>
      </c>
      <c r="AE48" s="10">
        <f>STANDARDIZE(TBL_DATA[[#This Row],[Agility]],Q$63,Q$62)</f>
        <v>-0.49609496274375636</v>
      </c>
      <c r="AF48" s="10">
        <f>STANDARDIZE(TBL_DATA[[#This Row],[Sprint]],R$63,R$62)</f>
        <v>0.14374236817179981</v>
      </c>
      <c r="AG48" s="10">
        <f>(10*TBL_DATA[[#This Row],[Z_Height (No Shoes)]])+50</f>
        <v>47.229108900583284</v>
      </c>
      <c r="AH48" s="10">
        <f>(10*TBL_DATA[[#This Row],[Z_Height (With Shoes)]])+50</f>
        <v>46.022191127210014</v>
      </c>
      <c r="AI48" s="10">
        <f>(10*TBL_DATA[[#This Row],[Z_Wingspan]])+50</f>
        <v>46.795583955069972</v>
      </c>
      <c r="AJ48" s="10">
        <f>(10*TBL_DATA[[#This Row],[Z_Standing reach]])+50</f>
        <v>46.952460185155296</v>
      </c>
      <c r="AK48" s="10">
        <f>(10*TBL_DATA[[#This Row],[Z_Vertical (Max)]])+50</f>
        <v>53.996802814374362</v>
      </c>
      <c r="AL48" s="10">
        <f>(10*TBL_DATA[[#This Row],[Z_Vertical (Max Reach)]])+50</f>
        <v>50.319608048646003</v>
      </c>
      <c r="AM48" s="10">
        <f>(10*TBL_DATA[[#This Row],[Z_Vertical (No Step)]])+50</f>
        <v>57.451442359395081</v>
      </c>
      <c r="AN48" s="10">
        <f>(10*TBL_DATA[[#This Row],[Z_Vertical (No Step Reach)]])+50</f>
        <v>51.848441536138665</v>
      </c>
      <c r="AO48" s="10">
        <f>(10*TBL_DATA[[#This Row],[Z_Weight]])+50</f>
        <v>57.285712421466286</v>
      </c>
      <c r="AP48" s="10">
        <f>(10*TBL_DATA[[#This Row],[Z_Body Fat]])+50</f>
        <v>54.572095797366302</v>
      </c>
      <c r="AQ48" s="10">
        <f>(10*TBL_DATA[[#This Row],[Z_Hand (Length)]])+50</f>
        <v>50.770085628656517</v>
      </c>
      <c r="AR48" s="10">
        <f>(10*TBL_DATA[[#This Row],[Z_Hand (Width)]])+50</f>
        <v>57.91420298402393</v>
      </c>
      <c r="AS48" s="10">
        <f>(10*TBL_DATA[[#This Row],[Z_Agility]])+50</f>
        <v>45.039050372562436</v>
      </c>
      <c r="AT48" s="10">
        <f>(10*TBL_DATA[[#This Row],[Z_Sprint]])+50</f>
        <v>51.437423681717995</v>
      </c>
      <c r="AU48" s="2">
        <f>SUM(TBL_DATA[[#This Row],[T_Height (No Shoes)]:[T_Sprint]])</f>
        <v>717.63420981236607</v>
      </c>
    </row>
    <row r="49" spans="1:47" x14ac:dyDescent="0.3">
      <c r="A49" s="8">
        <v>47</v>
      </c>
      <c r="B49" s="6" t="s">
        <v>64</v>
      </c>
      <c r="C49" s="7">
        <v>2014</v>
      </c>
      <c r="D49" s="2"/>
      <c r="E49" s="2">
        <v>80.5</v>
      </c>
      <c r="F49" s="2">
        <v>82</v>
      </c>
      <c r="G49" s="2">
        <v>85.75</v>
      </c>
      <c r="H49" s="2">
        <v>103.5</v>
      </c>
      <c r="I49" s="2">
        <v>37.5</v>
      </c>
      <c r="J49" s="2">
        <v>141</v>
      </c>
      <c r="K49" s="2">
        <v>32</v>
      </c>
      <c r="L49" s="2">
        <v>135.5</v>
      </c>
      <c r="M49" s="2">
        <v>247</v>
      </c>
      <c r="N49" s="2">
        <v>5.5</v>
      </c>
      <c r="O49" s="2">
        <v>9.25</v>
      </c>
      <c r="P49" s="2">
        <v>9.5</v>
      </c>
      <c r="Q49" s="2">
        <v>11.18</v>
      </c>
      <c r="R49" s="2">
        <v>3.43</v>
      </c>
      <c r="S49" s="10">
        <f>STANDARDIZE(TBL_DATA[[#This Row],[Height (No Shoes)]],E$63,E$62)</f>
        <v>1.0590665500174454</v>
      </c>
      <c r="T49" s="10">
        <f>STANDARDIZE(TBL_DATA[[#This Row],[Height (With Shoes)]],F$63,F$62)</f>
        <v>1.1398479907891295</v>
      </c>
      <c r="U49" s="10">
        <f>STANDARDIZE(TBL_DATA[[#This Row],[Wingspan]],G$63,G$62)</f>
        <v>1.0002019199064687</v>
      </c>
      <c r="V49" s="10">
        <f>STANDARDIZE(TBL_DATA[[#This Row],[Standing reach]],H$63,H$62)</f>
        <v>0.27902799603448214</v>
      </c>
      <c r="W49" s="10">
        <f>STANDARDIZE(TBL_DATA[[#This Row],[Vertical (Max)]],I$63,I$62)</f>
        <v>0.55430112024170008</v>
      </c>
      <c r="X49" s="10">
        <f>STANDARDIZE(TBL_DATA[[#This Row],[Vertical (Max Reach)]],J$63,J$62)</f>
        <v>0.75792765821772778</v>
      </c>
      <c r="Y49" s="10">
        <f>STANDARDIZE(TBL_DATA[[#This Row],[Vertical (No Step)]],K$63,K$62)</f>
        <v>0.74514423593950807</v>
      </c>
      <c r="Z49" s="10">
        <f>STANDARDIZE(TBL_DATA[[#This Row],[Vertical (No Step Reach)]],L$63,L$62)</f>
        <v>0.78220635736599153</v>
      </c>
      <c r="AA49" s="10">
        <f>STANDARDIZE(TBL_DATA[[#This Row],[Weight]],M$63,M$62)</f>
        <v>1.4946530828988263</v>
      </c>
      <c r="AB49" s="10">
        <f>STANDARDIZE(TBL_DATA[[#This Row],[Body Fat]],N$63,N$62)</f>
        <v>-0.59834818913359034</v>
      </c>
      <c r="AC49" s="10">
        <f>STANDARDIZE(TBL_DATA[[#This Row],[Hand (Length)]],O$63,O$62)</f>
        <v>1.2128848651340178</v>
      </c>
      <c r="AD49" s="10">
        <f>STANDARDIZE(TBL_DATA[[#This Row],[Hand (Width)]],P$63,P$62)</f>
        <v>0.44808355130135485</v>
      </c>
      <c r="AE49" s="10">
        <f>STANDARDIZE(TBL_DATA[[#This Row],[Agility]],Q$63,Q$62)</f>
        <v>-0.37354418809921741</v>
      </c>
      <c r="AF49" s="10">
        <f>STANDARDIZE(TBL_DATA[[#This Row],[Sprint]],R$63,R$62)</f>
        <v>1.1644951345563184</v>
      </c>
      <c r="AG49" s="10">
        <f>(10*TBL_DATA[[#This Row],[Z_Height (No Shoes)]])+50</f>
        <v>60.590665500174453</v>
      </c>
      <c r="AH49" s="10">
        <f>(10*TBL_DATA[[#This Row],[Z_Height (With Shoes)]])+50</f>
        <v>61.398479907891293</v>
      </c>
      <c r="AI49" s="10">
        <f>(10*TBL_DATA[[#This Row],[Z_Wingspan]])+50</f>
        <v>60.002019199064691</v>
      </c>
      <c r="AJ49" s="10">
        <f>(10*TBL_DATA[[#This Row],[Z_Standing reach]])+50</f>
        <v>52.790279960344819</v>
      </c>
      <c r="AK49" s="10">
        <f>(10*TBL_DATA[[#This Row],[Z_Vertical (Max)]])+50</f>
        <v>55.543011202416999</v>
      </c>
      <c r="AL49" s="10">
        <f>(10*TBL_DATA[[#This Row],[Z_Vertical (Max Reach)]])+50</f>
        <v>57.579276582177279</v>
      </c>
      <c r="AM49" s="10">
        <f>(10*TBL_DATA[[#This Row],[Z_Vertical (No Step)]])+50</f>
        <v>57.451442359395081</v>
      </c>
      <c r="AN49" s="10">
        <f>(10*TBL_DATA[[#This Row],[Z_Vertical (No Step Reach)]])+50</f>
        <v>57.822063573659918</v>
      </c>
      <c r="AO49" s="10">
        <f>(10*TBL_DATA[[#This Row],[Z_Weight]])+50</f>
        <v>64.946530828988259</v>
      </c>
      <c r="AP49" s="10">
        <f>(10*TBL_DATA[[#This Row],[Z_Body Fat]])+50</f>
        <v>44.016518108664094</v>
      </c>
      <c r="AQ49" s="10">
        <f>(10*TBL_DATA[[#This Row],[Z_Hand (Length)]])+50</f>
        <v>62.128848651340178</v>
      </c>
      <c r="AR49" s="10">
        <f>(10*TBL_DATA[[#This Row],[Z_Hand (Width)]])+50</f>
        <v>54.480835513013545</v>
      </c>
      <c r="AS49" s="10">
        <f>(10*TBL_DATA[[#This Row],[Z_Agility]])+50</f>
        <v>46.264558119007823</v>
      </c>
      <c r="AT49" s="10">
        <f>(10*TBL_DATA[[#This Row],[Z_Sprint]])+50</f>
        <v>61.644951345563186</v>
      </c>
      <c r="AU49" s="2">
        <f>SUM(TBL_DATA[[#This Row],[T_Height (No Shoes)]:[T_Sprint]])</f>
        <v>796.65948085170146</v>
      </c>
    </row>
    <row r="50" spans="1:47" x14ac:dyDescent="0.3">
      <c r="A50" s="8">
        <v>48</v>
      </c>
      <c r="B50" s="6" t="s">
        <v>65</v>
      </c>
      <c r="C50" s="7">
        <v>2014</v>
      </c>
      <c r="D50" s="2">
        <v>23</v>
      </c>
      <c r="E50" s="2">
        <v>79.25</v>
      </c>
      <c r="F50" s="2">
        <v>80.5</v>
      </c>
      <c r="G50" s="2">
        <v>80.5</v>
      </c>
      <c r="H50" s="2">
        <v>103</v>
      </c>
      <c r="I50" s="2">
        <v>36</v>
      </c>
      <c r="J50" s="2">
        <v>139</v>
      </c>
      <c r="K50" s="2">
        <v>29</v>
      </c>
      <c r="L50" s="2">
        <v>132</v>
      </c>
      <c r="M50" s="2">
        <v>208</v>
      </c>
      <c r="N50" s="2">
        <v>7.5</v>
      </c>
      <c r="O50" s="2">
        <v>8.5</v>
      </c>
      <c r="P50" s="2">
        <v>8.5</v>
      </c>
      <c r="Q50" s="2">
        <v>11.21</v>
      </c>
      <c r="R50" s="2">
        <v>3.38</v>
      </c>
      <c r="S50" s="10">
        <f>STANDARDIZE(TBL_DATA[[#This Row],[Height (No Shoes)]],E$63,E$62)</f>
        <v>0.66607959120594029</v>
      </c>
      <c r="T50" s="10">
        <f>STANDARDIZE(TBL_DATA[[#This Row],[Height (With Shoes)]],F$63,F$62)</f>
        <v>0.65428097666235219</v>
      </c>
      <c r="U50" s="10">
        <f>STANDARDIZE(TBL_DATA[[#This Row],[Wingspan]],G$63,G$62)</f>
        <v>-0.45945671232452645</v>
      </c>
      <c r="V50" s="10">
        <f>STANDARDIZE(TBL_DATA[[#This Row],[Standing reach]],H$63,H$62)</f>
        <v>0.16227160053069165</v>
      </c>
      <c r="W50" s="10">
        <f>STANDARDIZE(TBL_DATA[[#This Row],[Vertical (Max)]],I$63,I$62)</f>
        <v>9.0438603828909031E-2</v>
      </c>
      <c r="X50" s="10">
        <f>STANDARDIZE(TBL_DATA[[#This Row],[Vertical (Max Reach)]],J$63,J$62)</f>
        <v>0.27394975598230942</v>
      </c>
      <c r="Y50" s="10">
        <f>STANDARDIZE(TBL_DATA[[#This Row],[Vertical (No Step)]],K$63,K$62)</f>
        <v>-0.41073804224958327</v>
      </c>
      <c r="Z50" s="10">
        <f>STANDARDIZE(TBL_DATA[[#This Row],[Vertical (No Step Reach)]],L$63,L$62)</f>
        <v>-5.4100727886982947E-2</v>
      </c>
      <c r="AA50" s="10">
        <f>STANDARDIZE(TBL_DATA[[#This Row],[Weight]],M$63,M$62)</f>
        <v>-0.16519090539760131</v>
      </c>
      <c r="AB50" s="10">
        <f>STANDARDIZE(TBL_DATA[[#This Row],[Body Fat]],N$63,N$62)</f>
        <v>0.18354645447398032</v>
      </c>
      <c r="AC50" s="10">
        <f>STANDARDIZE(TBL_DATA[[#This Row],[Hand (Length)]],O$63,O$62)</f>
        <v>-0.49092958826853128</v>
      </c>
      <c r="AD50" s="10">
        <f>STANDARDIZE(TBL_DATA[[#This Row],[Hand (Width)]],P$63,P$62)</f>
        <v>-0.92526343710279668</v>
      </c>
      <c r="AE50" s="10">
        <f>STANDARDIZE(TBL_DATA[[#This Row],[Agility]],Q$63,Q$62)</f>
        <v>-0.31226880077694608</v>
      </c>
      <c r="AF50" s="10">
        <f>STANDARDIZE(TBL_DATA[[#This Row],[Sprint]],R$63,R$62)</f>
        <v>0.70051660438153607</v>
      </c>
      <c r="AG50" s="10">
        <f>(10*TBL_DATA[[#This Row],[Z_Height (No Shoes)]])+50</f>
        <v>56.660795912059399</v>
      </c>
      <c r="AH50" s="10">
        <f>(10*TBL_DATA[[#This Row],[Z_Height (With Shoes)]])+50</f>
        <v>56.54280976662352</v>
      </c>
      <c r="AI50" s="10">
        <f>(10*TBL_DATA[[#This Row],[Z_Wingspan]])+50</f>
        <v>45.405432876754737</v>
      </c>
      <c r="AJ50" s="10">
        <f>(10*TBL_DATA[[#This Row],[Z_Standing reach]])+50</f>
        <v>51.62271600530692</v>
      </c>
      <c r="AK50" s="10">
        <f>(10*TBL_DATA[[#This Row],[Z_Vertical (Max)]])+50</f>
        <v>50.90438603828909</v>
      </c>
      <c r="AL50" s="10">
        <f>(10*TBL_DATA[[#This Row],[Z_Vertical (Max Reach)]])+50</f>
        <v>52.739497559823093</v>
      </c>
      <c r="AM50" s="10">
        <f>(10*TBL_DATA[[#This Row],[Z_Vertical (No Step)]])+50</f>
        <v>45.892619577504163</v>
      </c>
      <c r="AN50" s="10">
        <f>(10*TBL_DATA[[#This Row],[Z_Vertical (No Step Reach)]])+50</f>
        <v>49.458992721130173</v>
      </c>
      <c r="AO50" s="10">
        <f>(10*TBL_DATA[[#This Row],[Z_Weight]])+50</f>
        <v>48.348090946023987</v>
      </c>
      <c r="AP50" s="10">
        <f>(10*TBL_DATA[[#This Row],[Z_Body Fat]])+50</f>
        <v>51.8354645447398</v>
      </c>
      <c r="AQ50" s="10">
        <f>(10*TBL_DATA[[#This Row],[Z_Hand (Length)]])+50</f>
        <v>45.090704117314687</v>
      </c>
      <c r="AR50" s="10">
        <f>(10*TBL_DATA[[#This Row],[Z_Hand (Width)]])+50</f>
        <v>40.747365628972034</v>
      </c>
      <c r="AS50" s="10">
        <f>(10*TBL_DATA[[#This Row],[Z_Agility]])+50</f>
        <v>46.877311992230538</v>
      </c>
      <c r="AT50" s="10">
        <f>(10*TBL_DATA[[#This Row],[Z_Sprint]])+50</f>
        <v>57.005166043815365</v>
      </c>
      <c r="AU50" s="2">
        <f>SUM(TBL_DATA[[#This Row],[T_Height (No Shoes)]:[T_Sprint]])</f>
        <v>699.13135373058753</v>
      </c>
    </row>
    <row r="51" spans="1:47" x14ac:dyDescent="0.3">
      <c r="A51" s="8">
        <v>49</v>
      </c>
      <c r="B51" s="6" t="s">
        <v>66</v>
      </c>
      <c r="C51" s="7">
        <v>2014</v>
      </c>
      <c r="D51" s="2">
        <v>47</v>
      </c>
      <c r="E51" s="2">
        <v>71.5</v>
      </c>
      <c r="F51" s="2">
        <v>72.75</v>
      </c>
      <c r="G51" s="2">
        <v>75.5</v>
      </c>
      <c r="H51" s="2">
        <v>95</v>
      </c>
      <c r="I51" s="2">
        <v>34</v>
      </c>
      <c r="J51" s="2">
        <v>129</v>
      </c>
      <c r="K51" s="2">
        <v>29.5</v>
      </c>
      <c r="L51" s="2">
        <v>124.5</v>
      </c>
      <c r="M51" s="2">
        <v>160</v>
      </c>
      <c r="N51" s="2">
        <v>3.5</v>
      </c>
      <c r="O51" s="2">
        <v>8.25</v>
      </c>
      <c r="P51" s="2">
        <v>8.5</v>
      </c>
      <c r="Q51" s="2">
        <v>11.57</v>
      </c>
      <c r="R51" s="2">
        <v>3.27</v>
      </c>
      <c r="S51" s="10">
        <f>STANDARDIZE(TBL_DATA[[#This Row],[Height (No Shoes)]],E$63,E$62)</f>
        <v>-1.7704395534253907</v>
      </c>
      <c r="T51" s="10">
        <f>STANDARDIZE(TBL_DATA[[#This Row],[Height (With Shoes)]],F$63,F$62)</f>
        <v>-1.8544819296593302</v>
      </c>
      <c r="U51" s="10">
        <f>STANDARDIZE(TBL_DATA[[#This Row],[Wingspan]],G$63,G$62)</f>
        <v>-1.8496077906397599</v>
      </c>
      <c r="V51" s="10">
        <f>STANDARDIZE(TBL_DATA[[#This Row],[Standing reach]],H$63,H$62)</f>
        <v>-1.7058307275299565</v>
      </c>
      <c r="W51" s="10">
        <f>STANDARDIZE(TBL_DATA[[#This Row],[Vertical (Max)]],I$63,I$62)</f>
        <v>-0.52804475138814566</v>
      </c>
      <c r="X51" s="10">
        <f>STANDARDIZE(TBL_DATA[[#This Row],[Vertical (Max Reach)]],J$63,J$62)</f>
        <v>-2.1459397551947825</v>
      </c>
      <c r="Y51" s="10">
        <f>STANDARDIZE(TBL_DATA[[#This Row],[Vertical (No Step)]],K$63,K$62)</f>
        <v>-0.21809099588473468</v>
      </c>
      <c r="Z51" s="10">
        <f>STANDARDIZE(TBL_DATA[[#This Row],[Vertical (No Step Reach)]],L$63,L$62)</f>
        <v>-1.8461873391433568</v>
      </c>
      <c r="AA51" s="10">
        <f>STANDARDIZE(TBL_DATA[[#This Row],[Weight]],M$63,M$62)</f>
        <v>-2.2080758140701278</v>
      </c>
      <c r="AB51" s="10">
        <f>STANDARDIZE(TBL_DATA[[#This Row],[Body Fat]],N$63,N$62)</f>
        <v>-1.3802428327411611</v>
      </c>
      <c r="AC51" s="10">
        <f>STANDARDIZE(TBL_DATA[[#This Row],[Hand (Length)]],O$63,O$62)</f>
        <v>-1.0588677394027144</v>
      </c>
      <c r="AD51" s="10">
        <f>STANDARDIZE(TBL_DATA[[#This Row],[Hand (Width)]],P$63,P$62)</f>
        <v>-0.92526343710279668</v>
      </c>
      <c r="AE51" s="10">
        <f>STANDARDIZE(TBL_DATA[[#This Row],[Agility]],Q$63,Q$62)</f>
        <v>0.42303584709028041</v>
      </c>
      <c r="AF51" s="10">
        <f>STANDARDIZE(TBL_DATA[[#This Row],[Sprint]],R$63,R$62)</f>
        <v>-0.32023616200297839</v>
      </c>
      <c r="AG51" s="10">
        <f>(10*TBL_DATA[[#This Row],[Z_Height (No Shoes)]])+50</f>
        <v>32.295604465746095</v>
      </c>
      <c r="AH51" s="10">
        <f>(10*TBL_DATA[[#This Row],[Z_Height (With Shoes)]])+50</f>
        <v>31.455180703406697</v>
      </c>
      <c r="AI51" s="10">
        <f>(10*TBL_DATA[[#This Row],[Z_Wingspan]])+50</f>
        <v>31.503922093602402</v>
      </c>
      <c r="AJ51" s="10">
        <f>(10*TBL_DATA[[#This Row],[Z_Standing reach]])+50</f>
        <v>32.941692724700431</v>
      </c>
      <c r="AK51" s="10">
        <f>(10*TBL_DATA[[#This Row],[Z_Vertical (Max)]])+50</f>
        <v>44.719552486118545</v>
      </c>
      <c r="AL51" s="10">
        <f>(10*TBL_DATA[[#This Row],[Z_Vertical (Max Reach)]])+50</f>
        <v>28.540602448052176</v>
      </c>
      <c r="AM51" s="10">
        <f>(10*TBL_DATA[[#This Row],[Z_Vertical (No Step)]])+50</f>
        <v>47.819090041152656</v>
      </c>
      <c r="AN51" s="10">
        <f>(10*TBL_DATA[[#This Row],[Z_Vertical (No Step Reach)]])+50</f>
        <v>31.538126608566433</v>
      </c>
      <c r="AO51" s="10">
        <f>(10*TBL_DATA[[#This Row],[Z_Weight]])+50</f>
        <v>27.919241859298722</v>
      </c>
      <c r="AP51" s="10">
        <f>(10*TBL_DATA[[#This Row],[Z_Body Fat]])+50</f>
        <v>36.197571672588388</v>
      </c>
      <c r="AQ51" s="10">
        <f>(10*TBL_DATA[[#This Row],[Z_Hand (Length)]])+50</f>
        <v>39.411322605972856</v>
      </c>
      <c r="AR51" s="10">
        <f>(10*TBL_DATA[[#This Row],[Z_Hand (Width)]])+50</f>
        <v>40.747365628972034</v>
      </c>
      <c r="AS51" s="10">
        <f>(10*TBL_DATA[[#This Row],[Z_Agility]])+50</f>
        <v>54.2303584709028</v>
      </c>
      <c r="AT51" s="10">
        <f>(10*TBL_DATA[[#This Row],[Z_Sprint]])+50</f>
        <v>46.797638379970216</v>
      </c>
      <c r="AU51" s="2">
        <f>SUM(TBL_DATA[[#This Row],[T_Height (No Shoes)]:[T_Sprint]])</f>
        <v>526.11727018905037</v>
      </c>
    </row>
    <row r="52" spans="1:47" x14ac:dyDescent="0.3">
      <c r="A52" s="8">
        <v>50</v>
      </c>
      <c r="B52" s="6" t="s">
        <v>67</v>
      </c>
      <c r="C52" s="7">
        <v>2014</v>
      </c>
      <c r="D52" s="2"/>
      <c r="E52" s="2">
        <v>74.5</v>
      </c>
      <c r="F52" s="2">
        <v>76.25</v>
      </c>
      <c r="G52" s="2">
        <v>79</v>
      </c>
      <c r="H52" s="2">
        <v>99</v>
      </c>
      <c r="I52" s="2"/>
      <c r="J52" s="2"/>
      <c r="K52" s="2"/>
      <c r="L52" s="2"/>
      <c r="M52" s="2">
        <v>219</v>
      </c>
      <c r="N52" s="2">
        <v>9.1999999999999993</v>
      </c>
      <c r="O52" s="2">
        <v>9</v>
      </c>
      <c r="P52" s="2">
        <v>9</v>
      </c>
      <c r="Q52" s="2"/>
      <c r="R52" s="2"/>
      <c r="S52" s="10">
        <f>STANDARDIZE(TBL_DATA[[#This Row],[Height (No Shoes)]],E$63,E$62)</f>
        <v>-0.82727085227777875</v>
      </c>
      <c r="T52" s="10">
        <f>STANDARDIZE(TBL_DATA[[#This Row],[Height (With Shoes)]],F$63,F$62)</f>
        <v>-0.72149223003018337</v>
      </c>
      <c r="U52" s="10">
        <f>STANDARDIZE(TBL_DATA[[#This Row],[Wingspan]],G$63,G$62)</f>
        <v>-0.87650203581909647</v>
      </c>
      <c r="V52" s="10">
        <f>STANDARDIZE(TBL_DATA[[#This Row],[Standing reach]],H$63,H$62)</f>
        <v>-0.77177956349963239</v>
      </c>
      <c r="W52" s="10">
        <f>STANDARDIZE(TBL_DATA[[#This Row],[Vertical (Max)]],I$63,I$62)</f>
        <v>-11.042261790078076</v>
      </c>
      <c r="X52" s="10">
        <f>STANDARDIZE(TBL_DATA[[#This Row],[Vertical (Max Reach)]],J$63,J$62)</f>
        <v>-33.362514449379269</v>
      </c>
      <c r="Y52" s="10">
        <f>STANDARDIZE(TBL_DATA[[#This Row],[Vertical (No Step)]],K$63,K$62)</f>
        <v>-11.5842667314108</v>
      </c>
      <c r="Z52" s="10">
        <f>STANDARDIZE(TBL_DATA[[#This Row],[Vertical (No Step Reach)]],L$63,L$62)</f>
        <v>-31.594825085999162</v>
      </c>
      <c r="AA52" s="10">
        <f>STANDARDIZE(TBL_DATA[[#This Row],[Weight]],M$63,M$62)</f>
        <v>0.30297021950651926</v>
      </c>
      <c r="AB52" s="10">
        <f>STANDARDIZE(TBL_DATA[[#This Row],[Body Fat]],N$63,N$62)</f>
        <v>0.84815690154041512</v>
      </c>
      <c r="AC52" s="10">
        <f>STANDARDIZE(TBL_DATA[[#This Row],[Hand (Length)]],O$63,O$62)</f>
        <v>0.64494671399983472</v>
      </c>
      <c r="AD52" s="10">
        <f>STANDARDIZE(TBL_DATA[[#This Row],[Hand (Width)]],P$63,P$62)</f>
        <v>-0.23858994290072091</v>
      </c>
      <c r="AE52" s="10">
        <f>STANDARDIZE(TBL_DATA[[#This Row],[Agility]],Q$63,Q$62)</f>
        <v>-23.208838530198122</v>
      </c>
      <c r="AF52" s="10">
        <f>STANDARDIZE(TBL_DATA[[#This Row],[Sprint]],R$63,R$62)</f>
        <v>-30.664432035433581</v>
      </c>
      <c r="AG52" s="10">
        <f>(10*TBL_DATA[[#This Row],[Z_Height (No Shoes)]])+50</f>
        <v>41.727291477222209</v>
      </c>
      <c r="AH52" s="10">
        <f>(10*TBL_DATA[[#This Row],[Z_Height (With Shoes)]])+50</f>
        <v>42.785077699698164</v>
      </c>
      <c r="AI52" s="10">
        <f>(10*TBL_DATA[[#This Row],[Z_Wingspan]])+50</f>
        <v>41.234979641809034</v>
      </c>
      <c r="AJ52" s="10">
        <f>(10*TBL_DATA[[#This Row],[Z_Standing reach]])+50</f>
        <v>42.282204365003679</v>
      </c>
      <c r="AK52" s="10">
        <f>(10*TBL_DATA[[#This Row],[Z_Vertical (Max)]])+50</f>
        <v>-60.42261790078075</v>
      </c>
      <c r="AL52" s="10">
        <f>(10*TBL_DATA[[#This Row],[Z_Vertical (Max Reach)]])+50</f>
        <v>-283.62514449379267</v>
      </c>
      <c r="AM52" s="10">
        <f>(10*TBL_DATA[[#This Row],[Z_Vertical (No Step)]])+50</f>
        <v>-65.842667314107999</v>
      </c>
      <c r="AN52" s="10">
        <f>(10*TBL_DATA[[#This Row],[Z_Vertical (No Step Reach)]])+50</f>
        <v>-265.94825085999162</v>
      </c>
      <c r="AO52" s="10">
        <f>(10*TBL_DATA[[#This Row],[Z_Weight]])+50</f>
        <v>53.029702195065191</v>
      </c>
      <c r="AP52" s="10">
        <f>(10*TBL_DATA[[#This Row],[Z_Body Fat]])+50</f>
        <v>58.481569015404148</v>
      </c>
      <c r="AQ52" s="10">
        <f>(10*TBL_DATA[[#This Row],[Z_Hand (Length)]])+50</f>
        <v>56.449467139998347</v>
      </c>
      <c r="AR52" s="10">
        <f>(10*TBL_DATA[[#This Row],[Z_Hand (Width)]])+50</f>
        <v>47.61410057099279</v>
      </c>
      <c r="AS52" s="10">
        <f>(10*TBL_DATA[[#This Row],[Z_Agility]])+50</f>
        <v>-182.08838530198122</v>
      </c>
      <c r="AT52" s="10">
        <f>(10*TBL_DATA[[#This Row],[Z_Sprint]])+50</f>
        <v>-256.64432035433583</v>
      </c>
      <c r="AU52" s="2">
        <f>SUM(TBL_DATA[[#This Row],[T_Height (No Shoes)]:[T_Sprint]])</f>
        <v>-730.9669941197966</v>
      </c>
    </row>
    <row r="53" spans="1:47" x14ac:dyDescent="0.3">
      <c r="A53" s="8">
        <v>51</v>
      </c>
      <c r="B53" s="6" t="s">
        <v>68</v>
      </c>
      <c r="C53" s="7">
        <v>2014</v>
      </c>
      <c r="D53" s="2">
        <v>55</v>
      </c>
      <c r="E53" s="2">
        <v>73.5</v>
      </c>
      <c r="F53" s="2">
        <v>75.25</v>
      </c>
      <c r="G53" s="2">
        <v>78.5</v>
      </c>
      <c r="H53" s="2">
        <v>99</v>
      </c>
      <c r="I53" s="2">
        <v>36.5</v>
      </c>
      <c r="J53" s="2">
        <v>135.5</v>
      </c>
      <c r="K53" s="2">
        <v>30.5</v>
      </c>
      <c r="L53" s="2">
        <v>129.5</v>
      </c>
      <c r="M53" s="2">
        <v>186</v>
      </c>
      <c r="N53" s="2">
        <v>5.3</v>
      </c>
      <c r="O53" s="2">
        <v>8.5</v>
      </c>
      <c r="P53" s="2">
        <v>8.25</v>
      </c>
      <c r="Q53" s="2">
        <v>11.55</v>
      </c>
      <c r="R53" s="2">
        <v>3.32</v>
      </c>
      <c r="S53" s="10">
        <f>STANDARDIZE(TBL_DATA[[#This Row],[Height (No Shoes)]],E$63,E$62)</f>
        <v>-1.1416604193269828</v>
      </c>
      <c r="T53" s="10">
        <f>STANDARDIZE(TBL_DATA[[#This Row],[Height (With Shoes)]],F$63,F$62)</f>
        <v>-1.0452035727813682</v>
      </c>
      <c r="U53" s="10">
        <f>STANDARDIZE(TBL_DATA[[#This Row],[Wingspan]],G$63,G$62)</f>
        <v>-1.0155171436506198</v>
      </c>
      <c r="V53" s="10">
        <f>STANDARDIZE(TBL_DATA[[#This Row],[Standing reach]],H$63,H$62)</f>
        <v>-0.77177956349963239</v>
      </c>
      <c r="W53" s="10">
        <f>STANDARDIZE(TBL_DATA[[#This Row],[Vertical (Max)]],I$63,I$62)</f>
        <v>0.2450594426331727</v>
      </c>
      <c r="X53" s="10">
        <f>STANDARDIZE(TBL_DATA[[#This Row],[Vertical (Max Reach)]],J$63,J$62)</f>
        <v>-0.57301157292967275</v>
      </c>
      <c r="Y53" s="10">
        <f>STANDARDIZE(TBL_DATA[[#This Row],[Vertical (No Step)]],K$63,K$62)</f>
        <v>0.16720309684496243</v>
      </c>
      <c r="Z53" s="10">
        <f>STANDARDIZE(TBL_DATA[[#This Row],[Vertical (No Step Reach)]],L$63,L$62)</f>
        <v>-0.65146293163910751</v>
      </c>
      <c r="AA53" s="10">
        <f>STANDARDIZE(TBL_DATA[[#This Row],[Weight]],M$63,M$62)</f>
        <v>-1.1015131552058426</v>
      </c>
      <c r="AB53" s="10">
        <f>STANDARDIZE(TBL_DATA[[#This Row],[Body Fat]],N$63,N$62)</f>
        <v>-0.67653765349434747</v>
      </c>
      <c r="AC53" s="10">
        <f>STANDARDIZE(TBL_DATA[[#This Row],[Hand (Length)]],O$63,O$62)</f>
        <v>-0.49092958826853128</v>
      </c>
      <c r="AD53" s="10">
        <f>STANDARDIZE(TBL_DATA[[#This Row],[Hand (Width)]],P$63,P$62)</f>
        <v>-1.2686001842038346</v>
      </c>
      <c r="AE53" s="10">
        <f>STANDARDIZE(TBL_DATA[[#This Row],[Agility]],Q$63,Q$62)</f>
        <v>0.3821855888754353</v>
      </c>
      <c r="AF53" s="10">
        <f>STANDARDIZE(TBL_DATA[[#This Row],[Sprint]],R$63,R$62)</f>
        <v>0.14374236817179981</v>
      </c>
      <c r="AG53" s="10">
        <f>(10*TBL_DATA[[#This Row],[Z_Height (No Shoes)]])+50</f>
        <v>38.583395806730174</v>
      </c>
      <c r="AH53" s="10">
        <f>(10*TBL_DATA[[#This Row],[Z_Height (With Shoes)]])+50</f>
        <v>39.54796427218632</v>
      </c>
      <c r="AI53" s="10">
        <f>(10*TBL_DATA[[#This Row],[Z_Wingspan]])+50</f>
        <v>39.844828563493806</v>
      </c>
      <c r="AJ53" s="10">
        <f>(10*TBL_DATA[[#This Row],[Z_Standing reach]])+50</f>
        <v>42.282204365003679</v>
      </c>
      <c r="AK53" s="10">
        <f>(10*TBL_DATA[[#This Row],[Z_Vertical (Max)]])+50</f>
        <v>52.450594426331726</v>
      </c>
      <c r="AL53" s="10">
        <f>(10*TBL_DATA[[#This Row],[Z_Vertical (Max Reach)]])+50</f>
        <v>44.269884270703272</v>
      </c>
      <c r="AM53" s="10">
        <f>(10*TBL_DATA[[#This Row],[Z_Vertical (No Step)]])+50</f>
        <v>51.672030968449626</v>
      </c>
      <c r="AN53" s="10">
        <f>(10*TBL_DATA[[#This Row],[Z_Vertical (No Step Reach)]])+50</f>
        <v>43.485370683608927</v>
      </c>
      <c r="AO53" s="10">
        <f>(10*TBL_DATA[[#This Row],[Z_Weight]])+50</f>
        <v>38.984868447941572</v>
      </c>
      <c r="AP53" s="10">
        <f>(10*TBL_DATA[[#This Row],[Z_Body Fat]])+50</f>
        <v>43.234623465056529</v>
      </c>
      <c r="AQ53" s="10">
        <f>(10*TBL_DATA[[#This Row],[Z_Hand (Length)]])+50</f>
        <v>45.090704117314687</v>
      </c>
      <c r="AR53" s="10">
        <f>(10*TBL_DATA[[#This Row],[Z_Hand (Width)]])+50</f>
        <v>37.313998157961656</v>
      </c>
      <c r="AS53" s="10">
        <f>(10*TBL_DATA[[#This Row],[Z_Agility]])+50</f>
        <v>53.821855888754357</v>
      </c>
      <c r="AT53" s="10">
        <f>(10*TBL_DATA[[#This Row],[Z_Sprint]])+50</f>
        <v>51.437423681717995</v>
      </c>
      <c r="AU53" s="2">
        <f>SUM(TBL_DATA[[#This Row],[T_Height (No Shoes)]:[T_Sprint]])</f>
        <v>622.0197471152544</v>
      </c>
    </row>
    <row r="54" spans="1:47" x14ac:dyDescent="0.3">
      <c r="A54" s="8">
        <v>52</v>
      </c>
      <c r="B54" s="6" t="s">
        <v>69</v>
      </c>
      <c r="C54" s="7">
        <v>2014</v>
      </c>
      <c r="D54" s="2">
        <v>24</v>
      </c>
      <c r="E54" s="2">
        <v>71</v>
      </c>
      <c r="F54" s="2">
        <v>73</v>
      </c>
      <c r="G54" s="2">
        <v>75.25</v>
      </c>
      <c r="H54" s="2">
        <v>93</v>
      </c>
      <c r="I54" s="2">
        <v>37.5</v>
      </c>
      <c r="J54" s="2">
        <v>130.5</v>
      </c>
      <c r="K54" s="2">
        <v>30.5</v>
      </c>
      <c r="L54" s="2">
        <v>123.5</v>
      </c>
      <c r="M54" s="2">
        <v>175</v>
      </c>
      <c r="N54" s="2">
        <v>7.4</v>
      </c>
      <c r="O54" s="2">
        <v>8.25</v>
      </c>
      <c r="P54" s="2">
        <v>8.5</v>
      </c>
      <c r="Q54" s="2">
        <v>11.6</v>
      </c>
      <c r="R54" s="2">
        <v>3.2</v>
      </c>
      <c r="S54" s="10">
        <f>STANDARDIZE(TBL_DATA[[#This Row],[Height (No Shoes)]],E$63,E$62)</f>
        <v>-1.9276343369499929</v>
      </c>
      <c r="T54" s="10">
        <f>STANDARDIZE(TBL_DATA[[#This Row],[Height (With Shoes)]],F$63,F$62)</f>
        <v>-1.7735540939715342</v>
      </c>
      <c r="U54" s="10">
        <f>STANDARDIZE(TBL_DATA[[#This Row],[Wingspan]],G$63,G$62)</f>
        <v>-1.9191153445555216</v>
      </c>
      <c r="V54" s="10">
        <f>STANDARDIZE(TBL_DATA[[#This Row],[Standing reach]],H$63,H$62)</f>
        <v>-2.1728563095451183</v>
      </c>
      <c r="W54" s="10">
        <f>STANDARDIZE(TBL_DATA[[#This Row],[Vertical (Max)]],I$63,I$62)</f>
        <v>0.55430112024170008</v>
      </c>
      <c r="X54" s="10">
        <f>STANDARDIZE(TBL_DATA[[#This Row],[Vertical (Max Reach)]],J$63,J$62)</f>
        <v>-1.7829563285182186</v>
      </c>
      <c r="Y54" s="10">
        <f>STANDARDIZE(TBL_DATA[[#This Row],[Vertical (No Step)]],K$63,K$62)</f>
        <v>0.16720309684496243</v>
      </c>
      <c r="Z54" s="10">
        <f>STANDARDIZE(TBL_DATA[[#This Row],[Vertical (No Step Reach)]],L$63,L$62)</f>
        <v>-2.0851322206442067</v>
      </c>
      <c r="AA54" s="10">
        <f>STANDARDIZE(TBL_DATA[[#This Row],[Weight]],M$63,M$62)</f>
        <v>-1.5696742801099632</v>
      </c>
      <c r="AB54" s="10">
        <f>STANDARDIZE(TBL_DATA[[#This Row],[Body Fat]],N$63,N$62)</f>
        <v>0.14445172229360195</v>
      </c>
      <c r="AC54" s="10">
        <f>STANDARDIZE(TBL_DATA[[#This Row],[Hand (Length)]],O$63,O$62)</f>
        <v>-1.0588677394027144</v>
      </c>
      <c r="AD54" s="10">
        <f>STANDARDIZE(TBL_DATA[[#This Row],[Hand (Width)]],P$63,P$62)</f>
        <v>-0.92526343710279668</v>
      </c>
      <c r="AE54" s="10">
        <f>STANDARDIZE(TBL_DATA[[#This Row],[Agility]],Q$63,Q$62)</f>
        <v>0.48431123441254809</v>
      </c>
      <c r="AF54" s="10">
        <f>STANDARDIZE(TBL_DATA[[#This Row],[Sprint]],R$63,R$62)</f>
        <v>-0.96980610424766867</v>
      </c>
      <c r="AG54" s="10">
        <f>(10*TBL_DATA[[#This Row],[Z_Height (No Shoes)]])+50</f>
        <v>30.72365663050007</v>
      </c>
      <c r="AH54" s="10">
        <f>(10*TBL_DATA[[#This Row],[Z_Height (With Shoes)]])+50</f>
        <v>32.264459060284658</v>
      </c>
      <c r="AI54" s="10">
        <f>(10*TBL_DATA[[#This Row],[Z_Wingspan]])+50</f>
        <v>30.808846554444784</v>
      </c>
      <c r="AJ54" s="10">
        <f>(10*TBL_DATA[[#This Row],[Z_Standing reach]])+50</f>
        <v>28.271436904548818</v>
      </c>
      <c r="AK54" s="10">
        <f>(10*TBL_DATA[[#This Row],[Z_Vertical (Max)]])+50</f>
        <v>55.543011202416999</v>
      </c>
      <c r="AL54" s="10">
        <f>(10*TBL_DATA[[#This Row],[Z_Vertical (Max Reach)]])+50</f>
        <v>32.170436714817811</v>
      </c>
      <c r="AM54" s="10">
        <f>(10*TBL_DATA[[#This Row],[Z_Vertical (No Step)]])+50</f>
        <v>51.672030968449626</v>
      </c>
      <c r="AN54" s="10">
        <f>(10*TBL_DATA[[#This Row],[Z_Vertical (No Step Reach)]])+50</f>
        <v>29.148677793557933</v>
      </c>
      <c r="AO54" s="10">
        <f>(10*TBL_DATA[[#This Row],[Z_Weight]])+50</f>
        <v>34.303257198900369</v>
      </c>
      <c r="AP54" s="10">
        <f>(10*TBL_DATA[[#This Row],[Z_Body Fat]])+50</f>
        <v>51.444517222936021</v>
      </c>
      <c r="AQ54" s="10">
        <f>(10*TBL_DATA[[#This Row],[Z_Hand (Length)]])+50</f>
        <v>39.411322605972856</v>
      </c>
      <c r="AR54" s="10">
        <f>(10*TBL_DATA[[#This Row],[Z_Hand (Width)]])+50</f>
        <v>40.747365628972034</v>
      </c>
      <c r="AS54" s="10">
        <f>(10*TBL_DATA[[#This Row],[Z_Agility]])+50</f>
        <v>54.84311234412548</v>
      </c>
      <c r="AT54" s="10">
        <f>(10*TBL_DATA[[#This Row],[Z_Sprint]])+50</f>
        <v>40.301938957523312</v>
      </c>
      <c r="AU54" s="2">
        <f>SUM(TBL_DATA[[#This Row],[T_Height (No Shoes)]:[T_Sprint]])</f>
        <v>551.65406978745079</v>
      </c>
    </row>
    <row r="55" spans="1:47" x14ac:dyDescent="0.3">
      <c r="A55" s="8">
        <v>53</v>
      </c>
      <c r="B55" s="6" t="s">
        <v>70</v>
      </c>
      <c r="C55" s="7">
        <v>2014</v>
      </c>
      <c r="D55" s="2">
        <v>38</v>
      </c>
      <c r="E55" s="2">
        <v>76.5</v>
      </c>
      <c r="F55" s="2">
        <v>78</v>
      </c>
      <c r="G55" s="2">
        <v>80.25</v>
      </c>
      <c r="H55" s="2">
        <v>103</v>
      </c>
      <c r="I55" s="2"/>
      <c r="J55" s="2"/>
      <c r="K55" s="2"/>
      <c r="L55" s="2"/>
      <c r="M55" s="2">
        <v>205</v>
      </c>
      <c r="N55" s="2">
        <v>5.4</v>
      </c>
      <c r="O55" s="2">
        <v>8.25</v>
      </c>
      <c r="P55" s="2">
        <v>9</v>
      </c>
      <c r="Q55" s="2"/>
      <c r="R55" s="2"/>
      <c r="S55" s="10">
        <f>STANDARDIZE(TBL_DATA[[#This Row],[Height (No Shoes)]],E$63,E$62)</f>
        <v>-0.19849171817937072</v>
      </c>
      <c r="T55" s="10">
        <f>STANDARDIZE(TBL_DATA[[#This Row],[Height (With Shoes)]],F$63,F$62)</f>
        <v>-0.15499738021560994</v>
      </c>
      <c r="U55" s="10">
        <f>STANDARDIZE(TBL_DATA[[#This Row],[Wingspan]],G$63,G$62)</f>
        <v>-0.52896426624028814</v>
      </c>
      <c r="V55" s="10">
        <f>STANDARDIZE(TBL_DATA[[#This Row],[Standing reach]],H$63,H$62)</f>
        <v>0.16227160053069165</v>
      </c>
      <c r="W55" s="10">
        <f>STANDARDIZE(TBL_DATA[[#This Row],[Vertical (Max)]],I$63,I$62)</f>
        <v>-11.042261790078076</v>
      </c>
      <c r="X55" s="10">
        <f>STANDARDIZE(TBL_DATA[[#This Row],[Vertical (Max Reach)]],J$63,J$62)</f>
        <v>-33.362514449379269</v>
      </c>
      <c r="Y55" s="10">
        <f>STANDARDIZE(TBL_DATA[[#This Row],[Vertical (No Step)]],K$63,K$62)</f>
        <v>-11.5842667314108</v>
      </c>
      <c r="Z55" s="10">
        <f>STANDARDIZE(TBL_DATA[[#This Row],[Vertical (No Step Reach)]],L$63,L$62)</f>
        <v>-31.594825085999162</v>
      </c>
      <c r="AA55" s="10">
        <f>STANDARDIZE(TBL_DATA[[#This Row],[Weight]],M$63,M$62)</f>
        <v>-0.29287121218963419</v>
      </c>
      <c r="AB55" s="10">
        <f>STANDARDIZE(TBL_DATA[[#This Row],[Body Fat]],N$63,N$62)</f>
        <v>-0.63744292131396874</v>
      </c>
      <c r="AC55" s="10">
        <f>STANDARDIZE(TBL_DATA[[#This Row],[Hand (Length)]],O$63,O$62)</f>
        <v>-1.0588677394027144</v>
      </c>
      <c r="AD55" s="10">
        <f>STANDARDIZE(TBL_DATA[[#This Row],[Hand (Width)]],P$63,P$62)</f>
        <v>-0.23858994290072091</v>
      </c>
      <c r="AE55" s="10">
        <f>STANDARDIZE(TBL_DATA[[#This Row],[Agility]],Q$63,Q$62)</f>
        <v>-23.208838530198122</v>
      </c>
      <c r="AF55" s="10">
        <f>STANDARDIZE(TBL_DATA[[#This Row],[Sprint]],R$63,R$62)</f>
        <v>-30.664432035433581</v>
      </c>
      <c r="AG55" s="10">
        <f>(10*TBL_DATA[[#This Row],[Z_Height (No Shoes)]])+50</f>
        <v>48.015082818206295</v>
      </c>
      <c r="AH55" s="10">
        <f>(10*TBL_DATA[[#This Row],[Z_Height (With Shoes)]])+50</f>
        <v>48.450026197843897</v>
      </c>
      <c r="AI55" s="10">
        <f>(10*TBL_DATA[[#This Row],[Z_Wingspan]])+50</f>
        <v>44.710357337597117</v>
      </c>
      <c r="AJ55" s="10">
        <f>(10*TBL_DATA[[#This Row],[Z_Standing reach]])+50</f>
        <v>51.62271600530692</v>
      </c>
      <c r="AK55" s="10">
        <f>(10*TBL_DATA[[#This Row],[Z_Vertical (Max)]])+50</f>
        <v>-60.42261790078075</v>
      </c>
      <c r="AL55" s="10">
        <f>(10*TBL_DATA[[#This Row],[Z_Vertical (Max Reach)]])+50</f>
        <v>-283.62514449379267</v>
      </c>
      <c r="AM55" s="10">
        <f>(10*TBL_DATA[[#This Row],[Z_Vertical (No Step)]])+50</f>
        <v>-65.842667314107999</v>
      </c>
      <c r="AN55" s="10">
        <f>(10*TBL_DATA[[#This Row],[Z_Vertical (No Step Reach)]])+50</f>
        <v>-265.94825085999162</v>
      </c>
      <c r="AO55" s="10">
        <f>(10*TBL_DATA[[#This Row],[Z_Weight]])+50</f>
        <v>47.071287878103661</v>
      </c>
      <c r="AP55" s="10">
        <f>(10*TBL_DATA[[#This Row],[Z_Body Fat]])+50</f>
        <v>43.625570786860315</v>
      </c>
      <c r="AQ55" s="10">
        <f>(10*TBL_DATA[[#This Row],[Z_Hand (Length)]])+50</f>
        <v>39.411322605972856</v>
      </c>
      <c r="AR55" s="10">
        <f>(10*TBL_DATA[[#This Row],[Z_Hand (Width)]])+50</f>
        <v>47.61410057099279</v>
      </c>
      <c r="AS55" s="10">
        <f>(10*TBL_DATA[[#This Row],[Z_Agility]])+50</f>
        <v>-182.08838530198122</v>
      </c>
      <c r="AT55" s="10">
        <f>(10*TBL_DATA[[#This Row],[Z_Sprint]])+50</f>
        <v>-256.64432035433583</v>
      </c>
      <c r="AU55" s="2">
        <f>SUM(TBL_DATA[[#This Row],[T_Height (No Shoes)]:[T_Sprint]])</f>
        <v>-744.05092202410628</v>
      </c>
    </row>
    <row r="56" spans="1:47" x14ac:dyDescent="0.3">
      <c r="A56" s="8">
        <v>54</v>
      </c>
      <c r="B56" s="6" t="s">
        <v>71</v>
      </c>
      <c r="C56" s="7">
        <v>2014</v>
      </c>
      <c r="D56" s="2">
        <v>14</v>
      </c>
      <c r="E56" s="2">
        <v>79</v>
      </c>
      <c r="F56" s="2">
        <v>80.25</v>
      </c>
      <c r="G56" s="2">
        <v>82.25</v>
      </c>
      <c r="H56" s="2">
        <v>104</v>
      </c>
      <c r="I56" s="2">
        <v>35.5</v>
      </c>
      <c r="J56" s="2">
        <v>139.5</v>
      </c>
      <c r="K56" s="2">
        <v>27</v>
      </c>
      <c r="L56" s="2">
        <v>131</v>
      </c>
      <c r="M56" s="2">
        <v>220</v>
      </c>
      <c r="N56" s="2">
        <v>8</v>
      </c>
      <c r="O56" s="2">
        <v>8.75</v>
      </c>
      <c r="P56" s="2">
        <v>9</v>
      </c>
      <c r="Q56" s="2">
        <v>11.1</v>
      </c>
      <c r="R56" s="2">
        <v>3.26</v>
      </c>
      <c r="S56" s="10">
        <f>STANDARDIZE(TBL_DATA[[#This Row],[Height (No Shoes)]],E$63,E$62)</f>
        <v>0.58748219944363933</v>
      </c>
      <c r="T56" s="10">
        <f>STANDARDIZE(TBL_DATA[[#This Row],[Height (With Shoes)]],F$63,F$62)</f>
        <v>0.57335314097455592</v>
      </c>
      <c r="U56" s="10">
        <f>STANDARDIZE(TBL_DATA[[#This Row],[Wingspan]],G$63,G$62)</f>
        <v>2.7096165085805264E-2</v>
      </c>
      <c r="V56" s="10">
        <f>STANDARDIZE(TBL_DATA[[#This Row],[Standing reach]],H$63,H$62)</f>
        <v>0.39578439153827266</v>
      </c>
      <c r="W56" s="10">
        <f>STANDARDIZE(TBL_DATA[[#This Row],[Vertical (Max)]],I$63,I$62)</f>
        <v>-6.4182234975354649E-2</v>
      </c>
      <c r="X56" s="10">
        <f>STANDARDIZE(TBL_DATA[[#This Row],[Vertical (Max Reach)]],J$63,J$62)</f>
        <v>0.39494423154116404</v>
      </c>
      <c r="Y56" s="10">
        <f>STANDARDIZE(TBL_DATA[[#This Row],[Vertical (No Step)]],K$63,K$62)</f>
        <v>-1.1813262277089775</v>
      </c>
      <c r="Z56" s="10">
        <f>STANDARDIZE(TBL_DATA[[#This Row],[Vertical (No Step Reach)]],L$63,L$62)</f>
        <v>-0.29304560938783281</v>
      </c>
      <c r="AA56" s="10">
        <f>STANDARDIZE(TBL_DATA[[#This Row],[Weight]],M$63,M$62)</f>
        <v>0.34553032177053022</v>
      </c>
      <c r="AB56" s="10">
        <f>STANDARDIZE(TBL_DATA[[#This Row],[Body Fat]],N$63,N$62)</f>
        <v>0.37902011537587305</v>
      </c>
      <c r="AC56" s="10">
        <f>STANDARDIZE(TBL_DATA[[#This Row],[Hand (Length)]],O$63,O$62)</f>
        <v>7.7008562865651733E-2</v>
      </c>
      <c r="AD56" s="10">
        <f>STANDARDIZE(TBL_DATA[[#This Row],[Hand (Width)]],P$63,P$62)</f>
        <v>-0.23858994290072091</v>
      </c>
      <c r="AE56" s="10">
        <f>STANDARDIZE(TBL_DATA[[#This Row],[Agility]],Q$63,Q$62)</f>
        <v>-0.53694522095860142</v>
      </c>
      <c r="AF56" s="10">
        <f>STANDARDIZE(TBL_DATA[[#This Row],[Sprint]],R$63,R$62)</f>
        <v>-0.41303186803793651</v>
      </c>
      <c r="AG56" s="10">
        <f>(10*TBL_DATA[[#This Row],[Z_Height (No Shoes)]])+50</f>
        <v>55.874821994436395</v>
      </c>
      <c r="AH56" s="10">
        <f>(10*TBL_DATA[[#This Row],[Z_Height (With Shoes)]])+50</f>
        <v>55.733531409745559</v>
      </c>
      <c r="AI56" s="10">
        <f>(10*TBL_DATA[[#This Row],[Z_Wingspan]])+50</f>
        <v>50.270961650858055</v>
      </c>
      <c r="AJ56" s="10">
        <f>(10*TBL_DATA[[#This Row],[Z_Standing reach]])+50</f>
        <v>53.957843915382725</v>
      </c>
      <c r="AK56" s="10">
        <f>(10*TBL_DATA[[#This Row],[Z_Vertical (Max)]])+50</f>
        <v>49.358177650246454</v>
      </c>
      <c r="AL56" s="10">
        <f>(10*TBL_DATA[[#This Row],[Z_Vertical (Max Reach)]])+50</f>
        <v>53.949442315411638</v>
      </c>
      <c r="AM56" s="10">
        <f>(10*TBL_DATA[[#This Row],[Z_Vertical (No Step)]])+50</f>
        <v>38.186737722910223</v>
      </c>
      <c r="AN56" s="10">
        <f>(10*TBL_DATA[[#This Row],[Z_Vertical (No Step Reach)]])+50</f>
        <v>47.069543906121673</v>
      </c>
      <c r="AO56" s="10">
        <f>(10*TBL_DATA[[#This Row],[Z_Weight]])+50</f>
        <v>53.4553032177053</v>
      </c>
      <c r="AP56" s="10">
        <f>(10*TBL_DATA[[#This Row],[Z_Body Fat]])+50</f>
        <v>53.79020115375873</v>
      </c>
      <c r="AQ56" s="10">
        <f>(10*TBL_DATA[[#This Row],[Z_Hand (Length)]])+50</f>
        <v>50.770085628656517</v>
      </c>
      <c r="AR56" s="10">
        <f>(10*TBL_DATA[[#This Row],[Z_Hand (Width)]])+50</f>
        <v>47.61410057099279</v>
      </c>
      <c r="AS56" s="10">
        <f>(10*TBL_DATA[[#This Row],[Z_Agility]])+50</f>
        <v>44.630547790413985</v>
      </c>
      <c r="AT56" s="10">
        <f>(10*TBL_DATA[[#This Row],[Z_Sprint]])+50</f>
        <v>45.869681319620632</v>
      </c>
      <c r="AU56" s="2">
        <f>SUM(TBL_DATA[[#This Row],[T_Height (No Shoes)]:[T_Sprint]])</f>
        <v>700.53098024626081</v>
      </c>
    </row>
    <row r="57" spans="1:47" x14ac:dyDescent="0.3">
      <c r="A57" s="8">
        <v>55</v>
      </c>
      <c r="B57" s="6" t="s">
        <v>72</v>
      </c>
      <c r="C57" s="7">
        <v>2014</v>
      </c>
      <c r="D57" s="2">
        <v>51</v>
      </c>
      <c r="E57" s="2">
        <v>77.25</v>
      </c>
      <c r="F57" s="2">
        <v>78.25</v>
      </c>
      <c r="G57" s="2">
        <v>84</v>
      </c>
      <c r="H57" s="2">
        <v>104.5</v>
      </c>
      <c r="I57" s="2">
        <v>39.5</v>
      </c>
      <c r="J57" s="2">
        <v>144</v>
      </c>
      <c r="K57" s="2">
        <v>31.5</v>
      </c>
      <c r="L57" s="2">
        <v>136</v>
      </c>
      <c r="M57" s="2">
        <v>205</v>
      </c>
      <c r="N57" s="2">
        <v>6.1</v>
      </c>
      <c r="O57" s="2">
        <v>9</v>
      </c>
      <c r="P57" s="2">
        <v>9.75</v>
      </c>
      <c r="Q57" s="2">
        <v>11.39</v>
      </c>
      <c r="R57" s="2">
        <v>3.18</v>
      </c>
      <c r="S57" s="10">
        <f>STANDARDIZE(TBL_DATA[[#This Row],[Height (No Shoes)]],E$63,E$62)</f>
        <v>3.7300457107532305E-2</v>
      </c>
      <c r="T57" s="10">
        <f>STANDARDIZE(TBL_DATA[[#This Row],[Height (With Shoes)]],F$63,F$62)</f>
        <v>-7.406954452781371E-2</v>
      </c>
      <c r="U57" s="10">
        <f>STANDARDIZE(TBL_DATA[[#This Row],[Wingspan]],G$63,G$62)</f>
        <v>0.51364904249613696</v>
      </c>
      <c r="V57" s="10">
        <f>STANDARDIZE(TBL_DATA[[#This Row],[Standing reach]],H$63,H$62)</f>
        <v>0.51254078704206318</v>
      </c>
      <c r="W57" s="10">
        <f>STANDARDIZE(TBL_DATA[[#This Row],[Vertical (Max)]],I$63,I$62)</f>
        <v>1.1727844754587549</v>
      </c>
      <c r="X57" s="10">
        <f>STANDARDIZE(TBL_DATA[[#This Row],[Vertical (Max Reach)]],J$63,J$62)</f>
        <v>1.4838945115708553</v>
      </c>
      <c r="Y57" s="10">
        <f>STANDARDIZE(TBL_DATA[[#This Row],[Vertical (No Step)]],K$63,K$62)</f>
        <v>0.55249718957465954</v>
      </c>
      <c r="Z57" s="10">
        <f>STANDARDIZE(TBL_DATA[[#This Row],[Vertical (No Step Reach)]],L$63,L$62)</f>
        <v>0.90167879811641649</v>
      </c>
      <c r="AA57" s="10">
        <f>STANDARDIZE(TBL_DATA[[#This Row],[Weight]],M$63,M$62)</f>
        <v>-0.29287121218963419</v>
      </c>
      <c r="AB57" s="10">
        <f>STANDARDIZE(TBL_DATA[[#This Row],[Body Fat]],N$63,N$62)</f>
        <v>-0.36377979605131933</v>
      </c>
      <c r="AC57" s="10">
        <f>STANDARDIZE(TBL_DATA[[#This Row],[Hand (Length)]],O$63,O$62)</f>
        <v>0.64494671399983472</v>
      </c>
      <c r="AD57" s="10">
        <f>STANDARDIZE(TBL_DATA[[#This Row],[Hand (Width)]],P$63,P$62)</f>
        <v>0.7914202984023927</v>
      </c>
      <c r="AE57" s="10">
        <f>STANDARDIZE(TBL_DATA[[#This Row],[Agility]],Q$63,Q$62)</f>
        <v>5.5383523156667169E-2</v>
      </c>
      <c r="AF57" s="10">
        <f>STANDARDIZE(TBL_DATA[[#This Row],[Sprint]],R$63,R$62)</f>
        <v>-1.1553975163175809</v>
      </c>
      <c r="AG57" s="10">
        <f>(10*TBL_DATA[[#This Row],[Z_Height (No Shoes)]])+50</f>
        <v>50.37300457107532</v>
      </c>
      <c r="AH57" s="10">
        <f>(10*TBL_DATA[[#This Row],[Z_Height (With Shoes)]])+50</f>
        <v>49.259304554721865</v>
      </c>
      <c r="AI57" s="10">
        <f>(10*TBL_DATA[[#This Row],[Z_Wingspan]])+50</f>
        <v>55.136490424961366</v>
      </c>
      <c r="AJ57" s="10">
        <f>(10*TBL_DATA[[#This Row],[Z_Standing reach]])+50</f>
        <v>55.125407870420631</v>
      </c>
      <c r="AK57" s="10">
        <f>(10*TBL_DATA[[#This Row],[Z_Vertical (Max)]])+50</f>
        <v>61.727844754587551</v>
      </c>
      <c r="AL57" s="10">
        <f>(10*TBL_DATA[[#This Row],[Z_Vertical (Max Reach)]])+50</f>
        <v>64.838945115708555</v>
      </c>
      <c r="AM57" s="10">
        <f>(10*TBL_DATA[[#This Row],[Z_Vertical (No Step)]])+50</f>
        <v>55.524971895746596</v>
      </c>
      <c r="AN57" s="10">
        <f>(10*TBL_DATA[[#This Row],[Z_Vertical (No Step Reach)]])+50</f>
        <v>59.016787981164164</v>
      </c>
      <c r="AO57" s="10">
        <f>(10*TBL_DATA[[#This Row],[Z_Weight]])+50</f>
        <v>47.071287878103661</v>
      </c>
      <c r="AP57" s="10">
        <f>(10*TBL_DATA[[#This Row],[Z_Body Fat]])+50</f>
        <v>46.362202039486803</v>
      </c>
      <c r="AQ57" s="10">
        <f>(10*TBL_DATA[[#This Row],[Z_Hand (Length)]])+50</f>
        <v>56.449467139998347</v>
      </c>
      <c r="AR57" s="10">
        <f>(10*TBL_DATA[[#This Row],[Z_Hand (Width)]])+50</f>
        <v>57.91420298402393</v>
      </c>
      <c r="AS57" s="10">
        <f>(10*TBL_DATA[[#This Row],[Z_Agility]])+50</f>
        <v>50.553835231566673</v>
      </c>
      <c r="AT57" s="10">
        <f>(10*TBL_DATA[[#This Row],[Z_Sprint]])+50</f>
        <v>38.446024836824193</v>
      </c>
      <c r="AU57" s="2">
        <f>SUM(TBL_DATA[[#This Row],[T_Height (No Shoes)]:[T_Sprint]])</f>
        <v>747.79977727838968</v>
      </c>
    </row>
    <row r="58" spans="1:47" x14ac:dyDescent="0.3">
      <c r="A58" s="8">
        <v>56</v>
      </c>
      <c r="B58" s="6" t="s">
        <v>73</v>
      </c>
      <c r="C58" s="7">
        <v>2014</v>
      </c>
      <c r="D58" s="2">
        <v>18</v>
      </c>
      <c r="E58" s="2">
        <v>73</v>
      </c>
      <c r="F58" s="2">
        <v>74.5</v>
      </c>
      <c r="G58" s="2">
        <v>79.25</v>
      </c>
      <c r="H58" s="2">
        <v>98</v>
      </c>
      <c r="I58" s="2">
        <v>36</v>
      </c>
      <c r="J58" s="2">
        <v>134</v>
      </c>
      <c r="K58" s="2">
        <v>29</v>
      </c>
      <c r="L58" s="2">
        <v>127</v>
      </c>
      <c r="M58" s="2">
        <v>182</v>
      </c>
      <c r="N58" s="2">
        <v>6.2</v>
      </c>
      <c r="O58" s="2">
        <v>8.25</v>
      </c>
      <c r="P58" s="2">
        <v>8.75</v>
      </c>
      <c r="Q58" s="2">
        <v>11.12</v>
      </c>
      <c r="R58" s="2">
        <v>3.3</v>
      </c>
      <c r="S58" s="10">
        <f>STANDARDIZE(TBL_DATA[[#This Row],[Height (No Shoes)]],E$63,E$62)</f>
        <v>-1.2988552028515847</v>
      </c>
      <c r="T58" s="10">
        <f>STANDARDIZE(TBL_DATA[[#This Row],[Height (With Shoes)]],F$63,F$62)</f>
        <v>-1.2879870798447568</v>
      </c>
      <c r="U58" s="10">
        <f>STANDARDIZE(TBL_DATA[[#This Row],[Wingspan]],G$63,G$62)</f>
        <v>-0.80699448190333478</v>
      </c>
      <c r="V58" s="10">
        <f>STANDARDIZE(TBL_DATA[[#This Row],[Standing reach]],H$63,H$62)</f>
        <v>-1.0052923545072134</v>
      </c>
      <c r="W58" s="10">
        <f>STANDARDIZE(TBL_DATA[[#This Row],[Vertical (Max)]],I$63,I$62)</f>
        <v>9.0438603828909031E-2</v>
      </c>
      <c r="X58" s="10">
        <f>STANDARDIZE(TBL_DATA[[#This Row],[Vertical (Max Reach)]],J$63,J$62)</f>
        <v>-0.93599499960623644</v>
      </c>
      <c r="Y58" s="10">
        <f>STANDARDIZE(TBL_DATA[[#This Row],[Vertical (No Step)]],K$63,K$62)</f>
        <v>-0.41073804224958327</v>
      </c>
      <c r="Z58" s="10">
        <f>STANDARDIZE(TBL_DATA[[#This Row],[Vertical (No Step Reach)]],L$63,L$62)</f>
        <v>-1.2488251353912321</v>
      </c>
      <c r="AA58" s="10">
        <f>STANDARDIZE(TBL_DATA[[#This Row],[Weight]],M$63,M$62)</f>
        <v>-1.2717535642618865</v>
      </c>
      <c r="AB58" s="10">
        <f>STANDARDIZE(TBL_DATA[[#This Row],[Body Fat]],N$63,N$62)</f>
        <v>-0.32468506387094054</v>
      </c>
      <c r="AC58" s="10">
        <f>STANDARDIZE(TBL_DATA[[#This Row],[Hand (Length)]],O$63,O$62)</f>
        <v>-1.0588677394027144</v>
      </c>
      <c r="AD58" s="10">
        <f>STANDARDIZE(TBL_DATA[[#This Row],[Hand (Width)]],P$63,P$62)</f>
        <v>-0.58192669000175878</v>
      </c>
      <c r="AE58" s="10">
        <f>STANDARDIZE(TBL_DATA[[#This Row],[Agility]],Q$63,Q$62)</f>
        <v>-0.49609496274375636</v>
      </c>
      <c r="AF58" s="10">
        <f>STANDARDIZE(TBL_DATA[[#This Row],[Sprint]],R$63,R$62)</f>
        <v>-4.1849043898112302E-2</v>
      </c>
      <c r="AG58" s="10">
        <f>(10*TBL_DATA[[#This Row],[Z_Height (No Shoes)]])+50</f>
        <v>37.011447971484152</v>
      </c>
      <c r="AH58" s="10">
        <f>(10*TBL_DATA[[#This Row],[Z_Height (With Shoes)]])+50</f>
        <v>37.12012920155243</v>
      </c>
      <c r="AI58" s="10">
        <f>(10*TBL_DATA[[#This Row],[Z_Wingspan]])+50</f>
        <v>41.930055180966654</v>
      </c>
      <c r="AJ58" s="10">
        <f>(10*TBL_DATA[[#This Row],[Z_Standing reach]])+50</f>
        <v>39.947076454927867</v>
      </c>
      <c r="AK58" s="10">
        <f>(10*TBL_DATA[[#This Row],[Z_Vertical (Max)]])+50</f>
        <v>50.90438603828909</v>
      </c>
      <c r="AL58" s="10">
        <f>(10*TBL_DATA[[#This Row],[Z_Vertical (Max Reach)]])+50</f>
        <v>40.640050003937631</v>
      </c>
      <c r="AM58" s="10">
        <f>(10*TBL_DATA[[#This Row],[Z_Vertical (No Step)]])+50</f>
        <v>45.892619577504163</v>
      </c>
      <c r="AN58" s="10">
        <f>(10*TBL_DATA[[#This Row],[Z_Vertical (No Step Reach)]])+50</f>
        <v>37.511748646087682</v>
      </c>
      <c r="AO58" s="10">
        <f>(10*TBL_DATA[[#This Row],[Z_Weight]])+50</f>
        <v>37.282464357381137</v>
      </c>
      <c r="AP58" s="10">
        <f>(10*TBL_DATA[[#This Row],[Z_Body Fat]])+50</f>
        <v>46.753149361290596</v>
      </c>
      <c r="AQ58" s="10">
        <f>(10*TBL_DATA[[#This Row],[Z_Hand (Length)]])+50</f>
        <v>39.411322605972856</v>
      </c>
      <c r="AR58" s="10">
        <f>(10*TBL_DATA[[#This Row],[Z_Hand (Width)]])+50</f>
        <v>44.180733099982412</v>
      </c>
      <c r="AS58" s="10">
        <f>(10*TBL_DATA[[#This Row],[Z_Agility]])+50</f>
        <v>45.039050372562436</v>
      </c>
      <c r="AT58" s="10">
        <f>(10*TBL_DATA[[#This Row],[Z_Sprint]])+50</f>
        <v>49.581509561018876</v>
      </c>
      <c r="AU58" s="2">
        <f>SUM(TBL_DATA[[#This Row],[T_Height (No Shoes)]:[T_Sprint]])</f>
        <v>593.205742432958</v>
      </c>
    </row>
    <row r="59" spans="1:47" x14ac:dyDescent="0.3">
      <c r="A59" s="8">
        <v>57</v>
      </c>
      <c r="B59" s="6" t="s">
        <v>74</v>
      </c>
      <c r="C59" s="7">
        <v>2014</v>
      </c>
      <c r="D59" s="2">
        <v>59</v>
      </c>
      <c r="E59" s="2">
        <v>74.25</v>
      </c>
      <c r="F59" s="2">
        <v>75.5</v>
      </c>
      <c r="G59" s="2">
        <v>76</v>
      </c>
      <c r="H59" s="2">
        <v>96</v>
      </c>
      <c r="I59" s="2">
        <v>32.5</v>
      </c>
      <c r="J59" s="2">
        <v>128.5</v>
      </c>
      <c r="K59" s="2">
        <v>29</v>
      </c>
      <c r="L59" s="2">
        <v>125</v>
      </c>
      <c r="M59" s="2">
        <v>187</v>
      </c>
      <c r="N59" s="2">
        <v>6.4</v>
      </c>
      <c r="O59" s="2">
        <v>8.25</v>
      </c>
      <c r="P59" s="2">
        <v>9</v>
      </c>
      <c r="Q59" s="2">
        <v>11.48</v>
      </c>
      <c r="R59" s="2">
        <v>3.48</v>
      </c>
      <c r="S59" s="10">
        <f>STANDARDIZE(TBL_DATA[[#This Row],[Height (No Shoes)]],E$63,E$62)</f>
        <v>-0.90586824404007971</v>
      </c>
      <c r="T59" s="10">
        <f>STANDARDIZE(TBL_DATA[[#This Row],[Height (With Shoes)]],F$63,F$62)</f>
        <v>-0.96427573709357206</v>
      </c>
      <c r="U59" s="10">
        <f>STANDARDIZE(TBL_DATA[[#This Row],[Wingspan]],G$63,G$62)</f>
        <v>-1.7105926828082365</v>
      </c>
      <c r="V59" s="10">
        <f>STANDARDIZE(TBL_DATA[[#This Row],[Standing reach]],H$63,H$62)</f>
        <v>-1.4723179365223753</v>
      </c>
      <c r="W59" s="10">
        <f>STANDARDIZE(TBL_DATA[[#This Row],[Vertical (Max)]],I$63,I$62)</f>
        <v>-0.99190726780093674</v>
      </c>
      <c r="X59" s="10">
        <f>STANDARDIZE(TBL_DATA[[#This Row],[Vertical (Max Reach)]],J$63,J$62)</f>
        <v>-2.2669342307536371</v>
      </c>
      <c r="Y59" s="10">
        <f>STANDARDIZE(TBL_DATA[[#This Row],[Vertical (No Step)]],K$63,K$62)</f>
        <v>-0.41073804224958327</v>
      </c>
      <c r="Z59" s="10">
        <f>STANDARDIZE(TBL_DATA[[#This Row],[Vertical (No Step Reach)]],L$63,L$62)</f>
        <v>-1.7267148983929319</v>
      </c>
      <c r="AA59" s="10">
        <f>STANDARDIZE(TBL_DATA[[#This Row],[Weight]],M$63,M$62)</f>
        <v>-1.0589530529418316</v>
      </c>
      <c r="AB59" s="10">
        <f>STANDARDIZE(TBL_DATA[[#This Row],[Body Fat]],N$63,N$62)</f>
        <v>-0.24649559951018341</v>
      </c>
      <c r="AC59" s="10">
        <f>STANDARDIZE(TBL_DATA[[#This Row],[Hand (Length)]],O$63,O$62)</f>
        <v>-1.0588677394027144</v>
      </c>
      <c r="AD59" s="10">
        <f>STANDARDIZE(TBL_DATA[[#This Row],[Hand (Width)]],P$63,P$62)</f>
        <v>-0.23858994290072091</v>
      </c>
      <c r="AE59" s="10">
        <f>STANDARDIZE(TBL_DATA[[#This Row],[Agility]],Q$63,Q$62)</f>
        <v>0.23920968512347379</v>
      </c>
      <c r="AF59" s="10">
        <f>STANDARDIZE(TBL_DATA[[#This Row],[Sprint]],R$63,R$62)</f>
        <v>1.6284736647310967</v>
      </c>
      <c r="AG59" s="10">
        <f>(10*TBL_DATA[[#This Row],[Z_Height (No Shoes)]])+50</f>
        <v>40.941317559599199</v>
      </c>
      <c r="AH59" s="10">
        <f>(10*TBL_DATA[[#This Row],[Z_Height (With Shoes)]])+50</f>
        <v>40.357242629064281</v>
      </c>
      <c r="AI59" s="10">
        <f>(10*TBL_DATA[[#This Row],[Z_Wingspan]])+50</f>
        <v>32.89407317191764</v>
      </c>
      <c r="AJ59" s="10">
        <f>(10*TBL_DATA[[#This Row],[Z_Standing reach]])+50</f>
        <v>35.276820634776243</v>
      </c>
      <c r="AK59" s="10">
        <f>(10*TBL_DATA[[#This Row],[Z_Vertical (Max)]])+50</f>
        <v>40.080927321990629</v>
      </c>
      <c r="AL59" s="10">
        <f>(10*TBL_DATA[[#This Row],[Z_Vertical (Max Reach)]])+50</f>
        <v>27.330657692463628</v>
      </c>
      <c r="AM59" s="10">
        <f>(10*TBL_DATA[[#This Row],[Z_Vertical (No Step)]])+50</f>
        <v>45.892619577504163</v>
      </c>
      <c r="AN59" s="10">
        <f>(10*TBL_DATA[[#This Row],[Z_Vertical (No Step Reach)]])+50</f>
        <v>32.732851016070683</v>
      </c>
      <c r="AO59" s="10">
        <f>(10*TBL_DATA[[#This Row],[Z_Weight]])+50</f>
        <v>39.410469470581688</v>
      </c>
      <c r="AP59" s="10">
        <f>(10*TBL_DATA[[#This Row],[Z_Body Fat]])+50</f>
        <v>47.535044004898168</v>
      </c>
      <c r="AQ59" s="10">
        <f>(10*TBL_DATA[[#This Row],[Z_Hand (Length)]])+50</f>
        <v>39.411322605972856</v>
      </c>
      <c r="AR59" s="10">
        <f>(10*TBL_DATA[[#This Row],[Z_Hand (Width)]])+50</f>
        <v>47.61410057099279</v>
      </c>
      <c r="AS59" s="10">
        <f>(10*TBL_DATA[[#This Row],[Z_Agility]])+50</f>
        <v>52.39209685123474</v>
      </c>
      <c r="AT59" s="10">
        <f>(10*TBL_DATA[[#This Row],[Z_Sprint]])+50</f>
        <v>66.284736647310964</v>
      </c>
      <c r="AU59" s="2">
        <f>SUM(TBL_DATA[[#This Row],[T_Height (No Shoes)]:[T_Sprint]])</f>
        <v>588.15427975437763</v>
      </c>
    </row>
    <row r="60" spans="1:47" x14ac:dyDescent="0.3">
      <c r="A60" s="8">
        <v>58</v>
      </c>
      <c r="B60" s="6" t="s">
        <v>75</v>
      </c>
      <c r="C60" s="7">
        <v>2014</v>
      </c>
      <c r="D60" s="2">
        <v>13</v>
      </c>
      <c r="E60" s="2">
        <v>76.5</v>
      </c>
      <c r="F60" s="2">
        <v>77.75</v>
      </c>
      <c r="G60" s="2">
        <v>80.25</v>
      </c>
      <c r="H60" s="2">
        <v>100</v>
      </c>
      <c r="I60" s="2">
        <v>41.5</v>
      </c>
      <c r="J60" s="2">
        <v>141.5</v>
      </c>
      <c r="K60" s="2">
        <v>33.5</v>
      </c>
      <c r="L60" s="2">
        <v>133.5</v>
      </c>
      <c r="M60" s="2">
        <v>181</v>
      </c>
      <c r="N60" s="2">
        <v>4.7</v>
      </c>
      <c r="O60" s="2">
        <v>8.25</v>
      </c>
      <c r="P60" s="2">
        <v>8.75</v>
      </c>
      <c r="Q60" s="2">
        <v>10.42</v>
      </c>
      <c r="R60" s="2">
        <v>3.19</v>
      </c>
      <c r="S60" s="10">
        <f>STANDARDIZE(TBL_DATA[[#This Row],[Height (No Shoes)]],E$63,E$62)</f>
        <v>-0.19849171817937072</v>
      </c>
      <c r="T60" s="10">
        <f>STANDARDIZE(TBL_DATA[[#This Row],[Height (With Shoes)]],F$63,F$62)</f>
        <v>-0.23592521590340612</v>
      </c>
      <c r="U60" s="10">
        <f>STANDARDIZE(TBL_DATA[[#This Row],[Wingspan]],G$63,G$62)</f>
        <v>-0.52896426624028814</v>
      </c>
      <c r="V60" s="10">
        <f>STANDARDIZE(TBL_DATA[[#This Row],[Standing reach]],H$63,H$62)</f>
        <v>-0.53826677249205135</v>
      </c>
      <c r="W60" s="10">
        <f>STANDARDIZE(TBL_DATA[[#This Row],[Vertical (Max)]],I$63,I$62)</f>
        <v>1.7912678306758094</v>
      </c>
      <c r="X60" s="10">
        <f>STANDARDIZE(TBL_DATA[[#This Row],[Vertical (Max Reach)]],J$63,J$62)</f>
        <v>0.87892213377658235</v>
      </c>
      <c r="Y60" s="10">
        <f>STANDARDIZE(TBL_DATA[[#This Row],[Vertical (No Step)]],K$63,K$62)</f>
        <v>1.3230853750340539</v>
      </c>
      <c r="Z60" s="10">
        <f>STANDARDIZE(TBL_DATA[[#This Row],[Vertical (No Step Reach)]],L$63,L$62)</f>
        <v>0.30431659436429181</v>
      </c>
      <c r="AA60" s="10">
        <f>STANDARDIZE(TBL_DATA[[#This Row],[Weight]],M$63,M$62)</f>
        <v>-1.3143136665258974</v>
      </c>
      <c r="AB60" s="10">
        <f>STANDARDIZE(TBL_DATA[[#This Row],[Body Fat]],N$63,N$62)</f>
        <v>-0.91110604657661864</v>
      </c>
      <c r="AC60" s="10">
        <f>STANDARDIZE(TBL_DATA[[#This Row],[Hand (Length)]],O$63,O$62)</f>
        <v>-1.0588677394027144</v>
      </c>
      <c r="AD60" s="10">
        <f>STANDARDIZE(TBL_DATA[[#This Row],[Hand (Width)]],P$63,P$62)</f>
        <v>-0.58192669000175878</v>
      </c>
      <c r="AE60" s="10">
        <f>STANDARDIZE(TBL_DATA[[#This Row],[Agility]],Q$63,Q$62)</f>
        <v>-1.9258540002633642</v>
      </c>
      <c r="AF60" s="10">
        <f>STANDARDIZE(TBL_DATA[[#This Row],[Sprint]],R$63,R$62)</f>
        <v>-1.0626018102826269</v>
      </c>
      <c r="AG60" s="10">
        <f>(10*TBL_DATA[[#This Row],[Z_Height (No Shoes)]])+50</f>
        <v>48.015082818206295</v>
      </c>
      <c r="AH60" s="10">
        <f>(10*TBL_DATA[[#This Row],[Z_Height (With Shoes)]])+50</f>
        <v>47.640747840965936</v>
      </c>
      <c r="AI60" s="10">
        <f>(10*TBL_DATA[[#This Row],[Z_Wingspan]])+50</f>
        <v>44.710357337597117</v>
      </c>
      <c r="AJ60" s="10">
        <f>(10*TBL_DATA[[#This Row],[Z_Standing reach]])+50</f>
        <v>44.617332275079484</v>
      </c>
      <c r="AK60" s="10">
        <f>(10*TBL_DATA[[#This Row],[Z_Vertical (Max)]])+50</f>
        <v>67.912678306758096</v>
      </c>
      <c r="AL60" s="10">
        <f>(10*TBL_DATA[[#This Row],[Z_Vertical (Max Reach)]])+50</f>
        <v>58.789221337765824</v>
      </c>
      <c r="AM60" s="10">
        <f>(10*TBL_DATA[[#This Row],[Z_Vertical (No Step)]])+50</f>
        <v>63.230853750340543</v>
      </c>
      <c r="AN60" s="10">
        <f>(10*TBL_DATA[[#This Row],[Z_Vertical (No Step Reach)]])+50</f>
        <v>53.043165943642919</v>
      </c>
      <c r="AO60" s="10">
        <f>(10*TBL_DATA[[#This Row],[Z_Weight]])+50</f>
        <v>36.856863334741021</v>
      </c>
      <c r="AP60" s="10">
        <f>(10*TBL_DATA[[#This Row],[Z_Body Fat]])+50</f>
        <v>40.888939534233813</v>
      </c>
      <c r="AQ60" s="10">
        <f>(10*TBL_DATA[[#This Row],[Z_Hand (Length)]])+50</f>
        <v>39.411322605972856</v>
      </c>
      <c r="AR60" s="10">
        <f>(10*TBL_DATA[[#This Row],[Z_Hand (Width)]])+50</f>
        <v>44.180733099982412</v>
      </c>
      <c r="AS60" s="10">
        <f>(10*TBL_DATA[[#This Row],[Z_Agility]])+50</f>
        <v>30.741459997366359</v>
      </c>
      <c r="AT60" s="10">
        <f>(10*TBL_DATA[[#This Row],[Z_Sprint]])+50</f>
        <v>39.373981897173735</v>
      </c>
      <c r="AU60" s="2">
        <f>SUM(TBL_DATA[[#This Row],[T_Height (No Shoes)]:[T_Sprint]])</f>
        <v>659.41274007982645</v>
      </c>
    </row>
    <row r="62" spans="1:47" x14ac:dyDescent="0.3">
      <c r="B62" s="35" t="s">
        <v>103</v>
      </c>
      <c r="E62" s="36">
        <f>_xlfn.STDEV.P(E2:E60)</f>
        <v>3.1807671271848963</v>
      </c>
      <c r="F62" s="36">
        <f t="shared" ref="F62:R62" si="0">_xlfn.STDEV.P(F2:F60)</f>
        <v>3.0891719502354071</v>
      </c>
      <c r="G62" s="36">
        <f t="shared" si="0"/>
        <v>3.5967313754557186</v>
      </c>
      <c r="H62" s="36">
        <f t="shared" si="0"/>
        <v>4.2824206574942396</v>
      </c>
      <c r="I62" s="36">
        <f t="shared" si="0"/>
        <v>3.2337167736682364</v>
      </c>
      <c r="J62" s="36">
        <f t="shared" si="0"/>
        <v>4.1324200769545723</v>
      </c>
      <c r="K62" s="36">
        <f t="shared" si="0"/>
        <v>2.5954200151766913</v>
      </c>
      <c r="L62" s="36">
        <f t="shared" si="0"/>
        <v>4.1850655838235369</v>
      </c>
      <c r="M62" s="36">
        <f t="shared" si="0"/>
        <v>23.49618414440712</v>
      </c>
      <c r="N62" s="36">
        <f t="shared" si="0"/>
        <v>2.557889373397205</v>
      </c>
      <c r="O62" s="36">
        <f t="shared" si="0"/>
        <v>0.44018877671934059</v>
      </c>
      <c r="P62" s="36">
        <f t="shared" si="0"/>
        <v>0.72814809981999817</v>
      </c>
      <c r="Q62" s="36">
        <f t="shared" si="0"/>
        <v>0.48959298849013178</v>
      </c>
      <c r="R62" s="36">
        <f t="shared" si="0"/>
        <v>0.10776360703837976</v>
      </c>
    </row>
    <row r="63" spans="1:47" x14ac:dyDescent="0.3">
      <c r="B63" s="35" t="s">
        <v>104</v>
      </c>
      <c r="E63" s="36">
        <f>AVERAGE(E2:E60)</f>
        <v>77.131355932203391</v>
      </c>
      <c r="F63" s="36">
        <f t="shared" ref="F63:R63" si="1">AVERAGE(F2:F60)</f>
        <v>78.478813559322035</v>
      </c>
      <c r="G63" s="36">
        <f t="shared" si="1"/>
        <v>82.152542372881356</v>
      </c>
      <c r="H63" s="36">
        <f t="shared" si="1"/>
        <v>102.30508474576271</v>
      </c>
      <c r="I63" s="36">
        <f t="shared" si="1"/>
        <v>35.70754716981132</v>
      </c>
      <c r="J63" s="36">
        <f t="shared" si="1"/>
        <v>137.8679245283019</v>
      </c>
      <c r="K63" s="36">
        <f t="shared" si="1"/>
        <v>30.066037735849058</v>
      </c>
      <c r="L63" s="36">
        <f t="shared" si="1"/>
        <v>132.22641509433961</v>
      </c>
      <c r="M63" s="36">
        <f t="shared" si="1"/>
        <v>211.88135593220338</v>
      </c>
      <c r="N63" s="36">
        <f t="shared" si="1"/>
        <v>7.0305084745762718</v>
      </c>
      <c r="O63" s="36">
        <f t="shared" si="1"/>
        <v>8.7161016949152543</v>
      </c>
      <c r="P63" s="36">
        <f t="shared" si="1"/>
        <v>9.1737288135593218</v>
      </c>
      <c r="Q63" s="36">
        <f t="shared" si="1"/>
        <v>11.362884615384615</v>
      </c>
      <c r="R63" s="36">
        <f t="shared" si="1"/>
        <v>3.3045098039215679</v>
      </c>
    </row>
    <row r="66" spans="1:1" x14ac:dyDescent="0.3">
      <c r="A66" t="s">
        <v>105</v>
      </c>
    </row>
  </sheetData>
  <conditionalFormatting sqref="D1:R60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{2AB263B0-D657-4E66-8E1C-CE25447AF866}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B263B0-D657-4E66-8E1C-CE25447AF86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D1:R60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CACF-54A9-4596-943B-56B61650C34B}">
  <dimension ref="B1:N68"/>
  <sheetViews>
    <sheetView zoomScale="40" zoomScaleNormal="40" workbookViewId="0">
      <selection activeCell="C68" sqref="C68:F68"/>
    </sheetView>
  </sheetViews>
  <sheetFormatPr defaultRowHeight="14.4" x14ac:dyDescent="0.3"/>
  <cols>
    <col min="1" max="1" width="8.88671875" style="16"/>
    <col min="2" max="2" width="22.5546875" style="16" bestFit="1" customWidth="1"/>
    <col min="3" max="3" width="16.21875" style="16" bestFit="1" customWidth="1"/>
    <col min="4" max="4" width="22.88671875" style="16" bestFit="1" customWidth="1"/>
    <col min="5" max="5" width="14.77734375" style="16" bestFit="1" customWidth="1"/>
    <col min="6" max="6" width="24.44140625" style="16" bestFit="1" customWidth="1"/>
    <col min="7" max="7" width="14.21875" style="16" bestFit="1" customWidth="1"/>
    <col min="8" max="16384" width="8.88671875" style="16"/>
  </cols>
  <sheetData>
    <row r="1" spans="2:14" x14ac:dyDescent="0.3">
      <c r="D1" s="42" t="s">
        <v>143</v>
      </c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2:14" x14ac:dyDescent="0.3"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2:14" ht="14.4" customHeight="1" x14ac:dyDescent="0.3"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2:14" x14ac:dyDescent="0.3"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2:14" x14ac:dyDescent="0.3"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</row>
    <row r="6" spans="2:14" x14ac:dyDescent="0.3"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</row>
    <row r="8" spans="2:14" s="24" customFormat="1" x14ac:dyDescent="0.3">
      <c r="B8" s="17" t="s">
        <v>0</v>
      </c>
      <c r="C8" s="32" t="s">
        <v>139</v>
      </c>
      <c r="D8" s="32" t="s">
        <v>141</v>
      </c>
      <c r="E8" s="32" t="s">
        <v>142</v>
      </c>
      <c r="F8" s="33" t="s">
        <v>140</v>
      </c>
    </row>
    <row r="9" spans="2:14" x14ac:dyDescent="0.3">
      <c r="B9" s="21" t="s">
        <v>42</v>
      </c>
      <c r="C9" s="40">
        <v>263</v>
      </c>
      <c r="D9" s="40">
        <v>79</v>
      </c>
      <c r="E9" s="40">
        <v>8.1999999999999993</v>
      </c>
      <c r="F9" s="40">
        <v>80.5</v>
      </c>
    </row>
    <row r="10" spans="2:14" x14ac:dyDescent="0.3">
      <c r="B10" s="21" t="s">
        <v>45</v>
      </c>
      <c r="C10" s="40">
        <v>257</v>
      </c>
      <c r="D10" s="40">
        <v>79.25</v>
      </c>
      <c r="E10" s="40">
        <v>10.8</v>
      </c>
      <c r="F10" s="40">
        <v>80.5</v>
      </c>
    </row>
    <row r="11" spans="2:14" x14ac:dyDescent="0.3">
      <c r="B11" s="21" t="s">
        <v>47</v>
      </c>
      <c r="C11" s="40">
        <v>254</v>
      </c>
      <c r="D11" s="40">
        <v>85.25</v>
      </c>
      <c r="E11" s="40">
        <v>7.5</v>
      </c>
      <c r="F11" s="40">
        <v>86</v>
      </c>
    </row>
    <row r="12" spans="2:14" x14ac:dyDescent="0.3">
      <c r="B12" s="21" t="s">
        <v>21</v>
      </c>
      <c r="C12" s="40">
        <v>252</v>
      </c>
      <c r="D12" s="40">
        <v>81.25</v>
      </c>
      <c r="E12" s="40">
        <v>13.6</v>
      </c>
      <c r="F12" s="40">
        <v>82.75</v>
      </c>
    </row>
    <row r="13" spans="2:14" x14ac:dyDescent="0.3">
      <c r="B13" s="21" t="s">
        <v>24</v>
      </c>
      <c r="C13" s="40">
        <v>252</v>
      </c>
      <c r="D13" s="40">
        <v>80.75</v>
      </c>
      <c r="E13" s="40">
        <v>8.6999999999999993</v>
      </c>
      <c r="F13" s="40">
        <v>81.75</v>
      </c>
    </row>
    <row r="14" spans="2:14" x14ac:dyDescent="0.3">
      <c r="B14" s="21" t="s">
        <v>50</v>
      </c>
      <c r="C14" s="40">
        <v>250</v>
      </c>
      <c r="D14" s="40">
        <v>79.75</v>
      </c>
      <c r="E14" s="40">
        <v>9.4</v>
      </c>
      <c r="F14" s="40">
        <v>81</v>
      </c>
    </row>
    <row r="15" spans="2:14" x14ac:dyDescent="0.3">
      <c r="B15" s="21" t="s">
        <v>62</v>
      </c>
      <c r="C15" s="40">
        <v>247</v>
      </c>
      <c r="D15" s="40">
        <v>80</v>
      </c>
      <c r="E15" s="40">
        <v>7.3</v>
      </c>
      <c r="F15" s="40">
        <v>81.5</v>
      </c>
    </row>
    <row r="16" spans="2:14" x14ac:dyDescent="0.3">
      <c r="B16" s="21" t="s">
        <v>64</v>
      </c>
      <c r="C16" s="40">
        <v>247</v>
      </c>
      <c r="D16" s="40">
        <v>80.5</v>
      </c>
      <c r="E16" s="40">
        <v>5.5</v>
      </c>
      <c r="F16" s="40">
        <v>82</v>
      </c>
    </row>
    <row r="17" spans="2:6" x14ac:dyDescent="0.3">
      <c r="B17" s="21" t="s">
        <v>19</v>
      </c>
      <c r="C17" s="40">
        <v>239</v>
      </c>
      <c r="D17" s="40">
        <v>81</v>
      </c>
      <c r="E17" s="40">
        <v>7.6</v>
      </c>
      <c r="F17" s="40">
        <v>81.75</v>
      </c>
    </row>
    <row r="18" spans="2:6" x14ac:dyDescent="0.3">
      <c r="B18" s="21" t="s">
        <v>55</v>
      </c>
      <c r="C18" s="40">
        <v>239</v>
      </c>
      <c r="D18" s="40">
        <v>78.5</v>
      </c>
      <c r="E18" s="40">
        <v>16.3</v>
      </c>
      <c r="F18" s="40">
        <v>79.5</v>
      </c>
    </row>
    <row r="19" spans="2:6" x14ac:dyDescent="0.3">
      <c r="B19" s="21" t="s">
        <v>33</v>
      </c>
      <c r="C19" s="40">
        <v>234</v>
      </c>
      <c r="D19" s="40">
        <v>81.5</v>
      </c>
      <c r="E19" s="40">
        <v>6.2</v>
      </c>
      <c r="F19" s="40">
        <v>83</v>
      </c>
    </row>
    <row r="20" spans="2:6" x14ac:dyDescent="0.3">
      <c r="B20" s="21" t="s">
        <v>20</v>
      </c>
      <c r="C20" s="40">
        <v>231</v>
      </c>
      <c r="D20" s="40">
        <v>84.25</v>
      </c>
      <c r="E20" s="40">
        <v>7.7</v>
      </c>
      <c r="F20" s="40">
        <v>85.25</v>
      </c>
    </row>
    <row r="21" spans="2:6" x14ac:dyDescent="0.3">
      <c r="B21" s="21" t="s">
        <v>54</v>
      </c>
      <c r="C21" s="40">
        <v>230</v>
      </c>
      <c r="D21" s="40">
        <v>79.5</v>
      </c>
      <c r="E21" s="40">
        <v>13.4</v>
      </c>
      <c r="F21" s="40">
        <v>80.5</v>
      </c>
    </row>
    <row r="22" spans="2:6" x14ac:dyDescent="0.3">
      <c r="B22" s="21" t="s">
        <v>63</v>
      </c>
      <c r="C22" s="40">
        <v>229</v>
      </c>
      <c r="D22" s="40">
        <v>76.25</v>
      </c>
      <c r="E22" s="40">
        <v>8.1999999999999993</v>
      </c>
      <c r="F22" s="40">
        <v>77.25</v>
      </c>
    </row>
    <row r="23" spans="2:6" x14ac:dyDescent="0.3">
      <c r="B23" s="21" t="s">
        <v>40</v>
      </c>
      <c r="C23" s="40">
        <v>228</v>
      </c>
      <c r="D23" s="40">
        <v>79.5</v>
      </c>
      <c r="E23" s="40">
        <v>6.2</v>
      </c>
      <c r="F23" s="40">
        <v>80.75</v>
      </c>
    </row>
    <row r="24" spans="2:6" x14ac:dyDescent="0.3">
      <c r="B24" s="21" t="s">
        <v>57</v>
      </c>
      <c r="C24" s="40">
        <v>227</v>
      </c>
      <c r="D24" s="40">
        <v>74</v>
      </c>
      <c r="E24" s="40">
        <v>10.6</v>
      </c>
      <c r="F24" s="40">
        <v>75.25</v>
      </c>
    </row>
    <row r="25" spans="2:6" x14ac:dyDescent="0.3">
      <c r="B25" s="21" t="s">
        <v>56</v>
      </c>
      <c r="C25" s="40">
        <v>226</v>
      </c>
      <c r="D25" s="40">
        <v>76</v>
      </c>
      <c r="E25" s="40">
        <v>10.8</v>
      </c>
      <c r="F25" s="40">
        <v>77.25</v>
      </c>
    </row>
    <row r="26" spans="2:6" x14ac:dyDescent="0.3">
      <c r="B26" s="21" t="s">
        <v>37</v>
      </c>
      <c r="C26" s="40">
        <v>220</v>
      </c>
      <c r="D26" s="40">
        <v>83.5</v>
      </c>
      <c r="E26" s="40">
        <v>7.5</v>
      </c>
      <c r="F26" s="40">
        <v>84.5</v>
      </c>
    </row>
    <row r="27" spans="2:6" x14ac:dyDescent="0.3">
      <c r="B27" s="21" t="s">
        <v>18</v>
      </c>
      <c r="C27" s="40">
        <v>220</v>
      </c>
      <c r="D27" s="40">
        <v>79.5</v>
      </c>
      <c r="E27" s="40">
        <v>5.0999999999999996</v>
      </c>
      <c r="F27" s="40">
        <v>80.75</v>
      </c>
    </row>
    <row r="28" spans="2:6" x14ac:dyDescent="0.3">
      <c r="B28" s="21" t="s">
        <v>71</v>
      </c>
      <c r="C28" s="40">
        <v>220</v>
      </c>
      <c r="D28" s="40">
        <v>79</v>
      </c>
      <c r="E28" s="40">
        <v>8</v>
      </c>
      <c r="F28" s="40">
        <v>80.25</v>
      </c>
    </row>
    <row r="29" spans="2:6" x14ac:dyDescent="0.3">
      <c r="B29" s="21" t="s">
        <v>59</v>
      </c>
      <c r="C29" s="40">
        <v>219</v>
      </c>
      <c r="D29" s="40">
        <v>77.25</v>
      </c>
      <c r="E29" s="40">
        <v>6.5</v>
      </c>
      <c r="F29" s="40">
        <v>79</v>
      </c>
    </row>
    <row r="30" spans="2:6" x14ac:dyDescent="0.3">
      <c r="B30" s="21" t="s">
        <v>67</v>
      </c>
      <c r="C30" s="40">
        <v>219</v>
      </c>
      <c r="D30" s="40">
        <v>74.5</v>
      </c>
      <c r="E30" s="40">
        <v>9.1999999999999993</v>
      </c>
      <c r="F30" s="40">
        <v>76.25</v>
      </c>
    </row>
    <row r="31" spans="2:6" x14ac:dyDescent="0.3">
      <c r="B31" s="21" t="s">
        <v>22</v>
      </c>
      <c r="C31" s="40">
        <v>218</v>
      </c>
      <c r="D31" s="40">
        <v>78.5</v>
      </c>
      <c r="E31" s="40">
        <v>5.0999999999999996</v>
      </c>
      <c r="F31" s="40">
        <v>80</v>
      </c>
    </row>
    <row r="32" spans="2:6" x14ac:dyDescent="0.3">
      <c r="B32" s="21" t="s">
        <v>26</v>
      </c>
      <c r="C32" s="40">
        <v>218</v>
      </c>
      <c r="D32" s="40">
        <v>79.75</v>
      </c>
      <c r="E32" s="40">
        <v>5.3</v>
      </c>
      <c r="F32" s="40">
        <v>81</v>
      </c>
    </row>
    <row r="33" spans="2:6" x14ac:dyDescent="0.3">
      <c r="B33" s="21" t="s">
        <v>32</v>
      </c>
      <c r="C33" s="40">
        <v>218</v>
      </c>
      <c r="D33" s="40">
        <v>78.25</v>
      </c>
      <c r="E33" s="40">
        <v>7.1</v>
      </c>
      <c r="F33" s="40">
        <v>79.75</v>
      </c>
    </row>
    <row r="34" spans="2:6" x14ac:dyDescent="0.3">
      <c r="B34" s="21" t="s">
        <v>44</v>
      </c>
      <c r="C34" s="40">
        <v>215</v>
      </c>
      <c r="D34" s="40">
        <v>76.75</v>
      </c>
      <c r="E34" s="40">
        <v>6.2</v>
      </c>
      <c r="F34" s="40">
        <v>78.25</v>
      </c>
    </row>
    <row r="35" spans="2:6" x14ac:dyDescent="0.3">
      <c r="B35" s="21" t="s">
        <v>43</v>
      </c>
      <c r="C35" s="40">
        <v>214</v>
      </c>
      <c r="D35" s="40">
        <v>78.5</v>
      </c>
      <c r="E35" s="40">
        <v>3.8</v>
      </c>
      <c r="F35" s="40">
        <v>79.75</v>
      </c>
    </row>
    <row r="36" spans="2:6" x14ac:dyDescent="0.3">
      <c r="B36" s="21" t="s">
        <v>41</v>
      </c>
      <c r="C36" s="40">
        <v>213</v>
      </c>
      <c r="D36" s="40">
        <v>77.25</v>
      </c>
      <c r="E36" s="40">
        <v>5.0999999999999996</v>
      </c>
      <c r="F36" s="40">
        <v>78.75</v>
      </c>
    </row>
    <row r="37" spans="2:6" x14ac:dyDescent="0.3">
      <c r="B37" s="21" t="s">
        <v>36</v>
      </c>
      <c r="C37" s="40">
        <v>211</v>
      </c>
      <c r="D37" s="40">
        <v>77.5</v>
      </c>
      <c r="E37" s="40">
        <v>5.0999999999999996</v>
      </c>
      <c r="F37" s="40">
        <v>78.75</v>
      </c>
    </row>
    <row r="38" spans="2:6" x14ac:dyDescent="0.3">
      <c r="B38" s="21" t="s">
        <v>53</v>
      </c>
      <c r="C38" s="40">
        <v>209</v>
      </c>
      <c r="D38" s="40">
        <v>79.5</v>
      </c>
      <c r="E38" s="40">
        <v>6</v>
      </c>
      <c r="F38" s="40">
        <v>81.25</v>
      </c>
    </row>
    <row r="39" spans="2:6" x14ac:dyDescent="0.3">
      <c r="B39" s="21" t="s">
        <v>25</v>
      </c>
      <c r="C39" s="40">
        <v>209</v>
      </c>
      <c r="D39" s="40">
        <v>78</v>
      </c>
      <c r="E39" s="40">
        <v>4.5</v>
      </c>
      <c r="F39" s="40">
        <v>79.25</v>
      </c>
    </row>
    <row r="40" spans="2:6" x14ac:dyDescent="0.3">
      <c r="B40" s="21" t="s">
        <v>46</v>
      </c>
      <c r="C40" s="40">
        <v>209</v>
      </c>
      <c r="D40" s="40">
        <v>75.5</v>
      </c>
      <c r="E40" s="40">
        <v>10.8</v>
      </c>
      <c r="F40" s="40">
        <v>76.75</v>
      </c>
    </row>
    <row r="41" spans="2:6" x14ac:dyDescent="0.3">
      <c r="B41" s="21" t="s">
        <v>65</v>
      </c>
      <c r="C41" s="40">
        <v>208</v>
      </c>
      <c r="D41" s="40">
        <v>79.25</v>
      </c>
      <c r="E41" s="40">
        <v>7.5</v>
      </c>
      <c r="F41" s="40">
        <v>80.5</v>
      </c>
    </row>
    <row r="42" spans="2:6" x14ac:dyDescent="0.3">
      <c r="B42" s="21" t="s">
        <v>61</v>
      </c>
      <c r="C42" s="40">
        <v>207</v>
      </c>
      <c r="D42" s="40">
        <v>77.25</v>
      </c>
      <c r="E42" s="40">
        <v>12.1</v>
      </c>
      <c r="F42" s="40">
        <v>78.5</v>
      </c>
    </row>
    <row r="43" spans="2:6" x14ac:dyDescent="0.3">
      <c r="B43" s="21" t="s">
        <v>35</v>
      </c>
      <c r="C43" s="40">
        <v>205</v>
      </c>
      <c r="D43" s="40">
        <v>74.5</v>
      </c>
      <c r="E43" s="40">
        <v>4.5999999999999996</v>
      </c>
      <c r="F43" s="40">
        <v>76.5</v>
      </c>
    </row>
    <row r="44" spans="2:6" x14ac:dyDescent="0.3">
      <c r="B44" s="21" t="s">
        <v>70</v>
      </c>
      <c r="C44" s="40">
        <v>205</v>
      </c>
      <c r="D44" s="40">
        <v>76.5</v>
      </c>
      <c r="E44" s="40">
        <v>5.4</v>
      </c>
      <c r="F44" s="40">
        <v>78</v>
      </c>
    </row>
    <row r="45" spans="2:6" x14ac:dyDescent="0.3">
      <c r="B45" s="21" t="s">
        <v>72</v>
      </c>
      <c r="C45" s="40">
        <v>205</v>
      </c>
      <c r="D45" s="40">
        <v>77.25</v>
      </c>
      <c r="E45" s="40">
        <v>6.1</v>
      </c>
      <c r="F45" s="40">
        <v>78.25</v>
      </c>
    </row>
    <row r="46" spans="2:6" x14ac:dyDescent="0.3">
      <c r="B46" s="21" t="s">
        <v>38</v>
      </c>
      <c r="C46" s="40">
        <v>202</v>
      </c>
      <c r="D46" s="40">
        <v>75</v>
      </c>
      <c r="E46" s="40">
        <v>6.1</v>
      </c>
      <c r="F46" s="40">
        <v>76.25</v>
      </c>
    </row>
    <row r="47" spans="2:6" x14ac:dyDescent="0.3">
      <c r="B47" s="21" t="s">
        <v>23</v>
      </c>
      <c r="C47" s="40">
        <v>201</v>
      </c>
      <c r="D47" s="40">
        <v>75.5</v>
      </c>
      <c r="E47" s="40">
        <v>6.5</v>
      </c>
      <c r="F47" s="40">
        <v>77</v>
      </c>
    </row>
    <row r="48" spans="2:6" x14ac:dyDescent="0.3">
      <c r="B48" s="21" t="s">
        <v>29</v>
      </c>
      <c r="C48" s="40">
        <v>200</v>
      </c>
      <c r="D48" s="40">
        <v>74.75</v>
      </c>
      <c r="E48" s="40">
        <v>5</v>
      </c>
      <c r="F48" s="40">
        <v>76.5</v>
      </c>
    </row>
    <row r="49" spans="2:6" x14ac:dyDescent="0.3">
      <c r="B49" s="21" t="s">
        <v>60</v>
      </c>
      <c r="C49" s="40">
        <v>198</v>
      </c>
      <c r="D49" s="40">
        <v>73.5</v>
      </c>
      <c r="E49" s="40">
        <v>6.1</v>
      </c>
      <c r="F49" s="40">
        <v>75</v>
      </c>
    </row>
    <row r="50" spans="2:6" x14ac:dyDescent="0.3">
      <c r="B50" s="21" t="s">
        <v>51</v>
      </c>
      <c r="C50" s="40">
        <v>196</v>
      </c>
      <c r="D50" s="40">
        <v>76.5</v>
      </c>
      <c r="E50" s="40">
        <v>4.5</v>
      </c>
      <c r="F50" s="40">
        <v>78</v>
      </c>
    </row>
    <row r="51" spans="2:6" x14ac:dyDescent="0.3">
      <c r="B51" s="21" t="s">
        <v>27</v>
      </c>
      <c r="C51" s="40">
        <v>196</v>
      </c>
      <c r="D51" s="40">
        <v>76.5</v>
      </c>
      <c r="E51" s="40">
        <v>6.4</v>
      </c>
      <c r="F51" s="40">
        <v>78</v>
      </c>
    </row>
    <row r="52" spans="2:6" x14ac:dyDescent="0.3">
      <c r="B52" s="21" t="s">
        <v>28</v>
      </c>
      <c r="C52" s="40">
        <v>196</v>
      </c>
      <c r="D52" s="40">
        <v>79.25</v>
      </c>
      <c r="E52" s="40">
        <v>3.9</v>
      </c>
      <c r="F52" s="40">
        <v>80.5</v>
      </c>
    </row>
    <row r="53" spans="2:6" x14ac:dyDescent="0.3">
      <c r="B53" s="21" t="s">
        <v>30</v>
      </c>
      <c r="C53" s="40">
        <v>193</v>
      </c>
      <c r="D53" s="40">
        <v>72</v>
      </c>
      <c r="E53" s="40">
        <v>7.7</v>
      </c>
      <c r="F53" s="40">
        <v>73.25</v>
      </c>
    </row>
    <row r="54" spans="2:6" x14ac:dyDescent="0.3">
      <c r="B54" s="21" t="s">
        <v>17</v>
      </c>
      <c r="C54" s="40">
        <v>192</v>
      </c>
      <c r="D54" s="40">
        <v>72.75</v>
      </c>
      <c r="E54" s="40">
        <v>6.1</v>
      </c>
      <c r="F54" s="40">
        <v>73.75</v>
      </c>
    </row>
    <row r="55" spans="2:6" x14ac:dyDescent="0.3">
      <c r="B55" s="21" t="s">
        <v>31</v>
      </c>
      <c r="C55" s="40">
        <v>192</v>
      </c>
      <c r="D55" s="40">
        <v>77</v>
      </c>
      <c r="E55" s="40">
        <v>6.9</v>
      </c>
      <c r="F55" s="40">
        <v>78.5</v>
      </c>
    </row>
    <row r="56" spans="2:6" x14ac:dyDescent="0.3">
      <c r="B56" s="21" t="s">
        <v>74</v>
      </c>
      <c r="C56" s="40">
        <v>187</v>
      </c>
      <c r="D56" s="40">
        <v>74.25</v>
      </c>
      <c r="E56" s="40">
        <v>6.4</v>
      </c>
      <c r="F56" s="40">
        <v>75.5</v>
      </c>
    </row>
    <row r="57" spans="2:6" x14ac:dyDescent="0.3">
      <c r="B57" s="21" t="s">
        <v>48</v>
      </c>
      <c r="C57" s="40">
        <v>186</v>
      </c>
      <c r="D57" s="40">
        <v>75.25</v>
      </c>
      <c r="E57" s="40">
        <v>4.3</v>
      </c>
      <c r="F57" s="40">
        <v>77</v>
      </c>
    </row>
    <row r="58" spans="2:6" x14ac:dyDescent="0.3">
      <c r="B58" s="21" t="s">
        <v>68</v>
      </c>
      <c r="C58" s="40">
        <v>186</v>
      </c>
      <c r="D58" s="40">
        <v>73.5</v>
      </c>
      <c r="E58" s="40">
        <v>5.3</v>
      </c>
      <c r="F58" s="40">
        <v>75.25</v>
      </c>
    </row>
    <row r="59" spans="2:6" x14ac:dyDescent="0.3">
      <c r="B59" s="21" t="s">
        <v>34</v>
      </c>
      <c r="C59" s="40">
        <v>185</v>
      </c>
      <c r="D59" s="40">
        <v>74.5</v>
      </c>
      <c r="E59" s="40">
        <v>5.7</v>
      </c>
      <c r="F59" s="40">
        <v>75.75</v>
      </c>
    </row>
    <row r="60" spans="2:6" x14ac:dyDescent="0.3">
      <c r="B60" s="21" t="s">
        <v>58</v>
      </c>
      <c r="C60" s="40">
        <v>184</v>
      </c>
      <c r="D60" s="40">
        <v>74.5</v>
      </c>
      <c r="E60" s="40">
        <v>4.2</v>
      </c>
      <c r="F60" s="40">
        <v>75.5</v>
      </c>
    </row>
    <row r="61" spans="2:6" x14ac:dyDescent="0.3">
      <c r="B61" s="21" t="s">
        <v>52</v>
      </c>
      <c r="C61" s="40">
        <v>183</v>
      </c>
      <c r="D61" s="40">
        <v>74.25</v>
      </c>
      <c r="E61" s="40">
        <v>7.2</v>
      </c>
      <c r="F61" s="40">
        <v>75.75</v>
      </c>
    </row>
    <row r="62" spans="2:6" x14ac:dyDescent="0.3">
      <c r="B62" s="21" t="s">
        <v>73</v>
      </c>
      <c r="C62" s="40">
        <v>182</v>
      </c>
      <c r="D62" s="40">
        <v>73</v>
      </c>
      <c r="E62" s="40">
        <v>6.2</v>
      </c>
      <c r="F62" s="40">
        <v>74.5</v>
      </c>
    </row>
    <row r="63" spans="2:6" x14ac:dyDescent="0.3">
      <c r="B63" s="21" t="s">
        <v>75</v>
      </c>
      <c r="C63" s="40">
        <v>181</v>
      </c>
      <c r="D63" s="40">
        <v>76.5</v>
      </c>
      <c r="E63" s="40">
        <v>4.7</v>
      </c>
      <c r="F63" s="40">
        <v>77.75</v>
      </c>
    </row>
    <row r="64" spans="2:6" x14ac:dyDescent="0.3">
      <c r="B64" s="21" t="s">
        <v>39</v>
      </c>
      <c r="C64" s="40">
        <v>180</v>
      </c>
      <c r="D64" s="40">
        <v>69.75</v>
      </c>
      <c r="E64" s="40">
        <v>6.5</v>
      </c>
      <c r="F64" s="40">
        <v>71</v>
      </c>
    </row>
    <row r="65" spans="2:6" x14ac:dyDescent="0.3">
      <c r="B65" s="21" t="s">
        <v>49</v>
      </c>
      <c r="C65" s="40">
        <v>179</v>
      </c>
      <c r="D65" s="40">
        <v>75.75</v>
      </c>
      <c r="E65" s="40">
        <v>5.2</v>
      </c>
      <c r="F65" s="40">
        <v>77.25</v>
      </c>
    </row>
    <row r="66" spans="2:6" x14ac:dyDescent="0.3">
      <c r="B66" s="21" t="s">
        <v>69</v>
      </c>
      <c r="C66" s="40">
        <v>175</v>
      </c>
      <c r="D66" s="40">
        <v>71</v>
      </c>
      <c r="E66" s="40">
        <v>7.4</v>
      </c>
      <c r="F66" s="40">
        <v>73</v>
      </c>
    </row>
    <row r="67" spans="2:6" x14ac:dyDescent="0.3">
      <c r="B67" s="21" t="s">
        <v>66</v>
      </c>
      <c r="C67" s="40">
        <v>160</v>
      </c>
      <c r="D67" s="40">
        <v>71.5</v>
      </c>
      <c r="E67" s="40">
        <v>3.5</v>
      </c>
      <c r="F67" s="40">
        <v>72.75</v>
      </c>
    </row>
    <row r="68" spans="2:6" x14ac:dyDescent="0.3">
      <c r="B68" s="23" t="s">
        <v>138</v>
      </c>
      <c r="C68" s="21">
        <v>211.88135593220338</v>
      </c>
      <c r="D68" s="21">
        <v>4550.75</v>
      </c>
      <c r="E68" s="21">
        <v>414.8</v>
      </c>
      <c r="F68" s="21">
        <v>4630.25</v>
      </c>
    </row>
  </sheetData>
  <mergeCells count="1">
    <mergeCell ref="D1:N6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F93D-26D5-478B-97D3-9EFE384BDE8B}">
  <dimension ref="A1:BC19"/>
  <sheetViews>
    <sheetView topLeftCell="P3" zoomScale="90" zoomScaleNormal="90" workbookViewId="0">
      <selection activeCell="D24" sqref="D24"/>
    </sheetView>
  </sheetViews>
  <sheetFormatPr defaultRowHeight="14.4" x14ac:dyDescent="0.3"/>
  <cols>
    <col min="1" max="1" width="17.44140625" style="25" customWidth="1"/>
    <col min="2" max="2" width="12" style="26" customWidth="1"/>
    <col min="3" max="3" width="18.77734375" style="25" customWidth="1"/>
    <col min="4" max="4" width="12.6640625" style="26" bestFit="1" customWidth="1"/>
    <col min="5" max="5" width="16.109375" style="25" bestFit="1" customWidth="1"/>
    <col min="6" max="6" width="12.6640625" style="26" bestFit="1" customWidth="1"/>
    <col min="7" max="7" width="16.109375" style="25" bestFit="1" customWidth="1"/>
    <col min="8" max="8" width="12.6640625" style="26" bestFit="1" customWidth="1"/>
    <col min="9" max="9" width="16.109375" style="25" bestFit="1" customWidth="1"/>
    <col min="10" max="10" width="12" style="26" bestFit="1" customWidth="1"/>
    <col min="11" max="11" width="19.5546875" style="25" customWidth="1"/>
    <col min="12" max="12" width="12.6640625" style="26" bestFit="1" customWidth="1"/>
    <col min="13" max="13" width="17.109375" style="25" customWidth="1"/>
    <col min="14" max="14" width="12.6640625" style="26" bestFit="1" customWidth="1"/>
    <col min="15" max="15" width="22.5546875" style="25" customWidth="1"/>
    <col min="16" max="16" width="12.6640625" style="26" bestFit="1" customWidth="1"/>
    <col min="17" max="17" width="16.109375" style="25" bestFit="1" customWidth="1"/>
    <col min="18" max="18" width="12.6640625" style="26" bestFit="1" customWidth="1"/>
    <col min="19" max="19" width="16.109375" style="25" bestFit="1" customWidth="1"/>
    <col min="20" max="20" width="12" style="26" bestFit="1" customWidth="1"/>
    <col min="21" max="21" width="16.109375" style="25" bestFit="1" customWidth="1"/>
    <col min="22" max="22" width="12.6640625" style="26" bestFit="1" customWidth="1"/>
    <col min="23" max="23" width="16.109375" style="25" bestFit="1" customWidth="1"/>
    <col min="24" max="24" width="12" style="26" bestFit="1" customWidth="1"/>
    <col min="25" max="25" width="16.109375" style="25" bestFit="1" customWidth="1"/>
    <col min="26" max="26" width="12" style="26" bestFit="1" customWidth="1"/>
    <col min="27" max="27" width="16.109375" style="25" bestFit="1" customWidth="1"/>
    <col min="28" max="28" width="12" style="26" bestFit="1" customWidth="1"/>
    <col min="29" max="16384" width="8.88671875" style="26"/>
  </cols>
  <sheetData>
    <row r="1" spans="1:55" ht="1.8" hidden="1" customHeight="1" x14ac:dyDescent="0.3"/>
    <row r="2" spans="1:55" ht="22.8" customHeight="1" x14ac:dyDescent="0.7">
      <c r="D2" s="27"/>
    </row>
    <row r="3" spans="1:55" ht="79.8" customHeight="1" x14ac:dyDescent="0.95">
      <c r="D3" s="44" t="s">
        <v>144</v>
      </c>
      <c r="E3" s="44"/>
      <c r="F3" s="44"/>
      <c r="G3" s="44"/>
      <c r="H3" s="44"/>
      <c r="I3" s="44"/>
      <c r="J3" s="44"/>
      <c r="K3" s="44"/>
    </row>
    <row r="4" spans="1:55" ht="53.4" customHeight="1" x14ac:dyDescent="0.95">
      <c r="D4" s="34"/>
      <c r="E4" s="34"/>
      <c r="F4" s="34"/>
      <c r="G4" s="34"/>
      <c r="H4" s="34"/>
      <c r="I4" s="34"/>
      <c r="J4" s="34"/>
      <c r="K4" s="34"/>
    </row>
    <row r="5" spans="1:55" s="29" customFormat="1" x14ac:dyDescent="0.3">
      <c r="A5" s="28" t="s">
        <v>3</v>
      </c>
      <c r="B5" s="39" t="s">
        <v>76</v>
      </c>
      <c r="C5" s="28" t="s">
        <v>4</v>
      </c>
      <c r="D5" s="39" t="s">
        <v>90</v>
      </c>
      <c r="E5" s="28" t="s">
        <v>5</v>
      </c>
      <c r="F5" s="39" t="s">
        <v>91</v>
      </c>
      <c r="G5" s="28" t="s">
        <v>6</v>
      </c>
      <c r="H5" s="39" t="s">
        <v>92</v>
      </c>
      <c r="I5" s="28" t="s">
        <v>7</v>
      </c>
      <c r="J5" s="39" t="s">
        <v>93</v>
      </c>
      <c r="K5" s="28" t="s">
        <v>8</v>
      </c>
      <c r="L5" s="39" t="s">
        <v>94</v>
      </c>
      <c r="M5" s="28" t="s">
        <v>9</v>
      </c>
      <c r="N5" s="39" t="s">
        <v>95</v>
      </c>
      <c r="O5" s="28" t="s">
        <v>10</v>
      </c>
      <c r="P5" s="39" t="s">
        <v>96</v>
      </c>
      <c r="Q5" s="28" t="s">
        <v>11</v>
      </c>
      <c r="R5" s="39" t="s">
        <v>97</v>
      </c>
      <c r="S5" s="28" t="s">
        <v>12</v>
      </c>
      <c r="T5" s="39" t="s">
        <v>98</v>
      </c>
      <c r="U5" s="28" t="s">
        <v>13</v>
      </c>
      <c r="V5" s="39" t="s">
        <v>99</v>
      </c>
      <c r="W5" s="28" t="s">
        <v>14</v>
      </c>
      <c r="X5" s="39" t="s">
        <v>100</v>
      </c>
      <c r="Y5" s="28" t="s">
        <v>15</v>
      </c>
      <c r="Z5" s="39" t="s">
        <v>101</v>
      </c>
      <c r="AA5" s="28" t="s">
        <v>16</v>
      </c>
      <c r="AB5" s="39" t="s">
        <v>102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</row>
    <row r="7" spans="1:55" ht="15" customHeight="1" x14ac:dyDescent="0.3">
      <c r="A7" s="38" t="s">
        <v>77</v>
      </c>
      <c r="B7" s="29">
        <v>77.131355932203391</v>
      </c>
      <c r="C7" s="38" t="s">
        <v>77</v>
      </c>
      <c r="D7" s="29">
        <v>78.478813559322035</v>
      </c>
      <c r="E7" s="38" t="s">
        <v>77</v>
      </c>
      <c r="F7" s="29">
        <v>82.152542372881356</v>
      </c>
      <c r="G7" s="38" t="s">
        <v>77</v>
      </c>
      <c r="H7" s="29">
        <v>102.30508474576271</v>
      </c>
      <c r="I7" s="38" t="s">
        <v>77</v>
      </c>
      <c r="J7" s="29">
        <v>35.70754716981132</v>
      </c>
      <c r="K7" s="38" t="s">
        <v>77</v>
      </c>
      <c r="L7" s="29">
        <v>137.8679245283019</v>
      </c>
      <c r="M7" s="38" t="s">
        <v>77</v>
      </c>
      <c r="N7" s="29">
        <v>30.066037735849058</v>
      </c>
      <c r="O7" s="38" t="s">
        <v>77</v>
      </c>
      <c r="P7" s="29">
        <v>132.22641509433961</v>
      </c>
      <c r="Q7" s="38" t="s">
        <v>77</v>
      </c>
      <c r="R7" s="29">
        <v>211.88135593220338</v>
      </c>
      <c r="S7" s="38" t="s">
        <v>77</v>
      </c>
      <c r="T7" s="29">
        <v>7.0305084745762718</v>
      </c>
      <c r="U7" s="38" t="s">
        <v>77</v>
      </c>
      <c r="V7" s="29">
        <v>8.7161016949152543</v>
      </c>
      <c r="W7" s="38" t="s">
        <v>77</v>
      </c>
      <c r="X7" s="29">
        <v>9.1737288135593218</v>
      </c>
      <c r="Y7" s="38" t="s">
        <v>77</v>
      </c>
      <c r="Z7" s="29">
        <v>11.362884615384615</v>
      </c>
      <c r="AA7" s="38" t="s">
        <v>77</v>
      </c>
      <c r="AB7" s="29">
        <v>3.3045098039215679</v>
      </c>
    </row>
    <row r="8" spans="1:55" x14ac:dyDescent="0.3">
      <c r="A8" s="38" t="s">
        <v>78</v>
      </c>
      <c r="B8" s="29">
        <v>0.41765518522811618</v>
      </c>
      <c r="C8" s="38" t="s">
        <v>78</v>
      </c>
      <c r="D8" s="29">
        <v>0.40562814927572372</v>
      </c>
      <c r="E8" s="38" t="s">
        <v>78</v>
      </c>
      <c r="F8" s="29">
        <v>0.47227396686573392</v>
      </c>
      <c r="G8" s="38" t="s">
        <v>78</v>
      </c>
      <c r="H8" s="29">
        <v>0.56230938054035629</v>
      </c>
      <c r="I8" s="38" t="s">
        <v>78</v>
      </c>
      <c r="J8" s="29">
        <v>0.44843583222264638</v>
      </c>
      <c r="K8" s="38" t="s">
        <v>78</v>
      </c>
      <c r="L8" s="29">
        <v>0.57306355689294441</v>
      </c>
      <c r="M8" s="38" t="s">
        <v>78</v>
      </c>
      <c r="N8" s="29">
        <v>0.35991999792634943</v>
      </c>
      <c r="O8" s="38" t="s">
        <v>78</v>
      </c>
      <c r="P8" s="29">
        <v>0.58036417514059235</v>
      </c>
      <c r="Q8" s="38" t="s">
        <v>78</v>
      </c>
      <c r="R8" s="29">
        <v>3.0852001258172641</v>
      </c>
      <c r="S8" s="38" t="s">
        <v>78</v>
      </c>
      <c r="T8" s="29">
        <v>0.33586732927057789</v>
      </c>
      <c r="U8" s="38" t="s">
        <v>78</v>
      </c>
      <c r="V8" s="29">
        <v>5.7799618055901503E-2</v>
      </c>
      <c r="W8" s="38" t="s">
        <v>78</v>
      </c>
      <c r="X8" s="29">
        <v>9.561052958094915E-2</v>
      </c>
      <c r="Y8" s="38" t="s">
        <v>78</v>
      </c>
      <c r="Z8" s="29">
        <v>6.8556731106248631E-2</v>
      </c>
      <c r="AA8" s="38" t="s">
        <v>78</v>
      </c>
      <c r="AB8" s="29">
        <v>1.5240075460392138E-2</v>
      </c>
    </row>
    <row r="9" spans="1:55" x14ac:dyDescent="0.3">
      <c r="A9" s="38" t="s">
        <v>79</v>
      </c>
      <c r="B9" s="29">
        <v>77.25</v>
      </c>
      <c r="C9" s="38" t="s">
        <v>79</v>
      </c>
      <c r="D9" s="29">
        <v>78.5</v>
      </c>
      <c r="E9" s="38" t="s">
        <v>79</v>
      </c>
      <c r="F9" s="29">
        <v>82</v>
      </c>
      <c r="G9" s="38" t="s">
        <v>79</v>
      </c>
      <c r="H9" s="29">
        <v>103</v>
      </c>
      <c r="I9" s="38" t="s">
        <v>79</v>
      </c>
      <c r="J9" s="29">
        <v>35.5</v>
      </c>
      <c r="K9" s="38" t="s">
        <v>79</v>
      </c>
      <c r="L9" s="29">
        <v>138.5</v>
      </c>
      <c r="M9" s="38" t="s">
        <v>79</v>
      </c>
      <c r="N9" s="29">
        <v>29.5</v>
      </c>
      <c r="O9" s="38" t="s">
        <v>79</v>
      </c>
      <c r="P9" s="29">
        <v>132</v>
      </c>
      <c r="Q9" s="38" t="s">
        <v>79</v>
      </c>
      <c r="R9" s="29">
        <v>209</v>
      </c>
      <c r="S9" s="38" t="s">
        <v>79</v>
      </c>
      <c r="T9" s="29">
        <v>6.4</v>
      </c>
      <c r="U9" s="38" t="s">
        <v>79</v>
      </c>
      <c r="V9" s="29">
        <v>8.75</v>
      </c>
      <c r="W9" s="38" t="s">
        <v>79</v>
      </c>
      <c r="X9" s="29">
        <v>9</v>
      </c>
      <c r="Y9" s="38" t="s">
        <v>79</v>
      </c>
      <c r="Z9" s="29">
        <v>11.28</v>
      </c>
      <c r="AA9" s="38" t="s">
        <v>79</v>
      </c>
      <c r="AB9" s="29">
        <v>3.28</v>
      </c>
    </row>
    <row r="10" spans="1:55" x14ac:dyDescent="0.3">
      <c r="A10" s="38" t="s">
        <v>80</v>
      </c>
      <c r="B10" s="29">
        <v>79.5</v>
      </c>
      <c r="C10" s="38" t="s">
        <v>80</v>
      </c>
      <c r="D10" s="29">
        <v>80.5</v>
      </c>
      <c r="E10" s="38" t="s">
        <v>80</v>
      </c>
      <c r="F10" s="29">
        <v>84.5</v>
      </c>
      <c r="G10" s="38" t="s">
        <v>80</v>
      </c>
      <c r="H10" s="29">
        <v>99</v>
      </c>
      <c r="I10" s="38" t="s">
        <v>80</v>
      </c>
      <c r="J10" s="29">
        <v>35.5</v>
      </c>
      <c r="K10" s="38" t="s">
        <v>80</v>
      </c>
      <c r="L10" s="29">
        <v>139</v>
      </c>
      <c r="M10" s="38" t="s">
        <v>80</v>
      </c>
      <c r="N10" s="29">
        <v>29</v>
      </c>
      <c r="O10" s="38" t="s">
        <v>80</v>
      </c>
      <c r="P10" s="29">
        <v>131</v>
      </c>
      <c r="Q10" s="38" t="s">
        <v>80</v>
      </c>
      <c r="R10" s="29">
        <v>220</v>
      </c>
      <c r="S10" s="38" t="s">
        <v>80</v>
      </c>
      <c r="T10" s="29">
        <v>6.1</v>
      </c>
      <c r="U10" s="38" t="s">
        <v>80</v>
      </c>
      <c r="V10" s="29">
        <v>8.75</v>
      </c>
      <c r="W10" s="38" t="s">
        <v>80</v>
      </c>
      <c r="X10" s="29">
        <v>9</v>
      </c>
      <c r="Y10" s="38" t="s">
        <v>80</v>
      </c>
      <c r="Z10" s="29">
        <v>11.6</v>
      </c>
      <c r="AA10" s="38" t="s">
        <v>80</v>
      </c>
      <c r="AB10" s="29">
        <v>3.26</v>
      </c>
    </row>
    <row r="11" spans="1:55" x14ac:dyDescent="0.3">
      <c r="A11" s="38" t="s">
        <v>81</v>
      </c>
      <c r="B11" s="29">
        <v>3.2080703500902206</v>
      </c>
      <c r="C11" s="38" t="s">
        <v>81</v>
      </c>
      <c r="D11" s="29">
        <v>3.1156889340250382</v>
      </c>
      <c r="E11" s="38" t="s">
        <v>81</v>
      </c>
      <c r="F11" s="29">
        <v>3.6276051724197718</v>
      </c>
      <c r="G11" s="38" t="s">
        <v>81</v>
      </c>
      <c r="H11" s="29">
        <v>4.3191803073241886</v>
      </c>
      <c r="I11" s="38" t="s">
        <v>81</v>
      </c>
      <c r="J11" s="29">
        <v>3.2646621368718272</v>
      </c>
      <c r="K11" s="38" t="s">
        <v>81</v>
      </c>
      <c r="L11" s="29">
        <v>4.1719656677225938</v>
      </c>
      <c r="M11" s="38" t="s">
        <v>81</v>
      </c>
      <c r="N11" s="29">
        <v>2.6202571362534401</v>
      </c>
      <c r="O11" s="38" t="s">
        <v>81</v>
      </c>
      <c r="P11" s="29">
        <v>4.2251149708251567</v>
      </c>
      <c r="Q11" s="38" t="s">
        <v>81</v>
      </c>
      <c r="R11" s="29">
        <v>23.697871827744972</v>
      </c>
      <c r="S11" s="38" t="s">
        <v>81</v>
      </c>
      <c r="T11" s="29">
        <v>2.5798459080746849</v>
      </c>
      <c r="U11" s="38" t="s">
        <v>81</v>
      </c>
      <c r="V11" s="29">
        <v>0.44396729045851746</v>
      </c>
      <c r="W11" s="38" t="s">
        <v>81</v>
      </c>
      <c r="X11" s="29">
        <v>0.73439841274217332</v>
      </c>
      <c r="Y11" s="38" t="s">
        <v>81</v>
      </c>
      <c r="Z11" s="29">
        <v>0.49436961856355294</v>
      </c>
      <c r="AA11" s="38" t="s">
        <v>81</v>
      </c>
      <c r="AB11" s="29">
        <v>0.10883590814598268</v>
      </c>
    </row>
    <row r="12" spans="1:55" x14ac:dyDescent="0.3">
      <c r="A12" s="38" t="s">
        <v>82</v>
      </c>
      <c r="B12" s="29">
        <v>10.291715371127991</v>
      </c>
      <c r="C12" s="38" t="s">
        <v>82</v>
      </c>
      <c r="D12" s="29">
        <v>9.7075175336060777</v>
      </c>
      <c r="E12" s="38" t="s">
        <v>82</v>
      </c>
      <c r="F12" s="29">
        <v>13.159519286966681</v>
      </c>
      <c r="G12" s="38" t="s">
        <v>82</v>
      </c>
      <c r="H12" s="29">
        <v>18.655318527177073</v>
      </c>
      <c r="I12" s="38" t="s">
        <v>82</v>
      </c>
      <c r="J12" s="29">
        <v>10.658018867924524</v>
      </c>
      <c r="K12" s="38" t="s">
        <v>82</v>
      </c>
      <c r="L12" s="29">
        <v>17.405297532656025</v>
      </c>
      <c r="M12" s="38" t="s">
        <v>82</v>
      </c>
      <c r="N12" s="29">
        <v>6.8657474600870794</v>
      </c>
      <c r="O12" s="38" t="s">
        <v>82</v>
      </c>
      <c r="P12" s="29">
        <v>17.851596516690861</v>
      </c>
      <c r="Q12" s="38" t="s">
        <v>82</v>
      </c>
      <c r="R12" s="29">
        <v>561.58912916422889</v>
      </c>
      <c r="S12" s="38" t="s">
        <v>82</v>
      </c>
      <c r="T12" s="29">
        <v>6.6556049094096954</v>
      </c>
      <c r="U12" s="38" t="s">
        <v>82</v>
      </c>
      <c r="V12" s="29">
        <v>0.19710695499707759</v>
      </c>
      <c r="W12" s="38" t="s">
        <v>82</v>
      </c>
      <c r="X12" s="29">
        <v>0.53934102863822364</v>
      </c>
      <c r="Y12" s="38" t="s">
        <v>82</v>
      </c>
      <c r="Z12" s="29">
        <v>0.24440131975867282</v>
      </c>
      <c r="AA12" s="38" t="s">
        <v>82</v>
      </c>
      <c r="AB12" s="29">
        <v>1.1845254901960778E-2</v>
      </c>
    </row>
    <row r="13" spans="1:55" x14ac:dyDescent="0.3">
      <c r="A13" s="38" t="s">
        <v>83</v>
      </c>
      <c r="B13" s="29">
        <v>3.7080813015130332E-2</v>
      </c>
      <c r="C13" s="38" t="s">
        <v>83</v>
      </c>
      <c r="D13" s="29">
        <v>-2.1804444520098443E-2</v>
      </c>
      <c r="E13" s="38" t="s">
        <v>83</v>
      </c>
      <c r="F13" s="29">
        <v>-0.43377844463265625</v>
      </c>
      <c r="G13" s="38" t="s">
        <v>83</v>
      </c>
      <c r="H13" s="29">
        <v>-0.33700848094806446</v>
      </c>
      <c r="I13" s="38" t="s">
        <v>83</v>
      </c>
      <c r="J13" s="29">
        <v>0.14870982237069574</v>
      </c>
      <c r="K13" s="38" t="s">
        <v>83</v>
      </c>
      <c r="L13" s="29">
        <v>0.23130232429035713</v>
      </c>
      <c r="M13" s="38" t="s">
        <v>83</v>
      </c>
      <c r="N13" s="29">
        <v>-1.3231705071918842E-2</v>
      </c>
      <c r="O13" s="38" t="s">
        <v>83</v>
      </c>
      <c r="P13" s="29">
        <v>-0.73622015330891788</v>
      </c>
      <c r="Q13" s="38" t="s">
        <v>83</v>
      </c>
      <c r="R13" s="29">
        <v>-0.54797387107329598</v>
      </c>
      <c r="S13" s="38" t="s">
        <v>83</v>
      </c>
      <c r="T13" s="29">
        <v>2.5090833154176617</v>
      </c>
      <c r="U13" s="38" t="s">
        <v>83</v>
      </c>
      <c r="V13" s="29">
        <v>0.27690191667573938</v>
      </c>
      <c r="W13" s="38" t="s">
        <v>83</v>
      </c>
      <c r="X13" s="29">
        <v>1.7789792601171812</v>
      </c>
      <c r="Y13" s="38" t="s">
        <v>83</v>
      </c>
      <c r="Z13" s="29">
        <v>0.99954409495793461</v>
      </c>
      <c r="AA13" s="38" t="s">
        <v>83</v>
      </c>
      <c r="AB13" s="29">
        <v>-0.57563328026088723</v>
      </c>
    </row>
    <row r="14" spans="1:55" x14ac:dyDescent="0.3">
      <c r="A14" s="38" t="s">
        <v>84</v>
      </c>
      <c r="B14" s="29">
        <v>0.12023291573048879</v>
      </c>
      <c r="C14" s="38" t="s">
        <v>84</v>
      </c>
      <c r="D14" s="29">
        <v>3.4069261190320194E-2</v>
      </c>
      <c r="E14" s="38" t="s">
        <v>84</v>
      </c>
      <c r="F14" s="29">
        <v>-0.26110375880019093</v>
      </c>
      <c r="G14" s="38" t="s">
        <v>84</v>
      </c>
      <c r="H14" s="29">
        <v>-0.10957730704398055</v>
      </c>
      <c r="I14" s="38" t="s">
        <v>84</v>
      </c>
      <c r="J14" s="29">
        <v>0.38335827564564534</v>
      </c>
      <c r="K14" s="38" t="s">
        <v>84</v>
      </c>
      <c r="L14" s="29">
        <v>-0.75651489244087633</v>
      </c>
      <c r="M14" s="38" t="s">
        <v>84</v>
      </c>
      <c r="N14" s="29">
        <v>0.30480522327495269</v>
      </c>
      <c r="O14" s="38" t="s">
        <v>84</v>
      </c>
      <c r="P14" s="29">
        <v>-0.31289511708641488</v>
      </c>
      <c r="Q14" s="38" t="s">
        <v>84</v>
      </c>
      <c r="R14" s="29">
        <v>0.24407188963413853</v>
      </c>
      <c r="S14" s="38" t="s">
        <v>84</v>
      </c>
      <c r="T14" s="29">
        <v>1.4820934076586025</v>
      </c>
      <c r="U14" s="38" t="s">
        <v>84</v>
      </c>
      <c r="V14" s="29">
        <v>-0.11295155290610429</v>
      </c>
      <c r="W14" s="38" t="s">
        <v>84</v>
      </c>
      <c r="X14" s="29">
        <v>0.6827186969684006</v>
      </c>
      <c r="Y14" s="38" t="s">
        <v>84</v>
      </c>
      <c r="Z14" s="29">
        <v>0.94064056962097709</v>
      </c>
      <c r="AA14" s="38" t="s">
        <v>84</v>
      </c>
      <c r="AB14" s="29">
        <v>0.45132599813184954</v>
      </c>
    </row>
    <row r="15" spans="1:55" x14ac:dyDescent="0.3">
      <c r="A15" s="38" t="s">
        <v>85</v>
      </c>
      <c r="B15" s="29">
        <v>15.5</v>
      </c>
      <c r="C15" s="38" t="s">
        <v>85</v>
      </c>
      <c r="D15" s="29">
        <v>15</v>
      </c>
      <c r="E15" s="38" t="s">
        <v>85</v>
      </c>
      <c r="F15" s="29">
        <v>14.5</v>
      </c>
      <c r="G15" s="38" t="s">
        <v>85</v>
      </c>
      <c r="H15" s="29">
        <v>19.5</v>
      </c>
      <c r="I15" s="38" t="s">
        <v>85</v>
      </c>
      <c r="J15" s="29">
        <v>14</v>
      </c>
      <c r="K15" s="38" t="s">
        <v>85</v>
      </c>
      <c r="L15" s="29">
        <v>18.5</v>
      </c>
      <c r="M15" s="38" t="s">
        <v>85</v>
      </c>
      <c r="N15" s="29">
        <v>12</v>
      </c>
      <c r="O15" s="38" t="s">
        <v>85</v>
      </c>
      <c r="P15" s="29">
        <v>15.5</v>
      </c>
      <c r="Q15" s="38" t="s">
        <v>85</v>
      </c>
      <c r="R15" s="29">
        <v>103</v>
      </c>
      <c r="S15" s="38" t="s">
        <v>85</v>
      </c>
      <c r="T15" s="29">
        <v>12.8</v>
      </c>
      <c r="U15" s="38" t="s">
        <v>85</v>
      </c>
      <c r="V15" s="29">
        <v>2.25</v>
      </c>
      <c r="W15" s="38" t="s">
        <v>85</v>
      </c>
      <c r="X15" s="29">
        <v>4.25</v>
      </c>
      <c r="Y15" s="38" t="s">
        <v>85</v>
      </c>
      <c r="Z15" s="29">
        <v>2.2900000000000009</v>
      </c>
      <c r="AA15" s="38" t="s">
        <v>85</v>
      </c>
      <c r="AB15" s="29">
        <v>0.44999999999999973</v>
      </c>
    </row>
    <row r="16" spans="1:55" x14ac:dyDescent="0.3">
      <c r="A16" s="38" t="s">
        <v>86</v>
      </c>
      <c r="B16" s="29">
        <v>69.75</v>
      </c>
      <c r="C16" s="38" t="s">
        <v>86</v>
      </c>
      <c r="D16" s="29">
        <v>71</v>
      </c>
      <c r="E16" s="38" t="s">
        <v>86</v>
      </c>
      <c r="F16" s="29">
        <v>74</v>
      </c>
      <c r="G16" s="38" t="s">
        <v>86</v>
      </c>
      <c r="H16" s="29">
        <v>93</v>
      </c>
      <c r="I16" s="38" t="s">
        <v>86</v>
      </c>
      <c r="J16" s="29">
        <v>29.5</v>
      </c>
      <c r="K16" s="38" t="s">
        <v>86</v>
      </c>
      <c r="L16" s="29">
        <v>126.5</v>
      </c>
      <c r="M16" s="38" t="s">
        <v>86</v>
      </c>
      <c r="N16" s="29">
        <v>24.5</v>
      </c>
      <c r="O16" s="38" t="s">
        <v>86</v>
      </c>
      <c r="P16" s="29">
        <v>123.5</v>
      </c>
      <c r="Q16" s="38" t="s">
        <v>86</v>
      </c>
      <c r="R16" s="29">
        <v>160</v>
      </c>
      <c r="S16" s="38" t="s">
        <v>86</v>
      </c>
      <c r="T16" s="29">
        <v>3.5</v>
      </c>
      <c r="U16" s="38" t="s">
        <v>86</v>
      </c>
      <c r="V16" s="29">
        <v>7.5</v>
      </c>
      <c r="W16" s="38" t="s">
        <v>86</v>
      </c>
      <c r="X16" s="29">
        <v>7.5</v>
      </c>
      <c r="Y16" s="38" t="s">
        <v>86</v>
      </c>
      <c r="Z16" s="29">
        <v>10.42</v>
      </c>
      <c r="AA16" s="38" t="s">
        <v>86</v>
      </c>
      <c r="AB16" s="29">
        <v>3.1</v>
      </c>
    </row>
    <row r="17" spans="1:28" x14ac:dyDescent="0.3">
      <c r="A17" s="38" t="s">
        <v>87</v>
      </c>
      <c r="B17" s="29">
        <v>85.25</v>
      </c>
      <c r="C17" s="38" t="s">
        <v>87</v>
      </c>
      <c r="D17" s="29">
        <v>86</v>
      </c>
      <c r="E17" s="38" t="s">
        <v>87</v>
      </c>
      <c r="F17" s="29">
        <v>88.5</v>
      </c>
      <c r="G17" s="38" t="s">
        <v>87</v>
      </c>
      <c r="H17" s="29">
        <v>112.5</v>
      </c>
      <c r="I17" s="38" t="s">
        <v>87</v>
      </c>
      <c r="J17" s="29">
        <v>43.5</v>
      </c>
      <c r="K17" s="38" t="s">
        <v>87</v>
      </c>
      <c r="L17" s="29">
        <v>145</v>
      </c>
      <c r="M17" s="38" t="s">
        <v>87</v>
      </c>
      <c r="N17" s="29">
        <v>36.5</v>
      </c>
      <c r="O17" s="38" t="s">
        <v>87</v>
      </c>
      <c r="P17" s="29">
        <v>139</v>
      </c>
      <c r="Q17" s="38" t="s">
        <v>87</v>
      </c>
      <c r="R17" s="29">
        <v>263</v>
      </c>
      <c r="S17" s="38" t="s">
        <v>87</v>
      </c>
      <c r="T17" s="29">
        <v>16.3</v>
      </c>
      <c r="U17" s="38" t="s">
        <v>87</v>
      </c>
      <c r="V17" s="29">
        <v>9.75</v>
      </c>
      <c r="W17" s="38" t="s">
        <v>87</v>
      </c>
      <c r="X17" s="29">
        <v>11.75</v>
      </c>
      <c r="Y17" s="38" t="s">
        <v>87</v>
      </c>
      <c r="Z17" s="29">
        <v>12.71</v>
      </c>
      <c r="AA17" s="38" t="s">
        <v>87</v>
      </c>
      <c r="AB17" s="29">
        <v>3.55</v>
      </c>
    </row>
    <row r="18" spans="1:28" x14ac:dyDescent="0.3">
      <c r="A18" s="38" t="s">
        <v>88</v>
      </c>
      <c r="B18" s="29">
        <v>4550.75</v>
      </c>
      <c r="C18" s="38" t="s">
        <v>88</v>
      </c>
      <c r="D18" s="29">
        <v>4630.25</v>
      </c>
      <c r="E18" s="38" t="s">
        <v>88</v>
      </c>
      <c r="F18" s="29">
        <v>4847</v>
      </c>
      <c r="G18" s="38" t="s">
        <v>88</v>
      </c>
      <c r="H18" s="29">
        <v>6036</v>
      </c>
      <c r="I18" s="38" t="s">
        <v>88</v>
      </c>
      <c r="J18" s="29">
        <v>1892.5</v>
      </c>
      <c r="K18" s="38" t="s">
        <v>88</v>
      </c>
      <c r="L18" s="29">
        <v>7307</v>
      </c>
      <c r="M18" s="38" t="s">
        <v>88</v>
      </c>
      <c r="N18" s="29">
        <v>1593.5</v>
      </c>
      <c r="O18" s="38" t="s">
        <v>88</v>
      </c>
      <c r="P18" s="29">
        <v>7008</v>
      </c>
      <c r="Q18" s="38" t="s">
        <v>88</v>
      </c>
      <c r="R18" s="29">
        <v>12501</v>
      </c>
      <c r="S18" s="38" t="s">
        <v>88</v>
      </c>
      <c r="T18" s="29">
        <v>414.8</v>
      </c>
      <c r="U18" s="38" t="s">
        <v>88</v>
      </c>
      <c r="V18" s="29">
        <v>514.25</v>
      </c>
      <c r="W18" s="38" t="s">
        <v>88</v>
      </c>
      <c r="X18" s="29">
        <v>541.25</v>
      </c>
      <c r="Y18" s="38" t="s">
        <v>88</v>
      </c>
      <c r="Z18" s="29">
        <v>590.87</v>
      </c>
      <c r="AA18" s="38" t="s">
        <v>88</v>
      </c>
      <c r="AB18" s="29">
        <v>168.52999999999997</v>
      </c>
    </row>
    <row r="19" spans="1:28" x14ac:dyDescent="0.3">
      <c r="A19" s="38" t="s">
        <v>89</v>
      </c>
      <c r="B19" s="29">
        <v>59</v>
      </c>
      <c r="C19" s="38" t="s">
        <v>89</v>
      </c>
      <c r="D19" s="29">
        <v>59</v>
      </c>
      <c r="E19" s="38" t="s">
        <v>89</v>
      </c>
      <c r="F19" s="29">
        <v>59</v>
      </c>
      <c r="G19" s="38" t="s">
        <v>89</v>
      </c>
      <c r="H19" s="29">
        <v>59</v>
      </c>
      <c r="I19" s="38" t="s">
        <v>89</v>
      </c>
      <c r="J19" s="29">
        <v>53</v>
      </c>
      <c r="K19" s="38" t="s">
        <v>89</v>
      </c>
      <c r="L19" s="29">
        <v>53</v>
      </c>
      <c r="M19" s="38" t="s">
        <v>89</v>
      </c>
      <c r="N19" s="29">
        <v>53</v>
      </c>
      <c r="O19" s="38" t="s">
        <v>89</v>
      </c>
      <c r="P19" s="29">
        <v>53</v>
      </c>
      <c r="Q19" s="38" t="s">
        <v>89</v>
      </c>
      <c r="R19" s="29">
        <v>59</v>
      </c>
      <c r="S19" s="38" t="s">
        <v>89</v>
      </c>
      <c r="T19" s="29">
        <v>59</v>
      </c>
      <c r="U19" s="38" t="s">
        <v>89</v>
      </c>
      <c r="V19" s="29">
        <v>59</v>
      </c>
      <c r="W19" s="38" t="s">
        <v>89</v>
      </c>
      <c r="X19" s="29">
        <v>59</v>
      </c>
      <c r="Y19" s="38" t="s">
        <v>89</v>
      </c>
      <c r="Z19" s="29">
        <v>52</v>
      </c>
      <c r="AA19" s="38" t="s">
        <v>89</v>
      </c>
      <c r="AB19" s="29">
        <v>51</v>
      </c>
    </row>
  </sheetData>
  <mergeCells count="1">
    <mergeCell ref="D3:K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8796-4210-4FCC-996E-6981BFB1D0B6}">
  <dimension ref="A1:S19"/>
  <sheetViews>
    <sheetView topLeftCell="B1" workbookViewId="0">
      <selection activeCell="C14" sqref="C14"/>
    </sheetView>
  </sheetViews>
  <sheetFormatPr defaultRowHeight="14.4" x14ac:dyDescent="0.3"/>
  <cols>
    <col min="1" max="1" width="22.21875" style="24" customWidth="1"/>
    <col min="2" max="2" width="9.44140625" style="16" customWidth="1"/>
    <col min="3" max="3" width="15.6640625" style="16" customWidth="1"/>
    <col min="4" max="4" width="17.44140625" style="16" customWidth="1"/>
    <col min="5" max="5" width="9.88671875" style="16" customWidth="1"/>
    <col min="6" max="6" width="14.5546875" style="16" customWidth="1"/>
    <col min="7" max="7" width="12.6640625" style="16" customWidth="1"/>
    <col min="8" max="8" width="18.77734375" style="16" bestFit="1" customWidth="1"/>
    <col min="9" max="9" width="16.33203125" style="16" bestFit="1" customWidth="1"/>
    <col min="10" max="10" width="22" style="16" bestFit="1" customWidth="1"/>
    <col min="11" max="11" width="9" style="16" customWidth="1"/>
    <col min="12" max="12" width="8.88671875" style="16"/>
    <col min="13" max="13" width="13.21875" style="16" bestFit="1" customWidth="1"/>
    <col min="14" max="14" width="12.6640625" style="16" bestFit="1" customWidth="1"/>
    <col min="15" max="16384" width="8.88671875" style="16"/>
  </cols>
  <sheetData>
    <row r="1" spans="1:19" x14ac:dyDescent="0.3">
      <c r="F1" s="45" t="s">
        <v>145</v>
      </c>
      <c r="G1" s="46"/>
      <c r="H1" s="46"/>
      <c r="I1" s="46"/>
      <c r="J1" s="46"/>
      <c r="K1" s="46"/>
    </row>
    <row r="2" spans="1:19" x14ac:dyDescent="0.3">
      <c r="F2" s="46"/>
      <c r="G2" s="46"/>
      <c r="H2" s="46"/>
      <c r="I2" s="46"/>
      <c r="J2" s="46"/>
      <c r="K2" s="46"/>
    </row>
    <row r="3" spans="1:19" x14ac:dyDescent="0.3">
      <c r="F3" s="46"/>
      <c r="G3" s="46"/>
      <c r="H3" s="46"/>
      <c r="I3" s="46"/>
      <c r="J3" s="46"/>
      <c r="K3" s="46"/>
    </row>
    <row r="5" spans="1:19" s="23" customFormat="1" x14ac:dyDescent="0.3">
      <c r="A5" s="41"/>
      <c r="B5" s="31" t="s">
        <v>2</v>
      </c>
      <c r="C5" s="31" t="s">
        <v>3</v>
      </c>
      <c r="D5" s="31" t="s">
        <v>4</v>
      </c>
      <c r="E5" s="31" t="s">
        <v>5</v>
      </c>
      <c r="F5" s="31" t="s">
        <v>6</v>
      </c>
      <c r="G5" s="31" t="s">
        <v>7</v>
      </c>
      <c r="H5" s="31" t="s">
        <v>8</v>
      </c>
      <c r="I5" s="31" t="s">
        <v>9</v>
      </c>
      <c r="J5" s="31" t="s">
        <v>10</v>
      </c>
      <c r="K5" s="31" t="s">
        <v>11</v>
      </c>
      <c r="L5" s="31" t="s">
        <v>12</v>
      </c>
      <c r="M5" s="31" t="s">
        <v>13</v>
      </c>
      <c r="N5" s="31" t="s">
        <v>14</v>
      </c>
      <c r="O5" s="31" t="s">
        <v>15</v>
      </c>
      <c r="P5" s="31" t="s">
        <v>16</v>
      </c>
      <c r="Q5" s="30"/>
      <c r="R5" s="16"/>
      <c r="S5" s="16"/>
    </row>
    <row r="6" spans="1:19" s="11" customFormat="1" x14ac:dyDescent="0.3">
      <c r="A6" s="24" t="s">
        <v>3</v>
      </c>
      <c r="B6" s="11">
        <v>-2.7187132181346569E-2</v>
      </c>
      <c r="C6" s="11">
        <v>1</v>
      </c>
    </row>
    <row r="7" spans="1:19" s="11" customFormat="1" x14ac:dyDescent="0.3">
      <c r="A7" s="24" t="s">
        <v>4</v>
      </c>
      <c r="B7" s="11">
        <v>-3.1188776511140062E-2</v>
      </c>
      <c r="C7" s="11">
        <v>0.99675958975992118</v>
      </c>
      <c r="D7" s="11">
        <v>1</v>
      </c>
    </row>
    <row r="8" spans="1:19" s="11" customFormat="1" x14ac:dyDescent="0.3">
      <c r="A8" s="24" t="s">
        <v>5</v>
      </c>
      <c r="B8" s="11">
        <v>-3.7405058578669291E-2</v>
      </c>
      <c r="C8" s="11">
        <v>0.85947580839466586</v>
      </c>
      <c r="D8" s="11">
        <v>0.85644953411328961</v>
      </c>
      <c r="E8" s="11">
        <v>1</v>
      </c>
    </row>
    <row r="9" spans="1:19" s="11" customFormat="1" x14ac:dyDescent="0.3">
      <c r="A9" s="24" t="s">
        <v>6</v>
      </c>
      <c r="B9" s="11">
        <v>-4.8884592547621175E-2</v>
      </c>
      <c r="C9" s="11">
        <v>0.92110983530810975</v>
      </c>
      <c r="D9" s="11">
        <v>0.91526465615605346</v>
      </c>
      <c r="E9" s="11">
        <v>0.93424443026670245</v>
      </c>
      <c r="F9" s="11">
        <v>1</v>
      </c>
    </row>
    <row r="10" spans="1:19" s="11" customFormat="1" x14ac:dyDescent="0.3">
      <c r="A10" s="24" t="s">
        <v>7</v>
      </c>
      <c r="B10" s="11">
        <v>-8.2543847219846617E-2</v>
      </c>
      <c r="C10" s="11">
        <v>-0.3600058942464438</v>
      </c>
      <c r="D10" s="11">
        <v>-0.35615138023962262</v>
      </c>
      <c r="E10" s="11">
        <v>-0.26716997639762069</v>
      </c>
      <c r="F10" s="11">
        <v>-0.40615827637988677</v>
      </c>
      <c r="G10" s="11">
        <v>1</v>
      </c>
    </row>
    <row r="11" spans="1:19" s="11" customFormat="1" x14ac:dyDescent="0.3">
      <c r="A11" s="24" t="s">
        <v>8</v>
      </c>
      <c r="B11" s="11">
        <v>-0.11076864613607659</v>
      </c>
      <c r="C11" s="11">
        <v>0.66000042880157828</v>
      </c>
      <c r="D11" s="11">
        <v>0.66220273288112208</v>
      </c>
      <c r="E11" s="11">
        <v>0.73858188945505077</v>
      </c>
      <c r="F11" s="11">
        <v>0.69905047050129288</v>
      </c>
      <c r="G11" s="11">
        <v>0.36950992458512993</v>
      </c>
      <c r="H11" s="11">
        <v>1</v>
      </c>
    </row>
    <row r="12" spans="1:19" s="11" customFormat="1" x14ac:dyDescent="0.3">
      <c r="A12" s="24" t="s">
        <v>9</v>
      </c>
      <c r="B12" s="11">
        <v>1.4261856142074075E-2</v>
      </c>
      <c r="C12" s="11">
        <v>-0.22690308895730177</v>
      </c>
      <c r="D12" s="11">
        <v>-0.2269797571078305</v>
      </c>
      <c r="E12" s="11">
        <v>-0.15667076942737737</v>
      </c>
      <c r="F12" s="11">
        <v>-0.31539615450147307</v>
      </c>
      <c r="G12" s="11">
        <v>0.82903775043998729</v>
      </c>
      <c r="H12" s="11">
        <v>0.32802199942824334</v>
      </c>
      <c r="I12" s="11">
        <v>1</v>
      </c>
    </row>
    <row r="13" spans="1:19" s="11" customFormat="1" x14ac:dyDescent="0.3">
      <c r="A13" s="24" t="s">
        <v>10</v>
      </c>
      <c r="B13" s="11">
        <v>-4.1221571654467423E-2</v>
      </c>
      <c r="C13" s="11">
        <v>0.78915066846333259</v>
      </c>
      <c r="D13" s="11">
        <v>0.78829941607901777</v>
      </c>
      <c r="E13" s="11">
        <v>0.83856659865898431</v>
      </c>
      <c r="F13" s="11">
        <v>0.80849044544810356</v>
      </c>
      <c r="G13" s="11">
        <v>0.10631963089663436</v>
      </c>
      <c r="H13" s="11">
        <v>0.90533455751952929</v>
      </c>
      <c r="I13" s="11">
        <v>0.30347706774392336</v>
      </c>
      <c r="J13" s="11">
        <v>1</v>
      </c>
    </row>
    <row r="14" spans="1:19" s="11" customFormat="1" x14ac:dyDescent="0.3">
      <c r="A14" s="24" t="s">
        <v>11</v>
      </c>
      <c r="B14" s="11">
        <v>-0.18171445670439748</v>
      </c>
      <c r="C14" s="11">
        <v>0.75365271665193168</v>
      </c>
      <c r="D14" s="11">
        <v>0.75123075234340719</v>
      </c>
      <c r="E14" s="11">
        <v>0.72884582926885133</v>
      </c>
      <c r="F14" s="11">
        <v>0.69023131587701636</v>
      </c>
      <c r="G14" s="11">
        <v>-0.26945093693983724</v>
      </c>
      <c r="H14" s="11">
        <v>0.50110576979104315</v>
      </c>
      <c r="I14" s="11">
        <v>-0.13691778141333122</v>
      </c>
      <c r="J14" s="11">
        <v>0.61809029180092745</v>
      </c>
      <c r="K14" s="11">
        <v>1</v>
      </c>
    </row>
    <row r="15" spans="1:19" s="11" customFormat="1" x14ac:dyDescent="0.3">
      <c r="A15" s="24" t="s">
        <v>12</v>
      </c>
      <c r="B15" s="11">
        <v>-0.25378313158390958</v>
      </c>
      <c r="C15" s="11">
        <v>0.21199550128427266</v>
      </c>
      <c r="D15" s="11">
        <v>0.19532900971704673</v>
      </c>
      <c r="E15" s="11">
        <v>0.25824391964183352</v>
      </c>
      <c r="F15" s="11">
        <v>0.27867156831678674</v>
      </c>
      <c r="G15" s="11">
        <v>-0.4137424143918027</v>
      </c>
      <c r="H15" s="11">
        <v>-4.3623243996399906E-2</v>
      </c>
      <c r="I15" s="11">
        <v>-0.41431490980305502</v>
      </c>
      <c r="J15" s="11">
        <v>1.9673528394257307E-2</v>
      </c>
      <c r="K15" s="11">
        <v>0.52014831962288877</v>
      </c>
      <c r="L15" s="11">
        <v>1</v>
      </c>
    </row>
    <row r="16" spans="1:19" s="11" customFormat="1" x14ac:dyDescent="0.3">
      <c r="A16" s="24" t="s">
        <v>13</v>
      </c>
      <c r="B16" s="11">
        <v>-7.6557314918718741E-2</v>
      </c>
      <c r="C16" s="11">
        <v>0.65459906145646451</v>
      </c>
      <c r="D16" s="11">
        <v>0.66553142228328144</v>
      </c>
      <c r="E16" s="11">
        <v>0.76936791216377742</v>
      </c>
      <c r="F16" s="11">
        <v>0.65847514814959507</v>
      </c>
      <c r="G16" s="11">
        <v>-0.23109646960603886</v>
      </c>
      <c r="H16" s="11">
        <v>0.53843598374620849</v>
      </c>
      <c r="I16" s="11">
        <v>-0.1091358808800076</v>
      </c>
      <c r="J16" s="11">
        <v>0.64254447057469388</v>
      </c>
      <c r="K16" s="11">
        <v>0.71000760333875279</v>
      </c>
      <c r="L16" s="11">
        <v>0.13413883650767686</v>
      </c>
      <c r="M16" s="11">
        <v>1</v>
      </c>
    </row>
    <row r="17" spans="1:16" s="11" customFormat="1" x14ac:dyDescent="0.3">
      <c r="A17" s="24" t="s">
        <v>14</v>
      </c>
      <c r="B17" s="11">
        <v>-0.11053654713461832</v>
      </c>
      <c r="C17" s="11">
        <v>0.37891928698230637</v>
      </c>
      <c r="D17" s="11">
        <v>0.38498202915981339</v>
      </c>
      <c r="E17" s="11">
        <v>0.45867687520460609</v>
      </c>
      <c r="F17" s="11">
        <v>0.34853947414560665</v>
      </c>
      <c r="G17" s="11">
        <v>0.1354635318233032</v>
      </c>
      <c r="H17" s="11">
        <v>0.49751149422070651</v>
      </c>
      <c r="I17" s="11">
        <v>0.24917682150920742</v>
      </c>
      <c r="J17" s="11">
        <v>0.54111321714344585</v>
      </c>
      <c r="K17" s="11">
        <v>0.45196160253625201</v>
      </c>
      <c r="L17" s="11">
        <v>-4.3796194070219965E-2</v>
      </c>
      <c r="M17" s="11">
        <v>0.59013564597533719</v>
      </c>
      <c r="N17" s="11">
        <v>1</v>
      </c>
    </row>
    <row r="18" spans="1:16" s="11" customFormat="1" x14ac:dyDescent="0.3">
      <c r="A18" s="24" t="s">
        <v>15</v>
      </c>
      <c r="B18" s="11">
        <v>0.42074302719953099</v>
      </c>
      <c r="C18" s="11">
        <v>0.19831284001303062</v>
      </c>
      <c r="D18" s="11">
        <v>0.18794899216788119</v>
      </c>
      <c r="E18" s="11">
        <v>0.29442934584714525</v>
      </c>
      <c r="F18" s="11">
        <v>0.22448693525238342</v>
      </c>
      <c r="G18" s="11">
        <v>-0.11937898037108771</v>
      </c>
      <c r="H18" s="11">
        <v>0.13464389535134008</v>
      </c>
      <c r="I18" s="11">
        <v>-2.5427451747783467E-2</v>
      </c>
      <c r="J18" s="11">
        <v>0.2093218326880564</v>
      </c>
      <c r="K18" s="11">
        <v>0.1961737211981166</v>
      </c>
      <c r="L18" s="11">
        <v>7.0177333736317266E-2</v>
      </c>
      <c r="M18" s="11">
        <v>0.26333902081305982</v>
      </c>
      <c r="N18" s="11">
        <v>0.17170979297479089</v>
      </c>
      <c r="O18" s="11">
        <v>1</v>
      </c>
    </row>
    <row r="19" spans="1:16" s="11" customFormat="1" x14ac:dyDescent="0.3">
      <c r="A19" s="24" t="s">
        <v>16</v>
      </c>
      <c r="B19" s="11">
        <v>0.29429871514501654</v>
      </c>
      <c r="C19" s="11">
        <v>0.34030917405722633</v>
      </c>
      <c r="D19" s="11">
        <v>0.32269662370648255</v>
      </c>
      <c r="E19" s="11">
        <v>0.31046049733123493</v>
      </c>
      <c r="F19" s="11">
        <v>0.37422356809829105</v>
      </c>
      <c r="G19" s="11">
        <v>-0.66361167946309285</v>
      </c>
      <c r="H19" s="11">
        <v>-0.14088791265290143</v>
      </c>
      <c r="I19" s="11">
        <v>-0.61955518269739829</v>
      </c>
      <c r="J19" s="11">
        <v>-3.5384112201769452E-3</v>
      </c>
      <c r="K19" s="11">
        <v>0.30990574359866202</v>
      </c>
      <c r="L19" s="11">
        <v>0.42680321208362787</v>
      </c>
      <c r="M19" s="11">
        <v>0.26245729878471191</v>
      </c>
      <c r="N19" s="11">
        <v>-2.4900715238083005E-2</v>
      </c>
      <c r="O19" s="11">
        <v>0.13418807900641205</v>
      </c>
      <c r="P19" s="11">
        <v>1</v>
      </c>
    </row>
  </sheetData>
  <mergeCells count="1">
    <mergeCell ref="F1:K3"/>
  </mergeCells>
  <conditionalFormatting sqref="A5:Q19">
    <cfRule type="colorScale" priority="1">
      <colorScale>
        <cfvo type="num" val="-1"/>
        <cfvo type="num" val="0"/>
        <cfvo type="num" val="1"/>
        <color rgb="FFF8696B"/>
        <color theme="0"/>
        <color theme="4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E01F-4990-4F0F-A19B-318E33BECB1C}">
  <dimension ref="A2:O69"/>
  <sheetViews>
    <sheetView tabSelected="1" topLeftCell="A2" zoomScale="85" zoomScaleNormal="85" workbookViewId="0">
      <selection activeCell="B2" sqref="B2:D2"/>
    </sheetView>
  </sheetViews>
  <sheetFormatPr defaultRowHeight="14.4" x14ac:dyDescent="0.3"/>
  <cols>
    <col min="1" max="1" width="8.88671875" style="16"/>
    <col min="2" max="2" width="17.77734375" style="16" bestFit="1" customWidth="1"/>
    <col min="3" max="3" width="19.33203125" style="16" bestFit="1" customWidth="1"/>
    <col min="4" max="4" width="10.88671875" style="16" bestFit="1" customWidth="1"/>
    <col min="5" max="5" width="15.21875" style="16" bestFit="1" customWidth="1"/>
    <col min="6" max="6" width="14.44140625" style="16" bestFit="1" customWidth="1"/>
    <col min="7" max="7" width="20" style="16" bestFit="1" customWidth="1"/>
    <col min="8" max="8" width="17.77734375" style="16" bestFit="1" customWidth="1"/>
    <col min="9" max="9" width="23.33203125" style="16" bestFit="1" customWidth="1"/>
    <col min="10" max="10" width="10.5546875" style="16" bestFit="1" customWidth="1"/>
    <col min="11" max="11" width="21.6640625" style="16" bestFit="1" customWidth="1"/>
    <col min="12" max="12" width="14.44140625" style="16" bestFit="1" customWidth="1"/>
    <col min="13" max="13" width="14" style="16" bestFit="1" customWidth="1"/>
    <col min="14" max="15" width="10.5546875" style="16" bestFit="1" customWidth="1"/>
    <col min="16" max="16384" width="8.88671875" style="16"/>
  </cols>
  <sheetData>
    <row r="2" spans="1:15" x14ac:dyDescent="0.3">
      <c r="B2" s="47" t="s">
        <v>28</v>
      </c>
      <c r="C2" s="48"/>
      <c r="D2" s="48"/>
    </row>
    <row r="3" spans="1:15" x14ac:dyDescent="0.3">
      <c r="B3" s="18" t="s">
        <v>120</v>
      </c>
      <c r="C3" s="18" t="s">
        <v>121</v>
      </c>
      <c r="D3" s="18" t="s">
        <v>122</v>
      </c>
      <c r="E3" s="18" t="s">
        <v>123</v>
      </c>
      <c r="F3" s="18" t="s">
        <v>124</v>
      </c>
      <c r="G3" s="18" t="s">
        <v>125</v>
      </c>
      <c r="H3" s="18" t="s">
        <v>126</v>
      </c>
      <c r="I3" s="18" t="s">
        <v>127</v>
      </c>
      <c r="J3" s="18" t="s">
        <v>128</v>
      </c>
      <c r="K3" s="18" t="s">
        <v>129</v>
      </c>
      <c r="L3" s="18" t="s">
        <v>130</v>
      </c>
      <c r="M3" s="18" t="s">
        <v>131</v>
      </c>
      <c r="N3" s="18" t="s">
        <v>132</v>
      </c>
      <c r="O3" s="19" t="s">
        <v>133</v>
      </c>
    </row>
    <row r="4" spans="1:15" x14ac:dyDescent="0.3">
      <c r="B4" s="20" cm="1">
        <f t="array" ref="B4">_xlfn._xlws.FILTER(TBL_DATA[T_Height (No Shoes)],TBL_DATA[[Player]:[Player]]=$B$2," ")</f>
        <v>56.660795912059399</v>
      </c>
      <c r="C4" s="20" cm="1">
        <f t="array" ref="C4">_xlfn._xlws.FILTER(TBL_DATA[T_Height (With Shoes)],TBL_DATA[[Player]:[Player]]=$B$2," ")</f>
        <v>56.54280976662352</v>
      </c>
      <c r="D4" s="20" cm="1">
        <f t="array" ref="D4">_xlfn._xlws.FILTER(TBL_DATA[T_Wingspan],TBL_DATA[[Player]:[Player]]=$B$2," ")</f>
        <v>60.697094738222304</v>
      </c>
      <c r="E4" s="20" cm="1">
        <f t="array" ref="E4">_xlfn._xlws.FILTER(TBL_DATA[T_Standing reach],TBL_DATA[[Player]:[Player]]=$B$2," ")</f>
        <v>59.795663690572255</v>
      </c>
      <c r="F4" s="20" cm="1">
        <f t="array" ref="F4">_xlfn._xlws.FILTER(TBL_DATA[T_Vertical (Max)],TBL_DATA[[Player]:[Player]]=$B$2," ")</f>
        <v>38.534718933948</v>
      </c>
      <c r="G4" s="20" cm="1">
        <f t="array" ref="G4">_xlfn._xlws.FILTER(TBL_DATA[T_Vertical (Max Reach)],TBL_DATA[[Player]:[Player]]=$B$2," ")</f>
        <v>51.529552804234548</v>
      </c>
      <c r="H4" s="20" cm="1">
        <f t="array" ref="H4">_xlfn._xlws.FILTER(TBL_DATA[T_Vertical (No Step)],TBL_DATA[[Player]:[Player]]=$B$2," ")</f>
        <v>36.260267259261738</v>
      </c>
      <c r="I4" s="20" cm="1">
        <f t="array" ref="I4">_xlfn._xlws.FILTER(TBL_DATA[T_Vertical (No Step Reach)],TBL_DATA[[Player]:[Player]]=$B$2," ")</f>
        <v>51.848441536138665</v>
      </c>
      <c r="J4" s="20" cm="1">
        <f t="array" ref="J4">_xlfn._xlws.FILTER(TBL_DATA[T_Weight],TBL_DATA[[Player]:[Player]]=$B$2," ")</f>
        <v>43.240878674342667</v>
      </c>
      <c r="K4" s="20" cm="1">
        <f t="array" ref="K4">_xlfn._xlws.FILTER(TBL_DATA[T_Body Fat],TBL_DATA[[Player]:[Player]]=$B$2," ")</f>
        <v>37.761360959803525</v>
      </c>
      <c r="L4" s="20" cm="1">
        <f t="array" ref="L4">_xlfn._xlws.FILTER(TBL_DATA[T_Hand (Length)],TBL_DATA[[Player]:[Player]]=$B$2," ")</f>
        <v>62.128848651340178</v>
      </c>
      <c r="M4" s="20" cm="1">
        <f t="array" ref="M4">_xlfn._xlws.FILTER(TBL_DATA[T_Hand (Width)],TBL_DATA[[Player]:[Player]]=$B$2," ")</f>
        <v>68.214305397055057</v>
      </c>
      <c r="N4" s="20" cm="1">
        <f t="array" ref="N4">_xlfn._xlws.FILTER(TBL_DATA[T_Agility],TBL_DATA[[Player]:[Player]]=$B$2," ")</f>
        <v>51.983594269086289</v>
      </c>
      <c r="O4" s="20" cm="1">
        <f t="array" ref="O4">_xlfn._xlws.FILTER(TBL_DATA[T_Height (With Shoes)],TBL_DATA[[Player]:[Player]]=$B$2," ")</f>
        <v>56.54280976662352</v>
      </c>
    </row>
    <row r="5" spans="1:15" x14ac:dyDescent="0.3">
      <c r="A5" s="17" t="s">
        <v>104</v>
      </c>
      <c r="B5" s="21">
        <v>50</v>
      </c>
      <c r="C5" s="21">
        <v>50</v>
      </c>
      <c r="D5" s="21">
        <v>50</v>
      </c>
      <c r="E5" s="21">
        <v>50</v>
      </c>
      <c r="F5" s="21">
        <v>50</v>
      </c>
      <c r="G5" s="21">
        <v>50</v>
      </c>
      <c r="H5" s="21">
        <v>50</v>
      </c>
      <c r="I5" s="21">
        <v>50</v>
      </c>
      <c r="J5" s="21">
        <v>50</v>
      </c>
      <c r="K5" s="21">
        <v>50</v>
      </c>
      <c r="L5" s="21">
        <v>50</v>
      </c>
      <c r="M5" s="21">
        <v>50</v>
      </c>
      <c r="N5" s="21">
        <v>50</v>
      </c>
      <c r="O5" s="21">
        <v>50</v>
      </c>
    </row>
    <row r="7" spans="1:15" x14ac:dyDescent="0.3">
      <c r="B7" s="18" t="s">
        <v>106</v>
      </c>
      <c r="C7" s="18" t="s">
        <v>107</v>
      </c>
      <c r="D7" s="18" t="s">
        <v>108</v>
      </c>
      <c r="E7" s="18" t="s">
        <v>109</v>
      </c>
      <c r="F7" s="18" t="s">
        <v>110</v>
      </c>
      <c r="G7" s="18" t="s">
        <v>111</v>
      </c>
      <c r="H7" s="18" t="s">
        <v>112</v>
      </c>
      <c r="I7" s="18" t="s">
        <v>113</v>
      </c>
      <c r="J7" s="18" t="s">
        <v>114</v>
      </c>
      <c r="K7" s="18" t="s">
        <v>115</v>
      </c>
      <c r="L7" s="18" t="s">
        <v>116</v>
      </c>
      <c r="M7" s="18" t="s">
        <v>117</v>
      </c>
      <c r="N7" s="18" t="s">
        <v>118</v>
      </c>
      <c r="O7" s="18" t="s">
        <v>119</v>
      </c>
    </row>
    <row r="8" spans="1:15" x14ac:dyDescent="0.3">
      <c r="B8" s="20" cm="1">
        <f t="array" ref="B8">_xlfn._xlws.FILTER(TBL_DATA[Z_Height (No Shoes)],TBL_DATA[[Player]:[Player]]=$B$2," ")</f>
        <v>0.66607959120594029</v>
      </c>
      <c r="C8" s="20" cm="1">
        <f t="array" ref="C8">_xlfn._xlws.FILTER(TBL_DATA[Z_Height (With Shoes)],TBL_DATA[[Player]:[Player]]=$B$2," ")</f>
        <v>0.65428097666235219</v>
      </c>
      <c r="D8" s="20" cm="1">
        <f t="array" ref="D8">_xlfn._xlws.FILTER(TBL_DATA[Z_Wingspan],TBL_DATA[[Player]:[Player]]=$B$2," ")</f>
        <v>1.0697094738222304</v>
      </c>
      <c r="E8" s="20" cm="1">
        <f t="array" ref="E8">_xlfn._xlws.FILTER(TBL_DATA[Z_Standing reach],TBL_DATA[[Player]:[Player]]=$B$2," ")</f>
        <v>0.97956636905722516</v>
      </c>
      <c r="F8" s="20" cm="1">
        <f t="array" ref="F8">_xlfn._xlws.FILTER(TBL_DATA[Z_Vertical (Max)],TBL_DATA[[Player]:[Player]]=$B$2," ")</f>
        <v>-1.1465281066052004</v>
      </c>
      <c r="G8" s="20" cm="1">
        <f t="array" ref="G8">_xlfn._xlws.FILTER(TBL_DATA[Z_Vertical (Max Reach)],TBL_DATA[[Player]:[Player]]=$B$2," ")</f>
        <v>0.15295528042345483</v>
      </c>
      <c r="H8" s="20" cm="1">
        <f t="array" ref="H8">_xlfn._xlws.FILTER(TBL_DATA[Z_Vertical (No Step)],TBL_DATA[[Player]:[Player]]=$B$2," ")</f>
        <v>-1.373973274073826</v>
      </c>
      <c r="I8" s="20" cm="1">
        <f t="array" ref="I8">_xlfn._xlws.FILTER(TBL_DATA[Z_Vertical (No Step Reach)],TBL_DATA[[Player]:[Player]]=$B$2," ")</f>
        <v>0.18484415361386689</v>
      </c>
      <c r="J8" s="20" cm="1">
        <f t="array" ref="J8">_xlfn._xlws.FILTER(TBL_DATA[Z_Weight],TBL_DATA[[Player]:[Player]]=$B$2," ")</f>
        <v>-0.6759121325657329</v>
      </c>
      <c r="K8" s="20" cm="1">
        <f t="array" ref="K8">_xlfn._xlws.FILTER(TBL_DATA[Z_Body Fat],TBL_DATA[[Player]:[Player]]=$B$2," ")</f>
        <v>-1.2238639040196471</v>
      </c>
      <c r="L8" s="20" cm="1">
        <f t="array" ref="L8">_xlfn._xlws.FILTER(TBL_DATA[Z_Hand (Length)],TBL_DATA[[Player]:[Player]]=$B$2," ")</f>
        <v>1.2128848651340178</v>
      </c>
      <c r="M8" s="20" cm="1">
        <f t="array" ref="M8">_xlfn._xlws.FILTER(TBL_DATA[Z_Hand (Width)],TBL_DATA[[Player]:[Player]]=$B$2," ")</f>
        <v>1.8214305397055064</v>
      </c>
      <c r="N8" s="20" cm="1">
        <f t="array" ref="N8">_xlfn._xlws.FILTER(TBL_DATA[Z_Agility],TBL_DATA[[Player]:[Player]]=$B$2," ")</f>
        <v>0.19835942690862868</v>
      </c>
      <c r="O8" s="20" cm="1">
        <f t="array" ref="O8">_xlfn._xlws.FILTER(TBL_DATA[Z_Sprint],TBL_DATA[[Player]:[Player]]=$B$2," ")</f>
        <v>1.2572908405912724</v>
      </c>
    </row>
    <row r="10" spans="1:15" x14ac:dyDescent="0.3">
      <c r="K10" s="17" t="s">
        <v>137</v>
      </c>
      <c r="L10" s="17" t="s">
        <v>135</v>
      </c>
      <c r="M10" s="17" t="s">
        <v>136</v>
      </c>
    </row>
    <row r="11" spans="1:15" x14ac:dyDescent="0.3">
      <c r="K11" s="16" t="str" cm="1">
        <f t="array" ref="K11:K69">_xlfn.UNIQUE(TBL_DATA[Player])</f>
        <v>Aaron Craft</v>
      </c>
      <c r="L11" s="22">
        <f>SUMIFS(TBL_DATA[TSA],TBL_DATA[Player],K11,TBL_DATA[Player],"&lt;&gt;"&amp;$B$2)</f>
        <v>506.75705041940802</v>
      </c>
      <c r="M11" s="16" t="str">
        <f>IF(K11=$B$2,_xlfn.XLOOKUP(K11,TBL_DATA[Player],TBL_DATA[TSA],"",0,),"")</f>
        <v/>
      </c>
    </row>
    <row r="12" spans="1:15" x14ac:dyDescent="0.3">
      <c r="K12" s="16" t="str">
        <v>Aaron Gordon</v>
      </c>
      <c r="L12" s="22">
        <f>SUMIFS(TBL_DATA[TSA],TBL_DATA[Player],K12,TBL_DATA[Player],"&lt;&gt;"&amp;$B$2)</f>
        <v>772.93002196751752</v>
      </c>
      <c r="M12" s="16" t="str">
        <f>IF(K12=$B$2,_xlfn.XLOOKUP(K12,TBL_DATA[Player],TBL_DATA[TSA],"",0,),"")</f>
        <v/>
      </c>
    </row>
    <row r="13" spans="1:15" x14ac:dyDescent="0.3">
      <c r="K13" s="16" t="str">
        <v>Adreian Payne</v>
      </c>
      <c r="L13" s="22">
        <f>SUMIFS(TBL_DATA[TSA],TBL_DATA[Player],K13,TBL_DATA[Player],"&lt;&gt;"&amp;$B$2)</f>
        <v>-629.55057014254658</v>
      </c>
      <c r="M13" s="16" t="str">
        <f>IF(K13=$B$2,_xlfn.XLOOKUP(K13,TBL_DATA[Player],TBL_DATA[TSA],"",0,),"")</f>
        <v/>
      </c>
    </row>
    <row r="14" spans="1:15" x14ac:dyDescent="0.3">
      <c r="K14" s="16" t="str">
        <v>Alec Brown</v>
      </c>
      <c r="L14" s="22">
        <f>SUMIFS(TBL_DATA[TSA],TBL_DATA[Player],K14,TBL_DATA[Player],"&lt;&gt;"&amp;$B$2)</f>
        <v>798.91572107936133</v>
      </c>
      <c r="M14" s="16" t="str">
        <f>IF(K14=$B$2,_xlfn.XLOOKUP(K14,TBL_DATA[Player],TBL_DATA[TSA],"",0,),"")</f>
        <v/>
      </c>
    </row>
    <row r="15" spans="1:15" x14ac:dyDescent="0.3">
      <c r="K15" s="16" t="str">
        <v>Alex Kirk</v>
      </c>
      <c r="L15" s="22">
        <f>SUMIFS(TBL_DATA[TSA],TBL_DATA[Player],K15,TBL_DATA[Player],"&lt;&gt;"&amp;$B$2)</f>
        <v>846.83185799247781</v>
      </c>
      <c r="M15" s="16" t="str">
        <f>IF(K15=$B$2,_xlfn.XLOOKUP(K15,TBL_DATA[Player],TBL_DATA[TSA],"",0,),"")</f>
        <v/>
      </c>
    </row>
    <row r="16" spans="1:15" x14ac:dyDescent="0.3">
      <c r="K16" s="16" t="str">
        <v>C.J. Fair</v>
      </c>
      <c r="L16" s="22">
        <f>SUMIFS(TBL_DATA[TSA],TBL_DATA[Player],K16,TBL_DATA[Player],"&lt;&gt;"&amp;$B$2)</f>
        <v>690.32431087813961</v>
      </c>
      <c r="M16" s="16" t="str">
        <f>IF(K16=$B$2,_xlfn.XLOOKUP(K16,TBL_DATA[Player],TBL_DATA[TSA],"",0,),"")</f>
        <v/>
      </c>
    </row>
    <row r="17" spans="11:13" x14ac:dyDescent="0.3">
      <c r="K17" s="16" t="str">
        <v>C.J. Wilcox</v>
      </c>
      <c r="L17" s="22">
        <f>SUMIFS(TBL_DATA[TSA],TBL_DATA[Player],K17,TBL_DATA[Player],"&lt;&gt;"&amp;$B$2)</f>
        <v>675.02768372150899</v>
      </c>
      <c r="M17" s="16" t="str">
        <f>IF(K17=$B$2,_xlfn.XLOOKUP(K17,TBL_DATA[Player],TBL_DATA[TSA],"",0,),"")</f>
        <v/>
      </c>
    </row>
    <row r="18" spans="11:13" x14ac:dyDescent="0.3">
      <c r="K18" s="16" t="str">
        <v>Cameron Bairstow</v>
      </c>
      <c r="L18" s="22">
        <f>SUMIFS(TBL_DATA[TSA],TBL_DATA[Player],K18,TBL_DATA[Player],"&lt;&gt;"&amp;$B$2)</f>
        <v>785.70424738805491</v>
      </c>
      <c r="M18" s="16" t="str">
        <f>IF(K18=$B$2,_xlfn.XLOOKUP(K18,TBL_DATA[Player],TBL_DATA[TSA],"",0,),"")</f>
        <v/>
      </c>
    </row>
    <row r="19" spans="11:13" x14ac:dyDescent="0.3">
      <c r="K19" s="16" t="str">
        <v>Cleanthony Early</v>
      </c>
      <c r="L19" s="22">
        <f>SUMIFS(TBL_DATA[TSA],TBL_DATA[Player],K19,TBL_DATA[Player],"&lt;&gt;"&amp;$B$2)</f>
        <v>715.73451407379662</v>
      </c>
      <c r="M19" s="16" t="str">
        <f>IF(K19=$B$2,_xlfn.XLOOKUP(K19,TBL_DATA[Player],TBL_DATA[TSA],"",0,),"")</f>
        <v/>
      </c>
    </row>
    <row r="20" spans="11:13" x14ac:dyDescent="0.3">
      <c r="K20" s="16" t="str">
        <v>Cory Jefferson</v>
      </c>
      <c r="L20" s="22">
        <f>SUMIFS(TBL_DATA[TSA],TBL_DATA[Player],K20,TBL_DATA[Player],"&lt;&gt;"&amp;$B$2)</f>
        <v>806.61917500370259</v>
      </c>
      <c r="M20" s="16" t="str">
        <f>IF(K20=$B$2,_xlfn.XLOOKUP(K20,TBL_DATA[Player],TBL_DATA[TSA],"",0,),"")</f>
        <v/>
      </c>
    </row>
    <row r="21" spans="11:13" x14ac:dyDescent="0.3">
      <c r="K21" s="16" t="str">
        <v>Dante Exum</v>
      </c>
      <c r="L21" s="22">
        <f>SUMIFS(TBL_DATA[TSA],TBL_DATA[Player],K21,TBL_DATA[Player],"&lt;&gt;"&amp;$B$2)</f>
        <v>669.80976768591768</v>
      </c>
      <c r="M21" s="16" t="str">
        <f>IF(K21=$B$2,_xlfn.XLOOKUP(K21,TBL_DATA[Player],TBL_DATA[TSA],"",0,),"")</f>
        <v/>
      </c>
    </row>
    <row r="22" spans="11:13" x14ac:dyDescent="0.3">
      <c r="K22" s="16" t="str">
        <v>DeAndre Daniels</v>
      </c>
      <c r="L22" s="22">
        <f>SUMIFS(TBL_DATA[TSA],TBL_DATA[Player],K22,TBL_DATA[Player],"&lt;&gt;"&amp;$B$2)</f>
        <v>0</v>
      </c>
      <c r="M22" s="16">
        <f>IF(K22=$B$2,_xlfn.XLOOKUP(K22,TBL_DATA[Player],TBL_DATA[TSA],"",0,),"")</f>
        <v>737.771240998601</v>
      </c>
    </row>
    <row r="23" spans="11:13" x14ac:dyDescent="0.3">
      <c r="K23" s="16" t="str">
        <v>DeAndre Kane</v>
      </c>
      <c r="L23" s="22">
        <f>SUMIFS(TBL_DATA[TSA],TBL_DATA[Player],K23,TBL_DATA[Player],"&lt;&gt;"&amp;$B$2)</f>
        <v>617.20044800094081</v>
      </c>
      <c r="M23" s="16" t="str">
        <f>IF(K23=$B$2,_xlfn.XLOOKUP(K23,TBL_DATA[Player],TBL_DATA[TSA],"",0,),"")</f>
        <v/>
      </c>
    </row>
    <row r="24" spans="11:13" x14ac:dyDescent="0.3">
      <c r="K24" s="16" t="str">
        <v>Deonte Burton</v>
      </c>
      <c r="L24" s="22">
        <f>SUMIFS(TBL_DATA[TSA],TBL_DATA[Player],K24,TBL_DATA[Player],"&lt;&gt;"&amp;$B$2)</f>
        <v>602.69904352576157</v>
      </c>
      <c r="M24" s="16" t="str">
        <f>IF(K24=$B$2,_xlfn.XLOOKUP(K24,TBL_DATA[Player],TBL_DATA[TSA],"",0,),"")</f>
        <v/>
      </c>
    </row>
    <row r="25" spans="11:13" x14ac:dyDescent="0.3">
      <c r="K25" s="16" t="str">
        <v>Devyn Marble</v>
      </c>
      <c r="L25" s="22">
        <f>SUMIFS(TBL_DATA[TSA],TBL_DATA[Player],K25,TBL_DATA[Player],"&lt;&gt;"&amp;$B$2)</f>
        <v>652.44925196566282</v>
      </c>
      <c r="M25" s="16" t="str">
        <f>IF(K25=$B$2,_xlfn.XLOOKUP(K25,TBL_DATA[Player],TBL_DATA[TSA],"",0,),"")</f>
        <v/>
      </c>
    </row>
    <row r="26" spans="11:13" x14ac:dyDescent="0.3">
      <c r="K26" s="16" t="str">
        <v>Doug McDermott</v>
      </c>
      <c r="L26" s="22">
        <f>SUMIFS(TBL_DATA[TSA],TBL_DATA[Player],K26,TBL_DATA[Player],"&lt;&gt;"&amp;$B$2)</f>
        <v>710.21986994002998</v>
      </c>
      <c r="M26" s="16" t="str">
        <f>IF(K26=$B$2,_xlfn.XLOOKUP(K26,TBL_DATA[Player],TBL_DATA[TSA],"",0,),"")</f>
        <v/>
      </c>
    </row>
    <row r="27" spans="11:13" x14ac:dyDescent="0.3">
      <c r="K27" s="16" t="str">
        <v>Dwight Powell</v>
      </c>
      <c r="L27" s="22">
        <f>SUMIFS(TBL_DATA[TSA],TBL_DATA[Player],K27,TBL_DATA[Player],"&lt;&gt;"&amp;$B$2)</f>
        <v>743.44325129073979</v>
      </c>
      <c r="M27" s="16" t="str">
        <f>IF(K27=$B$2,_xlfn.XLOOKUP(K27,TBL_DATA[Player],TBL_DATA[TSA],"",0,),"")</f>
        <v/>
      </c>
    </row>
    <row r="28" spans="11:13" x14ac:dyDescent="0.3">
      <c r="K28" s="16" t="str">
        <v>Elfrid Payton</v>
      </c>
      <c r="L28" s="22">
        <f>SUMIFS(TBL_DATA[TSA],TBL_DATA[Player],K28,TBL_DATA[Player],"&lt;&gt;"&amp;$B$2)</f>
        <v>626.8682484545252</v>
      </c>
      <c r="M28" s="16" t="str">
        <f>IF(K28=$B$2,_xlfn.XLOOKUP(K28,TBL_DATA[Player],TBL_DATA[TSA],"",0,),"")</f>
        <v/>
      </c>
    </row>
    <row r="29" spans="11:13" x14ac:dyDescent="0.3">
      <c r="K29" s="16" t="str">
        <v>Gary Harris</v>
      </c>
      <c r="L29" s="22">
        <f>SUMIFS(TBL_DATA[TSA],TBL_DATA[Player],K29,TBL_DATA[Player],"&lt;&gt;"&amp;$B$2)</f>
        <v>-766.29219423290226</v>
      </c>
      <c r="M29" s="16" t="str">
        <f>IF(K29=$B$2,_xlfn.XLOOKUP(K29,TBL_DATA[Player],TBL_DATA[TSA],"",0,),"")</f>
        <v/>
      </c>
    </row>
    <row r="30" spans="11:13" x14ac:dyDescent="0.3">
      <c r="K30" s="16" t="str">
        <v>Glenn Robinson</v>
      </c>
      <c r="L30" s="22">
        <f>SUMIFS(TBL_DATA[TSA],TBL_DATA[Player],K30,TBL_DATA[Player],"&lt;&gt;"&amp;$B$2)</f>
        <v>747.25702225499583</v>
      </c>
      <c r="M30" s="16" t="str">
        <f>IF(K30=$B$2,_xlfn.XLOOKUP(K30,TBL_DATA[Player],TBL_DATA[TSA],"",0,),"")</f>
        <v/>
      </c>
    </row>
    <row r="31" spans="11:13" x14ac:dyDescent="0.3">
      <c r="K31" s="16" t="str">
        <v>Isaiah Austin</v>
      </c>
      <c r="L31" s="22">
        <f>SUMIFS(TBL_DATA[TSA],TBL_DATA[Player],K31,TBL_DATA[Player],"&lt;&gt;"&amp;$B$2)</f>
        <v>789.82619948220122</v>
      </c>
      <c r="M31" s="16" t="str">
        <f>IF(K31=$B$2,_xlfn.XLOOKUP(K31,TBL_DATA[Player],TBL_DATA[TSA],"",0,),"")</f>
        <v/>
      </c>
    </row>
    <row r="32" spans="11:13" x14ac:dyDescent="0.3">
      <c r="K32" s="16" t="str">
        <v>Jabari Brown</v>
      </c>
      <c r="L32" s="22">
        <f>SUMIFS(TBL_DATA[TSA],TBL_DATA[Player],K32,TBL_DATA[Player],"&lt;&gt;"&amp;$B$2)</f>
        <v>654.32525779548519</v>
      </c>
      <c r="M32" s="16" t="str">
        <f>IF(K32=$B$2,_xlfn.XLOOKUP(K32,TBL_DATA[Player],TBL_DATA[TSA],"",0,),"")</f>
        <v/>
      </c>
    </row>
    <row r="33" spans="11:13" x14ac:dyDescent="0.3">
      <c r="K33" s="16" t="str">
        <v>Jahii Carson</v>
      </c>
      <c r="L33" s="22">
        <f>SUMIFS(TBL_DATA[TSA],TBL_DATA[Player],K33,TBL_DATA[Player],"&lt;&gt;"&amp;$B$2)</f>
        <v>571.34758909784034</v>
      </c>
      <c r="M33" s="16" t="str">
        <f>IF(K33=$B$2,_xlfn.XLOOKUP(K33,TBL_DATA[Player],TBL_DATA[TSA],"",0,),"")</f>
        <v/>
      </c>
    </row>
    <row r="34" spans="11:13" x14ac:dyDescent="0.3">
      <c r="K34" s="16" t="str">
        <v>James McAdoo</v>
      </c>
      <c r="L34" s="22">
        <f>SUMIFS(TBL_DATA[TSA],TBL_DATA[Player],K34,TBL_DATA[Player],"&lt;&gt;"&amp;$B$2)</f>
        <v>760.04062331412956</v>
      </c>
      <c r="M34" s="16" t="str">
        <f>IF(K34=$B$2,_xlfn.XLOOKUP(K34,TBL_DATA[Player],TBL_DATA[TSA],"",0,),"")</f>
        <v/>
      </c>
    </row>
    <row r="35" spans="11:13" x14ac:dyDescent="0.3">
      <c r="K35" s="16" t="str">
        <v>James Young</v>
      </c>
      <c r="L35" s="22">
        <f>SUMIFS(TBL_DATA[TSA],TBL_DATA[Player],K35,TBL_DATA[Player],"&lt;&gt;"&amp;$B$2)</f>
        <v>170.27791339426096</v>
      </c>
      <c r="M35" s="16" t="str">
        <f>IF(K35=$B$2,_xlfn.XLOOKUP(K35,TBL_DATA[Player],TBL_DATA[TSA],"",0,),"")</f>
        <v/>
      </c>
    </row>
    <row r="36" spans="11:13" x14ac:dyDescent="0.3">
      <c r="K36" s="16" t="str">
        <v>Jarnell Stokes</v>
      </c>
      <c r="L36" s="22">
        <f>SUMIFS(TBL_DATA[TSA],TBL_DATA[Player],K36,TBL_DATA[Player],"&lt;&gt;"&amp;$B$2)</f>
        <v>812.98371942440122</v>
      </c>
      <c r="M36" s="16" t="str">
        <f>IF(K36=$B$2,_xlfn.XLOOKUP(K36,TBL_DATA[Player],TBL_DATA[TSA],"",0,),"")</f>
        <v/>
      </c>
    </row>
    <row r="37" spans="11:13" x14ac:dyDescent="0.3">
      <c r="K37" s="16" t="str">
        <v>Jerami Grant</v>
      </c>
      <c r="L37" s="22">
        <f>SUMIFS(TBL_DATA[TSA],TBL_DATA[Player],K37,TBL_DATA[Player],"&lt;&gt;"&amp;$B$2)</f>
        <v>-680.95956095529709</v>
      </c>
      <c r="M37" s="16" t="str">
        <f>IF(K37=$B$2,_xlfn.XLOOKUP(K37,TBL_DATA[Player],TBL_DATA[TSA],"",0,),"")</f>
        <v/>
      </c>
    </row>
    <row r="38" spans="11:13" x14ac:dyDescent="0.3">
      <c r="K38" s="16" t="str">
        <v>Joe Harris</v>
      </c>
      <c r="L38" s="22">
        <f>SUMIFS(TBL_DATA[TSA],TBL_DATA[Player],K38,TBL_DATA[Player],"&lt;&gt;"&amp;$B$2)</f>
        <v>645.22751164968099</v>
      </c>
      <c r="M38" s="16" t="str">
        <f>IF(K38=$B$2,_xlfn.XLOOKUP(K38,TBL_DATA[Player],TBL_DATA[TSA],"",0,),"")</f>
        <v/>
      </c>
    </row>
    <row r="39" spans="11:13" x14ac:dyDescent="0.3">
      <c r="K39" s="16" t="str">
        <v>Johnny O'Bryant</v>
      </c>
      <c r="L39" s="22">
        <f>SUMIFS(TBL_DATA[TSA],TBL_DATA[Player],K39,TBL_DATA[Player],"&lt;&gt;"&amp;$B$2)</f>
        <v>817.51172199279165</v>
      </c>
      <c r="M39" s="16" t="str">
        <f>IF(K39=$B$2,_xlfn.XLOOKUP(K39,TBL_DATA[Player],TBL_DATA[TSA],"",0,),"")</f>
        <v/>
      </c>
    </row>
    <row r="40" spans="11:13" x14ac:dyDescent="0.3">
      <c r="K40" s="16" t="str">
        <v>Jordan Adams</v>
      </c>
      <c r="L40" s="22">
        <f>SUMIFS(TBL_DATA[TSA],TBL_DATA[Player],K40,TBL_DATA[Player],"&lt;&gt;"&amp;$B$2)</f>
        <v>637.82780816532465</v>
      </c>
      <c r="M40" s="16" t="str">
        <f>IF(K40=$B$2,_xlfn.XLOOKUP(K40,TBL_DATA[Player],TBL_DATA[TSA],"",0,),"")</f>
        <v/>
      </c>
    </row>
    <row r="41" spans="11:13" x14ac:dyDescent="0.3">
      <c r="K41" s="16" t="str">
        <v>Jordan Bachynski</v>
      </c>
      <c r="L41" s="22">
        <f>SUMIFS(TBL_DATA[TSA],TBL_DATA[Player],K41,TBL_DATA[Player],"&lt;&gt;"&amp;$B$2)</f>
        <v>853.96846685904518</v>
      </c>
      <c r="M41" s="16" t="str">
        <f>IF(K41=$B$2,_xlfn.XLOOKUP(K41,TBL_DATA[Player],TBL_DATA[TSA],"",0,),"")</f>
        <v/>
      </c>
    </row>
    <row r="42" spans="11:13" x14ac:dyDescent="0.3">
      <c r="K42" s="16" t="str">
        <v>Jordan Clarkson</v>
      </c>
      <c r="L42" s="22">
        <f>SUMIFS(TBL_DATA[TSA],TBL_DATA[Player],K42,TBL_DATA[Player],"&lt;&gt;"&amp;$B$2)</f>
        <v>637.70665441312292</v>
      </c>
      <c r="M42" s="16" t="str">
        <f>IF(K42=$B$2,_xlfn.XLOOKUP(K42,TBL_DATA[Player],TBL_DATA[TSA],"",0,),"")</f>
        <v/>
      </c>
    </row>
    <row r="43" spans="11:13" x14ac:dyDescent="0.3">
      <c r="K43" s="16" t="str">
        <v>Jordan McRae</v>
      </c>
      <c r="L43" s="22">
        <f>SUMIFS(TBL_DATA[TSA],TBL_DATA[Player],K43,TBL_DATA[Player],"&lt;&gt;"&amp;$B$2)</f>
        <v>660.65433350148521</v>
      </c>
      <c r="M43" s="16" t="str">
        <f>IF(K43=$B$2,_xlfn.XLOOKUP(K43,TBL_DATA[Player],TBL_DATA[TSA],"",0,),"")</f>
        <v/>
      </c>
    </row>
    <row r="44" spans="11:13" x14ac:dyDescent="0.3">
      <c r="K44" s="16" t="str">
        <v>Julius Randle</v>
      </c>
      <c r="L44" s="22">
        <f>SUMIFS(TBL_DATA[TSA],TBL_DATA[Player],K44,TBL_DATA[Player],"&lt;&gt;"&amp;$B$2)</f>
        <v>749.40168770224261</v>
      </c>
      <c r="M44" s="16" t="str">
        <f>IF(K44=$B$2,_xlfn.XLOOKUP(K44,TBL_DATA[Player],TBL_DATA[TSA],"",0,),"")</f>
        <v/>
      </c>
    </row>
    <row r="45" spans="11:13" x14ac:dyDescent="0.3">
      <c r="K45" s="16" t="str">
        <v>K.J. McDaniels</v>
      </c>
      <c r="L45" s="22">
        <f>SUMIFS(TBL_DATA[TSA],TBL_DATA[Player],K45,TBL_DATA[Player],"&lt;&gt;"&amp;$B$2)</f>
        <v>724.04156993085712</v>
      </c>
      <c r="M45" s="16" t="str">
        <f>IF(K45=$B$2,_xlfn.XLOOKUP(K45,TBL_DATA[Player],TBL_DATA[TSA],"",0,),"")</f>
        <v/>
      </c>
    </row>
    <row r="46" spans="11:13" x14ac:dyDescent="0.3">
      <c r="K46" s="16" t="str">
        <v>Kendall Williams</v>
      </c>
      <c r="L46" s="22">
        <f>SUMIFS(TBL_DATA[TSA],TBL_DATA[Player],K46,TBL_DATA[Player],"&lt;&gt;"&amp;$B$2)</f>
        <v>247.21234841001024</v>
      </c>
      <c r="M46" s="16" t="str">
        <f>IF(K46=$B$2,_xlfn.XLOOKUP(K46,TBL_DATA[Player],TBL_DATA[TSA],"",0,),"")</f>
        <v/>
      </c>
    </row>
    <row r="47" spans="11:13" x14ac:dyDescent="0.3">
      <c r="K47" s="16" t="str">
        <v>Khem Birch</v>
      </c>
      <c r="L47" s="22">
        <f>SUMIFS(TBL_DATA[TSA],TBL_DATA[Player],K47,TBL_DATA[Player],"&lt;&gt;"&amp;$B$2)</f>
        <v>752.7922886845214</v>
      </c>
      <c r="M47" s="16" t="str">
        <f>IF(K47=$B$2,_xlfn.XLOOKUP(K47,TBL_DATA[Player],TBL_DATA[TSA],"",0,),"")</f>
        <v/>
      </c>
    </row>
    <row r="48" spans="11:13" x14ac:dyDescent="0.3">
      <c r="K48" s="16" t="str">
        <v>Kyle Anderson</v>
      </c>
      <c r="L48" s="22">
        <f>SUMIFS(TBL_DATA[TSA],TBL_DATA[Player],K48,TBL_DATA[Player],"&lt;&gt;"&amp;$B$2)</f>
        <v>-659.46396799111608</v>
      </c>
      <c r="M48" s="16" t="str">
        <f>IF(K48=$B$2,_xlfn.XLOOKUP(K48,TBL_DATA[Player],TBL_DATA[TSA],"",0,),"")</f>
        <v/>
      </c>
    </row>
    <row r="49" spans="11:13" x14ac:dyDescent="0.3">
      <c r="K49" s="16" t="str">
        <v>LaQuinton Ross</v>
      </c>
      <c r="L49" s="22">
        <f>SUMIFS(TBL_DATA[TSA],TBL_DATA[Player],K49,TBL_DATA[Player],"&lt;&gt;"&amp;$B$2)</f>
        <v>768.56926854647611</v>
      </c>
      <c r="M49" s="16" t="str">
        <f>IF(K49=$B$2,_xlfn.XLOOKUP(K49,TBL_DATA[Player],TBL_DATA[TSA],"",0,),"")</f>
        <v/>
      </c>
    </row>
    <row r="50" spans="11:13" x14ac:dyDescent="0.3">
      <c r="K50" s="16" t="str">
        <v>Lamar Patterson</v>
      </c>
      <c r="L50" s="22">
        <f>SUMIFS(TBL_DATA[TSA],TBL_DATA[Player],K50,TBL_DATA[Player],"&lt;&gt;"&amp;$B$2)</f>
        <v>699.69343957257809</v>
      </c>
      <c r="M50" s="16" t="str">
        <f>IF(K50=$B$2,_xlfn.XLOOKUP(K50,TBL_DATA[Player],TBL_DATA[TSA],"",0,),"")</f>
        <v/>
      </c>
    </row>
    <row r="51" spans="11:13" x14ac:dyDescent="0.3">
      <c r="K51" s="16" t="str">
        <v>Marcus Smart</v>
      </c>
      <c r="L51" s="22">
        <f>SUMIFS(TBL_DATA[TSA],TBL_DATA[Player],K51,TBL_DATA[Player],"&lt;&gt;"&amp;$B$2)</f>
        <v>680.00460843140002</v>
      </c>
      <c r="M51" s="16" t="str">
        <f>IF(K51=$B$2,_xlfn.XLOOKUP(K51,TBL_DATA[Player],TBL_DATA[TSA],"",0,),"")</f>
        <v/>
      </c>
    </row>
    <row r="52" spans="11:13" x14ac:dyDescent="0.3">
      <c r="K52" s="16" t="str">
        <v>Markel Brown</v>
      </c>
      <c r="L52" s="22">
        <f>SUMIFS(TBL_DATA[TSA],TBL_DATA[Player],K52,TBL_DATA[Player],"&lt;&gt;"&amp;$B$2)</f>
        <v>734.04623972562092</v>
      </c>
      <c r="M52" s="16" t="str">
        <f>IF(K52=$B$2,_xlfn.XLOOKUP(K52,TBL_DATA[Player],TBL_DATA[TSA],"",0,),"")</f>
        <v/>
      </c>
    </row>
    <row r="53" spans="11:13" x14ac:dyDescent="0.3">
      <c r="K53" s="16" t="str">
        <v>Melvin Ejim</v>
      </c>
      <c r="L53" s="22">
        <f>SUMIFS(TBL_DATA[TSA],TBL_DATA[Player],K53,TBL_DATA[Player],"&lt;&gt;"&amp;$B$2)</f>
        <v>698.24004128460115</v>
      </c>
      <c r="M53" s="16" t="str">
        <f>IF(K53=$B$2,_xlfn.XLOOKUP(K53,TBL_DATA[Player],TBL_DATA[TSA],"",0,),"")</f>
        <v/>
      </c>
    </row>
    <row r="54" spans="11:13" x14ac:dyDescent="0.3">
      <c r="K54" s="16" t="str">
        <v>Nick Johnson</v>
      </c>
      <c r="L54" s="22">
        <f>SUMIFS(TBL_DATA[TSA],TBL_DATA[Player],K54,TBL_DATA[Player],"&lt;&gt;"&amp;$B$2)</f>
        <v>666.27897549962461</v>
      </c>
      <c r="M54" s="16" t="str">
        <f>IF(K54=$B$2,_xlfn.XLOOKUP(K54,TBL_DATA[Player],TBL_DATA[TSA],"",0,),"")</f>
        <v/>
      </c>
    </row>
    <row r="55" spans="11:13" x14ac:dyDescent="0.3">
      <c r="K55" s="16" t="str">
        <v>Nik Stauskas</v>
      </c>
      <c r="L55" s="22">
        <f>SUMIFS(TBL_DATA[TSA],TBL_DATA[Player],K55,TBL_DATA[Player],"&lt;&gt;"&amp;$B$2)</f>
        <v>673.15538342858542</v>
      </c>
      <c r="M55" s="16" t="str">
        <f>IF(K55=$B$2,_xlfn.XLOOKUP(K55,TBL_DATA[Player],TBL_DATA[TSA],"",0,),"")</f>
        <v/>
      </c>
    </row>
    <row r="56" spans="11:13" x14ac:dyDescent="0.3">
      <c r="K56" s="16" t="str">
        <v>Noah Vonleh</v>
      </c>
      <c r="L56" s="22">
        <f>SUMIFS(TBL_DATA[TSA],TBL_DATA[Player],K56,TBL_DATA[Player],"&lt;&gt;"&amp;$B$2)</f>
        <v>864.46283787952143</v>
      </c>
      <c r="M56" s="16" t="str">
        <f>IF(K56=$B$2,_xlfn.XLOOKUP(K56,TBL_DATA[Player],TBL_DATA[TSA],"",0,),"")</f>
        <v/>
      </c>
    </row>
    <row r="57" spans="11:13" x14ac:dyDescent="0.3">
      <c r="K57" s="16" t="str">
        <v>P.J. Hairston</v>
      </c>
      <c r="L57" s="22">
        <f>SUMIFS(TBL_DATA[TSA],TBL_DATA[Player],K57,TBL_DATA[Player],"&lt;&gt;"&amp;$B$2)</f>
        <v>717.63420981236607</v>
      </c>
      <c r="M57" s="16" t="str">
        <f>IF(K57=$B$2,_xlfn.XLOOKUP(K57,TBL_DATA[Player],TBL_DATA[TSA],"",0,),"")</f>
        <v/>
      </c>
    </row>
    <row r="58" spans="11:13" x14ac:dyDescent="0.3">
      <c r="K58" s="16" t="str">
        <v>Patric Young</v>
      </c>
      <c r="L58" s="22">
        <f>SUMIFS(TBL_DATA[TSA],TBL_DATA[Player],K58,TBL_DATA[Player],"&lt;&gt;"&amp;$B$2)</f>
        <v>796.65948085170146</v>
      </c>
      <c r="M58" s="16" t="str">
        <f>IF(K58=$B$2,_xlfn.XLOOKUP(K58,TBL_DATA[Player],TBL_DATA[TSA],"",0,),"")</f>
        <v/>
      </c>
    </row>
    <row r="59" spans="11:13" x14ac:dyDescent="0.3">
      <c r="K59" s="16" t="str">
        <v>Rodney Hood</v>
      </c>
      <c r="L59" s="22">
        <f>SUMIFS(TBL_DATA[TSA],TBL_DATA[Player],K59,TBL_DATA[Player],"&lt;&gt;"&amp;$B$2)</f>
        <v>699.13135373058753</v>
      </c>
      <c r="M59" s="16" t="str">
        <f>IF(K59=$B$2,_xlfn.XLOOKUP(K59,TBL_DATA[Player],TBL_DATA[TSA],"",0,),"")</f>
        <v/>
      </c>
    </row>
    <row r="60" spans="11:13" x14ac:dyDescent="0.3">
      <c r="K60" s="16" t="str">
        <v>Russ Smith</v>
      </c>
      <c r="L60" s="22">
        <f>SUMIFS(TBL_DATA[TSA],TBL_DATA[Player],K60,TBL_DATA[Player],"&lt;&gt;"&amp;$B$2)</f>
        <v>526.11727018905037</v>
      </c>
      <c r="M60" s="16" t="str">
        <f>IF(K60=$B$2,_xlfn.XLOOKUP(K60,TBL_DATA[Player],TBL_DATA[TSA],"",0,),"")</f>
        <v/>
      </c>
    </row>
    <row r="61" spans="11:13" x14ac:dyDescent="0.3">
      <c r="K61" s="16" t="str">
        <v>Sean Kilpatrick</v>
      </c>
      <c r="L61" s="22">
        <f>SUMIFS(TBL_DATA[TSA],TBL_DATA[Player],K61,TBL_DATA[Player],"&lt;&gt;"&amp;$B$2)</f>
        <v>-730.9669941197966</v>
      </c>
      <c r="M61" s="16" t="str">
        <f>IF(K61=$B$2,_xlfn.XLOOKUP(K61,TBL_DATA[Player],TBL_DATA[TSA],"",0,),"")</f>
        <v/>
      </c>
    </row>
    <row r="62" spans="11:13" x14ac:dyDescent="0.3">
      <c r="K62" s="16" t="str">
        <v>Semaj Christon</v>
      </c>
      <c r="L62" s="22">
        <f>SUMIFS(TBL_DATA[TSA],TBL_DATA[Player],K62,TBL_DATA[Player],"&lt;&gt;"&amp;$B$2)</f>
        <v>622.0197471152544</v>
      </c>
      <c r="M62" s="16" t="str">
        <f>IF(K62=$B$2,_xlfn.XLOOKUP(K62,TBL_DATA[Player],TBL_DATA[TSA],"",0,),"")</f>
        <v/>
      </c>
    </row>
    <row r="63" spans="11:13" x14ac:dyDescent="0.3">
      <c r="K63" s="16" t="str">
        <v>Shabazz Napier</v>
      </c>
      <c r="L63" s="22">
        <f>SUMIFS(TBL_DATA[TSA],TBL_DATA[Player],K63,TBL_DATA[Player],"&lt;&gt;"&amp;$B$2)</f>
        <v>551.65406978745079</v>
      </c>
      <c r="M63" s="16" t="str">
        <f>IF(K63=$B$2,_xlfn.XLOOKUP(K63,TBL_DATA[Player],TBL_DATA[TSA],"",0,),"")</f>
        <v/>
      </c>
    </row>
    <row r="64" spans="11:13" x14ac:dyDescent="0.3">
      <c r="K64" s="16" t="str">
        <v>Spencer Dinwiddie</v>
      </c>
      <c r="L64" s="22">
        <f>SUMIFS(TBL_DATA[TSA],TBL_DATA[Player],K64,TBL_DATA[Player],"&lt;&gt;"&amp;$B$2)</f>
        <v>-744.05092202410628</v>
      </c>
      <c r="M64" s="16" t="str">
        <f>IF(K64=$B$2,_xlfn.XLOOKUP(K64,TBL_DATA[Player],TBL_DATA[TSA],"",0,),"")</f>
        <v/>
      </c>
    </row>
    <row r="65" spans="11:13" x14ac:dyDescent="0.3">
      <c r="K65" s="16" t="str">
        <v>T.J. Warren</v>
      </c>
      <c r="L65" s="22">
        <f>SUMIFS(TBL_DATA[TSA],TBL_DATA[Player],K65,TBL_DATA[Player],"&lt;&gt;"&amp;$B$2)</f>
        <v>700.53098024626081</v>
      </c>
      <c r="M65" s="16" t="str">
        <f>IF(K65=$B$2,_xlfn.XLOOKUP(K65,TBL_DATA[Player],TBL_DATA[TSA],"",0,),"")</f>
        <v/>
      </c>
    </row>
    <row r="66" spans="11:13" x14ac:dyDescent="0.3">
      <c r="K66" s="16" t="str">
        <v>Thanasis Antetokounmpo</v>
      </c>
      <c r="L66" s="22">
        <f>SUMIFS(TBL_DATA[TSA],TBL_DATA[Player],K66,TBL_DATA[Player],"&lt;&gt;"&amp;$B$2)</f>
        <v>747.79977727838968</v>
      </c>
      <c r="M66" s="16" t="str">
        <f>IF(K66=$B$2,_xlfn.XLOOKUP(K66,TBL_DATA[Player],TBL_DATA[TSA],"",0,),"")</f>
        <v/>
      </c>
    </row>
    <row r="67" spans="11:13" x14ac:dyDescent="0.3">
      <c r="K67" s="16" t="str">
        <v>Tyler Ennis</v>
      </c>
      <c r="L67" s="22">
        <f>SUMIFS(TBL_DATA[TSA],TBL_DATA[Player],K67,TBL_DATA[Player],"&lt;&gt;"&amp;$B$2)</f>
        <v>593.205742432958</v>
      </c>
      <c r="M67" s="16" t="str">
        <f>IF(K67=$B$2,_xlfn.XLOOKUP(K67,TBL_DATA[Player],TBL_DATA[TSA],"",0,),"")</f>
        <v/>
      </c>
    </row>
    <row r="68" spans="11:13" x14ac:dyDescent="0.3">
      <c r="K68" s="16" t="str">
        <v>Xavier Thames</v>
      </c>
      <c r="L68" s="22">
        <f>SUMIFS(TBL_DATA[TSA],TBL_DATA[Player],K68,TBL_DATA[Player],"&lt;&gt;"&amp;$B$2)</f>
        <v>588.15427975437763</v>
      </c>
      <c r="M68" s="16" t="str">
        <f>IF(K68=$B$2,_xlfn.XLOOKUP(K68,TBL_DATA[Player],TBL_DATA[TSA],"",0,),"")</f>
        <v/>
      </c>
    </row>
    <row r="69" spans="11:13" x14ac:dyDescent="0.3">
      <c r="K69" s="16" t="str">
        <v>Zach LaVine</v>
      </c>
      <c r="L69" s="22">
        <f>SUMIFS(TBL_DATA[TSA],TBL_DATA[Player],K69,TBL_DATA[Player],"&lt;&gt;"&amp;$B$2)</f>
        <v>659.41274007982645</v>
      </c>
      <c r="M69" s="37" t="str">
        <f>IF(K69=$B$2,_xlfn.XLOOKUP(K69,TBL_DATA[Player],TBL_DATA[TSA],"",0,),"")</f>
        <v/>
      </c>
    </row>
  </sheetData>
  <mergeCells count="1">
    <mergeCell ref="B2:D2"/>
  </mergeCells>
  <dataValidations count="1">
    <dataValidation type="list" allowBlank="1" showInputMessage="1" showErrorMessage="1" sqref="B2:D2" xr:uid="{4174C362-1116-46B1-B9A4-6A8A8521853C}">
      <formula1>INDIRECT("TBL_DATA[Player]")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2014_nba_draft_combine</vt:lpstr>
      <vt:lpstr>TRENDS</vt:lpstr>
      <vt:lpstr>DES . STATS</vt:lpstr>
      <vt:lpstr>CORRELATION</vt:lpstr>
      <vt:lpstr>MAIN 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Mehra</dc:creator>
  <cp:lastModifiedBy>dev10065</cp:lastModifiedBy>
  <dcterms:created xsi:type="dcterms:W3CDTF">2024-07-18T09:50:38Z</dcterms:created>
  <dcterms:modified xsi:type="dcterms:W3CDTF">2024-07-24T10:26:08Z</dcterms:modified>
</cp:coreProperties>
</file>