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mia\Desktop\Code\Protokół Python\Pyizl\"/>
    </mc:Choice>
  </mc:AlternateContent>
  <xr:revisionPtr revIDLastSave="0" documentId="13_ncr:1_{AEBD6A98-0B7B-4F5C-889C-34F15013E7EF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Dane" sheetId="1" r:id="rId1"/>
    <sheet name="x,y" sheetId="2" r:id="rId2"/>
    <sheet name="Etykiety" sheetId="3" r:id="rId3"/>
    <sheet name="Luki" sheetId="4" r:id="rId4"/>
    <sheet name="Przekroj normalny" sheetId="5" r:id="rId5"/>
    <sheet name="Arkusz1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9" i="6" l="1"/>
  <c r="AH58" i="6"/>
  <c r="AH57" i="6"/>
  <c r="AH56" i="6"/>
  <c r="AH49" i="6"/>
  <c r="AH48" i="6"/>
  <c r="AH47" i="6"/>
  <c r="AH46" i="6"/>
  <c r="AJ39" i="6"/>
  <c r="AH39" i="6"/>
  <c r="AJ38" i="6"/>
  <c r="AH38" i="6"/>
  <c r="AH37" i="6"/>
  <c r="AJ36" i="6"/>
  <c r="AH36" i="6"/>
  <c r="AJ35" i="6"/>
  <c r="AH35" i="6"/>
  <c r="AJ34" i="6"/>
  <c r="AH34" i="6"/>
  <c r="AJ32" i="6"/>
  <c r="AH32" i="6"/>
  <c r="AS31" i="6"/>
  <c r="AL29" i="6"/>
  <c r="AJ29" i="6"/>
  <c r="AH29" i="6"/>
  <c r="AL28" i="6"/>
  <c r="AJ28" i="6"/>
  <c r="AH28" i="6"/>
  <c r="AS27" i="6"/>
  <c r="AL27" i="6"/>
  <c r="AJ27" i="6"/>
  <c r="AH27" i="6"/>
  <c r="AF27" i="6"/>
  <c r="AL26" i="6"/>
  <c r="AJ26" i="6"/>
  <c r="AH26" i="6"/>
  <c r="AF26" i="6"/>
  <c r="AL25" i="6"/>
  <c r="AJ25" i="6"/>
  <c r="AH25" i="6"/>
  <c r="AF25" i="6"/>
  <c r="AL24" i="6"/>
  <c r="AJ24" i="6"/>
  <c r="AH24" i="6"/>
  <c r="AS23" i="6"/>
  <c r="AJ23" i="6"/>
  <c r="AH23" i="6"/>
  <c r="AF23" i="6"/>
  <c r="AU22" i="6"/>
  <c r="AL22" i="6"/>
  <c r="AJ22" i="6"/>
  <c r="AH22" i="6"/>
  <c r="AF22" i="6"/>
  <c r="AF21" i="6"/>
  <c r="AU19" i="6"/>
  <c r="AS19" i="6"/>
  <c r="AL19" i="6"/>
  <c r="AF19" i="6"/>
  <c r="AL18" i="6"/>
  <c r="AF18" i="6"/>
  <c r="AL17" i="6"/>
  <c r="AF17" i="6"/>
  <c r="AL16" i="6"/>
  <c r="AU15" i="6"/>
  <c r="AS15" i="6"/>
  <c r="AL15" i="6"/>
  <c r="AF15" i="6"/>
  <c r="AL14" i="6"/>
  <c r="AF14" i="6"/>
  <c r="AW13" i="6"/>
  <c r="AL13" i="6"/>
  <c r="AF13" i="6"/>
  <c r="AL12" i="6"/>
  <c r="AU11" i="6"/>
  <c r="AS11" i="6"/>
  <c r="AL11" i="6"/>
  <c r="AJ11" i="6"/>
  <c r="AH11" i="6"/>
  <c r="AF11" i="6"/>
  <c r="AW10" i="6"/>
  <c r="AL10" i="6"/>
  <c r="AJ10" i="6"/>
  <c r="AH10" i="6"/>
  <c r="AF10" i="6"/>
  <c r="AL9" i="6"/>
  <c r="AJ9" i="6"/>
  <c r="AH9" i="6"/>
  <c r="AF9" i="6"/>
  <c r="A9" i="6"/>
  <c r="F3" i="6" s="1"/>
  <c r="AL8" i="6"/>
  <c r="AJ8" i="6"/>
  <c r="AH8" i="6"/>
  <c r="AU7" i="6"/>
  <c r="AS7" i="6"/>
  <c r="AL7" i="6"/>
  <c r="AJ7" i="6"/>
  <c r="AH7" i="6"/>
  <c r="A7" i="6"/>
  <c r="AW6" i="6"/>
  <c r="AL6" i="6"/>
  <c r="AJ6" i="6"/>
  <c r="AH6" i="6"/>
  <c r="AL5" i="6"/>
  <c r="AJ5" i="6"/>
  <c r="AH5" i="6"/>
  <c r="A5" i="6"/>
  <c r="AL4" i="6"/>
  <c r="AJ4" i="6"/>
  <c r="AH4" i="6"/>
  <c r="D4" i="6"/>
  <c r="G4" i="6" s="1"/>
  <c r="C4" i="6"/>
  <c r="F4" i="6" s="1"/>
  <c r="AW3" i="6"/>
  <c r="AU3" i="6"/>
  <c r="AS3" i="6"/>
  <c r="A3" i="6"/>
  <c r="Y4" i="6" s="1"/>
  <c r="W4" i="6" l="1"/>
  <c r="W9" i="6" s="1"/>
  <c r="AI32" i="6"/>
  <c r="AI35" i="6" s="1"/>
  <c r="U4" i="6"/>
  <c r="U5" i="6" s="1"/>
  <c r="U7" i="6" s="1"/>
  <c r="U8" i="6" s="1"/>
  <c r="AR11" i="6"/>
  <c r="AR12" i="6" s="1"/>
  <c r="AK4" i="6"/>
  <c r="Y9" i="6"/>
  <c r="AT22" i="6"/>
  <c r="AK12" i="6"/>
  <c r="Y10" i="6"/>
  <c r="Y5" i="6"/>
  <c r="AR31" i="6"/>
  <c r="AR27" i="6"/>
  <c r="AK16" i="6"/>
  <c r="AT11" i="6"/>
  <c r="AR23" i="6"/>
  <c r="AI8" i="6"/>
  <c r="AV10" i="6"/>
  <c r="AV13" i="6"/>
  <c r="AR19" i="6"/>
  <c r="AI26" i="6"/>
  <c r="AI36" i="6"/>
  <c r="AG4" i="6"/>
  <c r="AK8" i="6"/>
  <c r="AR15" i="6"/>
  <c r="AT19" i="6"/>
  <c r="AK22" i="6"/>
  <c r="AK26" i="6"/>
  <c r="AT3" i="6"/>
  <c r="AI34" i="6"/>
  <c r="AI4" i="6"/>
  <c r="AV6" i="6"/>
  <c r="G3" i="1"/>
  <c r="G4" i="1"/>
  <c r="G2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  <c r="B3" i="1"/>
  <c r="B6" i="1"/>
  <c r="B8" i="1"/>
  <c r="B9" i="1"/>
  <c r="B11" i="1"/>
  <c r="B14" i="1"/>
  <c r="B18" i="1"/>
  <c r="B19" i="1"/>
  <c r="B20" i="1"/>
  <c r="B21" i="1"/>
  <c r="B22" i="1"/>
  <c r="B23" i="1"/>
  <c r="B24" i="1"/>
  <c r="B25" i="1"/>
  <c r="B26" i="1"/>
  <c r="B27" i="1"/>
  <c r="B2" i="1"/>
  <c r="D1" i="1"/>
  <c r="V7" i="6" l="1"/>
  <c r="V8" i="6" s="1"/>
  <c r="V24" i="6" s="1"/>
  <c r="AG36" i="6"/>
  <c r="AG56" i="6"/>
  <c r="AT7" i="6"/>
  <c r="AR13" i="6"/>
  <c r="AG26" i="6"/>
  <c r="AG27" i="6" s="1"/>
  <c r="AR3" i="6"/>
  <c r="AR5" i="6" s="1"/>
  <c r="AG22" i="6"/>
  <c r="AG23" i="6" s="1"/>
  <c r="W5" i="6"/>
  <c r="AT15" i="6"/>
  <c r="AR7" i="6"/>
  <c r="AR8" i="6" s="1"/>
  <c r="AG8" i="6"/>
  <c r="AG9" i="6" s="1"/>
  <c r="AG32" i="6"/>
  <c r="AG34" i="6" s="1"/>
  <c r="AI22" i="6"/>
  <c r="AI23" i="6" s="1"/>
  <c r="AG46" i="6"/>
  <c r="AG49" i="6" s="1"/>
  <c r="AE23" i="6" s="1"/>
  <c r="W10" i="6"/>
  <c r="AR14" i="6"/>
  <c r="AT8" i="6"/>
  <c r="AV3" i="6"/>
  <c r="U9" i="6"/>
  <c r="U10" i="6"/>
  <c r="AR26" i="6"/>
  <c r="AR25" i="6"/>
  <c r="AR24" i="6"/>
  <c r="AG37" i="6"/>
  <c r="AE17" i="6" s="1"/>
  <c r="AD18" i="6" s="1"/>
  <c r="AG38" i="6"/>
  <c r="AG39" i="6"/>
  <c r="Z7" i="6"/>
  <c r="Y7" i="6"/>
  <c r="AG59" i="6"/>
  <c r="AE27" i="6" s="1"/>
  <c r="AG57" i="6"/>
  <c r="AE25" i="6" s="1"/>
  <c r="AD26" i="6" s="1"/>
  <c r="AG58" i="6"/>
  <c r="AE26" i="6" s="1"/>
  <c r="AI38" i="6"/>
  <c r="AI39" i="6"/>
  <c r="AG25" i="6"/>
  <c r="AK13" i="6"/>
  <c r="AK15" i="6"/>
  <c r="AK14" i="6"/>
  <c r="AI7" i="6"/>
  <c r="AI5" i="6"/>
  <c r="AI6" i="6"/>
  <c r="AT12" i="6"/>
  <c r="AT13" i="6"/>
  <c r="AT4" i="6"/>
  <c r="AT6" i="6"/>
  <c r="AT5" i="6"/>
  <c r="AK29" i="6"/>
  <c r="AK28" i="6"/>
  <c r="AR22" i="6"/>
  <c r="AR21" i="6"/>
  <c r="AR20" i="6"/>
  <c r="AK7" i="6"/>
  <c r="AK6" i="6"/>
  <c r="AK5" i="6"/>
  <c r="AG29" i="6"/>
  <c r="C7" i="6"/>
  <c r="AK25" i="6"/>
  <c r="AK24" i="6"/>
  <c r="AV14" i="6"/>
  <c r="AV15" i="6"/>
  <c r="AR33" i="6"/>
  <c r="AR32" i="6"/>
  <c r="AR34" i="6"/>
  <c r="AV12" i="6"/>
  <c r="AV11" i="6"/>
  <c r="AG6" i="6"/>
  <c r="AG7" i="6"/>
  <c r="AG5" i="6"/>
  <c r="AV9" i="6"/>
  <c r="AV7" i="6"/>
  <c r="AV8" i="6"/>
  <c r="AR30" i="6"/>
  <c r="AR29" i="6"/>
  <c r="AR28" i="6"/>
  <c r="AR18" i="6"/>
  <c r="AR16" i="6"/>
  <c r="AR17" i="6"/>
  <c r="AK18" i="6"/>
  <c r="AK17" i="6"/>
  <c r="AK19" i="6"/>
  <c r="AR6" i="6"/>
  <c r="AI28" i="6"/>
  <c r="AI27" i="6"/>
  <c r="AI29" i="6"/>
  <c r="AT23" i="6"/>
  <c r="AT24" i="6"/>
  <c r="AT20" i="6"/>
  <c r="AT21" i="6"/>
  <c r="AK9" i="6"/>
  <c r="AK11" i="6"/>
  <c r="AK10" i="6"/>
  <c r="AI11" i="6"/>
  <c r="AI10" i="6"/>
  <c r="AI9" i="6"/>
  <c r="F3" i="5"/>
  <c r="AE18" i="6" l="1"/>
  <c r="AG28" i="6"/>
  <c r="AG24" i="6"/>
  <c r="AT9" i="6"/>
  <c r="AT10" i="6"/>
  <c r="AR10" i="6"/>
  <c r="AG10" i="6"/>
  <c r="AI24" i="6"/>
  <c r="AT16" i="6"/>
  <c r="AT17" i="6"/>
  <c r="AT18" i="6"/>
  <c r="AG48" i="6"/>
  <c r="AE22" i="6" s="1"/>
  <c r="AI25" i="6"/>
  <c r="AE15" i="6" s="1"/>
  <c r="C8" i="6"/>
  <c r="AG35" i="6"/>
  <c r="AE19" i="6" s="1"/>
  <c r="AR4" i="6"/>
  <c r="AG47" i="6"/>
  <c r="AE21" i="6" s="1"/>
  <c r="AD22" i="6" s="1"/>
  <c r="S18" i="6" s="1"/>
  <c r="AG11" i="6"/>
  <c r="AR9" i="6"/>
  <c r="W7" i="6"/>
  <c r="W8" i="6" s="1"/>
  <c r="X7" i="6"/>
  <c r="X8" i="6" s="1"/>
  <c r="X24" i="6" s="1"/>
  <c r="C3" i="6"/>
  <c r="AV5" i="6"/>
  <c r="AV4" i="6"/>
  <c r="Y8" i="6"/>
  <c r="S16" i="6"/>
  <c r="AN14" i="6"/>
  <c r="AE9" i="6"/>
  <c r="AD10" i="6" s="1"/>
  <c r="AE11" i="6"/>
  <c r="Z8" i="6"/>
  <c r="AE13" i="6"/>
  <c r="AD14" i="6" s="1"/>
  <c r="AE10" i="6"/>
  <c r="S20" i="6"/>
  <c r="AN18" i="6"/>
  <c r="AP18" i="6" s="1"/>
  <c r="C28" i="6" s="1"/>
  <c r="AE14" i="6"/>
  <c r="AO10" i="6"/>
  <c r="N4" i="5"/>
  <c r="Y9" i="5"/>
  <c r="Y10" i="5"/>
  <c r="Y11" i="5"/>
  <c r="Y13" i="5"/>
  <c r="Y14" i="5"/>
  <c r="Y15" i="5"/>
  <c r="Y17" i="5"/>
  <c r="Y18" i="5"/>
  <c r="Y19" i="5"/>
  <c r="Y21" i="5"/>
  <c r="Y22" i="5"/>
  <c r="Y23" i="5"/>
  <c r="Y25" i="5"/>
  <c r="Y26" i="5"/>
  <c r="Y27" i="5"/>
  <c r="AL3" i="5"/>
  <c r="AL7" i="5"/>
  <c r="AL11" i="5"/>
  <c r="AL23" i="5"/>
  <c r="AP13" i="5"/>
  <c r="AP6" i="5"/>
  <c r="AP10" i="5"/>
  <c r="AP3" i="5"/>
  <c r="AN22" i="5"/>
  <c r="AN15" i="5"/>
  <c r="AN7" i="5"/>
  <c r="AN19" i="5"/>
  <c r="AN11" i="5"/>
  <c r="AN3" i="5"/>
  <c r="AL31" i="5"/>
  <c r="AL27" i="5"/>
  <c r="AL15" i="5"/>
  <c r="AL19" i="5"/>
  <c r="AA4" i="5"/>
  <c r="AC4" i="5"/>
  <c r="AA5" i="5"/>
  <c r="AC5" i="5"/>
  <c r="AA6" i="5"/>
  <c r="AC6" i="5"/>
  <c r="AA59" i="5"/>
  <c r="AA58" i="5"/>
  <c r="AA57" i="5"/>
  <c r="AA56" i="5"/>
  <c r="AA49" i="5"/>
  <c r="AA48" i="5"/>
  <c r="AA47" i="5"/>
  <c r="AA46" i="5"/>
  <c r="AC35" i="5"/>
  <c r="AC34" i="5"/>
  <c r="AA35" i="5"/>
  <c r="AA34" i="5"/>
  <c r="AA39" i="5"/>
  <c r="AA38" i="5"/>
  <c r="AC39" i="5"/>
  <c r="AC38" i="5"/>
  <c r="AE29" i="5"/>
  <c r="AE28" i="5"/>
  <c r="AC29" i="5"/>
  <c r="AC28" i="5"/>
  <c r="AA29" i="5"/>
  <c r="AA28" i="5"/>
  <c r="AA25" i="5"/>
  <c r="AA24" i="5"/>
  <c r="AC25" i="5"/>
  <c r="AC24" i="5"/>
  <c r="AE25" i="5"/>
  <c r="AE24" i="5"/>
  <c r="AE19" i="5"/>
  <c r="AE18" i="5"/>
  <c r="AE15" i="5"/>
  <c r="AE14" i="5"/>
  <c r="AE11" i="5"/>
  <c r="AE10" i="5"/>
  <c r="AC11" i="5"/>
  <c r="AC10" i="5"/>
  <c r="AA11" i="5"/>
  <c r="AA10" i="5"/>
  <c r="AE7" i="5"/>
  <c r="AE6" i="5"/>
  <c r="AC7" i="5"/>
  <c r="AA7" i="5"/>
  <c r="AA37" i="5"/>
  <c r="AC36" i="5"/>
  <c r="AA36" i="5"/>
  <c r="AC32" i="5"/>
  <c r="AA32" i="5"/>
  <c r="AE27" i="5"/>
  <c r="AC27" i="5"/>
  <c r="AA27" i="5"/>
  <c r="AE26" i="5"/>
  <c r="AC26" i="5"/>
  <c r="AA26" i="5"/>
  <c r="AC23" i="5"/>
  <c r="AA23" i="5"/>
  <c r="AE22" i="5"/>
  <c r="AC22" i="5"/>
  <c r="AA22" i="5"/>
  <c r="AA9" i="5"/>
  <c r="AA8" i="5"/>
  <c r="AE12" i="5"/>
  <c r="AE16" i="5"/>
  <c r="AE17" i="5"/>
  <c r="AE13" i="5"/>
  <c r="AE9" i="5"/>
  <c r="AC9" i="5"/>
  <c r="AE5" i="5"/>
  <c r="AE4" i="5"/>
  <c r="AE8" i="5"/>
  <c r="AC8" i="5"/>
  <c r="D4" i="5"/>
  <c r="G4" i="5" s="1"/>
  <c r="C4" i="5"/>
  <c r="F4" i="5" s="1"/>
  <c r="C5" i="6" l="1"/>
  <c r="D5" i="6"/>
  <c r="BE6" i="6" s="1"/>
  <c r="AN16" i="6"/>
  <c r="AP16" i="6" s="1"/>
  <c r="C27" i="6" s="1"/>
  <c r="W19" i="6"/>
  <c r="W18" i="6"/>
  <c r="V19" i="6"/>
  <c r="V18" i="6"/>
  <c r="U19" i="6"/>
  <c r="Z18" i="6"/>
  <c r="Y18" i="6"/>
  <c r="C16" i="6" s="1"/>
  <c r="N36" i="6" s="1"/>
  <c r="H28" i="6"/>
  <c r="X19" i="6"/>
  <c r="D27" i="6"/>
  <c r="X18" i="6"/>
  <c r="Z19" i="6"/>
  <c r="U18" i="6"/>
  <c r="Y19" i="6"/>
  <c r="U22" i="6"/>
  <c r="C20" i="6" s="1"/>
  <c r="W22" i="6"/>
  <c r="S12" i="6"/>
  <c r="AN10" i="6"/>
  <c r="AP10" i="6" s="1"/>
  <c r="C24" i="6" s="1"/>
  <c r="Y22" i="6"/>
  <c r="V20" i="6"/>
  <c r="U21" i="6"/>
  <c r="U20" i="6"/>
  <c r="D28" i="6"/>
  <c r="Z21" i="6"/>
  <c r="Z20" i="6"/>
  <c r="Y21" i="6"/>
  <c r="Y20" i="6"/>
  <c r="H30" i="6"/>
  <c r="X21" i="6"/>
  <c r="X20" i="6"/>
  <c r="V21" i="6"/>
  <c r="W21" i="6"/>
  <c r="W20" i="6"/>
  <c r="AO14" i="6"/>
  <c r="AP14" i="6"/>
  <c r="C26" i="6" s="1"/>
  <c r="D6" i="6"/>
  <c r="Z24" i="6"/>
  <c r="D22" i="6" s="1"/>
  <c r="X16" i="6"/>
  <c r="W16" i="6"/>
  <c r="Z17" i="6"/>
  <c r="V16" i="6"/>
  <c r="Y17" i="6"/>
  <c r="U16" i="6"/>
  <c r="H26" i="6"/>
  <c r="X17" i="6"/>
  <c r="W17" i="6"/>
  <c r="U17" i="6"/>
  <c r="Y16" i="6"/>
  <c r="V17" i="6"/>
  <c r="D26" i="6"/>
  <c r="Z16" i="6"/>
  <c r="F5" i="6"/>
  <c r="BD6" i="6"/>
  <c r="F6" i="6"/>
  <c r="J26" i="6" s="1"/>
  <c r="AN12" i="6"/>
  <c r="S14" i="6"/>
  <c r="C6" i="6"/>
  <c r="P4" i="5"/>
  <c r="P5" i="5" s="1"/>
  <c r="Q7" i="5" s="1"/>
  <c r="Q8" i="5" s="1"/>
  <c r="Q24" i="5" s="1"/>
  <c r="AO6" i="5"/>
  <c r="AK7" i="5"/>
  <c r="R4" i="5"/>
  <c r="AM22" i="5" s="1"/>
  <c r="G26" i="6" l="1"/>
  <c r="F26" i="6"/>
  <c r="F31" i="6"/>
  <c r="G30" i="6"/>
  <c r="F30" i="6"/>
  <c r="F28" i="6"/>
  <c r="G28" i="6"/>
  <c r="D16" i="6"/>
  <c r="P36" i="6" s="1"/>
  <c r="G29" i="6"/>
  <c r="F29" i="6"/>
  <c r="BH16" i="6"/>
  <c r="AO12" i="6"/>
  <c r="AP12" i="6" s="1"/>
  <c r="C25" i="6" s="1"/>
  <c r="F8" i="6"/>
  <c r="L26" i="6" s="1"/>
  <c r="L31" i="6" s="1"/>
  <c r="K31" i="6" s="1"/>
  <c r="G6" i="6"/>
  <c r="C15" i="6"/>
  <c r="D15" i="6"/>
  <c r="C18" i="6"/>
  <c r="N46" i="6" s="1"/>
  <c r="C19" i="6"/>
  <c r="C17" i="6"/>
  <c r="BF11" i="6"/>
  <c r="BE11" i="6" s="1"/>
  <c r="BF6" i="6"/>
  <c r="Z14" i="6"/>
  <c r="Y14" i="6"/>
  <c r="H24" i="6"/>
  <c r="X14" i="6"/>
  <c r="W14" i="6"/>
  <c r="V14" i="6"/>
  <c r="U14" i="6"/>
  <c r="D25" i="6"/>
  <c r="G27" i="6"/>
  <c r="F27" i="6"/>
  <c r="W12" i="6"/>
  <c r="D24" i="6"/>
  <c r="V12" i="6"/>
  <c r="H22" i="6"/>
  <c r="U12" i="6"/>
  <c r="Y12" i="6"/>
  <c r="X12" i="6"/>
  <c r="Z12" i="6"/>
  <c r="G5" i="6"/>
  <c r="G7" i="6" s="1"/>
  <c r="F7" i="6"/>
  <c r="G31" i="6"/>
  <c r="D18" i="6"/>
  <c r="P46" i="6" s="1"/>
  <c r="D14" i="6"/>
  <c r="P26" i="6" s="1"/>
  <c r="C14" i="6"/>
  <c r="N26" i="6" s="1"/>
  <c r="BG11" i="6"/>
  <c r="BG6" i="6"/>
  <c r="D19" i="6"/>
  <c r="D17" i="6"/>
  <c r="AO13" i="5"/>
  <c r="AO14" i="5" s="1"/>
  <c r="AB32" i="5"/>
  <c r="AB35" i="5" s="1"/>
  <c r="AK15" i="5"/>
  <c r="AK17" i="5" s="1"/>
  <c r="AB36" i="5"/>
  <c r="AB38" i="5" s="1"/>
  <c r="P10" i="5"/>
  <c r="AM11" i="5"/>
  <c r="AM12" i="5" s="1"/>
  <c r="AB26" i="5"/>
  <c r="AB27" i="5" s="1"/>
  <c r="AM15" i="5"/>
  <c r="AM18" i="5" s="1"/>
  <c r="P7" i="5"/>
  <c r="P8" i="5" s="1"/>
  <c r="AB8" i="5"/>
  <c r="AB11" i="5" s="1"/>
  <c r="AB22" i="5"/>
  <c r="AB23" i="5" s="1"/>
  <c r="P9" i="5"/>
  <c r="AK11" i="5"/>
  <c r="AK12" i="5" s="1"/>
  <c r="AB4" i="5"/>
  <c r="AB6" i="5" s="1"/>
  <c r="AO10" i="5"/>
  <c r="AO12" i="5" s="1"/>
  <c r="Z22" i="5"/>
  <c r="AK3" i="5"/>
  <c r="Z4" i="5"/>
  <c r="Z5" i="5" s="1"/>
  <c r="AM7" i="5"/>
  <c r="AM10" i="5" s="1"/>
  <c r="AO3" i="5"/>
  <c r="AO4" i="5" s="1"/>
  <c r="N10" i="5"/>
  <c r="AD22" i="5"/>
  <c r="AD25" i="5" s="1"/>
  <c r="Z46" i="5"/>
  <c r="Z49" i="5" s="1"/>
  <c r="X23" i="5" s="1"/>
  <c r="Z32" i="5"/>
  <c r="AK19" i="5"/>
  <c r="AK20" i="5" s="1"/>
  <c r="Z26" i="5"/>
  <c r="Z28" i="5" s="1"/>
  <c r="AD12" i="5"/>
  <c r="AD13" i="5" s="1"/>
  <c r="AD26" i="5"/>
  <c r="AD29" i="5" s="1"/>
  <c r="AK10" i="5"/>
  <c r="AK23" i="5"/>
  <c r="AK25" i="5" s="1"/>
  <c r="Z56" i="5"/>
  <c r="Z58" i="5" s="1"/>
  <c r="X26" i="5" s="1"/>
  <c r="AD8" i="5"/>
  <c r="AD10" i="5" s="1"/>
  <c r="AM23" i="5"/>
  <c r="AM24" i="5"/>
  <c r="AO7" i="5"/>
  <c r="AO9" i="5"/>
  <c r="AD16" i="5"/>
  <c r="AK27" i="5"/>
  <c r="AD4" i="5"/>
  <c r="AK31" i="5"/>
  <c r="Z8" i="5"/>
  <c r="Z10" i="5" s="1"/>
  <c r="AM3" i="5"/>
  <c r="AO8" i="5"/>
  <c r="AM19" i="5"/>
  <c r="Z36" i="5"/>
  <c r="Z37" i="5" s="1"/>
  <c r="X17" i="5" s="1"/>
  <c r="R9" i="5"/>
  <c r="N9" i="5"/>
  <c r="R10" i="5"/>
  <c r="N5" i="5"/>
  <c r="R5" i="5"/>
  <c r="AB5" i="5" l="1"/>
  <c r="BJ16" i="6"/>
  <c r="F24" i="6"/>
  <c r="J46" i="6" s="1"/>
  <c r="G24" i="6"/>
  <c r="L46" i="6" s="1"/>
  <c r="F22" i="6"/>
  <c r="J36" i="6" s="1"/>
  <c r="G22" i="6"/>
  <c r="L36" i="6" s="1"/>
  <c r="K26" i="6"/>
  <c r="G8" i="6"/>
  <c r="M26" i="6" s="1"/>
  <c r="C12" i="6"/>
  <c r="BD26" i="6" s="1"/>
  <c r="D12" i="6"/>
  <c r="BF26" i="6" s="1"/>
  <c r="AK14" i="5"/>
  <c r="AK16" i="5"/>
  <c r="AO15" i="5"/>
  <c r="AK18" i="5"/>
  <c r="AB7" i="5"/>
  <c r="BE7" i="6"/>
  <c r="BI27" i="6" s="1"/>
  <c r="BJ31" i="6" s="1"/>
  <c r="AB34" i="5"/>
  <c r="BH6" i="6"/>
  <c r="BE12" i="6"/>
  <c r="BG12" i="6" s="1"/>
  <c r="D10" i="6"/>
  <c r="BF16" i="6" s="1"/>
  <c r="BE27" i="6"/>
  <c r="BF31" i="6" s="1"/>
  <c r="BI17" i="6"/>
  <c r="BJ21" i="6" s="1"/>
  <c r="BI7" i="6"/>
  <c r="BJ11" i="6" s="1"/>
  <c r="C10" i="6"/>
  <c r="BD16" i="6" s="1"/>
  <c r="BH26" i="6"/>
  <c r="BJ6" i="6"/>
  <c r="BJ26" i="6"/>
  <c r="AK13" i="5"/>
  <c r="AO11" i="5"/>
  <c r="AM16" i="5"/>
  <c r="AB28" i="5"/>
  <c r="AB39" i="5"/>
  <c r="AM17" i="5"/>
  <c r="AB29" i="5"/>
  <c r="AM13" i="5"/>
  <c r="AB24" i="5"/>
  <c r="AB25" i="5"/>
  <c r="AB9" i="5"/>
  <c r="AB10" i="5"/>
  <c r="S7" i="5"/>
  <c r="S8" i="5" s="1"/>
  <c r="S24" i="5" s="1"/>
  <c r="R7" i="5"/>
  <c r="R8" i="5" s="1"/>
  <c r="O7" i="5"/>
  <c r="O8" i="5" s="1"/>
  <c r="O24" i="5" s="1"/>
  <c r="N7" i="5"/>
  <c r="N8" i="5" s="1"/>
  <c r="AM8" i="5"/>
  <c r="Z6" i="5"/>
  <c r="AM9" i="5"/>
  <c r="AO5" i="5"/>
  <c r="C8" i="5"/>
  <c r="AK21" i="5"/>
  <c r="AK22" i="5"/>
  <c r="AK4" i="5"/>
  <c r="AK5" i="5"/>
  <c r="AK6" i="5"/>
  <c r="AK24" i="5"/>
  <c r="AK8" i="5"/>
  <c r="AK26" i="5"/>
  <c r="AK9" i="5"/>
  <c r="AK29" i="5"/>
  <c r="AK30" i="5"/>
  <c r="AK28" i="5"/>
  <c r="AK32" i="5"/>
  <c r="AK33" i="5"/>
  <c r="AK34" i="5"/>
  <c r="AM20" i="5"/>
  <c r="AM21" i="5"/>
  <c r="AM5" i="5"/>
  <c r="AM4" i="5"/>
  <c r="AM6" i="5"/>
  <c r="Z47" i="5"/>
  <c r="X21" i="5" s="1"/>
  <c r="Z48" i="5"/>
  <c r="X22" i="5" s="1"/>
  <c r="C7" i="5"/>
  <c r="AD24" i="5"/>
  <c r="AD9" i="5"/>
  <c r="Z27" i="5"/>
  <c r="Z57" i="5"/>
  <c r="X25" i="5" s="1"/>
  <c r="Z59" i="5"/>
  <c r="X27" i="5" s="1"/>
  <c r="AD11" i="5"/>
  <c r="Z7" i="5"/>
  <c r="AD28" i="5"/>
  <c r="Z29" i="5"/>
  <c r="Z9" i="5"/>
  <c r="AD14" i="5"/>
  <c r="Z11" i="5"/>
  <c r="C3" i="5"/>
  <c r="AD15" i="5"/>
  <c r="Z38" i="5"/>
  <c r="Z39" i="5"/>
  <c r="Z35" i="5"/>
  <c r="Z34" i="5"/>
  <c r="AD7" i="5"/>
  <c r="AD6" i="5"/>
  <c r="AD5" i="5"/>
  <c r="Z25" i="5"/>
  <c r="Z24" i="5"/>
  <c r="Z23" i="5"/>
  <c r="AD19" i="5"/>
  <c r="AD18" i="5"/>
  <c r="AD17" i="5"/>
  <c r="BG7" i="6" l="1"/>
  <c r="BK27" i="6"/>
  <c r="BK31" i="6" s="1"/>
  <c r="BE17" i="6"/>
  <c r="BF21" i="6" s="1"/>
  <c r="G33" i="6"/>
  <c r="M31" i="6"/>
  <c r="K32" i="6"/>
  <c r="BG27" i="6"/>
  <c r="BG31" i="6" s="1"/>
  <c r="BE31" i="6"/>
  <c r="BI31" i="6"/>
  <c r="BI32" i="6" s="1"/>
  <c r="BI21" i="6"/>
  <c r="BI22" i="6" s="1"/>
  <c r="BI11" i="6"/>
  <c r="BI12" i="6" s="1"/>
  <c r="BE21" i="6"/>
  <c r="BK17" i="6"/>
  <c r="BK21" i="6" s="1"/>
  <c r="BK7" i="6"/>
  <c r="BK11" i="6" s="1"/>
  <c r="BG17" i="6"/>
  <c r="BG21" i="6" s="1"/>
  <c r="BH11" i="6"/>
  <c r="BH31" i="6"/>
  <c r="BH21" i="6"/>
  <c r="BD31" i="6"/>
  <c r="BD21" i="6"/>
  <c r="K27" i="6"/>
  <c r="X13" i="5"/>
  <c r="W14" i="5" s="1"/>
  <c r="AH10" i="5"/>
  <c r="W26" i="5"/>
  <c r="AG18" i="5" s="1"/>
  <c r="AI18" i="5" s="1"/>
  <c r="C28" i="5" s="1"/>
  <c r="W22" i="5"/>
  <c r="AG16" i="5" s="1"/>
  <c r="AI16" i="5" s="1"/>
  <c r="C27" i="5" s="1"/>
  <c r="X19" i="5"/>
  <c r="D6" i="5"/>
  <c r="AV6" i="5" s="1"/>
  <c r="D22" i="5"/>
  <c r="C6" i="5"/>
  <c r="AU6" i="5" s="1"/>
  <c r="D5" i="5"/>
  <c r="AT6" i="5" s="1"/>
  <c r="X14" i="5"/>
  <c r="X15" i="5"/>
  <c r="C5" i="5"/>
  <c r="AS6" i="5" s="1"/>
  <c r="X18" i="5"/>
  <c r="X11" i="5"/>
  <c r="X10" i="5"/>
  <c r="X9" i="5"/>
  <c r="W18" i="5" l="1"/>
  <c r="AG14" i="5" s="1"/>
  <c r="AH14" i="5" s="1"/>
  <c r="AI14" i="5" s="1"/>
  <c r="C26" i="5" s="1"/>
  <c r="BE32" i="6"/>
  <c r="U15" i="6" s="1"/>
  <c r="BK22" i="6"/>
  <c r="BK12" i="6"/>
  <c r="O27" i="6"/>
  <c r="O47" i="6"/>
  <c r="K47" i="6"/>
  <c r="O37" i="6"/>
  <c r="K37" i="6"/>
  <c r="BK32" i="6"/>
  <c r="J41" i="6"/>
  <c r="N31" i="6"/>
  <c r="N51" i="6"/>
  <c r="J51" i="6"/>
  <c r="N41" i="6"/>
  <c r="M27" i="6"/>
  <c r="BG32" i="6"/>
  <c r="M32" i="6"/>
  <c r="BE22" i="6"/>
  <c r="BG22" i="6" s="1"/>
  <c r="AU11" i="5"/>
  <c r="AT11" i="5" s="1"/>
  <c r="AT7" i="5"/>
  <c r="F6" i="5"/>
  <c r="AS68" i="5" s="1"/>
  <c r="F5" i="5"/>
  <c r="AS37" i="5" s="1"/>
  <c r="L18" i="5"/>
  <c r="L14" i="5"/>
  <c r="AG12" i="5"/>
  <c r="L20" i="5"/>
  <c r="AV11" i="5"/>
  <c r="W10" i="5"/>
  <c r="L12" i="5" s="1"/>
  <c r="A1" i="3"/>
  <c r="W15" i="6" l="1"/>
  <c r="L16" i="5"/>
  <c r="Y15" i="6"/>
  <c r="H12" i="5"/>
  <c r="H24" i="5"/>
  <c r="H10" i="5"/>
  <c r="F10" i="5" s="1"/>
  <c r="AS47" i="5" s="1"/>
  <c r="H22" i="5"/>
  <c r="H18" i="5"/>
  <c r="G18" i="5" s="1"/>
  <c r="H30" i="5"/>
  <c r="H16" i="5"/>
  <c r="G16" i="5" s="1"/>
  <c r="H28" i="5"/>
  <c r="F12" i="5"/>
  <c r="AS57" i="5" s="1"/>
  <c r="P41" i="6"/>
  <c r="Q37" i="6"/>
  <c r="Q41" i="6" s="1"/>
  <c r="V13" i="6"/>
  <c r="Z13" i="6"/>
  <c r="X13" i="6"/>
  <c r="L51" i="6"/>
  <c r="M47" i="6"/>
  <c r="M51" i="6" s="1"/>
  <c r="L41" i="6"/>
  <c r="M37" i="6"/>
  <c r="M41" i="6" s="1"/>
  <c r="P51" i="6"/>
  <c r="Q47" i="6"/>
  <c r="Q51" i="6" s="1"/>
  <c r="U13" i="6"/>
  <c r="U23" i="6" s="1"/>
  <c r="W13" i="6"/>
  <c r="W23" i="6" s="1"/>
  <c r="Y13" i="6"/>
  <c r="P31" i="6"/>
  <c r="Q27" i="6"/>
  <c r="Q31" i="6" s="1"/>
  <c r="C13" i="6"/>
  <c r="K41" i="6"/>
  <c r="O31" i="6"/>
  <c r="O51" i="6"/>
  <c r="K51" i="6"/>
  <c r="O41" i="6"/>
  <c r="V15" i="6"/>
  <c r="Z15" i="6"/>
  <c r="X15" i="6"/>
  <c r="AT17" i="5"/>
  <c r="AU21" i="5" s="1"/>
  <c r="O16" i="5"/>
  <c r="S16" i="5"/>
  <c r="F7" i="5"/>
  <c r="AU37" i="5" s="1"/>
  <c r="AU42" i="5" s="1"/>
  <c r="AT42" i="5" s="1"/>
  <c r="G5" i="5"/>
  <c r="F8" i="5"/>
  <c r="AU68" i="5" s="1"/>
  <c r="AU73" i="5" s="1"/>
  <c r="AT73" i="5" s="1"/>
  <c r="G6" i="5"/>
  <c r="O18" i="5"/>
  <c r="N18" i="5"/>
  <c r="S18" i="5"/>
  <c r="R18" i="5"/>
  <c r="S12" i="5"/>
  <c r="R12" i="5"/>
  <c r="O12" i="5"/>
  <c r="N12" i="5"/>
  <c r="S20" i="5"/>
  <c r="R20" i="5"/>
  <c r="O20" i="5"/>
  <c r="N20" i="5"/>
  <c r="S14" i="5"/>
  <c r="N14" i="5"/>
  <c r="R14" i="5"/>
  <c r="O14" i="5"/>
  <c r="AV7" i="5"/>
  <c r="Q16" i="5"/>
  <c r="D28" i="5"/>
  <c r="D25" i="5"/>
  <c r="D24" i="5"/>
  <c r="D27" i="5"/>
  <c r="P12" i="5"/>
  <c r="Q12" i="5"/>
  <c r="AH12" i="5"/>
  <c r="AI12" i="5" s="1"/>
  <c r="C25" i="5" s="1"/>
  <c r="P14" i="5"/>
  <c r="AG10" i="5"/>
  <c r="AI10" i="5" s="1"/>
  <c r="C24" i="5" s="1"/>
  <c r="Q20" i="5"/>
  <c r="P20" i="5"/>
  <c r="Q18" i="5"/>
  <c r="P18" i="5"/>
  <c r="R22" i="5"/>
  <c r="P22" i="5"/>
  <c r="N22" i="5"/>
  <c r="C20" i="5" s="1"/>
  <c r="AX27" i="5"/>
  <c r="AT27" i="5"/>
  <c r="AU31" i="5" s="1"/>
  <c r="AX17" i="5"/>
  <c r="AX7" i="5"/>
  <c r="F3" i="4"/>
  <c r="F5" i="4"/>
  <c r="F6" i="4"/>
  <c r="F8" i="4"/>
  <c r="F9" i="4"/>
  <c r="F11" i="4"/>
  <c r="F12" i="4"/>
  <c r="F14" i="4"/>
  <c r="F16" i="4"/>
  <c r="F18" i="4"/>
  <c r="F19" i="4"/>
  <c r="F20" i="4"/>
  <c r="F21" i="4"/>
  <c r="F22" i="4"/>
  <c r="F23" i="4"/>
  <c r="F24" i="4"/>
  <c r="F25" i="4"/>
  <c r="F26" i="4"/>
  <c r="F27" i="4"/>
  <c r="F2" i="4"/>
  <c r="C13" i="3"/>
  <c r="C14" i="3"/>
  <c r="C24" i="3"/>
  <c r="C25" i="3"/>
  <c r="B2" i="3"/>
  <c r="C2" i="3"/>
  <c r="B3" i="3"/>
  <c r="C3" i="3"/>
  <c r="C4" i="3"/>
  <c r="C5" i="3"/>
  <c r="B6" i="3"/>
  <c r="C6" i="3"/>
  <c r="C7" i="3"/>
  <c r="B8" i="3"/>
  <c r="C8" i="3"/>
  <c r="B9" i="3"/>
  <c r="C9" i="3"/>
  <c r="C10" i="3"/>
  <c r="B11" i="3"/>
  <c r="C11" i="3"/>
  <c r="B14" i="3"/>
  <c r="C15" i="3"/>
  <c r="C16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B25" i="3"/>
  <c r="B26" i="3"/>
  <c r="B27" i="3"/>
  <c r="C27" i="3"/>
  <c r="B1" i="1"/>
  <c r="C1" i="1"/>
  <c r="A1" i="1"/>
  <c r="H14" i="5" l="1"/>
  <c r="F14" i="5" s="1"/>
  <c r="N16" i="5"/>
  <c r="P16" i="5"/>
  <c r="H26" i="5"/>
  <c r="F26" i="5" s="1"/>
  <c r="R16" i="5"/>
  <c r="C14" i="5" s="1"/>
  <c r="AW6" i="5" s="1"/>
  <c r="D26" i="5"/>
  <c r="C11" i="6"/>
  <c r="G14" i="5"/>
  <c r="F19" i="5"/>
  <c r="F18" i="5"/>
  <c r="G19" i="5"/>
  <c r="G29" i="5"/>
  <c r="G28" i="5"/>
  <c r="F28" i="5"/>
  <c r="F29" i="5"/>
  <c r="F30" i="5"/>
  <c r="G31" i="5"/>
  <c r="G30" i="5"/>
  <c r="F31" i="5"/>
  <c r="G8" i="5"/>
  <c r="AT68" i="5"/>
  <c r="G22" i="5"/>
  <c r="AU78" i="5" s="1"/>
  <c r="F22" i="5"/>
  <c r="AS78" i="5" s="1"/>
  <c r="F16" i="5"/>
  <c r="G10" i="5"/>
  <c r="AU47" i="5" s="1"/>
  <c r="G7" i="5"/>
  <c r="AT37" i="5"/>
  <c r="F17" i="5"/>
  <c r="F24" i="5"/>
  <c r="AS88" i="5" s="1"/>
  <c r="G24" i="5"/>
  <c r="AU88" i="5" s="1"/>
  <c r="G17" i="5"/>
  <c r="G12" i="5"/>
  <c r="AU57" i="5" s="1"/>
  <c r="V23" i="6"/>
  <c r="V11" i="6" s="1"/>
  <c r="Y23" i="6"/>
  <c r="C21" i="6" s="1"/>
  <c r="K52" i="6"/>
  <c r="F25" i="6" s="1"/>
  <c r="O42" i="6"/>
  <c r="Q42" i="6" s="1"/>
  <c r="O32" i="6"/>
  <c r="Q32" i="6" s="1"/>
  <c r="K42" i="6"/>
  <c r="F23" i="6" s="1"/>
  <c r="W24" i="6"/>
  <c r="O52" i="6"/>
  <c r="Q52" i="6" s="1"/>
  <c r="U24" i="6"/>
  <c r="X23" i="6"/>
  <c r="X11" i="6" s="1"/>
  <c r="D11" i="6"/>
  <c r="D13" i="6"/>
  <c r="Z23" i="6"/>
  <c r="D14" i="5"/>
  <c r="C12" i="5"/>
  <c r="AS26" i="5" s="1"/>
  <c r="D16" i="5"/>
  <c r="D18" i="5"/>
  <c r="C16" i="5"/>
  <c r="C18" i="5"/>
  <c r="Q14" i="5"/>
  <c r="AY31" i="5"/>
  <c r="AY21" i="5"/>
  <c r="AY11" i="5"/>
  <c r="E24" i="4"/>
  <c r="E12" i="4"/>
  <c r="E26" i="4"/>
  <c r="E25" i="4"/>
  <c r="E23" i="4"/>
  <c r="E11" i="4"/>
  <c r="E22" i="4"/>
  <c r="E10" i="4"/>
  <c r="E21" i="4"/>
  <c r="E9" i="4"/>
  <c r="E20" i="4"/>
  <c r="E8" i="4"/>
  <c r="E19" i="4"/>
  <c r="E7" i="4"/>
  <c r="E18" i="4"/>
  <c r="E6" i="4"/>
  <c r="E17" i="4"/>
  <c r="E5" i="4"/>
  <c r="E16" i="4"/>
  <c r="E4" i="4"/>
  <c r="E27" i="4"/>
  <c r="E15" i="4"/>
  <c r="E3" i="4"/>
  <c r="E2" i="4"/>
  <c r="E14" i="4"/>
  <c r="E13" i="4"/>
  <c r="B24" i="2"/>
  <c r="A24" i="3" s="1"/>
  <c r="B3" i="2"/>
  <c r="A3" i="3" s="1"/>
  <c r="B11" i="2"/>
  <c r="A11" i="3" s="1"/>
  <c r="B23" i="2"/>
  <c r="A23" i="3" s="1"/>
  <c r="B6" i="2"/>
  <c r="A6" i="3" s="1"/>
  <c r="B2" i="2"/>
  <c r="A2" i="3" s="1"/>
  <c r="B19" i="2"/>
  <c r="A19" i="3" s="1"/>
  <c r="B20" i="2"/>
  <c r="A20" i="3" s="1"/>
  <c r="B14" i="2"/>
  <c r="A14" i="3" s="1"/>
  <c r="B27" i="2"/>
  <c r="A27" i="3" s="1"/>
  <c r="B18" i="2"/>
  <c r="A18" i="3" s="1"/>
  <c r="B9" i="2"/>
  <c r="A9" i="3" s="1"/>
  <c r="B22" i="2"/>
  <c r="A22" i="3" s="1"/>
  <c r="B21" i="2"/>
  <c r="A21" i="3" s="1"/>
  <c r="B8" i="2"/>
  <c r="A8" i="3" s="1"/>
  <c r="B26" i="2"/>
  <c r="A26" i="3" s="1"/>
  <c r="B25" i="2"/>
  <c r="A25" i="3" s="1"/>
  <c r="C12" i="3"/>
  <c r="C26" i="3"/>
  <c r="AW68" i="5" l="1"/>
  <c r="AW37" i="5"/>
  <c r="G26" i="5"/>
  <c r="U11" i="6"/>
  <c r="AV68" i="5"/>
  <c r="AV73" i="5" s="1"/>
  <c r="AT74" i="5" s="1"/>
  <c r="G33" i="5"/>
  <c r="AW26" i="5"/>
  <c r="AW57" i="5"/>
  <c r="AW88" i="5"/>
  <c r="AW16" i="5"/>
  <c r="AW78" i="5"/>
  <c r="AW47" i="5"/>
  <c r="AY16" i="5"/>
  <c r="AY47" i="5"/>
  <c r="AY78" i="5"/>
  <c r="G21" i="5"/>
  <c r="AV37" i="5"/>
  <c r="AV42" i="5" s="1"/>
  <c r="AT43" i="5" s="1"/>
  <c r="AY26" i="5"/>
  <c r="AY88" i="5"/>
  <c r="AY57" i="5"/>
  <c r="AY6" i="5"/>
  <c r="AZ7" i="5" s="1"/>
  <c r="AZ11" i="5" s="1"/>
  <c r="AY37" i="5"/>
  <c r="AY68" i="5"/>
  <c r="AT69" i="5"/>
  <c r="Y24" i="6"/>
  <c r="C22" i="6" s="1"/>
  <c r="Y11" i="6"/>
  <c r="F32" i="6"/>
  <c r="F33" i="6" s="1"/>
  <c r="M52" i="6"/>
  <c r="G25" i="6" s="1"/>
  <c r="M42" i="6"/>
  <c r="G23" i="6" s="1"/>
  <c r="Z11" i="6"/>
  <c r="D9" i="6" s="1"/>
  <c r="D21" i="6"/>
  <c r="W11" i="6"/>
  <c r="D12" i="5"/>
  <c r="AU26" i="5" s="1"/>
  <c r="AV27" i="5" s="1"/>
  <c r="AV31" i="5" s="1"/>
  <c r="C10" i="5"/>
  <c r="AS16" i="5" s="1"/>
  <c r="D10" i="5"/>
  <c r="AU16" i="5" s="1"/>
  <c r="AZ17" i="5" l="1"/>
  <c r="AZ21" i="5" s="1"/>
  <c r="C9" i="6"/>
  <c r="AZ27" i="5"/>
  <c r="AZ31" i="5" s="1"/>
  <c r="G32" i="6"/>
  <c r="AV43" i="5"/>
  <c r="AS52" i="5"/>
  <c r="AW62" i="5"/>
  <c r="AW42" i="5"/>
  <c r="AW52" i="5"/>
  <c r="AS62" i="5"/>
  <c r="AT38" i="5"/>
  <c r="AT79" i="5"/>
  <c r="AX69" i="5"/>
  <c r="AY73" i="5" s="1"/>
  <c r="AX89" i="5"/>
  <c r="AY93" i="5" s="1"/>
  <c r="AT89" i="5"/>
  <c r="AX79" i="5"/>
  <c r="AY83" i="5" s="1"/>
  <c r="AV17" i="5"/>
  <c r="AV69" i="5"/>
  <c r="AW93" i="5"/>
  <c r="AW73" i="5"/>
  <c r="AS93" i="5"/>
  <c r="AS83" i="5"/>
  <c r="AW83" i="5"/>
  <c r="AV74" i="5"/>
  <c r="A23" i="2"/>
  <c r="A20" i="2"/>
  <c r="A22" i="2"/>
  <c r="A19" i="2"/>
  <c r="A27" i="2"/>
  <c r="A18" i="2"/>
  <c r="A25" i="2"/>
  <c r="A24" i="2"/>
  <c r="A21" i="2"/>
  <c r="A26" i="2"/>
  <c r="A6" i="2"/>
  <c r="A17" i="2"/>
  <c r="A8" i="2"/>
  <c r="A13" i="2"/>
  <c r="A9" i="2"/>
  <c r="A3" i="2"/>
  <c r="A15" i="2"/>
  <c r="A5" i="2"/>
  <c r="A2" i="2"/>
  <c r="A16" i="2"/>
  <c r="A7" i="2"/>
  <c r="A10" i="2"/>
  <c r="A11" i="2"/>
  <c r="A14" i="2"/>
  <c r="A4" i="2"/>
  <c r="A12" i="2"/>
  <c r="F3" i="1"/>
  <c r="AZ89" i="5" l="1"/>
  <c r="AZ93" i="5" s="1"/>
  <c r="AZ69" i="5"/>
  <c r="AZ73" i="5" s="1"/>
  <c r="AZ79" i="5"/>
  <c r="AZ83" i="5" s="1"/>
  <c r="AT62" i="5"/>
  <c r="AT52" i="5"/>
  <c r="AX62" i="5"/>
  <c r="AX52" i="5"/>
  <c r="AX42" i="5"/>
  <c r="AX58" i="5"/>
  <c r="AT48" i="5"/>
  <c r="AX38" i="5"/>
  <c r="AT58" i="5"/>
  <c r="AX48" i="5"/>
  <c r="AV38" i="5"/>
  <c r="AU93" i="5"/>
  <c r="AV89" i="5"/>
  <c r="AV93" i="5" s="1"/>
  <c r="AX73" i="5"/>
  <c r="AX74" i="5" s="1"/>
  <c r="AT93" i="5"/>
  <c r="AT94" i="5" s="1"/>
  <c r="F25" i="5" s="1"/>
  <c r="AT83" i="5"/>
  <c r="AX93" i="5"/>
  <c r="AX94" i="5" s="1"/>
  <c r="AZ94" i="5" s="1"/>
  <c r="AX83" i="5"/>
  <c r="AU83" i="5"/>
  <c r="AV79" i="5"/>
  <c r="AV83" i="5" s="1"/>
  <c r="AT12" i="5"/>
  <c r="AZ74" i="5" l="1"/>
  <c r="G27" i="5" s="1"/>
  <c r="F27" i="5"/>
  <c r="AT84" i="5"/>
  <c r="F23" i="5" s="1"/>
  <c r="F32" i="5" s="1"/>
  <c r="F33" i="5" s="1"/>
  <c r="AY62" i="5"/>
  <c r="AZ58" i="5"/>
  <c r="AZ62" i="5" s="1"/>
  <c r="AX63" i="5" s="1"/>
  <c r="AZ63" i="5" s="1"/>
  <c r="AV84" i="5"/>
  <c r="G23" i="5" s="1"/>
  <c r="AY52" i="5"/>
  <c r="AZ48" i="5"/>
  <c r="AZ52" i="5" s="1"/>
  <c r="AU62" i="5"/>
  <c r="AV58" i="5"/>
  <c r="AV62" i="5" s="1"/>
  <c r="AT63" i="5" s="1"/>
  <c r="AY42" i="5"/>
  <c r="AZ38" i="5"/>
  <c r="AZ42" i="5" s="1"/>
  <c r="AV94" i="5"/>
  <c r="G25" i="5" s="1"/>
  <c r="AX84" i="5"/>
  <c r="AZ84" i="5" s="1"/>
  <c r="AU52" i="5"/>
  <c r="AV48" i="5"/>
  <c r="AV52" i="5" s="1"/>
  <c r="AT53" i="5" s="1"/>
  <c r="AV12" i="5"/>
  <c r="AW31" i="5"/>
  <c r="AS21" i="5"/>
  <c r="AS31" i="5"/>
  <c r="AW11" i="5"/>
  <c r="AW21" i="5"/>
  <c r="AX43" i="5" l="1"/>
  <c r="AZ43" i="5" s="1"/>
  <c r="G15" i="5" s="1"/>
  <c r="F15" i="5"/>
  <c r="AX53" i="5"/>
  <c r="AZ53" i="5" s="1"/>
  <c r="F13" i="5"/>
  <c r="AV63" i="5"/>
  <c r="G13" i="5" s="1"/>
  <c r="F11" i="5"/>
  <c r="AV53" i="5"/>
  <c r="G11" i="5" s="1"/>
  <c r="G32" i="5"/>
  <c r="AX31" i="5"/>
  <c r="AX32" i="5" s="1"/>
  <c r="AX21" i="5"/>
  <c r="AX22" i="5" s="1"/>
  <c r="AT31" i="5"/>
  <c r="AT32" i="5" s="1"/>
  <c r="AX11" i="5"/>
  <c r="AX12" i="5" s="1"/>
  <c r="AT21" i="5"/>
  <c r="G20" i="5" l="1"/>
  <c r="G9" i="5" s="1"/>
  <c r="F20" i="5"/>
  <c r="P15" i="5"/>
  <c r="N17" i="5"/>
  <c r="R17" i="5"/>
  <c r="R19" i="5"/>
  <c r="N19" i="5"/>
  <c r="R21" i="5"/>
  <c r="N21" i="5"/>
  <c r="R15" i="5"/>
  <c r="N15" i="5"/>
  <c r="AZ12" i="5"/>
  <c r="P17" i="5"/>
  <c r="AZ22" i="5"/>
  <c r="P19" i="5"/>
  <c r="AZ32" i="5"/>
  <c r="P21" i="5"/>
  <c r="AV32" i="5"/>
  <c r="F21" i="5" l="1"/>
  <c r="F9" i="5"/>
  <c r="O19" i="5"/>
  <c r="S19" i="5"/>
  <c r="O17" i="5"/>
  <c r="S17" i="5"/>
  <c r="S21" i="5"/>
  <c r="O21" i="5"/>
  <c r="Q15" i="5"/>
  <c r="S15" i="5"/>
  <c r="O15" i="5"/>
  <c r="C19" i="5"/>
  <c r="Q19" i="5"/>
  <c r="C15" i="5"/>
  <c r="Q21" i="5"/>
  <c r="C17" i="5"/>
  <c r="Q17" i="5"/>
  <c r="C13" i="5"/>
  <c r="D19" i="5" l="1"/>
  <c r="D15" i="5"/>
  <c r="D17" i="5"/>
  <c r="D13" i="5"/>
  <c r="AV21" i="5" l="1"/>
  <c r="AT22" i="5" s="1"/>
  <c r="AV22" i="5" l="1"/>
  <c r="P13" i="5"/>
  <c r="P23" i="5" s="1"/>
  <c r="N13" i="5"/>
  <c r="N23" i="5" s="1"/>
  <c r="R13" i="5"/>
  <c r="N24" i="5" l="1"/>
  <c r="R23" i="5"/>
  <c r="C11" i="5"/>
  <c r="P24" i="5"/>
  <c r="Q13" i="5"/>
  <c r="Q23" i="5" s="1"/>
  <c r="Q11" i="5" s="1"/>
  <c r="S13" i="5"/>
  <c r="O13" i="5"/>
  <c r="O23" i="5" s="1"/>
  <c r="O11" i="5" s="1"/>
  <c r="P11" i="5" l="1"/>
  <c r="D11" i="5"/>
  <c r="S23" i="5"/>
  <c r="R11" i="5" s="1"/>
  <c r="R24" i="5"/>
  <c r="C22" i="5" s="1"/>
  <c r="C21" i="5"/>
  <c r="N11" i="5"/>
  <c r="C9" i="5" l="1"/>
  <c r="S11" i="5"/>
  <c r="D9" i="5" s="1"/>
  <c r="D21" i="5"/>
  <c r="B4" i="1" l="1"/>
  <c r="B7" i="1" l="1"/>
  <c r="B4" i="3"/>
  <c r="F4" i="4"/>
  <c r="B4" i="2"/>
  <c r="A4" i="3" s="1"/>
  <c r="B5" i="1"/>
  <c r="B5" i="3" l="1"/>
  <c r="B5" i="2"/>
  <c r="A5" i="3" s="1"/>
  <c r="B15" i="1"/>
  <c r="B10" i="1"/>
  <c r="B7" i="3"/>
  <c r="B7" i="2"/>
  <c r="A7" i="3" s="1"/>
  <c r="F7" i="4"/>
  <c r="B16" i="1" l="1"/>
  <c r="B15" i="3"/>
  <c r="B15" i="2"/>
  <c r="A15" i="3" s="1"/>
  <c r="F15" i="4"/>
  <c r="B13" i="1"/>
  <c r="B12" i="1"/>
  <c r="B10" i="3"/>
  <c r="F10" i="4"/>
  <c r="B10" i="2"/>
  <c r="A10" i="3" s="1"/>
  <c r="B12" i="3" l="1"/>
  <c r="B12" i="2"/>
  <c r="A12" i="3" s="1"/>
  <c r="B13" i="3"/>
  <c r="B13" i="2"/>
  <c r="A13" i="3" s="1"/>
  <c r="F13" i="4"/>
  <c r="B16" i="3"/>
  <c r="B16" i="2"/>
  <c r="A16" i="3" s="1"/>
  <c r="B17" i="1" l="1"/>
  <c r="B17" i="3" l="1"/>
  <c r="F17" i="4"/>
  <c r="B17" i="2"/>
  <c r="A17" i="3" s="1"/>
  <c r="F4" i="1" l="1"/>
  <c r="F28" i="4" s="1"/>
  <c r="A3" i="4" s="1" a="1"/>
  <c r="A3" i="4" l="1"/>
  <c r="C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sadsad dsasad</author>
  </authors>
  <commentList>
    <comment ref="A1" authorId="0" shapeId="0" xr:uid="{824919C8-A9CF-4AF2-87EE-F7A33043F4B7}">
      <text>
        <r>
          <rPr>
            <b/>
            <sz val="9"/>
            <color indexed="81"/>
            <rFont val="Tahoma"/>
            <family val="2"/>
            <charset val="238"/>
          </rPr>
          <t>sadsad dsasad:</t>
        </r>
        <r>
          <rPr>
            <sz val="9"/>
            <color indexed="81"/>
            <rFont val="Tahoma"/>
            <family val="2"/>
            <charset val="238"/>
          </rPr>
          <t xml:space="preserve">
Czerwonym kolorem są zanaczone zmienne do wstawienia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<sst xmlns="http://schemas.openxmlformats.org/spreadsheetml/2006/main" count="966" uniqueCount="111">
  <si>
    <t>Ygreki</t>
  </si>
  <si>
    <t>Xksy</t>
  </si>
  <si>
    <t>Import</t>
  </si>
  <si>
    <t>Obliczenia</t>
  </si>
  <si>
    <t>Etykieta</t>
  </si>
  <si>
    <t>Punkt odniesienia</t>
  </si>
  <si>
    <t>ilość stopno</t>
  </si>
  <si>
    <t>Długosc drogi</t>
  </si>
  <si>
    <t>Kilometraż</t>
  </si>
  <si>
    <t>Rzędna</t>
  </si>
  <si>
    <t>Ile liczb</t>
  </si>
  <si>
    <t>zakrzywienie</t>
  </si>
  <si>
    <t>PT</t>
  </si>
  <si>
    <t>Rodzaj drogi</t>
  </si>
  <si>
    <t>Nawierzchnia</t>
  </si>
  <si>
    <t>Dane</t>
  </si>
  <si>
    <t>Boczna</t>
  </si>
  <si>
    <t>Łącznikowa</t>
  </si>
  <si>
    <t>Główna</t>
  </si>
  <si>
    <t>a</t>
  </si>
  <si>
    <t>x</t>
  </si>
  <si>
    <t>y</t>
  </si>
  <si>
    <t>szer drogi</t>
  </si>
  <si>
    <t>b</t>
  </si>
  <si>
    <t>c</t>
  </si>
  <si>
    <t>w1</t>
  </si>
  <si>
    <t>w2</t>
  </si>
  <si>
    <t>w3</t>
  </si>
  <si>
    <t>wartość</t>
  </si>
  <si>
    <t>etykieta</t>
  </si>
  <si>
    <t>w4</t>
  </si>
  <si>
    <t>w5</t>
  </si>
  <si>
    <t>Liczba warstw</t>
  </si>
  <si>
    <t>Odległość od ostatniej warstwy</t>
  </si>
  <si>
    <t>śr</t>
  </si>
  <si>
    <t>s</t>
  </si>
  <si>
    <t>z1</t>
  </si>
  <si>
    <t>z2</t>
  </si>
  <si>
    <t>z3</t>
  </si>
  <si>
    <t>z4</t>
  </si>
  <si>
    <t>z5</t>
  </si>
  <si>
    <t xml:space="preserve">dłg </t>
  </si>
  <si>
    <t>x1</t>
  </si>
  <si>
    <t>x2</t>
  </si>
  <si>
    <t>y1</t>
  </si>
  <si>
    <t>y2</t>
  </si>
  <si>
    <t>a=</t>
  </si>
  <si>
    <t>b=</t>
  </si>
  <si>
    <t>Prosta b c</t>
  </si>
  <si>
    <t>Prosta śr c</t>
  </si>
  <si>
    <t>Punkt z1</t>
  </si>
  <si>
    <t>Prosta w1 z1</t>
  </si>
  <si>
    <t>prosta  w1 z1</t>
  </si>
  <si>
    <t>prosta śr c</t>
  </si>
  <si>
    <t>Prosta w2 z2</t>
  </si>
  <si>
    <t>prosta  w2 z2</t>
  </si>
  <si>
    <t>Punkt z2</t>
  </si>
  <si>
    <t>Prosta w3 z3</t>
  </si>
  <si>
    <t>Punkt z3</t>
  </si>
  <si>
    <t>prosta  w3 z3</t>
  </si>
  <si>
    <t>Prosta w4 z4</t>
  </si>
  <si>
    <t>Punkt z4</t>
  </si>
  <si>
    <t>prosta  w4 z4</t>
  </si>
  <si>
    <t>Prosta w5 z5</t>
  </si>
  <si>
    <t>Punkt z5</t>
  </si>
  <si>
    <t>prosta  w5 z5</t>
  </si>
  <si>
    <t>Kalkulacja punktów z</t>
  </si>
  <si>
    <t>r1</t>
  </si>
  <si>
    <t>r2</t>
  </si>
  <si>
    <t>cm pospółka + wypełniacz - kruszywo φ 0,075÷2 mm</t>
  </si>
  <si>
    <t>cm warstwa odsączająco-odcinająca z piasku</t>
  </si>
  <si>
    <t>cm żużel drobny (paleniskowy) + wypełniacz kruszywo φ 0,075÷2 mm</t>
  </si>
  <si>
    <t>cm grunt rodzimy stabilizowany cementem</t>
  </si>
  <si>
    <t>cm pospółka + kruszywo φ 0,075÷2 mm</t>
  </si>
  <si>
    <t>cm żwir</t>
  </si>
  <si>
    <t>cm żużel gruby (wielkopiecowy) lub drobny doziarniony żwirem</t>
  </si>
  <si>
    <t>cm tłuczeń drobny φ 30÷50 mm, klinowany kruszywem φ 0,075÷20 mm</t>
  </si>
  <si>
    <t>cm tłuczeń gruby φ 50÷80 mm</t>
  </si>
  <si>
    <t>cm warstwa ścieralna (MMB)</t>
  </si>
  <si>
    <t>cm warstwa wiążąca (MMB)</t>
  </si>
  <si>
    <t>.</t>
  </si>
  <si>
    <t>S</t>
  </si>
  <si>
    <t>Opisy</t>
  </si>
  <si>
    <t>Wynik y</t>
  </si>
  <si>
    <t>Wynik x</t>
  </si>
  <si>
    <t>Etykiety</t>
  </si>
  <si>
    <t>Opisy i długość warstw</t>
  </si>
  <si>
    <t>Pierwszy promień łuku</t>
  </si>
  <si>
    <t>poszerzenie</t>
  </si>
  <si>
    <t>Łuk</t>
  </si>
  <si>
    <t>Łuk x</t>
  </si>
  <si>
    <t>Łuk y</t>
  </si>
  <si>
    <t>bprim</t>
  </si>
  <si>
    <t>cprim</t>
  </si>
  <si>
    <t>Grunt</t>
  </si>
  <si>
    <t>Kalkulacja punktów z łuku</t>
  </si>
  <si>
    <t>w1prim</t>
  </si>
  <si>
    <t>r2prim</t>
  </si>
  <si>
    <t>w2prim</t>
  </si>
  <si>
    <t>w3prim</t>
  </si>
  <si>
    <t>w4prim</t>
  </si>
  <si>
    <t>w5prim</t>
  </si>
  <si>
    <t>z1prim</t>
  </si>
  <si>
    <t>z2prim</t>
  </si>
  <si>
    <t>z3prim</t>
  </si>
  <si>
    <t>z4prim</t>
  </si>
  <si>
    <t>z5prim</t>
  </si>
  <si>
    <t>r1prim</t>
  </si>
  <si>
    <t>Kalkulacja punktów z łuku prim</t>
  </si>
  <si>
    <t>żwirowa</t>
  </si>
  <si>
    <t>sypkie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</si>
</sst>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6">
    <xf numFmtId="0" fontId="0" fillId="0" borderId="0" xfId="0"/>
    <xf numFmtId="2" fontId="0" fillId="0" borderId="0" xfId="0" applyNumberFormat="1"/>
    <xf numFmtId="1" fontId="0" fillId="0" borderId="0" xfId="0" applyNumberFormat="1"/>
    <xf numFmtId="1" fontId="1" fillId="2" borderId="1" xfId="1" applyNumberFormat="1" applyAlignment="1">
      <alignment horizontal="center" vertical="center" wrapText="1"/>
    </xf>
    <xf numFmtId="2" fontId="1" fillId="2" borderId="1" xfId="1" applyNumberFormat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2" fontId="0" fillId="3" borderId="2" xfId="0" applyNumberFormat="1" applyFill="1" applyBorder="1"/>
    <xf numFmtId="0" fontId="0" fillId="3" borderId="2" xfId="0" applyFill="1" applyBorder="1"/>
    <xf numFmtId="0" fontId="0" fillId="3" borderId="0" xfId="0" applyFill="1" applyAlignment="1">
      <alignment horizontal="center" vertical="center"/>
    </xf>
    <xf numFmtId="2" fontId="0" fillId="3" borderId="0" xfId="0" applyNumberFormat="1" applyFill="1"/>
    <xf numFmtId="0" fontId="0" fillId="0" borderId="2" xfId="0" applyBorder="1"/>
    <xf numFmtId="2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3" borderId="0" xfId="0" applyFill="1"/>
    <xf numFmtId="0" fontId="0" fillId="3" borderId="5" xfId="0" applyFill="1" applyBorder="1"/>
    <xf numFmtId="0" fontId="0" fillId="3" borderId="4" xfId="0" applyFill="1" applyBorder="1"/>
    <xf numFmtId="0" fontId="0" fillId="0" borderId="7" xfId="0" applyBorder="1"/>
    <xf numFmtId="0" fontId="0" fillId="0" borderId="6" xfId="0" applyBorder="1"/>
    <xf numFmtId="0" fontId="2" fillId="0" borderId="4" xfId="0" applyFont="1" applyBorder="1"/>
    <xf numFmtId="0" fontId="2" fillId="0" borderId="5" xfId="0" applyFont="1" applyBorder="1"/>
    <xf numFmtId="0" fontId="0" fillId="5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1" xfId="0" applyFont="1" applyBorder="1"/>
    <xf numFmtId="0" fontId="2" fillId="0" borderId="12" xfId="0" applyFont="1" applyBorder="1"/>
    <xf numFmtId="0" fontId="0" fillId="0" borderId="20" xfId="0" applyBorder="1"/>
    <xf numFmtId="0" fontId="0" fillId="0" borderId="21" xfId="0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6" borderId="5" xfId="0" applyFill="1" applyBorder="1"/>
    <xf numFmtId="0" fontId="0" fillId="8" borderId="2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7" borderId="2" xfId="0" applyFill="1" applyBorder="1"/>
    <xf numFmtId="0" fontId="0" fillId="4" borderId="2" xfId="0" applyFill="1" applyBorder="1" applyAlignment="1">
      <alignment horizontal="center"/>
    </xf>
    <xf numFmtId="0" fontId="0" fillId="4" borderId="22" xfId="0" applyFill="1" applyBorder="1"/>
    <xf numFmtId="0" fontId="0" fillId="4" borderId="23" xfId="0" applyFill="1" applyBorder="1"/>
    <xf numFmtId="0" fontId="0" fillId="4" borderId="2" xfId="0" applyFill="1" applyBorder="1"/>
    <xf numFmtId="0" fontId="0" fillId="9" borderId="5" xfId="0" applyFill="1" applyBorder="1"/>
    <xf numFmtId="0" fontId="0" fillId="9" borderId="4" xfId="0" applyFill="1" applyBorder="1"/>
    <xf numFmtId="0" fontId="2" fillId="0" borderId="0" xfId="0" applyFont="1"/>
    <xf numFmtId="0" fontId="0" fillId="10" borderId="0" xfId="0" applyFill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2" fillId="7" borderId="22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14" fontId="0" fillId="0" borderId="0" xfId="0" quotePrefix="1" applyNumberFormat="1"/>
    <xf numFmtId="0" fontId="2" fillId="8" borderId="22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</cellXfs>
  <cellStyles count="2">
    <cellStyle name="Komórka zaznaczona" xfId="1" builtinId="23"/>
    <cellStyle name="Normalny" xfId="0" builtinId="0"/>
  </cellStyles>
  <dxfs count="0"/>
  <tableStyles count="0" defaultTableStyle="TableStyleMedium2" defaultPivotStyle="PivotStyleLight16"/>
  <colors>
    <mruColors>
      <color rgb="FFFF939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249836</xdr:colOff>
      <xdr:row>23</xdr:row>
      <xdr:rowOff>39754</xdr:rowOff>
    </xdr:from>
    <xdr:to>
      <xdr:col>25</xdr:col>
      <xdr:colOff>15116</xdr:colOff>
      <xdr:row>44</xdr:row>
      <xdr:rowOff>91184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9CAF27A9-6A05-B377-DACA-2DE25A04B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67230" y="4303875"/>
          <a:ext cx="8224250" cy="393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493059</xdr:colOff>
      <xdr:row>1</xdr:row>
      <xdr:rowOff>125507</xdr:rowOff>
    </xdr:from>
    <xdr:to>
      <xdr:col>27</xdr:col>
      <xdr:colOff>503181</xdr:colOff>
      <xdr:row>22</xdr:row>
      <xdr:rowOff>176938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DA5240E-70CB-4C54-AC29-8511E440F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3083" y="313766"/>
          <a:ext cx="8150074" cy="38255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mia\Desktop\Projekt%202\IZL%202-%20DEZIET.xlsx" TargetMode="External"/><Relationship Id="rId1" Type="http://schemas.openxmlformats.org/officeDocument/2006/relationships/externalLinkPath" Target="/Users/damia/Desktop/Projekt%202/IZL%202-%20DEZI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ice do tyczenia łuków"/>
      <sheetName val="KILOMETRAŻ"/>
      <sheetName val="Autocad import do kilometra"/>
      <sheetName val="Pikietarz"/>
      <sheetName val="KM do wydruku"/>
      <sheetName val="PIKIETAŻ do wydruku"/>
      <sheetName val="Profil podłużny "/>
      <sheetName val="Do sprawdzenia"/>
      <sheetName val="Niweleta robót ziemnych"/>
      <sheetName val="Autocad przekroje poprzeczne"/>
      <sheetName val="Odwodnienie drogi"/>
      <sheetName val="Bilans"/>
    </sheetNames>
    <sheetDataSet>
      <sheetData sheetId="0"/>
      <sheetData sheetId="1">
        <row r="2">
          <cell r="B2" t="str">
            <v>Boczna</v>
          </cell>
          <cell r="C2" t="str">
            <v>żwirowa</v>
          </cell>
          <cell r="D2" t="str">
            <v>sypkie</v>
          </cell>
        </row>
        <row r="10">
          <cell r="E10">
            <v>50</v>
          </cell>
        </row>
      </sheetData>
      <sheetData sheetId="2"/>
      <sheetData sheetId="3"/>
      <sheetData sheetId="4"/>
      <sheetData sheetId="5"/>
      <sheetData sheetId="6">
        <row r="1">
          <cell r="D1" t="str">
            <v>Uwagi</v>
          </cell>
        </row>
        <row r="2">
          <cell r="B2" t="str">
            <v>000,00</v>
          </cell>
          <cell r="C2">
            <v>533.69959677419354</v>
          </cell>
          <cell r="D2" t="str">
            <v>PT</v>
          </cell>
          <cell r="E2">
            <v>517.51478196600146</v>
          </cell>
          <cell r="F2">
            <v>510</v>
          </cell>
        </row>
        <row r="3">
          <cell r="B3" t="str">
            <v>035,08</v>
          </cell>
          <cell r="C3">
            <v>530</v>
          </cell>
          <cell r="D3" t="str">
            <v>WARSTWICA</v>
          </cell>
          <cell r="E3">
            <v>554.80188497788038</v>
          </cell>
        </row>
        <row r="4">
          <cell r="B4" t="str">
            <v>092,98</v>
          </cell>
          <cell r="C4">
            <v>524.35164835164835</v>
          </cell>
          <cell r="D4" t="str">
            <v>PŁ1</v>
          </cell>
          <cell r="E4">
            <v>45</v>
          </cell>
        </row>
        <row r="5">
          <cell r="B5" t="str">
            <v>118,29</v>
          </cell>
          <cell r="C5">
            <v>521.75136583857329</v>
          </cell>
          <cell r="D5" t="str">
            <v>ŚŁ1</v>
          </cell>
        </row>
        <row r="6">
          <cell r="B6" t="str">
            <v>130,33</v>
          </cell>
          <cell r="C6">
            <v>520</v>
          </cell>
          <cell r="D6" t="str">
            <v>WARSTWICA</v>
          </cell>
        </row>
        <row r="7">
          <cell r="B7" t="str">
            <v>143,59</v>
          </cell>
          <cell r="C7">
            <v>519.14915121698698</v>
          </cell>
          <cell r="D7" t="str">
            <v>KŁ1</v>
          </cell>
        </row>
        <row r="8">
          <cell r="B8" t="str">
            <v>173,83</v>
          </cell>
          <cell r="C8">
            <v>517.51478196600146</v>
          </cell>
          <cell r="D8" t="str">
            <v>CIEK</v>
          </cell>
        </row>
        <row r="9">
          <cell r="B9" t="str">
            <v>215,95</v>
          </cell>
          <cell r="C9">
            <v>520</v>
          </cell>
          <cell r="D9" t="str">
            <v>WARSTWICA</v>
          </cell>
        </row>
        <row r="10">
          <cell r="B10" t="str">
            <v>299,61</v>
          </cell>
          <cell r="C10">
            <v>528.71413390010628</v>
          </cell>
          <cell r="D10" t="str">
            <v>PŁ2</v>
          </cell>
        </row>
        <row r="11">
          <cell r="B11" t="str">
            <v>311,13</v>
          </cell>
          <cell r="C11">
            <v>530</v>
          </cell>
          <cell r="D11" t="str">
            <v>WARSTWICA</v>
          </cell>
        </row>
        <row r="12">
          <cell r="B12" t="str">
            <v>324,61</v>
          </cell>
          <cell r="C12">
            <v>531.78119972420131</v>
          </cell>
          <cell r="D12" t="str">
            <v>ŚŁ2</v>
          </cell>
        </row>
        <row r="13">
          <cell r="B13" t="str">
            <v>349,61</v>
          </cell>
          <cell r="C13">
            <v>533.85290889132818</v>
          </cell>
          <cell r="D13" t="str">
            <v>KŁ2</v>
          </cell>
        </row>
        <row r="14">
          <cell r="B14" t="str">
            <v>436,41</v>
          </cell>
          <cell r="C14">
            <v>540</v>
          </cell>
          <cell r="D14" t="str">
            <v>WARSTWICA</v>
          </cell>
        </row>
        <row r="15">
          <cell r="B15" t="str">
            <v>491,41</v>
          </cell>
          <cell r="C15">
            <v>544.82114942528733</v>
          </cell>
          <cell r="D15" t="str">
            <v>PŁ3</v>
          </cell>
        </row>
        <row r="16">
          <cell r="B16" t="str">
            <v>519,29</v>
          </cell>
          <cell r="C16">
            <v>550</v>
          </cell>
          <cell r="D16" t="str">
            <v>ŚŁ+WARSTWICA</v>
          </cell>
        </row>
        <row r="17">
          <cell r="B17" t="str">
            <v>547,17</v>
          </cell>
          <cell r="C17">
            <v>554.80188497788038</v>
          </cell>
          <cell r="D17" t="str">
            <v>KŁ3</v>
          </cell>
        </row>
        <row r="18">
          <cell r="B18" t="str">
            <v/>
          </cell>
          <cell r="C18">
            <v>0</v>
          </cell>
          <cell r="D18">
            <v>0</v>
          </cell>
        </row>
        <row r="19">
          <cell r="B19" t="str">
            <v/>
          </cell>
          <cell r="C19">
            <v>0</v>
          </cell>
          <cell r="D19">
            <v>0</v>
          </cell>
        </row>
        <row r="20">
          <cell r="B20" t="str">
            <v/>
          </cell>
          <cell r="C20">
            <v>0</v>
          </cell>
          <cell r="D20">
            <v>0</v>
          </cell>
        </row>
        <row r="21">
          <cell r="B21" t="str">
            <v/>
          </cell>
          <cell r="C21">
            <v>0</v>
          </cell>
          <cell r="D21">
            <v>0</v>
          </cell>
        </row>
        <row r="22">
          <cell r="B22" t="str">
            <v/>
          </cell>
          <cell r="C22">
            <v>0</v>
          </cell>
          <cell r="D22">
            <v>0</v>
          </cell>
          <cell r="K22">
            <v>547.16999999999996</v>
          </cell>
        </row>
        <row r="23">
          <cell r="B23" t="str">
            <v/>
          </cell>
          <cell r="C23">
            <v>0</v>
          </cell>
          <cell r="D23">
            <v>0</v>
          </cell>
        </row>
        <row r="24">
          <cell r="B24" t="str">
            <v/>
          </cell>
          <cell r="C24">
            <v>0</v>
          </cell>
          <cell r="D24">
            <v>0</v>
          </cell>
        </row>
        <row r="25">
          <cell r="B25" t="str">
            <v/>
          </cell>
          <cell r="C25">
            <v>0</v>
          </cell>
          <cell r="D25">
            <v>0</v>
          </cell>
        </row>
        <row r="26">
          <cell r="B26" t="str">
            <v/>
          </cell>
          <cell r="C26">
            <v>0</v>
          </cell>
          <cell r="D26">
            <v>0</v>
          </cell>
        </row>
        <row r="27">
          <cell r="B27" t="str">
            <v/>
          </cell>
          <cell r="C27">
            <v>0</v>
          </cell>
          <cell r="D27">
            <v>0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G3" sqref="G3"/>
    </sheetView>
  </sheetViews>
  <sheetFormatPr defaultRowHeight="14.4" x14ac:dyDescent="0.3"/>
  <cols>
    <col min="1" max="1" width="3.5546875" style="2" bestFit="1" customWidth="1"/>
    <col min="2" max="2" width="9.88671875" customWidth="1"/>
    <col min="3" max="3" width="8.5546875" customWidth="1"/>
    <col min="4" max="4" width="14.33203125" bestFit="1" customWidth="1"/>
    <col min="5" max="5" width="15.33203125" bestFit="1" customWidth="1"/>
    <col min="6" max="6" width="6.5546875" bestFit="1" customWidth="1"/>
    <col min="7" max="7" width="9.77734375" customWidth="1"/>
  </cols>
  <sheetData>
    <row r="1" spans="1:7" ht="36.6" customHeight="1" thickTop="1" thickBot="1" x14ac:dyDescent="0.35">
      <c r="A1" s="3" t="e">
        <f>#REF!</f>
        <v>#REF!</v>
      </c>
      <c r="B1" s="4" t="e">
        <f>#REF!</f>
        <v>#REF!</v>
      </c>
      <c r="C1" s="4" t="e">
        <f>#REF!</f>
        <v>#REF!</v>
      </c>
      <c r="D1" s="4" t="str">
        <f>'[1]Profil podłużny '!$D$1</f>
        <v>Uwagi</v>
      </c>
      <c r="E1" s="4" t="s">
        <v>4</v>
      </c>
      <c r="F1" s="8" t="s">
        <v>2</v>
      </c>
      <c r="G1" s="4" t="s">
        <v>3</v>
      </c>
    </row>
    <row r="2" spans="1:7" ht="15" thickTop="1" x14ac:dyDescent="0.3">
      <c r="A2" s="2">
        <v>1</v>
      </c>
      <c r="B2" s="1" t="str">
        <f>'[1]Profil podłużny '!$B2</f>
        <v>000,00</v>
      </c>
      <c r="C2" s="1">
        <f>IF('[1]Profil podłużny '!C2=0,"",'[1]Profil podłużny '!C2)</f>
        <v>533.69959677419354</v>
      </c>
      <c r="D2" s="1" t="str">
        <f>IF('[1]Profil podłużny '!D2=0,"",'[1]Profil podłużny '!D2)</f>
        <v>PT</v>
      </c>
      <c r="E2" t="s">
        <v>5</v>
      </c>
      <c r="F2" s="9">
        <f>'[1]Profil podłużny '!$F$2</f>
        <v>510</v>
      </c>
      <c r="G2" s="1">
        <f>'[1]Profil podłużny '!$E$2</f>
        <v>517.51478196600146</v>
      </c>
    </row>
    <row r="3" spans="1:7" x14ac:dyDescent="0.3">
      <c r="A3" s="2">
        <v>2</v>
      </c>
      <c r="B3" s="1" t="str">
        <f>'[1]Profil podłużny '!$B3</f>
        <v>035,08</v>
      </c>
      <c r="C3" s="1">
        <f>IF('[1]Profil podłużny '!C3=0,"",'[1]Profil podłużny '!C3)</f>
        <v>530</v>
      </c>
      <c r="D3" s="1" t="str">
        <f>IF('[1]Profil podłużny '!D3=0,"",'[1]Profil podłużny '!D3)</f>
        <v>WARSTWICA</v>
      </c>
      <c r="E3" t="s">
        <v>6</v>
      </c>
      <c r="F3" s="9">
        <f>G3/5</f>
        <v>9</v>
      </c>
      <c r="G3" s="1">
        <f>'[1]Profil podłużny '!$E$4</f>
        <v>45</v>
      </c>
    </row>
    <row r="4" spans="1:7" x14ac:dyDescent="0.3">
      <c r="A4" s="2">
        <v>3</v>
      </c>
      <c r="B4" s="1" t="str">
        <f>'[1]Profil podłużny '!$B4</f>
        <v>092,98</v>
      </c>
      <c r="C4" s="1">
        <f>IF('[1]Profil podłużny '!C4=0,"",'[1]Profil podłużny '!C4)</f>
        <v>524.35164835164835</v>
      </c>
      <c r="D4" s="1" t="str">
        <f>IF('[1]Profil podłużny '!D4=0,"",'[1]Profil podłużny '!D4)</f>
        <v>PŁ1</v>
      </c>
      <c r="E4" t="s">
        <v>7</v>
      </c>
      <c r="F4" s="9">
        <f>'[1]Profil podłużny '!$K$22</f>
        <v>547.16999999999996</v>
      </c>
      <c r="G4" s="1">
        <f>'[1]Profil podłużny '!$E$3</f>
        <v>554.80188497788038</v>
      </c>
    </row>
    <row r="5" spans="1:7" x14ac:dyDescent="0.3">
      <c r="A5" s="2">
        <v>4</v>
      </c>
      <c r="B5" s="1" t="str">
        <f>'[1]Profil podłużny '!$B5</f>
        <v>118,29</v>
      </c>
      <c r="C5" s="1">
        <f>IF('[1]Profil podłużny '!C5=0,"",'[1]Profil podłużny '!C5)</f>
        <v>521.75136583857329</v>
      </c>
      <c r="D5" s="1" t="str">
        <f>IF('[1]Profil podłużny '!D5=0,"",'[1]Profil podłużny '!D5)</f>
        <v>ŚŁ1</v>
      </c>
      <c r="F5" s="1"/>
    </row>
    <row r="6" spans="1:7" x14ac:dyDescent="0.3">
      <c r="A6" s="2">
        <v>5</v>
      </c>
      <c r="B6" s="1" t="str">
        <f>'[1]Profil podłużny '!$B6</f>
        <v>130,33</v>
      </c>
      <c r="C6" s="1">
        <f>IF('[1]Profil podłużny '!C6=0,"",'[1]Profil podłużny '!C6)</f>
        <v>520</v>
      </c>
      <c r="D6" s="1" t="str">
        <f>IF('[1]Profil podłużny '!D6=0,"",'[1]Profil podłużny '!D6)</f>
        <v>WARSTWICA</v>
      </c>
      <c r="E6" s="1"/>
      <c r="F6" s="1"/>
    </row>
    <row r="7" spans="1:7" x14ac:dyDescent="0.3">
      <c r="A7" s="2">
        <v>6</v>
      </c>
      <c r="B7" s="1" t="str">
        <f>'[1]Profil podłużny '!$B7</f>
        <v>143,59</v>
      </c>
      <c r="C7" s="1">
        <f>IF('[1]Profil podłużny '!C7=0,"",'[1]Profil podłużny '!C7)</f>
        <v>519.14915121698698</v>
      </c>
      <c r="D7" s="1" t="str">
        <f>IF('[1]Profil podłużny '!D7=0,"",'[1]Profil podłużny '!D7)</f>
        <v>KŁ1</v>
      </c>
      <c r="E7" s="1"/>
      <c r="F7" s="1"/>
    </row>
    <row r="8" spans="1:7" x14ac:dyDescent="0.3">
      <c r="A8" s="2">
        <v>7</v>
      </c>
      <c r="B8" s="1" t="str">
        <f>'[1]Profil podłużny '!$B8</f>
        <v>173,83</v>
      </c>
      <c r="C8" s="1">
        <f>IF('[1]Profil podłużny '!C8=0,"",'[1]Profil podłużny '!C8)</f>
        <v>517.51478196600146</v>
      </c>
      <c r="D8" s="1" t="str">
        <f>IF('[1]Profil podłużny '!D8=0,"",'[1]Profil podłużny '!D8)</f>
        <v>CIEK</v>
      </c>
      <c r="E8" s="1"/>
      <c r="F8" s="1"/>
    </row>
    <row r="9" spans="1:7" x14ac:dyDescent="0.3">
      <c r="A9" s="2">
        <v>8</v>
      </c>
      <c r="B9" s="1" t="str">
        <f>'[1]Profil podłużny '!$B9</f>
        <v>215,95</v>
      </c>
      <c r="C9" s="1">
        <f>IF('[1]Profil podłużny '!C9=0,"",'[1]Profil podłużny '!C9)</f>
        <v>520</v>
      </c>
      <c r="D9" s="1" t="str">
        <f>IF('[1]Profil podłużny '!D9=0,"",'[1]Profil podłużny '!D9)</f>
        <v>WARSTWICA</v>
      </c>
      <c r="E9" s="1"/>
      <c r="F9" s="1"/>
    </row>
    <row r="10" spans="1:7" x14ac:dyDescent="0.3">
      <c r="A10" s="2">
        <v>9</v>
      </c>
      <c r="B10" s="1" t="str">
        <f>'[1]Profil podłużny '!$B10</f>
        <v>299,61</v>
      </c>
      <c r="C10" s="1">
        <f>IF('[1]Profil podłużny '!C10=0,"",'[1]Profil podłużny '!C10)</f>
        <v>528.71413390010628</v>
      </c>
      <c r="D10" s="1" t="str">
        <f>IF('[1]Profil podłużny '!D10=0,"",'[1]Profil podłużny '!D10)</f>
        <v>PŁ2</v>
      </c>
      <c r="E10" s="1"/>
      <c r="F10" s="1"/>
    </row>
    <row r="11" spans="1:7" x14ac:dyDescent="0.3">
      <c r="A11" s="2">
        <v>10</v>
      </c>
      <c r="B11" s="1" t="str">
        <f>'[1]Profil podłużny '!$B11</f>
        <v>311,13</v>
      </c>
      <c r="C11" s="1">
        <f>IF('[1]Profil podłużny '!C11=0,"",'[1]Profil podłużny '!C11)</f>
        <v>530</v>
      </c>
      <c r="D11" s="1" t="str">
        <f>IF('[1]Profil podłużny '!D11=0,"",'[1]Profil podłużny '!D11)</f>
        <v>WARSTWICA</v>
      </c>
      <c r="E11" s="1"/>
      <c r="F11" s="1"/>
    </row>
    <row r="12" spans="1:7" x14ac:dyDescent="0.3">
      <c r="A12" s="2">
        <v>11</v>
      </c>
      <c r="B12" s="1" t="str">
        <f>'[1]Profil podłużny '!$B12</f>
        <v>324,61</v>
      </c>
      <c r="C12" s="1">
        <f>IF('[1]Profil podłużny '!C12=0,"",'[1]Profil podłużny '!C12)</f>
        <v>531.78119972420131</v>
      </c>
      <c r="D12" s="1" t="str">
        <f>IF('[1]Profil podłużny '!D12=0,"",'[1]Profil podłużny '!D12)</f>
        <v>ŚŁ2</v>
      </c>
      <c r="E12" s="1"/>
      <c r="F12" s="1"/>
    </row>
    <row r="13" spans="1:7" x14ac:dyDescent="0.3">
      <c r="A13" s="2">
        <v>12</v>
      </c>
      <c r="B13" s="1" t="str">
        <f>'[1]Profil podłużny '!$B13</f>
        <v>349,61</v>
      </c>
      <c r="C13" s="1">
        <f>IF('[1]Profil podłużny '!C13=0,"",'[1]Profil podłużny '!C13)</f>
        <v>533.85290889132818</v>
      </c>
      <c r="D13" s="1" t="str">
        <f>IF('[1]Profil podłużny '!D13=0,"",'[1]Profil podłużny '!D13)</f>
        <v>KŁ2</v>
      </c>
      <c r="E13" s="1"/>
      <c r="F13" s="1"/>
    </row>
    <row r="14" spans="1:7" x14ac:dyDescent="0.3">
      <c r="A14" s="2">
        <v>13</v>
      </c>
      <c r="B14" s="1" t="str">
        <f>'[1]Profil podłużny '!$B14</f>
        <v>436,41</v>
      </c>
      <c r="C14" s="1">
        <f>IF('[1]Profil podłużny '!C14=0,"",'[1]Profil podłużny '!C14)</f>
        <v>540</v>
      </c>
      <c r="D14" s="1" t="str">
        <f>IF('[1]Profil podłużny '!D14=0,"",'[1]Profil podłużny '!D14)</f>
        <v>WARSTWICA</v>
      </c>
      <c r="E14" s="1"/>
      <c r="F14" s="1"/>
    </row>
    <row r="15" spans="1:7" x14ac:dyDescent="0.3">
      <c r="A15" s="2">
        <v>14</v>
      </c>
      <c r="B15" s="1" t="str">
        <f>'[1]Profil podłużny '!$B15</f>
        <v>491,41</v>
      </c>
      <c r="C15" s="1">
        <f>IF('[1]Profil podłużny '!C15=0,"",'[1]Profil podłużny '!C15)</f>
        <v>544.82114942528733</v>
      </c>
      <c r="D15" s="1" t="str">
        <f>IF('[1]Profil podłużny '!D15=0,"",'[1]Profil podłużny '!D15)</f>
        <v>PŁ3</v>
      </c>
      <c r="E15" s="1"/>
      <c r="F15" s="1"/>
    </row>
    <row r="16" spans="1:7" x14ac:dyDescent="0.3">
      <c r="A16" s="2">
        <v>15</v>
      </c>
      <c r="B16" s="1" t="str">
        <f>'[1]Profil podłużny '!$B16</f>
        <v>519,29</v>
      </c>
      <c r="C16" s="1">
        <f>IF('[1]Profil podłużny '!C16=0,"",'[1]Profil podłużny '!C16)</f>
        <v>550</v>
      </c>
      <c r="D16" s="1" t="str">
        <f>IF('[1]Profil podłużny '!D16=0,"",'[1]Profil podłużny '!D16)</f>
        <v>ŚŁ+WARSTWICA</v>
      </c>
      <c r="E16" s="1"/>
      <c r="F16" s="1"/>
    </row>
    <row r="17" spans="1:6" x14ac:dyDescent="0.3">
      <c r="A17" s="2">
        <v>16</v>
      </c>
      <c r="B17" s="1" t="str">
        <f>'[1]Profil podłużny '!$B17</f>
        <v>547,17</v>
      </c>
      <c r="C17" s="1">
        <f>IF('[1]Profil podłużny '!C17=0,"",'[1]Profil podłużny '!C17)</f>
        <v>554.80188497788038</v>
      </c>
      <c r="D17" s="1" t="str">
        <f>IF('[1]Profil podłużny '!D17=0,"",'[1]Profil podłużny '!D17)</f>
        <v>KŁ3</v>
      </c>
      <c r="E17" s="1"/>
      <c r="F17" s="1"/>
    </row>
    <row r="18" spans="1:6" x14ac:dyDescent="0.3">
      <c r="A18" s="2">
        <v>17</v>
      </c>
      <c r="B18" s="1" t="str">
        <f>'[1]Profil podłużny '!$B18</f>
        <v/>
      </c>
      <c r="C18" s="1" t="str">
        <f>IF('[1]Profil podłużny '!C18=0,"",'[1]Profil podłużny '!C18)</f>
        <v/>
      </c>
      <c r="D18" s="1" t="str">
        <f>IF('[1]Profil podłużny '!D18=0,"",'[1]Profil podłużny '!D18)</f>
        <v/>
      </c>
      <c r="E18" s="1"/>
      <c r="F18" s="1"/>
    </row>
    <row r="19" spans="1:6" x14ac:dyDescent="0.3">
      <c r="A19" s="2">
        <v>18</v>
      </c>
      <c r="B19" s="1" t="str">
        <f>'[1]Profil podłużny '!$B19</f>
        <v/>
      </c>
      <c r="C19" s="1" t="str">
        <f>IF('[1]Profil podłużny '!C19=0,"",'[1]Profil podłużny '!C19)</f>
        <v/>
      </c>
      <c r="D19" s="1" t="str">
        <f>IF('[1]Profil podłużny '!D19=0,"",'[1]Profil podłużny '!D19)</f>
        <v/>
      </c>
      <c r="E19" s="1"/>
      <c r="F19" s="1"/>
    </row>
    <row r="20" spans="1:6" x14ac:dyDescent="0.3">
      <c r="A20" s="2">
        <v>19</v>
      </c>
      <c r="B20" s="1" t="str">
        <f>'[1]Profil podłużny '!$B20</f>
        <v/>
      </c>
      <c r="C20" s="1" t="str">
        <f>IF('[1]Profil podłużny '!C20=0,"",'[1]Profil podłużny '!C20)</f>
        <v/>
      </c>
      <c r="D20" s="1" t="str">
        <f>IF('[1]Profil podłużny '!D20=0,"",'[1]Profil podłużny '!D20)</f>
        <v/>
      </c>
      <c r="E20" s="1"/>
      <c r="F20" s="1"/>
    </row>
    <row r="21" spans="1:6" x14ac:dyDescent="0.3">
      <c r="A21" s="2">
        <v>20</v>
      </c>
      <c r="B21" s="1" t="str">
        <f>'[1]Profil podłużny '!$B21</f>
        <v/>
      </c>
      <c r="C21" s="1" t="str">
        <f>IF('[1]Profil podłużny '!C21=0,"",'[1]Profil podłużny '!C21)</f>
        <v/>
      </c>
      <c r="D21" s="1" t="str">
        <f>IF('[1]Profil podłużny '!D21=0,"",'[1]Profil podłużny '!D21)</f>
        <v/>
      </c>
      <c r="E21" s="1"/>
      <c r="F21" s="1"/>
    </row>
    <row r="22" spans="1:6" x14ac:dyDescent="0.3">
      <c r="A22" s="2">
        <v>21</v>
      </c>
      <c r="B22" s="1" t="str">
        <f>'[1]Profil podłużny '!$B22</f>
        <v/>
      </c>
      <c r="C22" s="1" t="str">
        <f>IF('[1]Profil podłużny '!C22=0,"",'[1]Profil podłużny '!C22)</f>
        <v/>
      </c>
      <c r="D22" s="1" t="str">
        <f>IF('[1]Profil podłużny '!D22=0,"",'[1]Profil podłużny '!D22)</f>
        <v/>
      </c>
      <c r="E22" s="1"/>
      <c r="F22" s="1"/>
    </row>
    <row r="23" spans="1:6" x14ac:dyDescent="0.3">
      <c r="A23" s="2">
        <v>22</v>
      </c>
      <c r="B23" s="1" t="str">
        <f>'[1]Profil podłużny '!$B23</f>
        <v/>
      </c>
      <c r="C23" s="1" t="str">
        <f>IF('[1]Profil podłużny '!C23=0,"",'[1]Profil podłużny '!C23)</f>
        <v/>
      </c>
      <c r="D23" s="1" t="str">
        <f>IF('[1]Profil podłużny '!D23=0,"",'[1]Profil podłużny '!D23)</f>
        <v/>
      </c>
      <c r="E23" s="1"/>
      <c r="F23" s="1"/>
    </row>
    <row r="24" spans="1:6" x14ac:dyDescent="0.3">
      <c r="A24" s="2">
        <v>23</v>
      </c>
      <c r="B24" s="1" t="str">
        <f>'[1]Profil podłużny '!$B24</f>
        <v/>
      </c>
      <c r="C24" s="1" t="str">
        <f>IF('[1]Profil podłużny '!C24=0,"",'[1]Profil podłużny '!C24)</f>
        <v/>
      </c>
      <c r="D24" s="1" t="str">
        <f>IF('[1]Profil podłużny '!D24=0,"",'[1]Profil podłużny '!D24)</f>
        <v/>
      </c>
      <c r="E24" s="1"/>
      <c r="F24" s="1"/>
    </row>
    <row r="25" spans="1:6" x14ac:dyDescent="0.3">
      <c r="A25" s="2">
        <v>24</v>
      </c>
      <c r="B25" s="1" t="str">
        <f>'[1]Profil podłużny '!$B25</f>
        <v/>
      </c>
      <c r="C25" s="1" t="str">
        <f>IF('[1]Profil podłużny '!C25=0,"",'[1]Profil podłużny '!C25)</f>
        <v/>
      </c>
      <c r="D25" s="1" t="str">
        <f>IF('[1]Profil podłużny '!D25=0,"",'[1]Profil podłużny '!D25)</f>
        <v/>
      </c>
      <c r="E25" s="1"/>
      <c r="F25" s="1"/>
    </row>
    <row r="26" spans="1:6" x14ac:dyDescent="0.3">
      <c r="A26" s="2">
        <v>25</v>
      </c>
      <c r="B26" s="1" t="str">
        <f>'[1]Profil podłużny '!$B26</f>
        <v/>
      </c>
      <c r="C26" s="1" t="str">
        <f>IF('[1]Profil podłużny '!C26=0,"",'[1]Profil podłużny '!C26)</f>
        <v/>
      </c>
      <c r="D26" s="1" t="str">
        <f>IF('[1]Profil podłużny '!D26=0,"",'[1]Profil podłużny '!D26)</f>
        <v/>
      </c>
      <c r="E26" s="1"/>
      <c r="F26" s="1"/>
    </row>
    <row r="27" spans="1:6" x14ac:dyDescent="0.3">
      <c r="A27" s="2">
        <v>26</v>
      </c>
      <c r="B27" s="1" t="str">
        <f>'[1]Profil podłużny '!$B27</f>
        <v/>
      </c>
      <c r="C27" s="1" t="str">
        <f>IF('[1]Profil podłużny '!C27=0,"",'[1]Profil podłużny '!C27)</f>
        <v/>
      </c>
      <c r="D27" s="1" t="str">
        <f>IF('[1]Profil podłużny '!D27=0,"",'[1]Profil podłużny '!D27)</f>
        <v/>
      </c>
      <c r="E27" s="1"/>
      <c r="F27" s="1"/>
    </row>
    <row r="28" spans="1:6" x14ac:dyDescent="0.3">
      <c r="B28" s="1"/>
      <c r="C28" s="1"/>
      <c r="D28" s="1"/>
      <c r="E28" s="1"/>
      <c r="F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FDFF-D005-41D3-90CB-6629AB5E0E65}">
  <dimension ref="A1:B27"/>
  <sheetViews>
    <sheetView workbookViewId="0">
      <selection activeCell="A27" sqref="A27"/>
    </sheetView>
  </sheetViews>
  <sheetFormatPr defaultRowHeight="14.4" x14ac:dyDescent="0.3"/>
  <sheetData>
    <row r="1" spans="1:2" ht="15" thickTop="1" x14ac:dyDescent="0.3">
      <c r="A1" s="5" t="s">
        <v>0</v>
      </c>
      <c r="B1" s="5" t="s">
        <v>1</v>
      </c>
    </row>
    <row r="2" spans="1:2" x14ac:dyDescent="0.3">
      <c r="A2" s="6">
        <f>IFERROR(ROUND(ABS(Dane!C2-Dane!$F$2),2),"")</f>
        <v>23.7</v>
      </c>
      <c r="B2" s="7">
        <f>IFERROR(ROUND(Dane!B2/10,2),"")</f>
        <v>0</v>
      </c>
    </row>
    <row r="3" spans="1:2" x14ac:dyDescent="0.3">
      <c r="A3" s="6">
        <f>IFERROR(ROUND(ABS(Dane!C3-Dane!$F$2),2),"")</f>
        <v>20</v>
      </c>
      <c r="B3" s="7">
        <f>IFERROR(ROUND(Dane!B3/10,2),"")</f>
        <v>3.51</v>
      </c>
    </row>
    <row r="4" spans="1:2" x14ac:dyDescent="0.3">
      <c r="A4" s="6">
        <f>IFERROR(ROUND(ABS(Dane!C4-Dane!$F$2),2),"")</f>
        <v>14.35</v>
      </c>
      <c r="B4" s="7">
        <f>IFERROR(ROUND(Dane!B4/10,2),"")</f>
        <v>9.3000000000000007</v>
      </c>
    </row>
    <row r="5" spans="1:2" x14ac:dyDescent="0.3">
      <c r="A5" s="6">
        <f>IFERROR(ROUND(ABS(Dane!C5-Dane!$F$2),2),"")</f>
        <v>11.75</v>
      </c>
      <c r="B5" s="7">
        <f>IFERROR(ROUND(Dane!B5/10,2),"")</f>
        <v>11.83</v>
      </c>
    </row>
    <row r="6" spans="1:2" x14ac:dyDescent="0.3">
      <c r="A6" s="6">
        <f>IFERROR(ROUND(ABS(Dane!C6-Dane!$F$2),2),"")</f>
        <v>10</v>
      </c>
      <c r="B6" s="7">
        <f>IFERROR(ROUND(Dane!B6/10,2),"")</f>
        <v>13.03</v>
      </c>
    </row>
    <row r="7" spans="1:2" x14ac:dyDescent="0.3">
      <c r="A7" s="6">
        <f>IFERROR(ROUND(ABS(Dane!C7-Dane!$F$2),2),"")</f>
        <v>9.15</v>
      </c>
      <c r="B7" s="7">
        <f>IFERROR(ROUND(Dane!B7/10,2),"")</f>
        <v>14.36</v>
      </c>
    </row>
    <row r="8" spans="1:2" x14ac:dyDescent="0.3">
      <c r="A8" s="6">
        <f>IFERROR(ROUND(ABS(Dane!C8-Dane!$F$2),2),"")</f>
        <v>7.51</v>
      </c>
      <c r="B8" s="7">
        <f>IFERROR(ROUND(Dane!B8/10,2),"")</f>
        <v>17.38</v>
      </c>
    </row>
    <row r="9" spans="1:2" x14ac:dyDescent="0.3">
      <c r="A9" s="6">
        <f>IFERROR(ROUND(ABS(Dane!C9-Dane!$F$2),2),"")</f>
        <v>10</v>
      </c>
      <c r="B9" s="7">
        <f>IFERROR(ROUND(Dane!B9/10,2),"")</f>
        <v>21.6</v>
      </c>
    </row>
    <row r="10" spans="1:2" x14ac:dyDescent="0.3">
      <c r="A10" s="6">
        <f>IFERROR(ROUND(ABS(Dane!C10-Dane!$F$2),2),"")</f>
        <v>18.71</v>
      </c>
      <c r="B10" s="7">
        <f>IFERROR(ROUND(Dane!B10/10,2),"")</f>
        <v>29.96</v>
      </c>
    </row>
    <row r="11" spans="1:2" x14ac:dyDescent="0.3">
      <c r="A11" s="6">
        <f>IFERROR(ROUND(ABS(Dane!C11-Dane!$F$2),2),"")</f>
        <v>20</v>
      </c>
      <c r="B11" s="7">
        <f>IFERROR(ROUND(Dane!B11/10,2),"")</f>
        <v>31.11</v>
      </c>
    </row>
    <row r="12" spans="1:2" x14ac:dyDescent="0.3">
      <c r="A12" s="6">
        <f>IFERROR(ROUND(ABS(Dane!C12-Dane!$F$2),2),"")</f>
        <v>21.78</v>
      </c>
      <c r="B12" s="7">
        <f>IFERROR(ROUND(Dane!B12/10,2),"")</f>
        <v>32.46</v>
      </c>
    </row>
    <row r="13" spans="1:2" x14ac:dyDescent="0.3">
      <c r="A13" s="6">
        <f>IFERROR(ROUND(ABS(Dane!C13-Dane!$F$2),2),"")</f>
        <v>23.85</v>
      </c>
      <c r="B13" s="7">
        <f>IFERROR(ROUND(Dane!B13/10,2),"")</f>
        <v>34.96</v>
      </c>
    </row>
    <row r="14" spans="1:2" x14ac:dyDescent="0.3">
      <c r="A14" s="6">
        <f>IFERROR(ROUND(ABS(Dane!C14-Dane!$F$2),2),"")</f>
        <v>30</v>
      </c>
      <c r="B14" s="7">
        <f>IFERROR(ROUND(Dane!B14/10,2),"")</f>
        <v>43.64</v>
      </c>
    </row>
    <row r="15" spans="1:2" x14ac:dyDescent="0.3">
      <c r="A15" s="6">
        <f>IFERROR(ROUND(ABS(Dane!C15-Dane!$F$2),2),"")</f>
        <v>34.82</v>
      </c>
      <c r="B15" s="7">
        <f>IFERROR(ROUND(Dane!B15/10,2),"")</f>
        <v>49.14</v>
      </c>
    </row>
    <row r="16" spans="1:2" x14ac:dyDescent="0.3">
      <c r="A16" s="6">
        <f>IFERROR(ROUND(ABS(Dane!C16-Dane!$F$2),2),"")</f>
        <v>40</v>
      </c>
      <c r="B16" s="7">
        <f>IFERROR(ROUND(Dane!B16/10,2),"")</f>
        <v>51.93</v>
      </c>
    </row>
    <row r="17" spans="1:2" x14ac:dyDescent="0.3">
      <c r="A17" s="6">
        <f>IFERROR(ROUND(ABS(Dane!C17-Dane!$F$2),2),"")</f>
        <v>44.8</v>
      </c>
      <c r="B17" s="7">
        <f>IFERROR(ROUND(Dane!B17/10,2),"")</f>
        <v>54.72</v>
      </c>
    </row>
    <row r="18" spans="1:2" x14ac:dyDescent="0.3">
      <c r="A18" s="6" t="str">
        <f>IFERROR(ROUND(ABS(Dane!C18-Dane!$F$2),2),"")</f>
        <v/>
      </c>
      <c r="B18" s="7" t="str">
        <f>IFERROR(ROUND(Dane!B18/10,2),"")</f>
        <v/>
      </c>
    </row>
    <row r="19" spans="1:2" x14ac:dyDescent="0.3">
      <c r="A19" s="6" t="str">
        <f>IFERROR(ROUND(ABS(Dane!C19-Dane!$F$2),2),"")</f>
        <v/>
      </c>
      <c r="B19" s="7" t="str">
        <f>IFERROR(ROUND(Dane!B19/10,2),"")</f>
        <v/>
      </c>
    </row>
    <row r="20" spans="1:2" x14ac:dyDescent="0.3">
      <c r="A20" s="6" t="str">
        <f>IFERROR(ROUND(ABS(Dane!C20-Dane!$F$2),2),"")</f>
        <v/>
      </c>
      <c r="B20" s="7" t="str">
        <f>IFERROR(ROUND(Dane!B20/10,2),"")</f>
        <v/>
      </c>
    </row>
    <row r="21" spans="1:2" x14ac:dyDescent="0.3">
      <c r="A21" s="6" t="str">
        <f>IFERROR(ROUND(ABS(Dane!C21-Dane!$F$2),2),"")</f>
        <v/>
      </c>
      <c r="B21" s="7" t="str">
        <f>IFERROR(ROUND(Dane!B21/10,2),"")</f>
        <v/>
      </c>
    </row>
    <row r="22" spans="1:2" x14ac:dyDescent="0.3">
      <c r="A22" s="6" t="str">
        <f>IFERROR(ROUND(ABS(Dane!C22-Dane!$F$2),2),"")</f>
        <v/>
      </c>
      <c r="B22" s="7" t="str">
        <f>IFERROR(ROUND(Dane!B22/10,2),"")</f>
        <v/>
      </c>
    </row>
    <row r="23" spans="1:2" x14ac:dyDescent="0.3">
      <c r="A23" s="6" t="str">
        <f>IFERROR(ROUND(ABS(Dane!C23-Dane!$F$2),2),"")</f>
        <v/>
      </c>
      <c r="B23" s="7" t="str">
        <f>IFERROR(ROUND(Dane!B23/10,2),"")</f>
        <v/>
      </c>
    </row>
    <row r="24" spans="1:2" x14ac:dyDescent="0.3">
      <c r="A24" s="6" t="str">
        <f>IFERROR(ROUND(ABS(Dane!C24-Dane!$F$2),2),"")</f>
        <v/>
      </c>
      <c r="B24" s="7" t="str">
        <f>IFERROR(ROUND(Dane!B24/10,2),"")</f>
        <v/>
      </c>
    </row>
    <row r="25" spans="1:2" x14ac:dyDescent="0.3">
      <c r="A25" s="6" t="str">
        <f>IFERROR(ROUND(ABS(Dane!C25-Dane!$F$2),2),"")</f>
        <v/>
      </c>
      <c r="B25" s="7" t="str">
        <f>IFERROR(ROUND(Dane!B25/10,2),"")</f>
        <v/>
      </c>
    </row>
    <row r="26" spans="1:2" x14ac:dyDescent="0.3">
      <c r="A26" s="6" t="str">
        <f>IFERROR(ROUND(ABS(Dane!C26-Dane!$F$2),2),"")</f>
        <v/>
      </c>
      <c r="B26" s="7" t="str">
        <f>IFERROR(ROUND(Dane!B26/10,2),"")</f>
        <v/>
      </c>
    </row>
    <row r="27" spans="1:2" x14ac:dyDescent="0.3">
      <c r="A27" s="6" t="str">
        <f>IFERROR(ROUND(ABS(Dane!C27-Dane!$F$2),2),"")</f>
        <v/>
      </c>
      <c r="B27" s="7" t="str">
        <f>IFERROR(ROUND(Dane!B27/10,2),"")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5205-8EB4-4E0B-A8A9-0C24D85418B4}">
  <dimension ref="A1:C27"/>
  <sheetViews>
    <sheetView topLeftCell="A10" workbookViewId="0">
      <selection activeCell="A27" sqref="A27"/>
    </sheetView>
  </sheetViews>
  <sheetFormatPr defaultRowHeight="14.4" x14ac:dyDescent="0.3"/>
  <cols>
    <col min="1" max="1" width="6" bestFit="1" customWidth="1"/>
    <col min="2" max="2" width="9.6640625" bestFit="1" customWidth="1"/>
    <col min="3" max="3" width="6.88671875" bestFit="1" customWidth="1"/>
  </cols>
  <sheetData>
    <row r="1" spans="1:3" x14ac:dyDescent="0.3">
      <c r="A1" s="10" t="str">
        <f>'x,y'!B1</f>
        <v>Xksy</v>
      </c>
      <c r="B1" s="10" t="s">
        <v>8</v>
      </c>
      <c r="C1" s="10" t="s">
        <v>9</v>
      </c>
    </row>
    <row r="2" spans="1:3" x14ac:dyDescent="0.3">
      <c r="A2" s="10">
        <f>'x,y'!B2</f>
        <v>0</v>
      </c>
      <c r="B2" s="11" t="str">
        <f>IF(Dane!B2="","","0+"&amp;Dane!B2)</f>
        <v>0+000,00</v>
      </c>
      <c r="C2" s="11">
        <f>IFERROR(ROUND(Dane!C2,2),"")</f>
        <v>533.70000000000005</v>
      </c>
    </row>
    <row r="3" spans="1:3" x14ac:dyDescent="0.3">
      <c r="A3" s="10">
        <f>'x,y'!B3</f>
        <v>3.51</v>
      </c>
      <c r="B3" s="11" t="str">
        <f>IF(Dane!B3="","","0+"&amp;Dane!B3)</f>
        <v>0+035,08</v>
      </c>
      <c r="C3" s="11">
        <f>IFERROR(ROUND(Dane!C3,2),"")</f>
        <v>530</v>
      </c>
    </row>
    <row r="4" spans="1:3" x14ac:dyDescent="0.3">
      <c r="A4" s="10">
        <f>'x,y'!B4</f>
        <v>9.3000000000000007</v>
      </c>
      <c r="B4" s="11" t="str">
        <f>IF(Dane!B4="","","0+"&amp;Dane!B4)</f>
        <v>0+092,98</v>
      </c>
      <c r="C4" s="11">
        <f>IFERROR(ROUND(Dane!C4,2),"")</f>
        <v>524.35</v>
      </c>
    </row>
    <row r="5" spans="1:3" x14ac:dyDescent="0.3">
      <c r="A5" s="10">
        <f>'x,y'!B5</f>
        <v>11.83</v>
      </c>
      <c r="B5" s="11" t="str">
        <f>IF(Dane!B5="","","0+"&amp;Dane!B5)</f>
        <v>0+118,29</v>
      </c>
      <c r="C5" s="11">
        <f>IFERROR(ROUND(Dane!C5,2),"")</f>
        <v>521.75</v>
      </c>
    </row>
    <row r="6" spans="1:3" x14ac:dyDescent="0.3">
      <c r="A6" s="10">
        <f>'x,y'!B6</f>
        <v>13.03</v>
      </c>
      <c r="B6" s="11" t="str">
        <f>IF(Dane!B6="","","0+"&amp;Dane!B6)</f>
        <v>0+130,33</v>
      </c>
      <c r="C6" s="11">
        <f>IFERROR(ROUND(Dane!C6,2),"")</f>
        <v>520</v>
      </c>
    </row>
    <row r="7" spans="1:3" x14ac:dyDescent="0.3">
      <c r="A7" s="10">
        <f>'x,y'!B7</f>
        <v>14.36</v>
      </c>
      <c r="B7" s="11" t="str">
        <f>IF(Dane!B7="","","0+"&amp;Dane!B7)</f>
        <v>0+143,59</v>
      </c>
      <c r="C7" s="11">
        <f>IFERROR(ROUND(Dane!C7,2),"")</f>
        <v>519.15</v>
      </c>
    </row>
    <row r="8" spans="1:3" x14ac:dyDescent="0.3">
      <c r="A8" s="10">
        <f>'x,y'!B8</f>
        <v>17.38</v>
      </c>
      <c r="B8" s="11" t="str">
        <f>IF(Dane!B8="","","0+"&amp;Dane!B8)</f>
        <v>0+173,83</v>
      </c>
      <c r="C8" s="11">
        <f>IFERROR(ROUND(Dane!C8,2),"")</f>
        <v>517.51</v>
      </c>
    </row>
    <row r="9" spans="1:3" x14ac:dyDescent="0.3">
      <c r="A9" s="10">
        <f>'x,y'!B9</f>
        <v>21.6</v>
      </c>
      <c r="B9" s="11" t="str">
        <f>IF(Dane!B9="","","0+"&amp;Dane!B9)</f>
        <v>0+215,95</v>
      </c>
      <c r="C9" s="11">
        <f>IFERROR(ROUND(Dane!C9,2),"")</f>
        <v>520</v>
      </c>
    </row>
    <row r="10" spans="1:3" x14ac:dyDescent="0.3">
      <c r="A10" s="10">
        <f>'x,y'!B10</f>
        <v>29.96</v>
      </c>
      <c r="B10" s="11" t="str">
        <f>IF(Dane!B10="","","0+"&amp;Dane!B10)</f>
        <v>0+299,61</v>
      </c>
      <c r="C10" s="11">
        <f>IFERROR(ROUND(Dane!C10,2),"")</f>
        <v>528.71</v>
      </c>
    </row>
    <row r="11" spans="1:3" x14ac:dyDescent="0.3">
      <c r="A11" s="10">
        <f>'x,y'!B11</f>
        <v>31.11</v>
      </c>
      <c r="B11" s="11" t="str">
        <f>IF(Dane!B11="","","0+"&amp;Dane!B11)</f>
        <v>0+311,13</v>
      </c>
      <c r="C11" s="11">
        <f>IFERROR(ROUND(Dane!C11,2),"")</f>
        <v>530</v>
      </c>
    </row>
    <row r="12" spans="1:3" x14ac:dyDescent="0.3">
      <c r="A12" s="10">
        <f>'x,y'!B12</f>
        <v>32.46</v>
      </c>
      <c r="B12" s="11" t="str">
        <f>IF(Dane!B12="","","0+"&amp;Dane!B12)</f>
        <v>0+324,61</v>
      </c>
      <c r="C12" s="11">
        <f>IFERROR(ROUND(Dane!C12,2),"")</f>
        <v>531.78</v>
      </c>
    </row>
    <row r="13" spans="1:3" x14ac:dyDescent="0.3">
      <c r="A13" s="10">
        <f>'x,y'!B13</f>
        <v>34.96</v>
      </c>
      <c r="B13" s="11" t="str">
        <f>IF(Dane!B13="","","0+"&amp;Dane!B13)</f>
        <v>0+349,61</v>
      </c>
      <c r="C13" s="11">
        <f>IFERROR(ROUND(Dane!C13,2),"")</f>
        <v>533.85</v>
      </c>
    </row>
    <row r="14" spans="1:3" x14ac:dyDescent="0.3">
      <c r="A14" s="10">
        <f>'x,y'!B14</f>
        <v>43.64</v>
      </c>
      <c r="B14" s="11" t="str">
        <f>IF(Dane!B14="","","0+"&amp;Dane!B14)</f>
        <v>0+436,41</v>
      </c>
      <c r="C14" s="11">
        <f>IFERROR(ROUND(Dane!C14,2),"")</f>
        <v>540</v>
      </c>
    </row>
    <row r="15" spans="1:3" x14ac:dyDescent="0.3">
      <c r="A15" s="10">
        <f>'x,y'!B15</f>
        <v>49.14</v>
      </c>
      <c r="B15" s="11" t="str">
        <f>IF(Dane!B15="","","0+"&amp;Dane!B15)</f>
        <v>0+491,41</v>
      </c>
      <c r="C15" s="11">
        <f>IFERROR(ROUND(Dane!C15,2),"")</f>
        <v>544.82000000000005</v>
      </c>
    </row>
    <row r="16" spans="1:3" x14ac:dyDescent="0.3">
      <c r="A16" s="10">
        <f>'x,y'!B16</f>
        <v>51.93</v>
      </c>
      <c r="B16" s="11" t="str">
        <f>IF(Dane!B16="","","0+"&amp;Dane!B16)</f>
        <v>0+519,29</v>
      </c>
      <c r="C16" s="11">
        <f>IFERROR(ROUND(Dane!C16,2),"")</f>
        <v>550</v>
      </c>
    </row>
    <row r="17" spans="1:3" x14ac:dyDescent="0.3">
      <c r="A17" s="10">
        <f>'x,y'!B17</f>
        <v>54.72</v>
      </c>
      <c r="B17" s="11" t="str">
        <f>IF(Dane!B17="","","0+"&amp;Dane!B17)</f>
        <v>0+547,17</v>
      </c>
      <c r="C17" s="11">
        <f>IFERROR(ROUND(Dane!C17,2),"")</f>
        <v>554.79999999999995</v>
      </c>
    </row>
    <row r="18" spans="1:3" x14ac:dyDescent="0.3">
      <c r="A18" s="10" t="str">
        <f>'x,y'!B18</f>
        <v/>
      </c>
      <c r="B18" s="11" t="str">
        <f>IF(Dane!B18="","","0+"&amp;Dane!B18)</f>
        <v/>
      </c>
      <c r="C18" s="11" t="str">
        <f>IFERROR(ROUND(Dane!C18,2),"")</f>
        <v/>
      </c>
    </row>
    <row r="19" spans="1:3" x14ac:dyDescent="0.3">
      <c r="A19" s="10" t="str">
        <f>'x,y'!B19</f>
        <v/>
      </c>
      <c r="B19" s="11" t="str">
        <f>IF(Dane!B19="","","0+"&amp;Dane!B19)</f>
        <v/>
      </c>
      <c r="C19" s="11" t="str">
        <f>IFERROR(ROUND(Dane!C19,2),"")</f>
        <v/>
      </c>
    </row>
    <row r="20" spans="1:3" x14ac:dyDescent="0.3">
      <c r="A20" s="10" t="str">
        <f>'x,y'!B20</f>
        <v/>
      </c>
      <c r="B20" s="11" t="str">
        <f>IF(Dane!B20="","","0+"&amp;Dane!B20)</f>
        <v/>
      </c>
      <c r="C20" s="11" t="str">
        <f>IFERROR(ROUND(Dane!C20,2),"")</f>
        <v/>
      </c>
    </row>
    <row r="21" spans="1:3" x14ac:dyDescent="0.3">
      <c r="A21" s="10" t="str">
        <f>'x,y'!B21</f>
        <v/>
      </c>
      <c r="B21" s="11" t="str">
        <f>IF(Dane!B21="","","0+"&amp;Dane!B21)</f>
        <v/>
      </c>
      <c r="C21" s="11" t="str">
        <f>IFERROR(ROUND(Dane!C21,2),"")</f>
        <v/>
      </c>
    </row>
    <row r="22" spans="1:3" x14ac:dyDescent="0.3">
      <c r="A22" s="10" t="str">
        <f>'x,y'!B22</f>
        <v/>
      </c>
      <c r="B22" s="11" t="str">
        <f>IF(Dane!B22="","","0+"&amp;Dane!B22)</f>
        <v/>
      </c>
      <c r="C22" s="11" t="str">
        <f>IFERROR(ROUND(Dane!C22,2),"")</f>
        <v/>
      </c>
    </row>
    <row r="23" spans="1:3" x14ac:dyDescent="0.3">
      <c r="A23" s="10" t="str">
        <f>'x,y'!B23</f>
        <v/>
      </c>
      <c r="B23" s="11" t="str">
        <f>IF(Dane!B23="","","0+"&amp;Dane!B23)</f>
        <v/>
      </c>
      <c r="C23" s="11" t="str">
        <f>IFERROR(ROUND(Dane!C23,2),"")</f>
        <v/>
      </c>
    </row>
    <row r="24" spans="1:3" x14ac:dyDescent="0.3">
      <c r="A24" s="10" t="str">
        <f>'x,y'!B24</f>
        <v/>
      </c>
      <c r="B24" s="11" t="str">
        <f>IF(Dane!B24="","","0+"&amp;Dane!B24)</f>
        <v/>
      </c>
      <c r="C24" s="11" t="str">
        <f>IFERROR(ROUND(Dane!C24,2),"")</f>
        <v/>
      </c>
    </row>
    <row r="25" spans="1:3" x14ac:dyDescent="0.3">
      <c r="A25" s="10" t="str">
        <f>'x,y'!B25</f>
        <v/>
      </c>
      <c r="B25" s="11" t="str">
        <f>IF(Dane!B25="","","0+"&amp;Dane!B25)</f>
        <v/>
      </c>
      <c r="C25" s="11" t="str">
        <f>IFERROR(ROUND(Dane!C25,2),"")</f>
        <v/>
      </c>
    </row>
    <row r="26" spans="1:3" x14ac:dyDescent="0.3">
      <c r="A26" s="10" t="str">
        <f>'x,y'!B26</f>
        <v/>
      </c>
      <c r="B26" s="11" t="str">
        <f>IF(Dane!B26="","","0+"&amp;Dane!B26)</f>
        <v/>
      </c>
      <c r="C26" s="11" t="str">
        <f>IFERROR(ROUND(Dane!C26,2),"")</f>
        <v/>
      </c>
    </row>
    <row r="27" spans="1:3" x14ac:dyDescent="0.3">
      <c r="A27" s="10" t="str">
        <f>'x,y'!B27</f>
        <v/>
      </c>
      <c r="B27" s="11" t="str">
        <f>IF(Dane!B27="","","0+"&amp;Dane!B27)</f>
        <v/>
      </c>
      <c r="C27" s="11" t="str">
        <f>IFERROR(ROUND(Dane!C27,2),"")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2095-4AC7-4081-9D87-D6489F3446E7}">
  <dimension ref="A1:F29"/>
  <sheetViews>
    <sheetView workbookViewId="0">
      <selection activeCell="D25" sqref="D25"/>
    </sheetView>
  </sheetViews>
  <sheetFormatPr defaultRowHeight="14.4" x14ac:dyDescent="0.3"/>
  <cols>
    <col min="1" max="1" width="8.6640625" customWidth="1"/>
    <col min="4" max="4" width="11.33203125" bestFit="1" customWidth="1"/>
    <col min="6" max="6" width="9.109375" bestFit="1" customWidth="1"/>
  </cols>
  <sheetData>
    <row r="1" spans="1:6" x14ac:dyDescent="0.3">
      <c r="A1" s="10" t="s">
        <v>4</v>
      </c>
      <c r="B1" s="10" t="s">
        <v>1</v>
      </c>
      <c r="C1" t="s">
        <v>10</v>
      </c>
      <c r="D1" t="s">
        <v>11</v>
      </c>
    </row>
    <row r="2" spans="1:6" x14ac:dyDescent="0.3">
      <c r="A2" t="s">
        <v>12</v>
      </c>
      <c r="B2">
        <v>0</v>
      </c>
      <c r="C2">
        <f>COUNT(B2:B27)</f>
        <v>8</v>
      </c>
      <c r="E2" s="10" t="str">
        <f>IF(OR(Dane!D2="PŁ1",Dane!D2="PŁ2",Dane!D2="PŁ3",Dane!D2="PŁ4",Dane!D2="PŁ5",Dane!D2="PŁ6",Dane!D2="KŁ1",Dane!D2="KŁ2",Dane!D2="KŁ3",Dane!D2="KŁ4",Dane!D2="KŁ5",Dane!D2="KŁ6"),Dane!D2,"")</f>
        <v/>
      </c>
      <c r="F2" s="10" t="str">
        <f>IFERROR(ROUND(IF(OR(Dane!D2="PŁ1",Dane!D2="PŁ2",Dane!D2="PŁ3",Dane!D2="PŁ4",Dane!D2="PŁ5",Dane!D2="PŁ6",Dane!D2="KŁ1",Dane!D2="KŁ2",Dane!D2="KŁ3",Dane!D2="KŁ4",Dane!D2="KŁ5",Dane!D2="KŁ6"),Dane!B2,"")/10,2),"")</f>
        <v/>
      </c>
    </row>
    <row r="3" spans="1:6" x14ac:dyDescent="0.3">
      <c r="A3" t="str" cm="1">
        <f t="array" ref="A3:B29">_xlfn._xlws.SORT(E2:F28,2,1,FALSE)</f>
        <v>PŁ1</v>
      </c>
      <c r="B3">
        <v>9.3000000000000007</v>
      </c>
      <c r="E3" s="10" t="str">
        <f>IF(OR(Dane!D3="PŁ1",Dane!D3="PŁ2",Dane!D3="PŁ3",Dane!D3="PŁ4",Dane!D3="PŁ5",Dane!D3="PŁ6",Dane!D3="KŁ1",Dane!D3="KŁ2",Dane!D3="KŁ3",Dane!D3="KŁ4",Dane!D3="KŁ5",Dane!D3="KŁ6"),Dane!D3,"")</f>
        <v/>
      </c>
      <c r="F3" s="10" t="str">
        <f>IFERROR(ROUND(IF(OR(Dane!D3="PŁ1",Dane!D3="PŁ2",Dane!D3="PŁ3",Dane!D3="PŁ4",Dane!D3="PŁ5",Dane!D3="PŁ6",Dane!D3="KŁ1",Dane!D3="KŁ2",Dane!D3="KŁ3",Dane!D3="KŁ4",Dane!D3="KŁ5",Dane!D3="KŁ6"),Dane!B3,"")/10,2),"")</f>
        <v/>
      </c>
    </row>
    <row r="4" spans="1:6" x14ac:dyDescent="0.3">
      <c r="A4" t="str">
        <v>KŁ1</v>
      </c>
      <c r="B4">
        <v>14.36</v>
      </c>
      <c r="E4" s="10" t="str">
        <f>IF(OR(Dane!D4="PŁ1",Dane!D4="PŁ2",Dane!D4="PŁ3",Dane!D4="PŁ4",Dane!D4="PŁ5",Dane!D4="PŁ6",Dane!D4="KŁ1",Dane!D4="KŁ2",Dane!D4="KŁ3",Dane!D4="KŁ4",Dane!D4="KŁ5",Dane!D4="KŁ6"),Dane!D4,"")</f>
        <v>PŁ1</v>
      </c>
      <c r="F4" s="10">
        <f>IFERROR(ROUND(IF(OR(Dane!D4="PŁ1",Dane!D4="PŁ2",Dane!D4="PŁ3",Dane!D4="PŁ4",Dane!D4="PŁ5",Dane!D4="PŁ6",Dane!D4="KŁ1",Dane!D4="KŁ2",Dane!D4="KŁ3",Dane!D4="KŁ4",Dane!D4="KŁ5",Dane!D4="KŁ6"),Dane!B4,"")/10,2),"")</f>
        <v>9.3000000000000007</v>
      </c>
    </row>
    <row r="5" spans="1:6" x14ac:dyDescent="0.3">
      <c r="A5" t="str">
        <v>PŁ2</v>
      </c>
      <c r="B5">
        <v>29.96</v>
      </c>
      <c r="E5" s="10" t="str">
        <f>IF(OR(Dane!D5="PŁ1",Dane!D5="PŁ2",Dane!D5="PŁ3",Dane!D5="PŁ4",Dane!D5="PŁ5",Dane!D5="PŁ6",Dane!D5="KŁ1",Dane!D5="KŁ2",Dane!D5="KŁ3",Dane!D5="KŁ4",Dane!D5="KŁ5",Dane!D5="KŁ6"),Dane!D5,"")</f>
        <v/>
      </c>
      <c r="F5" s="10" t="str">
        <f>IFERROR(ROUND(IF(OR(Dane!D5="PŁ1",Dane!D5="PŁ2",Dane!D5="PŁ3",Dane!D5="PŁ4",Dane!D5="PŁ5",Dane!D5="PŁ6",Dane!D5="KŁ1",Dane!D5="KŁ2",Dane!D5="KŁ3",Dane!D5="KŁ4",Dane!D5="KŁ5",Dane!D5="KŁ6"),Dane!B5,"")/10,2),"")</f>
        <v/>
      </c>
    </row>
    <row r="6" spans="1:6" x14ac:dyDescent="0.3">
      <c r="A6" t="str">
        <v>KŁ2</v>
      </c>
      <c r="B6">
        <v>34.96</v>
      </c>
      <c r="E6" s="10" t="str">
        <f>IF(OR(Dane!D6="PŁ1",Dane!D6="PŁ2",Dane!D6="PŁ3",Dane!D6="PŁ4",Dane!D6="PŁ5",Dane!D6="PŁ6",Dane!D6="KŁ1",Dane!D6="KŁ2",Dane!D6="KŁ3",Dane!D6="KŁ4",Dane!D6="KŁ5",Dane!D6="KŁ6"),Dane!D6,"")</f>
        <v/>
      </c>
      <c r="F6" s="10" t="str">
        <f>IFERROR(ROUND(IF(OR(Dane!D6="PŁ1",Dane!D6="PŁ2",Dane!D6="PŁ3",Dane!D6="PŁ4",Dane!D6="PŁ5",Dane!D6="PŁ6",Dane!D6="KŁ1",Dane!D6="KŁ2",Dane!D6="KŁ3",Dane!D6="KŁ4",Dane!D6="KŁ5",Dane!D6="KŁ6"),Dane!B6,"")/10,2),"")</f>
        <v/>
      </c>
    </row>
    <row r="7" spans="1:6" x14ac:dyDescent="0.3">
      <c r="A7" t="str">
        <v>PŁ3</v>
      </c>
      <c r="B7">
        <v>49.14</v>
      </c>
      <c r="E7" s="10" t="str">
        <f>IF(OR(Dane!D7="PŁ1",Dane!D7="PŁ2",Dane!D7="PŁ3",Dane!D7="PŁ4",Dane!D7="PŁ5",Dane!D7="PŁ6",Dane!D7="KŁ1",Dane!D7="KŁ2",Dane!D7="KŁ3",Dane!D7="KŁ4",Dane!D7="KŁ5",Dane!D7="KŁ6"),Dane!D7,"")</f>
        <v>KŁ1</v>
      </c>
      <c r="F7" s="10">
        <f>IFERROR(ROUND(IF(OR(Dane!D7="PŁ1",Dane!D7="PŁ2",Dane!D7="PŁ3",Dane!D7="PŁ4",Dane!D7="PŁ5",Dane!D7="PŁ6",Dane!D7="KŁ1",Dane!D7="KŁ2",Dane!D7="KŁ3",Dane!D7="KŁ4",Dane!D7="KŁ5",Dane!D7="KŁ6"),Dane!B7,"")/10,2),"")</f>
        <v>14.36</v>
      </c>
    </row>
    <row r="8" spans="1:6" x14ac:dyDescent="0.3">
      <c r="A8" t="str">
        <v>KŁ3</v>
      </c>
      <c r="B8">
        <v>54.72</v>
      </c>
      <c r="E8" s="10" t="str">
        <f>IF(OR(Dane!D8="PŁ1",Dane!D8="PŁ2",Dane!D8="PŁ3",Dane!D8="PŁ4",Dane!D8="PŁ5",Dane!D8="PŁ6",Dane!D8="KŁ1",Dane!D8="KŁ2",Dane!D8="KŁ3",Dane!D8="KŁ4",Dane!D8="KŁ5",Dane!D8="KŁ6"),Dane!D8,"")</f>
        <v/>
      </c>
      <c r="F8" s="10" t="str">
        <f>IFERROR(ROUND(IF(OR(Dane!D8="PŁ1",Dane!D8="PŁ2",Dane!D8="PŁ3",Dane!D8="PŁ4",Dane!D8="PŁ5",Dane!D8="PŁ6",Dane!D8="KŁ1",Dane!D8="KŁ2",Dane!D8="KŁ3",Dane!D8="KŁ4",Dane!D8="KŁ5",Dane!D8="KŁ6"),Dane!B8,"")/10,2),"")</f>
        <v/>
      </c>
    </row>
    <row r="9" spans="1:6" x14ac:dyDescent="0.3">
      <c r="A9" t="str">
        <v>PT</v>
      </c>
      <c r="B9">
        <v>547.16999999999996</v>
      </c>
      <c r="E9" s="10" t="str">
        <f>IF(OR(Dane!D9="PŁ1",Dane!D9="PŁ2",Dane!D9="PŁ3",Dane!D9="PŁ4",Dane!D9="PŁ5",Dane!D9="PŁ6",Dane!D9="KŁ1",Dane!D9="KŁ2",Dane!D9="KŁ3",Dane!D9="KŁ4",Dane!D9="KŁ5",Dane!D9="KŁ6"),Dane!D9,"")</f>
        <v/>
      </c>
      <c r="F9" s="10" t="str">
        <f>IFERROR(ROUND(IF(OR(Dane!D9="PŁ1",Dane!D9="PŁ2",Dane!D9="PŁ3",Dane!D9="PŁ4",Dane!D9="PŁ5",Dane!D9="PŁ6",Dane!D9="KŁ1",Dane!D9="KŁ2",Dane!D9="KŁ3",Dane!D9="KŁ4",Dane!D9="KŁ5",Dane!D9="KŁ6"),Dane!B9,"")/10,2),"")</f>
        <v/>
      </c>
    </row>
    <row r="10" spans="1:6" x14ac:dyDescent="0.3">
      <c r="A10" t="str">
        <v/>
      </c>
      <c r="B10" t="str">
        <v/>
      </c>
      <c r="E10" s="10" t="str">
        <f>IF(OR(Dane!D10="PŁ1",Dane!D10="PŁ2",Dane!D10="PŁ3",Dane!D10="PŁ4",Dane!D10="PŁ5",Dane!D10="PŁ6",Dane!D10="KŁ1",Dane!D10="KŁ2",Dane!D10="KŁ3",Dane!D10="KŁ4",Dane!D10="KŁ5",Dane!D10="KŁ6"),Dane!D10,"")</f>
        <v>PŁ2</v>
      </c>
      <c r="F10" s="10">
        <f>IFERROR(ROUND(IF(OR(Dane!D10="PŁ1",Dane!D10="PŁ2",Dane!D10="PŁ3",Dane!D10="PŁ4",Dane!D10="PŁ5",Dane!D10="PŁ6",Dane!D10="KŁ1",Dane!D10="KŁ2",Dane!D10="KŁ3",Dane!D10="KŁ4",Dane!D10="KŁ5",Dane!D10="KŁ6"),Dane!B10,"")/10,2),"")</f>
        <v>29.96</v>
      </c>
    </row>
    <row r="11" spans="1:6" x14ac:dyDescent="0.3">
      <c r="A11" t="str">
        <v/>
      </c>
      <c r="B11" t="str">
        <v/>
      </c>
      <c r="E11" s="10" t="str">
        <f>IF(OR(Dane!D11="PŁ1",Dane!D11="PŁ2",Dane!D11="PŁ3",Dane!D11="PŁ4",Dane!D11="PŁ5",Dane!D11="PŁ6",Dane!D11="KŁ1",Dane!D11="KŁ2",Dane!D11="KŁ3",Dane!D11="KŁ4",Dane!D11="KŁ5",Dane!D11="KŁ6"),Dane!D11,"")</f>
        <v/>
      </c>
      <c r="F11" s="10" t="str">
        <f>IFERROR(ROUND(IF(OR(Dane!D11="PŁ1",Dane!D11="PŁ2",Dane!D11="PŁ3",Dane!D11="PŁ4",Dane!D11="PŁ5",Dane!D11="PŁ6",Dane!D11="KŁ1",Dane!D11="KŁ2",Dane!D11="KŁ3",Dane!D11="KŁ4",Dane!D11="KŁ5",Dane!D11="KŁ6"),Dane!B11,"")/10,2),"")</f>
        <v/>
      </c>
    </row>
    <row r="12" spans="1:6" x14ac:dyDescent="0.3">
      <c r="A12" t="str">
        <v/>
      </c>
      <c r="B12" t="str">
        <v/>
      </c>
      <c r="E12" s="10" t="str">
        <f>IF(OR(Dane!D12="PŁ1",Dane!D12="PŁ2",Dane!D12="PŁ3",Dane!D12="PŁ4",Dane!D12="PŁ5",Dane!D12="PŁ6",Dane!D12="KŁ1",Dane!D12="KŁ2",Dane!D12="KŁ3",Dane!D12="KŁ4",Dane!D12="KŁ5",Dane!D12="KŁ6"),Dane!D12,"")</f>
        <v/>
      </c>
      <c r="F12" s="10" t="str">
        <f>IFERROR(ROUND(IF(OR(Dane!D12="PŁ1",Dane!D12="PŁ2",Dane!D12="PŁ3",Dane!D12="PŁ4",Dane!D12="PŁ5",Dane!D12="PŁ6",Dane!D12="KŁ1",Dane!D12="KŁ2",Dane!D12="KŁ3",Dane!D12="KŁ4",Dane!D12="KŁ5",Dane!D12="KŁ6"),Dane!B12,"")/10,2),"")</f>
        <v/>
      </c>
    </row>
    <row r="13" spans="1:6" x14ac:dyDescent="0.3">
      <c r="A13" t="str">
        <v/>
      </c>
      <c r="B13" t="str">
        <v/>
      </c>
      <c r="E13" s="10" t="str">
        <f>IF(OR(Dane!D13="PŁ1",Dane!D13="PŁ2",Dane!D13="PŁ3",Dane!D13="PŁ4",Dane!D13="PŁ5",Dane!D13="PŁ6",Dane!D13="KŁ1",Dane!D13="KŁ2",Dane!D13="KŁ3",Dane!D13="KŁ4",Dane!D13="KŁ5",Dane!D13="KŁ6"),Dane!D13,"")</f>
        <v>KŁ2</v>
      </c>
      <c r="F13" s="10">
        <f>IFERROR(ROUND(IF(OR(Dane!D13="PŁ1",Dane!D13="PŁ2",Dane!D13="PŁ3",Dane!D13="PŁ4",Dane!D13="PŁ5",Dane!D13="PŁ6",Dane!D13="KŁ1",Dane!D13="KŁ2",Dane!D13="KŁ3",Dane!D13="KŁ4",Dane!D13="KŁ5",Dane!D13="KŁ6"),Dane!B13,"")/10,2),"")</f>
        <v>34.96</v>
      </c>
    </row>
    <row r="14" spans="1:6" x14ac:dyDescent="0.3">
      <c r="A14" t="str">
        <v/>
      </c>
      <c r="B14" t="str">
        <v/>
      </c>
      <c r="E14" s="10" t="str">
        <f>IF(OR(Dane!D14="PŁ1",Dane!D14="PŁ2",Dane!D14="PŁ3",Dane!D14="PŁ4",Dane!D14="PŁ5",Dane!D14="PŁ6",Dane!D14="KŁ1",Dane!D14="KŁ2",Dane!D14="KŁ3",Dane!D14="KŁ4",Dane!D14="KŁ5",Dane!D14="KŁ6"),Dane!D14,"")</f>
        <v/>
      </c>
      <c r="F14" s="10" t="str">
        <f>IFERROR(ROUND(IF(OR(Dane!D14="PŁ1",Dane!D14="PŁ2",Dane!D14="PŁ3",Dane!D14="PŁ4",Dane!D14="PŁ5",Dane!D14="PŁ6",Dane!D14="KŁ1",Dane!D14="KŁ2",Dane!D14="KŁ3",Dane!D14="KŁ4",Dane!D14="KŁ5",Dane!D14="KŁ6"),Dane!B14,"")/10,2),"")</f>
        <v/>
      </c>
    </row>
    <row r="15" spans="1:6" x14ac:dyDescent="0.3">
      <c r="A15" t="str">
        <v/>
      </c>
      <c r="B15" t="str">
        <v/>
      </c>
      <c r="E15" s="10" t="str">
        <f>IF(OR(Dane!D15="PŁ1",Dane!D15="PŁ2",Dane!D15="PŁ3",Dane!D15="PŁ4",Dane!D15="PŁ5",Dane!D15="PŁ6",Dane!D15="KŁ1",Dane!D15="KŁ2",Dane!D15="KŁ3",Dane!D15="KŁ4",Dane!D15="KŁ5",Dane!D15="KŁ6"),Dane!D15,"")</f>
        <v>PŁ3</v>
      </c>
      <c r="F15" s="10">
        <f>IFERROR(ROUND(IF(OR(Dane!D15="PŁ1",Dane!D15="PŁ2",Dane!D15="PŁ3",Dane!D15="PŁ4",Dane!D15="PŁ5",Dane!D15="PŁ6",Dane!D15="KŁ1",Dane!D15="KŁ2",Dane!D15="KŁ3",Dane!D15="KŁ4",Dane!D15="KŁ5",Dane!D15="KŁ6"),Dane!B15,"")/10,2),"")</f>
        <v>49.14</v>
      </c>
    </row>
    <row r="16" spans="1:6" x14ac:dyDescent="0.3">
      <c r="A16" t="str">
        <v/>
      </c>
      <c r="B16" t="str">
        <v/>
      </c>
      <c r="E16" s="10" t="str">
        <f>IF(OR(Dane!D16="PŁ1",Dane!D16="PŁ2",Dane!D16="PŁ3",Dane!D16="PŁ4",Dane!D16="PŁ5",Dane!D16="PŁ6",Dane!D16="KŁ1",Dane!D16="KŁ2",Dane!D16="KŁ3",Dane!D16="KŁ4",Dane!D16="KŁ5",Dane!D16="KŁ6"),Dane!D16,"")</f>
        <v/>
      </c>
      <c r="F16" s="10" t="str">
        <f>IFERROR(ROUND(IF(OR(Dane!D16="PŁ1",Dane!D16="PŁ2",Dane!D16="PŁ3",Dane!D16="PŁ4",Dane!D16="PŁ5",Dane!D16="PŁ6",Dane!D16="KŁ1",Dane!D16="KŁ2",Dane!D16="KŁ3",Dane!D16="KŁ4",Dane!D16="KŁ5",Dane!D16="KŁ6"),Dane!B16,"")/10,2),"")</f>
        <v/>
      </c>
    </row>
    <row r="17" spans="1:6" x14ac:dyDescent="0.3">
      <c r="A17" t="str">
        <v/>
      </c>
      <c r="B17" t="str">
        <v/>
      </c>
      <c r="E17" s="10" t="str">
        <f>IF(OR(Dane!D17="PŁ1",Dane!D17="PŁ2",Dane!D17="PŁ3",Dane!D17="PŁ4",Dane!D17="PŁ5",Dane!D17="PŁ6",Dane!D17="KŁ1",Dane!D17="KŁ2",Dane!D17="KŁ3",Dane!D17="KŁ4",Dane!D17="KŁ5",Dane!D17="KŁ6"),Dane!D17,"")</f>
        <v>KŁ3</v>
      </c>
      <c r="F17" s="10">
        <f>IFERROR(ROUND(IF(OR(Dane!D17="PŁ1",Dane!D17="PŁ2",Dane!D17="PŁ3",Dane!D17="PŁ4",Dane!D17="PŁ5",Dane!D17="PŁ6",Dane!D17="KŁ1",Dane!D17="KŁ2",Dane!D17="KŁ3",Dane!D17="KŁ4",Dane!D17="KŁ5",Dane!D17="KŁ6"),Dane!B17,"")/10,2),"")</f>
        <v>54.72</v>
      </c>
    </row>
    <row r="18" spans="1:6" x14ac:dyDescent="0.3">
      <c r="A18" t="str">
        <v/>
      </c>
      <c r="B18" t="str">
        <v/>
      </c>
      <c r="E18" s="10" t="str">
        <f>IF(OR(Dane!D18="PŁ1",Dane!D18="PŁ2",Dane!D18="PŁ3",Dane!D18="PŁ4",Dane!D18="PŁ5",Dane!D18="PŁ6",Dane!D18="KŁ1",Dane!D18="KŁ2",Dane!D18="KŁ3",Dane!D18="KŁ4",Dane!D18="KŁ5",Dane!D18="KŁ6"),Dane!D18,"")</f>
        <v/>
      </c>
      <c r="F18" s="10" t="str">
        <f>IFERROR(ROUND(IF(OR(Dane!D18="PŁ1",Dane!D18="PŁ2",Dane!D18="PŁ3",Dane!D18="PŁ4",Dane!D18="PŁ5",Dane!D18="PŁ6",Dane!D18="KŁ1",Dane!D18="KŁ2",Dane!D18="KŁ3",Dane!D18="KŁ4",Dane!D18="KŁ5",Dane!D18="KŁ6"),Dane!B18,"")/10,2),"")</f>
        <v/>
      </c>
    </row>
    <row r="19" spans="1:6" x14ac:dyDescent="0.3">
      <c r="A19" t="str">
        <v/>
      </c>
      <c r="B19" t="str">
        <v/>
      </c>
      <c r="E19" s="10" t="str">
        <f>IF(OR(Dane!D19="PŁ1",Dane!D19="PŁ2",Dane!D19="PŁ3",Dane!D19="PŁ4",Dane!D19="PŁ5",Dane!D19="PŁ6",Dane!D19="KŁ1",Dane!D19="KŁ2",Dane!D19="KŁ3",Dane!D19="KŁ4",Dane!D19="KŁ5",Dane!D19="KŁ6"),Dane!D19,"")</f>
        <v/>
      </c>
      <c r="F19" s="10" t="str">
        <f>IFERROR(ROUND(IF(OR(Dane!D19="PŁ1",Dane!D19="PŁ2",Dane!D19="PŁ3",Dane!D19="PŁ4",Dane!D19="PŁ5",Dane!D19="PŁ6",Dane!D19="KŁ1",Dane!D19="KŁ2",Dane!D19="KŁ3",Dane!D19="KŁ4",Dane!D19="KŁ5",Dane!D19="KŁ6"),Dane!B19,"")/10,2),"")</f>
        <v/>
      </c>
    </row>
    <row r="20" spans="1:6" x14ac:dyDescent="0.3">
      <c r="A20" t="str">
        <v/>
      </c>
      <c r="B20" t="str">
        <v/>
      </c>
      <c r="E20" s="10" t="str">
        <f>IF(OR(Dane!D20="PŁ1",Dane!D20="PŁ2",Dane!D20="PŁ3",Dane!D20="PŁ4",Dane!D20="PŁ5",Dane!D20="PŁ6",Dane!D20="KŁ1",Dane!D20="KŁ2",Dane!D20="KŁ3",Dane!D20="KŁ4",Dane!D20="KŁ5",Dane!D20="KŁ6"),Dane!D20,"")</f>
        <v/>
      </c>
      <c r="F20" s="10" t="str">
        <f>IFERROR(ROUND(IF(OR(Dane!D20="PŁ1",Dane!D20="PŁ2",Dane!D20="PŁ3",Dane!D20="PŁ4",Dane!D20="PŁ5",Dane!D20="PŁ6",Dane!D20="KŁ1",Dane!D20="KŁ2",Dane!D20="KŁ3",Dane!D20="KŁ4",Dane!D20="KŁ5",Dane!D20="KŁ6"),Dane!B20,"")/10,2),"")</f>
        <v/>
      </c>
    </row>
    <row r="21" spans="1:6" x14ac:dyDescent="0.3">
      <c r="A21" t="str">
        <v/>
      </c>
      <c r="B21" t="str">
        <v/>
      </c>
      <c r="E21" s="10" t="str">
        <f>IF(OR(Dane!D21="PŁ1",Dane!D21="PŁ2",Dane!D21="PŁ3",Dane!D21="PŁ4",Dane!D21="PŁ5",Dane!D21="PŁ6",Dane!D21="KŁ1",Dane!D21="KŁ2",Dane!D21="KŁ3",Dane!D21="KŁ4",Dane!D21="KŁ5",Dane!D21="KŁ6"),Dane!D21,"")</f>
        <v/>
      </c>
      <c r="F21" s="10" t="str">
        <f>IFERROR(ROUND(IF(OR(Dane!D21="PŁ1",Dane!D21="PŁ2",Dane!D21="PŁ3",Dane!D21="PŁ4",Dane!D21="PŁ5",Dane!D21="PŁ6",Dane!D21="KŁ1",Dane!D21="KŁ2",Dane!D21="KŁ3",Dane!D21="KŁ4",Dane!D21="KŁ5",Dane!D21="KŁ6"),Dane!B21,"")/10,2),"")</f>
        <v/>
      </c>
    </row>
    <row r="22" spans="1:6" x14ac:dyDescent="0.3">
      <c r="A22" t="str">
        <v/>
      </c>
      <c r="B22" t="str">
        <v/>
      </c>
      <c r="E22" s="10" t="str">
        <f>IF(OR(Dane!D22="PŁ1",Dane!D22="PŁ2",Dane!D22="PŁ3",Dane!D22="PŁ4",Dane!D22="PŁ5",Dane!D22="PŁ6",Dane!D22="KŁ1",Dane!D22="KŁ2",Dane!D22="KŁ3",Dane!D22="KŁ4",Dane!D22="KŁ5",Dane!D22="KŁ6"),Dane!D22,"")</f>
        <v/>
      </c>
      <c r="F22" s="10" t="str">
        <f>IFERROR(ROUND(IF(OR(Dane!D22="PŁ1",Dane!D22="PŁ2",Dane!D22="PŁ3",Dane!D22="PŁ4",Dane!D22="PŁ5",Dane!D22="PŁ6",Dane!D22="KŁ1",Dane!D22="KŁ2",Dane!D22="KŁ3",Dane!D22="KŁ4",Dane!D22="KŁ5",Dane!D22="KŁ6"),Dane!B22,"")/10,2),"")</f>
        <v/>
      </c>
    </row>
    <row r="23" spans="1:6" x14ac:dyDescent="0.3">
      <c r="A23" t="str">
        <v/>
      </c>
      <c r="B23" t="str">
        <v/>
      </c>
      <c r="E23" s="10" t="str">
        <f>IF(OR(Dane!D23="PŁ1",Dane!D23="PŁ2",Dane!D23="PŁ3",Dane!D23="PŁ4",Dane!D23="PŁ5",Dane!D23="PŁ6",Dane!D23="KŁ1",Dane!D23="KŁ2",Dane!D23="KŁ3",Dane!D23="KŁ4",Dane!D23="KŁ5",Dane!D23="KŁ6"),Dane!D23,"")</f>
        <v/>
      </c>
      <c r="F23" s="10" t="str">
        <f>IFERROR(ROUND(IF(OR(Dane!D23="PŁ1",Dane!D23="PŁ2",Dane!D23="PŁ3",Dane!D23="PŁ4",Dane!D23="PŁ5",Dane!D23="PŁ6",Dane!D23="KŁ1",Dane!D23="KŁ2",Dane!D23="KŁ3",Dane!D23="KŁ4",Dane!D23="KŁ5",Dane!D23="KŁ6"),Dane!B23,"")/10,2),"")</f>
        <v/>
      </c>
    </row>
    <row r="24" spans="1:6" x14ac:dyDescent="0.3">
      <c r="A24" t="str">
        <v/>
      </c>
      <c r="B24" t="str">
        <v/>
      </c>
      <c r="E24" s="10" t="str">
        <f>IF(OR(Dane!D24="PŁ1",Dane!D24="PŁ2",Dane!D24="PŁ3",Dane!D24="PŁ4",Dane!D24="PŁ5",Dane!D24="PŁ6",Dane!D24="KŁ1",Dane!D24="KŁ2",Dane!D24="KŁ3",Dane!D24="KŁ4",Dane!D24="KŁ5",Dane!D24="KŁ6"),Dane!D24,"")</f>
        <v/>
      </c>
      <c r="F24" s="10" t="str">
        <f>IFERROR(ROUND(IF(OR(Dane!D24="PŁ1",Dane!D24="PŁ2",Dane!D24="PŁ3",Dane!D24="PŁ4",Dane!D24="PŁ5",Dane!D24="PŁ6",Dane!D24="KŁ1",Dane!D24="KŁ2",Dane!D24="KŁ3",Dane!D24="KŁ4",Dane!D24="KŁ5",Dane!D24="KŁ6"),Dane!B24,"")/10,2),"")</f>
        <v/>
      </c>
    </row>
    <row r="25" spans="1:6" x14ac:dyDescent="0.3">
      <c r="A25" t="str">
        <v/>
      </c>
      <c r="B25" t="str">
        <v/>
      </c>
      <c r="E25" s="10" t="str">
        <f>IF(OR(Dane!D25="PŁ1",Dane!D25="PŁ2",Dane!D25="PŁ3",Dane!D25="PŁ4",Dane!D25="PŁ5",Dane!D25="PŁ6",Dane!D25="KŁ1",Dane!D25="KŁ2",Dane!D25="KŁ3",Dane!D25="KŁ4",Dane!D25="KŁ5",Dane!D25="KŁ6"),Dane!D25,"")</f>
        <v/>
      </c>
      <c r="F25" s="10" t="str">
        <f>IFERROR(ROUND(IF(OR(Dane!D25="PŁ1",Dane!D25="PŁ2",Dane!D25="PŁ3",Dane!D25="PŁ4",Dane!D25="PŁ5",Dane!D25="PŁ6",Dane!D25="KŁ1",Dane!D25="KŁ2",Dane!D25="KŁ3",Dane!D25="KŁ4",Dane!D25="KŁ5",Dane!D25="KŁ6"),Dane!B25,"")/10,2),"")</f>
        <v/>
      </c>
    </row>
    <row r="26" spans="1:6" x14ac:dyDescent="0.3">
      <c r="A26" t="str">
        <v/>
      </c>
      <c r="B26" t="str">
        <v/>
      </c>
      <c r="E26" s="10" t="str">
        <f>IF(OR(Dane!D26="PŁ1",Dane!D26="PŁ2",Dane!D26="PŁ3",Dane!D26="PŁ4",Dane!D26="PŁ5",Dane!D26="PŁ6",Dane!D26="KŁ1",Dane!D26="KŁ2",Dane!D26="KŁ3",Dane!D26="KŁ4",Dane!D26="KŁ5",Dane!D26="KŁ6"),Dane!D26,"")</f>
        <v/>
      </c>
      <c r="F26" s="10" t="str">
        <f>IFERROR(ROUND(IF(OR(Dane!D26="PŁ1",Dane!D26="PŁ2",Dane!D26="PŁ3",Dane!D26="PŁ4",Dane!D26="PŁ5",Dane!D26="PŁ6",Dane!D26="KŁ1",Dane!D26="KŁ2",Dane!D26="KŁ3",Dane!D26="KŁ4",Dane!D26="KŁ5",Dane!D26="KŁ6"),Dane!B26,"")/10,2),"")</f>
        <v/>
      </c>
    </row>
    <row r="27" spans="1:6" x14ac:dyDescent="0.3">
      <c r="A27" t="str">
        <v/>
      </c>
      <c r="B27" t="str">
        <v/>
      </c>
      <c r="E27" s="10" t="str">
        <f>IF(OR(Dane!D27="PŁ1",Dane!D27="PŁ2",Dane!D27="PŁ3",Dane!D27="PŁ4",Dane!D27="PŁ5",Dane!D27="PŁ6",Dane!D27="KŁ1",Dane!D27="KŁ2",Dane!D27="KŁ3",Dane!D27="KŁ4",Dane!D27="KŁ5",Dane!D27="KŁ6"),Dane!D27,"")</f>
        <v/>
      </c>
      <c r="F27" s="10" t="str">
        <f>IFERROR(ROUND(IF(OR(Dane!D27="PŁ1",Dane!D27="PŁ2",Dane!D27="PŁ3",Dane!D27="PŁ4",Dane!D27="PŁ5",Dane!D27="PŁ6",Dane!D27="KŁ1",Dane!D27="KŁ2",Dane!D27="KŁ3",Dane!D27="KŁ4",Dane!D27="KŁ5",Dane!D27="KŁ6"),Dane!B27,"")/10,2),"")</f>
        <v/>
      </c>
    </row>
    <row r="28" spans="1:6" x14ac:dyDescent="0.3">
      <c r="A28" t="str">
        <v/>
      </c>
      <c r="B28" t="str">
        <v/>
      </c>
      <c r="E28" t="s">
        <v>12</v>
      </c>
      <c r="F28" s="1">
        <f>ROUND(Dane!F4,2)</f>
        <v>547.16999999999996</v>
      </c>
    </row>
    <row r="29" spans="1:6" x14ac:dyDescent="0.3">
      <c r="A29" t="str">
        <v/>
      </c>
      <c r="B29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A761-CDCE-4CE9-9612-31CB8D4E927F}">
  <dimension ref="A1:BD94"/>
  <sheetViews>
    <sheetView tabSelected="1" zoomScale="99" zoomScaleNormal="115" workbookViewId="0">
      <selection activeCell="C5" sqref="C5"/>
    </sheetView>
  </sheetViews>
  <sheetFormatPr defaultRowHeight="14.4" x14ac:dyDescent="0.3"/>
  <cols>
    <col min="1" max="1" width="20" bestFit="1" customWidth="1"/>
    <col min="2" max="2" width="28.109375" bestFit="1" customWidth="1"/>
    <col min="3" max="3" width="39.88671875" bestFit="1" customWidth="1"/>
    <col min="4" max="4" width="13" bestFit="1" customWidth="1"/>
    <col min="5" max="9" width="13" customWidth="1"/>
    <col min="13" max="13" width="29" bestFit="1" customWidth="1"/>
    <col min="14" max="14" width="12" style="13" bestFit="1" customWidth="1"/>
    <col min="15" max="15" width="11.33203125" bestFit="1" customWidth="1"/>
    <col min="16" max="16" width="7.5546875" style="13" bestFit="1" customWidth="1"/>
    <col min="17" max="17" width="11.33203125" style="12" bestFit="1" customWidth="1"/>
    <col min="18" max="18" width="10.44140625" bestFit="1" customWidth="1"/>
    <col min="19" max="19" width="11.33203125" style="12" bestFit="1" customWidth="1"/>
    <col min="20" max="20" width="16.5546875" style="13" customWidth="1"/>
    <col min="21" max="21" width="16.5546875" style="12" customWidth="1"/>
    <col min="24" max="24" width="8.21875" customWidth="1"/>
    <col min="25" max="25" width="12.21875" bestFit="1" customWidth="1"/>
    <col min="26" max="26" width="13" bestFit="1" customWidth="1"/>
    <col min="27" max="27" width="11.33203125" bestFit="1" customWidth="1"/>
    <col min="28" max="28" width="7.5546875" bestFit="1" customWidth="1"/>
    <col min="29" max="29" width="11.33203125" bestFit="1" customWidth="1"/>
    <col min="30" max="30" width="7.5546875" bestFit="1" customWidth="1"/>
    <col min="31" max="43" width="12.5546875" customWidth="1"/>
    <col min="46" max="46" width="8.88671875" customWidth="1"/>
    <col min="56" max="56" width="10.21875" bestFit="1" customWidth="1"/>
  </cols>
  <sheetData>
    <row r="1" spans="1:56" ht="15" thickBot="1" x14ac:dyDescent="0.35">
      <c r="A1" s="54" t="s">
        <v>15</v>
      </c>
      <c r="B1" t="s">
        <v>85</v>
      </c>
      <c r="C1" t="s">
        <v>84</v>
      </c>
      <c r="D1" t="s">
        <v>83</v>
      </c>
      <c r="E1" t="s">
        <v>89</v>
      </c>
      <c r="F1" t="s">
        <v>90</v>
      </c>
      <c r="G1" t="s">
        <v>91</v>
      </c>
    </row>
    <row r="2" spans="1:56" x14ac:dyDescent="0.3">
      <c r="A2" s="54" t="s">
        <v>13</v>
      </c>
      <c r="C2" s="10" t="s">
        <v>20</v>
      </c>
      <c r="D2" s="10" t="s">
        <v>21</v>
      </c>
      <c r="E2" s="56"/>
      <c r="F2" s="56" t="s">
        <v>20</v>
      </c>
      <c r="G2" s="56" t="s">
        <v>21</v>
      </c>
      <c r="H2" s="56"/>
      <c r="N2" s="10" t="s">
        <v>20</v>
      </c>
      <c r="O2" s="10" t="s">
        <v>21</v>
      </c>
      <c r="P2" s="10" t="s">
        <v>20</v>
      </c>
      <c r="Q2" s="10" t="s">
        <v>21</v>
      </c>
      <c r="R2" s="10" t="s">
        <v>20</v>
      </c>
      <c r="S2" s="10" t="s">
        <v>21</v>
      </c>
      <c r="Z2" s="23" t="s">
        <v>14</v>
      </c>
      <c r="AA2" s="31" t="s">
        <v>25</v>
      </c>
      <c r="AB2" s="32"/>
      <c r="AC2" s="31"/>
      <c r="AD2" s="32"/>
      <c r="AE2" s="25"/>
      <c r="AK2" s="24"/>
      <c r="AL2" s="31" t="s">
        <v>25</v>
      </c>
      <c r="AN2" t="s">
        <v>26</v>
      </c>
      <c r="AO2" t="s">
        <v>27</v>
      </c>
      <c r="AS2" s="77" t="s">
        <v>66</v>
      </c>
      <c r="AT2" s="78"/>
      <c r="AU2" s="78"/>
      <c r="AV2" s="78"/>
      <c r="AW2" s="78"/>
      <c r="AX2" s="78"/>
      <c r="AY2" s="78"/>
      <c r="AZ2" s="79"/>
    </row>
    <row r="3" spans="1:56" x14ac:dyDescent="0.3">
      <c r="A3" s="54" t="s">
        <v>16</v>
      </c>
      <c r="B3" t="s">
        <v>22</v>
      </c>
      <c r="C3" s="13">
        <f>R5+P5+N5</f>
        <v>350</v>
      </c>
      <c r="D3" s="12"/>
      <c r="E3" s="56" t="s">
        <v>88</v>
      </c>
      <c r="F3" s="56">
        <f>50/A9</f>
        <v>1</v>
      </c>
      <c r="G3" s="56"/>
      <c r="N3" s="10" t="s">
        <v>18</v>
      </c>
      <c r="P3" s="10" t="s">
        <v>16</v>
      </c>
      <c r="Q3"/>
      <c r="R3" s="10" t="s">
        <v>17</v>
      </c>
      <c r="S3"/>
      <c r="Z3" s="33" t="s">
        <v>28</v>
      </c>
      <c r="AA3" s="19" t="s">
        <v>29</v>
      </c>
      <c r="AB3" s="18" t="s">
        <v>28</v>
      </c>
      <c r="AC3" s="19" t="s">
        <v>29</v>
      </c>
      <c r="AD3" s="18" t="s">
        <v>28</v>
      </c>
      <c r="AE3" s="34" t="s">
        <v>29</v>
      </c>
      <c r="AK3" s="52">
        <f>IF($A$5=$AA$4,1,0)*$N$4</f>
        <v>0</v>
      </c>
      <c r="AL3" s="20" t="str">
        <f>"tłuczniowa"</f>
        <v>tłuczniowa</v>
      </c>
      <c r="AM3" s="35">
        <f>IF($A$5=$AA$22,1,0)*$N$4</f>
        <v>0</v>
      </c>
      <c r="AN3" s="20" t="str">
        <f>"tłuczniowa"</f>
        <v>tłuczniowa</v>
      </c>
      <c r="AO3" s="35">
        <f>IF($A$5=$AA$32,1,0)*$N$4</f>
        <v>0</v>
      </c>
      <c r="AP3" s="20" t="str">
        <f>"tłuczniowa"</f>
        <v>tłuczniowa</v>
      </c>
      <c r="AQ3" t="s">
        <v>80</v>
      </c>
      <c r="AS3" s="80" t="s">
        <v>48</v>
      </c>
      <c r="AT3" s="81"/>
      <c r="AU3" s="81"/>
      <c r="AV3" s="82"/>
      <c r="AW3" s="74" t="s">
        <v>57</v>
      </c>
      <c r="AX3" s="75"/>
      <c r="AY3" s="75"/>
      <c r="AZ3" s="76"/>
    </row>
    <row r="4" spans="1:56" x14ac:dyDescent="0.3">
      <c r="A4" s="54" t="s">
        <v>14</v>
      </c>
      <c r="B4" t="s">
        <v>19</v>
      </c>
      <c r="C4" s="13">
        <f>R6+P6+N6</f>
        <v>0</v>
      </c>
      <c r="D4" s="12">
        <f>S6+Q6+O6</f>
        <v>0</v>
      </c>
      <c r="E4" s="56" t="s">
        <v>19</v>
      </c>
      <c r="F4" s="56">
        <f>C4</f>
        <v>0</v>
      </c>
      <c r="G4" s="56">
        <f>D4</f>
        <v>0</v>
      </c>
      <c r="N4" s="22">
        <f>IF($A$3="Glowna",1,0)</f>
        <v>0</v>
      </c>
      <c r="P4" s="22">
        <f>IF($A$3="Boczna",1,0)</f>
        <v>1</v>
      </c>
      <c r="R4" s="39">
        <f>IF($A$3="Łącznikowa",1,0)</f>
        <v>0</v>
      </c>
      <c r="Z4" s="35">
        <f>IF($A$5=$AA$4,1,0)*$N$4</f>
        <v>0</v>
      </c>
      <c r="AA4" s="20" t="str">
        <f>"tłuczniowa"</f>
        <v>tłuczniowa</v>
      </c>
      <c r="AB4" s="21">
        <f>IF($A$5=$AC$4,1,0)*$P$4</f>
        <v>1</v>
      </c>
      <c r="AC4" s="20" t="str">
        <f>"żwirowa"</f>
        <v>żwirowa</v>
      </c>
      <c r="AD4" s="21">
        <f>IF($A$5=$AE$4,1,0)*$R$4</f>
        <v>0</v>
      </c>
      <c r="AE4" s="36" t="str">
        <f>"żwirowa"</f>
        <v>żwirowa</v>
      </c>
      <c r="AK4">
        <f>AK3*15</f>
        <v>0</v>
      </c>
      <c r="AL4" t="s">
        <v>76</v>
      </c>
      <c r="AM4" s="26">
        <f>AM3*14</f>
        <v>0</v>
      </c>
      <c r="AN4" t="s">
        <v>76</v>
      </c>
      <c r="AO4" s="26">
        <f>AO3*12</f>
        <v>0</v>
      </c>
      <c r="AP4" t="s">
        <v>76</v>
      </c>
      <c r="AQ4" t="s">
        <v>80</v>
      </c>
      <c r="AS4" s="84" t="s">
        <v>23</v>
      </c>
      <c r="AT4" s="85"/>
      <c r="AU4" s="84" t="s">
        <v>24</v>
      </c>
      <c r="AV4" s="85"/>
      <c r="AW4" s="72" t="s">
        <v>27</v>
      </c>
      <c r="AX4" s="73"/>
      <c r="AY4" s="72"/>
      <c r="AZ4" s="73"/>
    </row>
    <row r="5" spans="1:56" x14ac:dyDescent="0.3">
      <c r="A5" s="54" t="s">
        <v>109</v>
      </c>
      <c r="B5" t="s">
        <v>23</v>
      </c>
      <c r="C5" s="13">
        <f>R7+P7+N7</f>
        <v>175</v>
      </c>
      <c r="D5" s="12">
        <f>S7+Q7+O7</f>
        <v>-8.75</v>
      </c>
      <c r="E5" s="56" t="s">
        <v>23</v>
      </c>
      <c r="F5" s="56">
        <f>C5+F3*100</f>
        <v>275</v>
      </c>
      <c r="G5" s="56">
        <f>-F5*0.06</f>
        <v>-16.5</v>
      </c>
      <c r="M5" t="s">
        <v>22</v>
      </c>
      <c r="N5" s="14">
        <f>350*N4</f>
        <v>0</v>
      </c>
      <c r="P5" s="40">
        <f>350*P4</f>
        <v>350</v>
      </c>
      <c r="R5" s="40">
        <f>300*R4</f>
        <v>0</v>
      </c>
      <c r="Z5" s="26">
        <f>Z4*15</f>
        <v>0</v>
      </c>
      <c r="AA5" s="12" t="str">
        <f>"sypkie"</f>
        <v>sypkie</v>
      </c>
      <c r="AB5" s="13">
        <f>AB4*15</f>
        <v>15</v>
      </c>
      <c r="AC5" s="12" t="str">
        <f>"sypkie"</f>
        <v>sypkie</v>
      </c>
      <c r="AD5" s="13">
        <f>AD4*15</f>
        <v>0</v>
      </c>
      <c r="AE5" s="27" t="str">
        <f>"sypkie"</f>
        <v>sypkie</v>
      </c>
      <c r="AK5">
        <f>AK3*15</f>
        <v>0</v>
      </c>
      <c r="AL5" t="s">
        <v>76</v>
      </c>
      <c r="AM5" s="26">
        <f>AM3*14</f>
        <v>0</v>
      </c>
      <c r="AN5" t="s">
        <v>76</v>
      </c>
      <c r="AO5" s="26">
        <f>AO3*20</f>
        <v>0</v>
      </c>
      <c r="AP5" t="s">
        <v>76</v>
      </c>
      <c r="AQ5" t="s">
        <v>80</v>
      </c>
      <c r="AS5" s="46" t="s">
        <v>42</v>
      </c>
      <c r="AT5" s="46" t="s">
        <v>44</v>
      </c>
      <c r="AU5" s="46" t="s">
        <v>43</v>
      </c>
      <c r="AV5" s="46" t="s">
        <v>45</v>
      </c>
      <c r="AW5" s="72" t="s">
        <v>20</v>
      </c>
      <c r="AX5" s="73"/>
      <c r="AY5" s="72" t="s">
        <v>21</v>
      </c>
      <c r="AZ5" s="73"/>
    </row>
    <row r="6" spans="1:56" x14ac:dyDescent="0.3">
      <c r="A6" s="54" t="s">
        <v>94</v>
      </c>
      <c r="B6" t="s">
        <v>24</v>
      </c>
      <c r="C6" s="13">
        <f>R8+P8+N8</f>
        <v>225</v>
      </c>
      <c r="D6" s="12">
        <f>S8+Q8+O8</f>
        <v>-11.75</v>
      </c>
      <c r="E6" s="56" t="s">
        <v>92</v>
      </c>
      <c r="F6" s="56">
        <f>-C5</f>
        <v>-175</v>
      </c>
      <c r="G6" s="56">
        <f>-F6*0.06</f>
        <v>10.5</v>
      </c>
      <c r="M6" t="s">
        <v>19</v>
      </c>
      <c r="N6" s="13">
        <v>0</v>
      </c>
      <c r="O6" s="12">
        <v>0</v>
      </c>
      <c r="P6" s="13">
        <v>0</v>
      </c>
      <c r="Q6" s="12">
        <v>0</v>
      </c>
      <c r="R6" s="13">
        <v>0</v>
      </c>
      <c r="S6" s="12">
        <v>0</v>
      </c>
      <c r="Z6" s="26">
        <f>Z4*15</f>
        <v>0</v>
      </c>
      <c r="AA6" s="12" t="str">
        <f>"mało spoiste"</f>
        <v>mało spoiste</v>
      </c>
      <c r="AB6" s="13">
        <f>AB4*15</f>
        <v>15</v>
      </c>
      <c r="AC6" s="12" t="str">
        <f>"mało spoiste"</f>
        <v>mało spoiste</v>
      </c>
      <c r="AD6" s="13">
        <f>AD4*15</f>
        <v>0</v>
      </c>
      <c r="AE6" s="27" t="str">
        <f>"mało spoiste"</f>
        <v>mało spoiste</v>
      </c>
      <c r="AK6">
        <f>AK3*15</f>
        <v>0</v>
      </c>
      <c r="AL6" t="s">
        <v>76</v>
      </c>
      <c r="AM6" s="26">
        <f>AM3*14</f>
        <v>0</v>
      </c>
      <c r="AN6" t="s">
        <v>76</v>
      </c>
      <c r="AO6" s="35">
        <f>IF($A$5=$AA$36,1,0)*X$4</f>
        <v>0</v>
      </c>
      <c r="AP6" s="20" t="str">
        <f>"bitumiczna"</f>
        <v>bitumiczna</v>
      </c>
      <c r="AQ6" t="s">
        <v>80</v>
      </c>
      <c r="AS6" s="46">
        <f>C5</f>
        <v>175</v>
      </c>
      <c r="AT6" s="46">
        <f>D5</f>
        <v>-8.75</v>
      </c>
      <c r="AU6" s="46">
        <f>C6</f>
        <v>225</v>
      </c>
      <c r="AV6" s="46">
        <f>D6</f>
        <v>-11.75</v>
      </c>
      <c r="AW6" s="72">
        <f>C14</f>
        <v>0</v>
      </c>
      <c r="AX6" s="73"/>
      <c r="AY6" s="72">
        <f>D14</f>
        <v>0</v>
      </c>
      <c r="AZ6" s="73"/>
    </row>
    <row r="7" spans="1:56" ht="15" thickBot="1" x14ac:dyDescent="0.35">
      <c r="A7" s="54" t="s">
        <v>110</v>
      </c>
      <c r="B7" t="s">
        <v>33</v>
      </c>
      <c r="C7" s="13">
        <f>-(R9+P9+N9)</f>
        <v>25</v>
      </c>
      <c r="D7" s="12"/>
      <c r="E7" s="56" t="s">
        <v>24</v>
      </c>
      <c r="F7" s="56">
        <f>50+F5</f>
        <v>325</v>
      </c>
      <c r="G7" s="56">
        <f>G5-(50*0.07)</f>
        <v>-20</v>
      </c>
      <c r="M7" t="s">
        <v>23</v>
      </c>
      <c r="N7" s="13">
        <f>N5/2</f>
        <v>0</v>
      </c>
      <c r="O7" s="12">
        <f>-(N5/2)*0.05</f>
        <v>0</v>
      </c>
      <c r="P7" s="13">
        <f>P5/2</f>
        <v>175</v>
      </c>
      <c r="Q7" s="12">
        <f>-(P5/2)*0.05</f>
        <v>-8.75</v>
      </c>
      <c r="R7" s="13">
        <f>R5/2</f>
        <v>0</v>
      </c>
      <c r="S7" s="12">
        <f>-(R5/2)*0.05</f>
        <v>0</v>
      </c>
      <c r="Z7" s="26">
        <f>Z4*15</f>
        <v>0</v>
      </c>
      <c r="AA7" s="12" t="str">
        <f>"spoiste"</f>
        <v>spoiste</v>
      </c>
      <c r="AB7" s="13">
        <f>AB4*15</f>
        <v>15</v>
      </c>
      <c r="AC7" s="12" t="str">
        <f>"spoiste"</f>
        <v>spoiste</v>
      </c>
      <c r="AD7" s="13">
        <f>AD4*15</f>
        <v>0</v>
      </c>
      <c r="AE7" s="27" t="str">
        <f>"spoiste"</f>
        <v>spoiste</v>
      </c>
      <c r="AK7" s="52">
        <f>IF($A$5=$AA$8,1,0)*$N$4</f>
        <v>0</v>
      </c>
      <c r="AL7" s="20" t="str">
        <f>"bitumiczna"</f>
        <v>bitumiczna</v>
      </c>
      <c r="AM7" s="35">
        <f>IF($A$5=$AA$26,1,0)*$N$4</f>
        <v>0</v>
      </c>
      <c r="AN7" s="20" t="str">
        <f>"bitumiczna"</f>
        <v>bitumiczna</v>
      </c>
      <c r="AO7" s="26">
        <f>AO6*10</f>
        <v>0</v>
      </c>
      <c r="AP7" t="s">
        <v>76</v>
      </c>
      <c r="AQ7" t="s">
        <v>80</v>
      </c>
      <c r="AS7" s="47" t="s">
        <v>46</v>
      </c>
      <c r="AT7" s="48">
        <f>(-AT6+AV6)/(-AS6+AU6)</f>
        <v>-0.06</v>
      </c>
      <c r="AU7" s="47" t="s">
        <v>47</v>
      </c>
      <c r="AV7" s="48">
        <f>AT6-AT7*AS6</f>
        <v>1.75</v>
      </c>
      <c r="AW7" s="45" t="s">
        <v>46</v>
      </c>
      <c r="AX7" s="45">
        <f>$AT$7</f>
        <v>-0.06</v>
      </c>
      <c r="AY7" s="45" t="s">
        <v>47</v>
      </c>
      <c r="AZ7" s="45">
        <f>AY6-AX7*AW6</f>
        <v>0</v>
      </c>
      <c r="BD7" s="66"/>
    </row>
    <row r="8" spans="1:56" x14ac:dyDescent="0.3">
      <c r="A8" s="54" t="s">
        <v>87</v>
      </c>
      <c r="B8" t="s">
        <v>35</v>
      </c>
      <c r="C8" s="13">
        <f t="shared" ref="C8:C19" si="0">R10+P10+N10</f>
        <v>1.5</v>
      </c>
      <c r="D8" s="12"/>
      <c r="E8" s="56" t="s">
        <v>93</v>
      </c>
      <c r="F8" s="56">
        <f>F6-50</f>
        <v>-225</v>
      </c>
      <c r="G8" s="56">
        <f>G6-(50*0.02)</f>
        <v>9.5</v>
      </c>
      <c r="M8" t="s">
        <v>24</v>
      </c>
      <c r="N8" s="13">
        <f>(N7+50)*N4</f>
        <v>0</v>
      </c>
      <c r="O8" s="12">
        <f>(O7-3)*N4</f>
        <v>0</v>
      </c>
      <c r="P8" s="13">
        <f>(P7+50)*P4</f>
        <v>225</v>
      </c>
      <c r="Q8" s="12">
        <f>(Q7-3)*P4</f>
        <v>-11.75</v>
      </c>
      <c r="R8" s="13">
        <f>(R7+50)*R4</f>
        <v>0</v>
      </c>
      <c r="S8" s="12">
        <f>(S7-3)*R4</f>
        <v>0</v>
      </c>
      <c r="W8" s="23"/>
      <c r="X8" s="24"/>
      <c r="Y8" s="24" t="s">
        <v>25</v>
      </c>
      <c r="Z8" s="35">
        <f>IF($A$5=$AA$8,1,0)*$N$4</f>
        <v>0</v>
      </c>
      <c r="AA8" s="20" t="str">
        <f>"bitumiczna"</f>
        <v>bitumiczna</v>
      </c>
      <c r="AB8" s="21">
        <f>IF($A$5=$AC$8,1,0)*$P$4</f>
        <v>0</v>
      </c>
      <c r="AC8" s="20" t="str">
        <f>"żużlowa"</f>
        <v>żużlowa</v>
      </c>
      <c r="AD8" s="21">
        <f>IF($A$5=$AE$8,1,0)*$R$4</f>
        <v>0</v>
      </c>
      <c r="AE8" s="36" t="str">
        <f>"żużlowa"</f>
        <v>żużlowa</v>
      </c>
      <c r="AG8" s="52"/>
      <c r="AH8" s="52"/>
      <c r="AI8" s="52"/>
      <c r="AK8">
        <f>AK7*4</f>
        <v>0</v>
      </c>
      <c r="AL8" t="s">
        <v>78</v>
      </c>
      <c r="AM8" s="26">
        <f>AM7*4</f>
        <v>0</v>
      </c>
      <c r="AN8" t="s">
        <v>79</v>
      </c>
      <c r="AO8" s="26">
        <f>AO6*10</f>
        <v>0</v>
      </c>
      <c r="AP8" t="s">
        <v>76</v>
      </c>
      <c r="AQ8" t="s">
        <v>80</v>
      </c>
      <c r="AS8" s="80" t="s">
        <v>49</v>
      </c>
      <c r="AT8" s="81"/>
      <c r="AU8" s="81"/>
      <c r="AV8" s="82"/>
      <c r="AW8" s="70" t="s">
        <v>58</v>
      </c>
      <c r="AX8" s="83"/>
      <c r="AY8" s="83"/>
      <c r="AZ8" s="71"/>
    </row>
    <row r="9" spans="1:56" x14ac:dyDescent="0.3">
      <c r="A9" s="55">
        <v>50</v>
      </c>
      <c r="B9" t="s">
        <v>34</v>
      </c>
      <c r="C9" s="13">
        <f t="shared" ref="C9:D12" si="1">R11+P11+N11</f>
        <v>203.92727655986505</v>
      </c>
      <c r="D9" s="12">
        <f t="shared" si="1"/>
        <v>-68.390809443507607</v>
      </c>
      <c r="E9" t="s">
        <v>34</v>
      </c>
      <c r="F9" s="13">
        <f>F20+(G20*C8)</f>
        <v>290.93299571484226</v>
      </c>
      <c r="G9">
        <f>G20</f>
        <v>-77.084144916244583</v>
      </c>
      <c r="M9" t="s">
        <v>33</v>
      </c>
      <c r="N9" s="13">
        <f>-30*N4</f>
        <v>0</v>
      </c>
      <c r="P9" s="13">
        <f>-25*P4</f>
        <v>-25</v>
      </c>
      <c r="R9">
        <f>-20*R4</f>
        <v>0</v>
      </c>
      <c r="W9" s="26"/>
      <c r="X9">
        <f>SUM(Z5,AB5,AD5,AD9,AB9,Z9,AD13,AD17)</f>
        <v>15</v>
      </c>
      <c r="Y9" t="str">
        <f>"sypkie"</f>
        <v>sypkie</v>
      </c>
      <c r="Z9" s="26">
        <f>Z8*4</f>
        <v>0</v>
      </c>
      <c r="AA9" s="12" t="str">
        <f>"sypkie"</f>
        <v>sypkie</v>
      </c>
      <c r="AB9" s="13">
        <f>AB8*15</f>
        <v>0</v>
      </c>
      <c r="AC9" s="12" t="str">
        <f>"sypkie"</f>
        <v>sypkie</v>
      </c>
      <c r="AD9" s="13">
        <f>AD8*15</f>
        <v>0</v>
      </c>
      <c r="AE9" s="27" t="str">
        <f>"sypkie"</f>
        <v>sypkie</v>
      </c>
      <c r="AG9" t="s">
        <v>25</v>
      </c>
      <c r="AK9">
        <f>AK7*4</f>
        <v>0</v>
      </c>
      <c r="AL9" t="s">
        <v>78</v>
      </c>
      <c r="AM9" s="26">
        <f>AM7*4</f>
        <v>0</v>
      </c>
      <c r="AN9" t="s">
        <v>79</v>
      </c>
      <c r="AO9" s="26">
        <f>AO6*10</f>
        <v>0</v>
      </c>
      <c r="AP9" t="s">
        <v>76</v>
      </c>
      <c r="AQ9" t="s">
        <v>80</v>
      </c>
      <c r="AS9" s="84" t="s">
        <v>34</v>
      </c>
      <c r="AT9" s="85"/>
      <c r="AU9" s="84" t="s">
        <v>24</v>
      </c>
      <c r="AV9" s="85"/>
      <c r="AW9" s="70" t="s">
        <v>53</v>
      </c>
      <c r="AX9" s="71"/>
      <c r="AY9" s="70" t="s">
        <v>59</v>
      </c>
      <c r="AZ9" s="71"/>
    </row>
    <row r="10" spans="1:56" x14ac:dyDescent="0.3">
      <c r="B10" s="15" t="s">
        <v>25</v>
      </c>
      <c r="C10" s="13">
        <f t="shared" si="1"/>
        <v>175</v>
      </c>
      <c r="D10" s="12">
        <f t="shared" si="1"/>
        <v>-23.75</v>
      </c>
      <c r="E10" s="15" t="s">
        <v>25</v>
      </c>
      <c r="F10" s="16">
        <f>IF($H10=0,0,F5)</f>
        <v>275</v>
      </c>
      <c r="G10" s="16">
        <f>IF($H10=0,0,G$5-$H10)</f>
        <v>-31.5</v>
      </c>
      <c r="H10" s="42">
        <f>L12</f>
        <v>15</v>
      </c>
      <c r="M10" t="s">
        <v>35</v>
      </c>
      <c r="N10" s="13">
        <f>IF($A$7="sypkie",1.5,IF($A$7="mało spoiste",1.75,IF($A$7="spoiste",2)))*N4</f>
        <v>0</v>
      </c>
      <c r="P10" s="13">
        <f>IF($A$7="sypkie",1.5,IF($A$7="mało spoiste",1.75,IF($A$7="spoiste",2)))*P4</f>
        <v>1.5</v>
      </c>
      <c r="R10" s="13">
        <f>IF($A$7="sypkie",1.5,IF($A$7="mało spoiste",1.75,IF($A$7="spoiste",2)))*R4</f>
        <v>0</v>
      </c>
      <c r="W10" s="26">
        <f>IF(IF($A$7=Y9,X9,IF($A$7=Y10,X10,IF($A$7=Y11,X11)))=0,"",IF($A$7=Y9,X9,IF($A$7=Y10,X10,IF($A$7=Y11,X11))))</f>
        <v>15</v>
      </c>
      <c r="X10">
        <f>SUM(Z6,AB6,AD6,AD10,AB10,Z10,AD14,AD18)</f>
        <v>15</v>
      </c>
      <c r="Y10" t="str">
        <f>"mało spoiste"</f>
        <v>mało spoiste</v>
      </c>
      <c r="Z10" s="26">
        <f>Z8*4</f>
        <v>0</v>
      </c>
      <c r="AA10" s="12" t="str">
        <f>"mało spoiste"</f>
        <v>mało spoiste</v>
      </c>
      <c r="AB10" s="13">
        <f>AB8*15</f>
        <v>0</v>
      </c>
      <c r="AC10" s="12" t="str">
        <f>"mało spoiste"</f>
        <v>mało spoiste</v>
      </c>
      <c r="AD10" s="13">
        <f>AD8*15</f>
        <v>0</v>
      </c>
      <c r="AE10" s="27" t="str">
        <f>"mało spoiste"</f>
        <v>mało spoiste</v>
      </c>
      <c r="AG10" s="53">
        <f>W10</f>
        <v>15</v>
      </c>
      <c r="AH10" t="str">
        <f>LOOKUP(AH9,AK3:AK34,AL3:AL34)</f>
        <v>cm grunt rodzimy stabilizowany cementem</v>
      </c>
      <c r="AI10" t="str">
        <f>IF(AG10="","",AG10&amp;AH10)</f>
        <v>15cm grunt rodzimy stabilizowany cementem</v>
      </c>
      <c r="AK10">
        <f>AK7*4</f>
        <v>0</v>
      </c>
      <c r="AL10" t="s">
        <v>78</v>
      </c>
      <c r="AM10" s="26">
        <f>AM7*4</f>
        <v>0</v>
      </c>
      <c r="AN10" t="s">
        <v>79</v>
      </c>
      <c r="AO10" s="21">
        <f>IF($A$5=$AC$32,1,0)*$P$4</f>
        <v>1</v>
      </c>
      <c r="AP10" s="20" t="str">
        <f>"żwirowa"</f>
        <v>żwirowa</v>
      </c>
      <c r="AQ10" t="s">
        <v>80</v>
      </c>
      <c r="AS10" s="49" t="s">
        <v>42</v>
      </c>
      <c r="AT10" s="49" t="s">
        <v>44</v>
      </c>
      <c r="AU10" s="49" t="s">
        <v>43</v>
      </c>
      <c r="AV10" s="49" t="s">
        <v>45</v>
      </c>
      <c r="AW10" s="43" t="s">
        <v>19</v>
      </c>
      <c r="AX10" s="43" t="s">
        <v>23</v>
      </c>
      <c r="AY10" s="43" t="s">
        <v>19</v>
      </c>
      <c r="AZ10" s="43" t="s">
        <v>23</v>
      </c>
    </row>
    <row r="11" spans="1:56" x14ac:dyDescent="0.3">
      <c r="B11" t="s">
        <v>36</v>
      </c>
      <c r="C11" s="13">
        <f t="shared" si="1"/>
        <v>247.7655986509275</v>
      </c>
      <c r="D11" s="12">
        <f t="shared" si="1"/>
        <v>-28.115935919055659</v>
      </c>
      <c r="E11" t="s">
        <v>36</v>
      </c>
      <c r="F11" s="13">
        <f>IF($H10=0,0,$AT$53)</f>
        <v>347.78924814959095</v>
      </c>
      <c r="G11" s="12">
        <f>IF($H10=0,0,$AV$53)</f>
        <v>-36.595247370471355</v>
      </c>
      <c r="M11" t="s">
        <v>34</v>
      </c>
      <c r="N11" s="13">
        <f>N23+(O23*N10)</f>
        <v>0</v>
      </c>
      <c r="O11">
        <f>O23</f>
        <v>0</v>
      </c>
      <c r="P11" s="13">
        <f>P23+(Q23*P10)</f>
        <v>203.92727655986505</v>
      </c>
      <c r="Q11">
        <f>Q23</f>
        <v>-68.390809443507607</v>
      </c>
      <c r="R11" s="13">
        <f>R23+(S23*R10)</f>
        <v>0</v>
      </c>
      <c r="S11">
        <f>S23</f>
        <v>0</v>
      </c>
      <c r="W11" s="26"/>
      <c r="X11">
        <f>SUM(Z7,AB7,AD7,AD11,AB11,Z11,AD15,AD19)</f>
        <v>15</v>
      </c>
      <c r="Y11" t="str">
        <f>"spoiste"</f>
        <v>spoiste</v>
      </c>
      <c r="Z11" s="26">
        <f>Z8*4</f>
        <v>0</v>
      </c>
      <c r="AA11" s="12" t="str">
        <f>"spoiste"</f>
        <v>spoiste</v>
      </c>
      <c r="AB11" s="13">
        <f>AB8*15</f>
        <v>0</v>
      </c>
      <c r="AC11" s="12" t="str">
        <f>"spoiste"</f>
        <v>spoiste</v>
      </c>
      <c r="AD11" s="13">
        <f>AD8*15</f>
        <v>0</v>
      </c>
      <c r="AE11" s="27" t="str">
        <f>"spoiste"</f>
        <v>spoiste</v>
      </c>
      <c r="AG11" t="s">
        <v>26</v>
      </c>
      <c r="AK11" s="52">
        <f>IF($A$5=$AC$4,1,0)*$P$4</f>
        <v>1</v>
      </c>
      <c r="AL11" s="20" t="str">
        <f>"żwirowa"</f>
        <v>żwirowa</v>
      </c>
      <c r="AM11" s="21">
        <f>IF($A$5=$AC$22,1,0)*$P$4</f>
        <v>1</v>
      </c>
      <c r="AN11" s="20" t="str">
        <f>"żwirowa"</f>
        <v>żwirowa</v>
      </c>
      <c r="AO11" s="13">
        <f>AO10*12</f>
        <v>12</v>
      </c>
      <c r="AP11" t="s">
        <v>70</v>
      </c>
      <c r="AQ11" t="s">
        <v>80</v>
      </c>
      <c r="AS11" s="49">
        <v>0</v>
      </c>
      <c r="AT11" s="49">
        <f>AU11/C8</f>
        <v>150</v>
      </c>
      <c r="AU11" s="49">
        <f>C6</f>
        <v>225</v>
      </c>
      <c r="AV11" s="49">
        <f>D6</f>
        <v>-11.75</v>
      </c>
      <c r="AW11" s="43">
        <f>$AT$12</f>
        <v>-0.71888888888888891</v>
      </c>
      <c r="AX11" s="43">
        <f>$AV$12</f>
        <v>150</v>
      </c>
      <c r="AY11" s="43">
        <f>AX7</f>
        <v>-0.06</v>
      </c>
      <c r="AZ11" s="43">
        <f>AZ7</f>
        <v>0</v>
      </c>
    </row>
    <row r="12" spans="1:56" x14ac:dyDescent="0.3">
      <c r="B12" s="15" t="s">
        <v>26</v>
      </c>
      <c r="C12" s="13">
        <f t="shared" si="1"/>
        <v>175</v>
      </c>
      <c r="D12" s="12">
        <f t="shared" si="1"/>
        <v>-37.75</v>
      </c>
      <c r="E12" s="15" t="s">
        <v>26</v>
      </c>
      <c r="F12" s="16">
        <f>IF($H12=0,0,F5)</f>
        <v>275</v>
      </c>
      <c r="G12" s="16">
        <f>IF($H12=0,0,G$5-$H12-$H10)</f>
        <v>-45.5</v>
      </c>
      <c r="H12" s="42">
        <f>L14</f>
        <v>14</v>
      </c>
      <c r="K12" s="41" t="s">
        <v>41</v>
      </c>
      <c r="L12" s="42">
        <f>IF(W10="",0,W10)</f>
        <v>15</v>
      </c>
      <c r="M12" s="15" t="s">
        <v>25</v>
      </c>
      <c r="N12" s="16">
        <f>IF($L12=0,0,N7)</f>
        <v>0</v>
      </c>
      <c r="O12" s="16">
        <f>IF($L12=0,0,O$7-$L12)*N$4</f>
        <v>0</v>
      </c>
      <c r="P12" s="16">
        <f>IF($L12=0,0,P7)</f>
        <v>175</v>
      </c>
      <c r="Q12" s="16">
        <f>IF($L12=0,0,Q$7-$L12)*P$4</f>
        <v>-23.75</v>
      </c>
      <c r="R12" s="16">
        <f>IF($L12=0,0,R7)</f>
        <v>0</v>
      </c>
      <c r="S12" s="16">
        <f>IF($L12=0,0,S$7-$L12)*R$4</f>
        <v>0</v>
      </c>
      <c r="W12" s="26"/>
      <c r="Y12" t="s">
        <v>26</v>
      </c>
      <c r="Z12" s="26"/>
      <c r="AA12" s="12"/>
      <c r="AB12" s="13"/>
      <c r="AC12" s="12"/>
      <c r="AD12" s="21">
        <f>IF($A$5=$AE$12,1,0)*$R$4</f>
        <v>0</v>
      </c>
      <c r="AE12" s="36" t="str">
        <f>"stab.gran"</f>
        <v>stab.gran</v>
      </c>
      <c r="AG12" s="53">
        <f>W14</f>
        <v>14</v>
      </c>
      <c r="AH12" t="str">
        <f>LOOKUP(AG12,AM3:AM24,AN3:AN24)</f>
        <v>cm żwir</v>
      </c>
      <c r="AI12" t="str">
        <f>IF(AG12="","",AG12&amp;AH12)</f>
        <v>14cm żwir</v>
      </c>
      <c r="AK12">
        <f>AK11*15</f>
        <v>15</v>
      </c>
      <c r="AL12" t="s">
        <v>73</v>
      </c>
      <c r="AM12" s="13">
        <f>AM11*14</f>
        <v>14</v>
      </c>
      <c r="AN12" t="s">
        <v>74</v>
      </c>
      <c r="AO12" s="13">
        <f>AO10*20</f>
        <v>20</v>
      </c>
      <c r="AP12" t="s">
        <v>70</v>
      </c>
      <c r="AQ12" t="s">
        <v>80</v>
      </c>
      <c r="AS12" s="47" t="s">
        <v>46</v>
      </c>
      <c r="AT12" s="48">
        <f>(-AT11+AV11)/(-AS11+AU11)</f>
        <v>-0.71888888888888891</v>
      </c>
      <c r="AU12" s="47" t="s">
        <v>47</v>
      </c>
      <c r="AV12" s="48">
        <f>AT11-AT12*AS11</f>
        <v>150</v>
      </c>
      <c r="AW12" s="44" t="s">
        <v>20</v>
      </c>
      <c r="AX12" s="43">
        <f>(AX11-AZ11)/(AY11-AW11)</f>
        <v>227.6559865092749</v>
      </c>
      <c r="AY12" s="43" t="s">
        <v>21</v>
      </c>
      <c r="AZ12" s="43">
        <f>AW11*AX12+AX11</f>
        <v>-13.659359190556501</v>
      </c>
    </row>
    <row r="13" spans="1:56" x14ac:dyDescent="0.3">
      <c r="B13" t="s">
        <v>37</v>
      </c>
      <c r="C13" s="13">
        <f t="shared" si="0"/>
        <v>269.01349072512647</v>
      </c>
      <c r="D13" s="12">
        <f t="shared" ref="D13:D19" si="2">S15+Q15+O15</f>
        <v>-43.390809443507607</v>
      </c>
      <c r="E13" t="s">
        <v>37</v>
      </c>
      <c r="F13" s="13">
        <f>IF($H12=0,0,$AT$63)</f>
        <v>369.05921308920915</v>
      </c>
      <c r="G13" s="12">
        <f>IF($H12=0,0,$AV$63)</f>
        <v>-52.084144916244583</v>
      </c>
      <c r="M13" t="s">
        <v>36</v>
      </c>
      <c r="N13" s="13">
        <f>IF($L12=0,0,$AT$22*N4)</f>
        <v>0</v>
      </c>
      <c r="O13" s="12">
        <f>IF($L12=0,0,$AV$22*N4)</f>
        <v>0</v>
      </c>
      <c r="P13" s="13">
        <f>IF($L12=0,0,$AT$22*P4)</f>
        <v>247.7655986509275</v>
      </c>
      <c r="Q13" s="12">
        <f>IF($L12=0,0,$AV$22*P4)</f>
        <v>-28.115935919055659</v>
      </c>
      <c r="R13" s="13">
        <f>IF($L12=0,0,$AT$22*R4)</f>
        <v>0</v>
      </c>
      <c r="S13" s="12">
        <f>IF($L12=0,0,$AV$22*R4)</f>
        <v>0</v>
      </c>
      <c r="W13" s="26"/>
      <c r="X13">
        <f>SUM(Z23,AB23,AD23,AD27,AB27,Z27,)</f>
        <v>14</v>
      </c>
      <c r="Y13" t="str">
        <f>"sypkie"</f>
        <v>sypkie</v>
      </c>
      <c r="Z13" s="26"/>
      <c r="AA13" s="12"/>
      <c r="AB13" s="13"/>
      <c r="AC13" s="12"/>
      <c r="AD13" s="13">
        <f>AD12*15</f>
        <v>0</v>
      </c>
      <c r="AE13" s="27" t="str">
        <f>"sypkie"</f>
        <v>sypkie</v>
      </c>
      <c r="AG13" t="s">
        <v>27</v>
      </c>
      <c r="AK13">
        <f>AK11*15</f>
        <v>15</v>
      </c>
      <c r="AL13" t="s">
        <v>73</v>
      </c>
      <c r="AM13" s="13">
        <f>AM11*14</f>
        <v>14</v>
      </c>
      <c r="AN13" t="s">
        <v>74</v>
      </c>
      <c r="AO13" s="21">
        <f>IF($A$5=$AC$36,1,0)*$P$4</f>
        <v>0</v>
      </c>
      <c r="AP13" s="20" t="str">
        <f>"żużlowa"</f>
        <v>żużlowa</v>
      </c>
      <c r="AQ13" t="s">
        <v>80</v>
      </c>
      <c r="AS13" s="74" t="s">
        <v>51</v>
      </c>
      <c r="AT13" s="75"/>
      <c r="AU13" s="75"/>
      <c r="AV13" s="76"/>
      <c r="AW13" s="74" t="s">
        <v>60</v>
      </c>
      <c r="AX13" s="75"/>
      <c r="AY13" s="75"/>
      <c r="AZ13" s="76"/>
    </row>
    <row r="14" spans="1:56" x14ac:dyDescent="0.3">
      <c r="B14" s="15" t="s">
        <v>27</v>
      </c>
      <c r="C14" s="13">
        <f t="shared" si="0"/>
        <v>0</v>
      </c>
      <c r="D14" s="12">
        <f t="shared" si="2"/>
        <v>0</v>
      </c>
      <c r="E14" s="15" t="s">
        <v>27</v>
      </c>
      <c r="F14" s="16">
        <f>IF($H14=0,0,F5)</f>
        <v>0</v>
      </c>
      <c r="G14" s="16">
        <f>IF($H14=0,0,G$5-$H14-$H12-$H10)</f>
        <v>0</v>
      </c>
      <c r="H14" s="42">
        <f>L16</f>
        <v>0</v>
      </c>
      <c r="K14" s="41" t="s">
        <v>41</v>
      </c>
      <c r="L14" s="42">
        <f>IF(W14="",0,W14)</f>
        <v>14</v>
      </c>
      <c r="M14" s="15" t="s">
        <v>26</v>
      </c>
      <c r="N14" s="16">
        <f>IF($L14=0,0,N7)</f>
        <v>0</v>
      </c>
      <c r="O14" s="16">
        <f>IF($L14=0,0,O$7-$L14-$L12)*N$4</f>
        <v>0</v>
      </c>
      <c r="P14" s="16">
        <f>IF($L14=0,0,P7)</f>
        <v>175</v>
      </c>
      <c r="Q14" s="16">
        <f>IF($L14=0,0,Q$7-$L14-$L12)*P$4</f>
        <v>-37.75</v>
      </c>
      <c r="R14" s="16">
        <f>IF($L14=0,0,R7)</f>
        <v>0</v>
      </c>
      <c r="S14" s="16">
        <f>IF($L14=0,0,S$7-$L14-$L12)*R$4</f>
        <v>0</v>
      </c>
      <c r="W14" s="26">
        <f>IF(IF($A$7=Y13,X13,IF($A$7=Y14,X14,IF($A$7=Y15,X15)))=0,"",IF($A$7=Y13,X13,IF($A$7=Y14,X14,IF($A$7=Y15,X15))))</f>
        <v>14</v>
      </c>
      <c r="X14">
        <f>SUM(Z24,AB24,AD24,AD28,AB28,Z28,)</f>
        <v>14</v>
      </c>
      <c r="Y14" t="str">
        <f>"mało spoiste"</f>
        <v>mało spoiste</v>
      </c>
      <c r="Z14" s="26"/>
      <c r="AA14" s="12"/>
      <c r="AB14" s="13"/>
      <c r="AC14" s="12"/>
      <c r="AD14" s="13">
        <f>AD12*15</f>
        <v>0</v>
      </c>
      <c r="AE14" s="27" t="str">
        <f>"mało spoiste"</f>
        <v>mało spoiste</v>
      </c>
      <c r="AG14" s="53" t="str">
        <f>W18</f>
        <v/>
      </c>
      <c r="AH14" t="e">
        <f>LOOKUP(AG14,AO3:AO24,AP3:AP24)</f>
        <v>#N/A</v>
      </c>
      <c r="AI14" t="str">
        <f>IF(AG14="","",AG14&amp;AH14)</f>
        <v/>
      </c>
      <c r="AK14">
        <f>AK11*15</f>
        <v>15</v>
      </c>
      <c r="AL14" t="s">
        <v>73</v>
      </c>
      <c r="AM14" s="13" t="s">
        <v>81</v>
      </c>
      <c r="AN14" t="s">
        <v>74</v>
      </c>
      <c r="AO14" s="13">
        <f>AO13*12</f>
        <v>0</v>
      </c>
      <c r="AP14" t="s">
        <v>70</v>
      </c>
      <c r="AQ14" t="s">
        <v>80</v>
      </c>
      <c r="AS14" s="72" t="s">
        <v>25</v>
      </c>
      <c r="AT14" s="73"/>
      <c r="AU14" s="72"/>
      <c r="AV14" s="73"/>
      <c r="AW14" s="72" t="s">
        <v>27</v>
      </c>
      <c r="AX14" s="73"/>
      <c r="AY14" s="72"/>
      <c r="AZ14" s="73"/>
    </row>
    <row r="15" spans="1:56" x14ac:dyDescent="0.3">
      <c r="B15" t="s">
        <v>38</v>
      </c>
      <c r="C15" s="13">
        <f t="shared" si="0"/>
        <v>0</v>
      </c>
      <c r="D15" s="12">
        <f t="shared" si="2"/>
        <v>0</v>
      </c>
      <c r="E15" t="s">
        <v>38</v>
      </c>
      <c r="F15" s="13">
        <f>IF($H14=0,0,$AX$43)</f>
        <v>0</v>
      </c>
      <c r="G15" s="12">
        <f>IF($H14=0,0,$AZ$43)</f>
        <v>0</v>
      </c>
      <c r="M15" t="s">
        <v>37</v>
      </c>
      <c r="N15" s="13">
        <f>IF($L14=0,0,$AT$32*N4)</f>
        <v>0</v>
      </c>
      <c r="O15" s="12">
        <f>IF($L14=0,0,$AV$32*N4)</f>
        <v>0</v>
      </c>
      <c r="P15" s="13">
        <f>IF($L14=0,0,$AT$32*P4)</f>
        <v>269.01349072512647</v>
      </c>
      <c r="Q15" s="12">
        <f>IF($L14=0,0,$AV$32*P4)</f>
        <v>-43.390809443507607</v>
      </c>
      <c r="R15" s="13">
        <f>IF($L14=0,0,$AT$32*R4)</f>
        <v>0</v>
      </c>
      <c r="S15" s="12">
        <f>IF($L14=0,0,$AV$32*R4)</f>
        <v>0</v>
      </c>
      <c r="W15" s="26"/>
      <c r="X15">
        <f>SUM(Z25,AB25,AD25,AD29,AB29,Z29,)</f>
        <v>14</v>
      </c>
      <c r="Y15" t="str">
        <f>"spoiste"</f>
        <v>spoiste</v>
      </c>
      <c r="Z15" s="26"/>
      <c r="AA15" s="12"/>
      <c r="AB15" s="13"/>
      <c r="AC15" s="12"/>
      <c r="AD15" s="13">
        <f>AD12*15</f>
        <v>0</v>
      </c>
      <c r="AE15" s="27" t="str">
        <f>"spoiste"</f>
        <v>spoiste</v>
      </c>
      <c r="AG15" t="s">
        <v>30</v>
      </c>
      <c r="AK15" s="52">
        <f>IF($A$5=$AC$8,1,0)*$P$4</f>
        <v>0</v>
      </c>
      <c r="AL15" s="20" t="str">
        <f>"żużlowa"</f>
        <v>żużlowa</v>
      </c>
      <c r="AM15" s="21">
        <f>IF($A$5=$AC$26,1,0)*$P$4</f>
        <v>0</v>
      </c>
      <c r="AN15" s="20" t="str">
        <f>"żużlowa"</f>
        <v>żużlowa</v>
      </c>
      <c r="AO15" s="13">
        <f>AO13*20</f>
        <v>0</v>
      </c>
      <c r="AP15" t="s">
        <v>70</v>
      </c>
      <c r="AQ15" t="s">
        <v>80</v>
      </c>
      <c r="AS15" s="72" t="s">
        <v>20</v>
      </c>
      <c r="AT15" s="73"/>
      <c r="AU15" s="72" t="s">
        <v>21</v>
      </c>
      <c r="AV15" s="73"/>
      <c r="AW15" s="72" t="s">
        <v>20</v>
      </c>
      <c r="AX15" s="73"/>
      <c r="AY15" s="72" t="s">
        <v>21</v>
      </c>
      <c r="AZ15" s="73"/>
    </row>
    <row r="16" spans="1:56" x14ac:dyDescent="0.3">
      <c r="B16" s="15" t="s">
        <v>30</v>
      </c>
      <c r="C16" s="13">
        <f t="shared" si="0"/>
        <v>0</v>
      </c>
      <c r="D16" s="12">
        <f t="shared" si="2"/>
        <v>0</v>
      </c>
      <c r="E16" s="15" t="s">
        <v>30</v>
      </c>
      <c r="F16" s="16">
        <f>IF($H16=0,0,F5)</f>
        <v>0</v>
      </c>
      <c r="G16" s="16">
        <f>IF($H16=0,0,G$5-$H16-$H14-$H12-$H10)</f>
        <v>0</v>
      </c>
      <c r="H16" s="42">
        <f>L18</f>
        <v>0</v>
      </c>
      <c r="K16" s="41" t="s">
        <v>41</v>
      </c>
      <c r="L16" s="42">
        <f>IF(W18="",0,W18)</f>
        <v>0</v>
      </c>
      <c r="M16" s="15" t="s">
        <v>27</v>
      </c>
      <c r="N16" s="16">
        <f>IF($L16=0,0,N7)</f>
        <v>0</v>
      </c>
      <c r="O16" s="16">
        <f>IF($L16=0,0,O$7-$L16-$L14-$L12)*N$4</f>
        <v>0</v>
      </c>
      <c r="P16" s="16">
        <f>IF($L16=0,0,P7)</f>
        <v>0</v>
      </c>
      <c r="Q16" s="16">
        <f>IF($L16=0,0,Q$7-$L16-$L14-$L12)*P$4</f>
        <v>0</v>
      </c>
      <c r="R16" s="16">
        <f>IF($L16=0,0,R7)</f>
        <v>0</v>
      </c>
      <c r="S16" s="16">
        <f>IF($L16=0,0,S$7-$L16-$L14-$L12)*R$4</f>
        <v>0</v>
      </c>
      <c r="W16" s="26"/>
      <c r="Y16" t="s">
        <v>27</v>
      </c>
      <c r="Z16" s="26"/>
      <c r="AA16" s="12"/>
      <c r="AB16" s="13"/>
      <c r="AC16" s="12"/>
      <c r="AD16" s="21">
        <f>IF($A$5=$AE$16,1,0)*$R$4</f>
        <v>0</v>
      </c>
      <c r="AE16" s="36" t="str">
        <f>"stab.cem"</f>
        <v>stab.cem</v>
      </c>
      <c r="AG16" s="53" t="str">
        <f>W22</f>
        <v/>
      </c>
      <c r="AH16" t="s">
        <v>77</v>
      </c>
      <c r="AI16" t="str">
        <f>IF(AG16="","",AG16&amp;AH16)</f>
        <v/>
      </c>
      <c r="AK16">
        <f>AK15*15</f>
        <v>0</v>
      </c>
      <c r="AL16" t="s">
        <v>71</v>
      </c>
      <c r="AM16" s="13">
        <f>AM15*14</f>
        <v>0</v>
      </c>
      <c r="AN16" t="s">
        <v>75</v>
      </c>
      <c r="AO16" t="s">
        <v>80</v>
      </c>
      <c r="AS16" s="72">
        <f>C10</f>
        <v>175</v>
      </c>
      <c r="AT16" s="73"/>
      <c r="AU16" s="72">
        <f>D10</f>
        <v>-23.75</v>
      </c>
      <c r="AV16" s="73"/>
      <c r="AW16" s="72">
        <f>C16</f>
        <v>0</v>
      </c>
      <c r="AX16" s="73"/>
      <c r="AY16" s="72">
        <f>D16</f>
        <v>0</v>
      </c>
      <c r="AZ16" s="73"/>
    </row>
    <row r="17" spans="2:52" x14ac:dyDescent="0.3">
      <c r="B17" t="s">
        <v>39</v>
      </c>
      <c r="C17" s="13">
        <f t="shared" si="0"/>
        <v>0</v>
      </c>
      <c r="D17" s="12">
        <f t="shared" si="2"/>
        <v>0</v>
      </c>
      <c r="E17" t="s">
        <v>39</v>
      </c>
      <c r="F17" s="13">
        <f>IF($H16=0,0,$AX$53)</f>
        <v>0</v>
      </c>
      <c r="G17" s="12">
        <f>IF($H16=0,0,$AZ$53)</f>
        <v>0</v>
      </c>
      <c r="M17" t="s">
        <v>38</v>
      </c>
      <c r="N17" s="13">
        <f>IF($L16=0,0,$AX$12*N4)</f>
        <v>0</v>
      </c>
      <c r="O17" s="12">
        <f>IF($L16=0,0,$AZ$12*N4)</f>
        <v>0</v>
      </c>
      <c r="P17" s="13">
        <f>IF($L16=0,0,$AX$12*P4)</f>
        <v>0</v>
      </c>
      <c r="Q17" s="12">
        <f>IF($L16=0,0,$AZ$12*P4)</f>
        <v>0</v>
      </c>
      <c r="R17" s="13">
        <f>IF($L16=0,0,$AX$12*R4)</f>
        <v>0</v>
      </c>
      <c r="S17" s="12">
        <f>IF($L16=0,0,$AZ$12*R4)</f>
        <v>0</v>
      </c>
      <c r="W17" s="26"/>
      <c r="X17">
        <f>SUM(Z33,AB33,AD33,AD37,AB37,Z37,)</f>
        <v>0</v>
      </c>
      <c r="Y17" t="str">
        <f>"sypkie"</f>
        <v>sypkie</v>
      </c>
      <c r="Z17" s="26"/>
      <c r="AA17" s="12"/>
      <c r="AB17" s="13"/>
      <c r="AC17" s="12"/>
      <c r="AD17" s="13">
        <f>AD16*15</f>
        <v>0</v>
      </c>
      <c r="AE17" s="27" t="str">
        <f>"sypkie"</f>
        <v>sypkie</v>
      </c>
      <c r="AG17" t="s">
        <v>31</v>
      </c>
      <c r="AK17">
        <f>AK15*15</f>
        <v>0</v>
      </c>
      <c r="AL17" t="s">
        <v>71</v>
      </c>
      <c r="AM17" s="13">
        <f>AM15*14</f>
        <v>0</v>
      </c>
      <c r="AN17" t="s">
        <v>75</v>
      </c>
      <c r="AO17" t="s">
        <v>80</v>
      </c>
      <c r="AS17" s="45" t="s">
        <v>46</v>
      </c>
      <c r="AT17" s="45">
        <f>$AT$7</f>
        <v>-0.06</v>
      </c>
      <c r="AU17" s="45" t="s">
        <v>47</v>
      </c>
      <c r="AV17" s="45">
        <f>AU16-AT17*AS16</f>
        <v>-13.25</v>
      </c>
      <c r="AW17" s="45" t="s">
        <v>46</v>
      </c>
      <c r="AX17" s="45">
        <f>$AT$7</f>
        <v>-0.06</v>
      </c>
      <c r="AY17" s="45" t="s">
        <v>47</v>
      </c>
      <c r="AZ17" s="45">
        <f>AY16-AX17*AW16</f>
        <v>0</v>
      </c>
    </row>
    <row r="18" spans="2:52" x14ac:dyDescent="0.3">
      <c r="B18" s="15" t="s">
        <v>31</v>
      </c>
      <c r="C18" s="13">
        <f t="shared" si="0"/>
        <v>0</v>
      </c>
      <c r="D18" s="12">
        <f t="shared" si="2"/>
        <v>0</v>
      </c>
      <c r="E18" s="15" t="s">
        <v>31</v>
      </c>
      <c r="F18" s="16">
        <f>IF($H18=0,0,F5)</f>
        <v>0</v>
      </c>
      <c r="G18" s="16">
        <f>IF($H18=0,0,G$5-$H18-$H16-$H14-$H12-$H10)</f>
        <v>0</v>
      </c>
      <c r="H18" s="42">
        <f>L20</f>
        <v>0</v>
      </c>
      <c r="K18" s="41" t="s">
        <v>41</v>
      </c>
      <c r="L18" s="42">
        <f>IF(W22="",0,W22)</f>
        <v>0</v>
      </c>
      <c r="M18" s="15" t="s">
        <v>30</v>
      </c>
      <c r="N18" s="16">
        <f>IF($L18=0,0,N7)</f>
        <v>0</v>
      </c>
      <c r="O18" s="16">
        <f>IF($L18=0,0,O$7-$L18-$L16-$L14-$L12)*N$4</f>
        <v>0</v>
      </c>
      <c r="P18" s="16">
        <f>IF($L18=0,0,P7)</f>
        <v>0</v>
      </c>
      <c r="Q18" s="16">
        <f>IF($L18=0,0,Q$7-$L18-$L16-$L14-$L12)*P$4</f>
        <v>0</v>
      </c>
      <c r="R18" s="16">
        <f>IF($L18=0,0,R7)</f>
        <v>0</v>
      </c>
      <c r="S18" s="16">
        <f>IF($L18=0,0,S$7-$L18-$L16-$L14-$L12)*R$4</f>
        <v>0</v>
      </c>
      <c r="W18" s="26" t="str">
        <f>IF(IF($A$7=Y17,X17,IF($A$7=Y18,X18,IF($A$7=Y19,X19)))=0,"",IF($A$7=Y17,X17,IF($A$7=Y18,X18,IF($A$7=Y19,X19))))</f>
        <v/>
      </c>
      <c r="X18">
        <f>SUM(Z34,AB34,AD34,AD38,AB38,Z38,)</f>
        <v>12</v>
      </c>
      <c r="Y18" t="str">
        <f>"mało spoiste"</f>
        <v>mało spoiste</v>
      </c>
      <c r="Z18" s="26"/>
      <c r="AA18" s="12"/>
      <c r="AB18" s="13"/>
      <c r="AC18" s="12"/>
      <c r="AD18" s="13">
        <f>AD16*15</f>
        <v>0</v>
      </c>
      <c r="AE18" s="27" t="str">
        <f>"mało spoiste"</f>
        <v>mało spoiste</v>
      </c>
      <c r="AG18" s="53" t="str">
        <f>W26</f>
        <v/>
      </c>
      <c r="AH18" t="s">
        <v>70</v>
      </c>
      <c r="AI18" t="str">
        <f>IF(AG18="","",AG18&amp;AH18)</f>
        <v/>
      </c>
      <c r="AK18">
        <f>AK15*15</f>
        <v>0</v>
      </c>
      <c r="AL18" t="s">
        <v>71</v>
      </c>
      <c r="AM18" s="13">
        <f>AM15*14</f>
        <v>0</v>
      </c>
      <c r="AN18" t="s">
        <v>75</v>
      </c>
      <c r="AO18" t="s">
        <v>80</v>
      </c>
      <c r="AS18" s="67" t="s">
        <v>50</v>
      </c>
      <c r="AT18" s="68"/>
      <c r="AU18" s="68"/>
      <c r="AV18" s="69"/>
      <c r="AW18" s="67" t="s">
        <v>61</v>
      </c>
      <c r="AX18" s="68"/>
      <c r="AY18" s="68"/>
      <c r="AZ18" s="69"/>
    </row>
    <row r="19" spans="2:52" x14ac:dyDescent="0.3">
      <c r="B19" t="s">
        <v>40</v>
      </c>
      <c r="C19" s="13">
        <f t="shared" si="0"/>
        <v>0</v>
      </c>
      <c r="D19" s="12">
        <f t="shared" si="2"/>
        <v>0</v>
      </c>
      <c r="E19" t="s">
        <v>40</v>
      </c>
      <c r="F19" s="13">
        <f>IF($H18=0,0,$AX$63*O4)</f>
        <v>0</v>
      </c>
      <c r="G19" s="12">
        <f>IF($H18=0,0,$AZ$63*O4)</f>
        <v>0</v>
      </c>
      <c r="M19" t="s">
        <v>39</v>
      </c>
      <c r="N19" s="13">
        <f>IF($L18=0,0,$AX$22*N4)</f>
        <v>0</v>
      </c>
      <c r="O19" s="12">
        <f>IF($L18=0,0,$AZ$22*N4)</f>
        <v>0</v>
      </c>
      <c r="P19" s="13">
        <f>IF($L18=0,0,$AX$22*P4)</f>
        <v>0</v>
      </c>
      <c r="Q19" s="12">
        <f>IF($L18=0,0,$AZ$22*P4)</f>
        <v>0</v>
      </c>
      <c r="R19" s="13">
        <f>IF($L18=0,0,$AX$22*R4)</f>
        <v>0</v>
      </c>
      <c r="S19" s="12">
        <f>IF($L18=0,0,$AZ$22*R4)</f>
        <v>0</v>
      </c>
      <c r="W19" s="26"/>
      <c r="X19">
        <f>SUM(Z35,AB35,AD35,AD39,AB39,Z39,)</f>
        <v>20</v>
      </c>
      <c r="Y19" t="str">
        <f>"spoiste"</f>
        <v>spoiste</v>
      </c>
      <c r="Z19" s="26"/>
      <c r="AD19" s="13">
        <f>AD16*15</f>
        <v>0</v>
      </c>
      <c r="AE19" s="27" t="str">
        <f>"spoiste"</f>
        <v>spoiste</v>
      </c>
      <c r="AK19" s="52">
        <f>IF($A$5=$AE$4,1,0)*$R$4</f>
        <v>0</v>
      </c>
      <c r="AL19" s="36" t="str">
        <f>"żwirowa"</f>
        <v>żwirowa</v>
      </c>
      <c r="AM19" s="21">
        <f>IF($A$5=$AE$22,1,0)*$R$4</f>
        <v>0</v>
      </c>
      <c r="AN19" s="36" t="str">
        <f>"żwirowa"</f>
        <v>żwirowa</v>
      </c>
      <c r="AO19" t="s">
        <v>80</v>
      </c>
      <c r="AS19" s="70" t="s">
        <v>53</v>
      </c>
      <c r="AT19" s="71"/>
      <c r="AU19" s="70" t="s">
        <v>52</v>
      </c>
      <c r="AV19" s="71"/>
      <c r="AW19" s="70" t="s">
        <v>53</v>
      </c>
      <c r="AX19" s="71"/>
      <c r="AY19" s="70" t="s">
        <v>62</v>
      </c>
      <c r="AZ19" s="71"/>
    </row>
    <row r="20" spans="2:52" x14ac:dyDescent="0.3">
      <c r="B20" s="15" t="s">
        <v>32</v>
      </c>
      <c r="C20" s="13">
        <f>N22</f>
        <v>2</v>
      </c>
      <c r="D20" s="12"/>
      <c r="E20" s="56" t="s">
        <v>67</v>
      </c>
      <c r="F20" s="50">
        <f>MAX(F19,F17,F15,F13,F11,F16)+(C7*C8)</f>
        <v>406.55921308920915</v>
      </c>
      <c r="G20" s="51">
        <f>(MIN(G19,G17,G15,G13,G11)-C7)</f>
        <v>-77.084144916244583</v>
      </c>
      <c r="K20" s="41" t="s">
        <v>41</v>
      </c>
      <c r="L20" s="42">
        <f>IF(W26="",0,W26)</f>
        <v>0</v>
      </c>
      <c r="M20" s="15" t="s">
        <v>31</v>
      </c>
      <c r="N20" s="16">
        <f>IF($L20=0,0,N7)</f>
        <v>0</v>
      </c>
      <c r="O20" s="16">
        <f>IF($L20=0,0,O$7-$L20-$L18-$L16-$L14-$L12)*N$4</f>
        <v>0</v>
      </c>
      <c r="P20" s="16">
        <f>IF($L20=0,0,P7)</f>
        <v>0</v>
      </c>
      <c r="Q20" s="16">
        <f>IF($L20=0,0,Q$7-$L20-$L18-$L16-$L14-$L12)*P$4</f>
        <v>0</v>
      </c>
      <c r="R20" s="16">
        <f>IF($L20=0,0,R7)</f>
        <v>0</v>
      </c>
      <c r="S20" s="16">
        <f>IF($L20=0,0,S$7-$L20-$L18-$L16-$L14-$L12)*R$4</f>
        <v>0</v>
      </c>
      <c r="W20" s="26"/>
      <c r="Y20" t="s">
        <v>30</v>
      </c>
      <c r="Z20" s="33" t="s">
        <v>14</v>
      </c>
      <c r="AA20" s="19" t="s">
        <v>26</v>
      </c>
      <c r="AB20" s="18"/>
      <c r="AC20" s="19"/>
      <c r="AD20" s="18"/>
      <c r="AE20" s="34"/>
      <c r="AK20">
        <f>AK19*15</f>
        <v>0</v>
      </c>
      <c r="AL20" t="s">
        <v>69</v>
      </c>
      <c r="AM20" s="13">
        <f>AM19*15</f>
        <v>0</v>
      </c>
      <c r="AN20" t="s">
        <v>70</v>
      </c>
      <c r="AO20" t="s">
        <v>80</v>
      </c>
      <c r="AS20" s="43" t="s">
        <v>19</v>
      </c>
      <c r="AT20" s="43" t="s">
        <v>23</v>
      </c>
      <c r="AU20" s="43" t="s">
        <v>19</v>
      </c>
      <c r="AV20" s="43" t="s">
        <v>23</v>
      </c>
      <c r="AW20" s="43" t="s">
        <v>19</v>
      </c>
      <c r="AX20" s="43" t="s">
        <v>23</v>
      </c>
      <c r="AY20" s="43" t="s">
        <v>19</v>
      </c>
      <c r="AZ20" s="43" t="s">
        <v>23</v>
      </c>
    </row>
    <row r="21" spans="2:52" x14ac:dyDescent="0.3">
      <c r="B21" t="s">
        <v>67</v>
      </c>
      <c r="C21" s="13">
        <f>R23+P23+N23</f>
        <v>306.51349072512647</v>
      </c>
      <c r="D21" s="12">
        <f>S23+Q23+O23</f>
        <v>-68.390809443507607</v>
      </c>
      <c r="E21" s="56" t="s">
        <v>68</v>
      </c>
      <c r="F21" s="50">
        <f>ABS(F7-F20)+F20</f>
        <v>488.1184261784183</v>
      </c>
      <c r="G21" s="51">
        <f>G7</f>
        <v>-20</v>
      </c>
      <c r="M21" t="s">
        <v>40</v>
      </c>
      <c r="N21" s="13">
        <f>IF($L20=0,0,$AX$32*N4)</f>
        <v>0</v>
      </c>
      <c r="O21" s="12">
        <f>IF($L20=0,0,$AZ$32*N4)</f>
        <v>0</v>
      </c>
      <c r="P21" s="13">
        <f>IF($L20=0,0,$AX$32*P4)</f>
        <v>0</v>
      </c>
      <c r="Q21" s="12">
        <f>IF($L20=0,0,$AZ$32*P4)</f>
        <v>0</v>
      </c>
      <c r="R21" s="13">
        <f>IF($L20=0,0,$AX$32*R4)</f>
        <v>0</v>
      </c>
      <c r="S21" s="12">
        <f>IF($L20=0,0,$AZ$32*R4)</f>
        <v>0</v>
      </c>
      <c r="W21" s="26"/>
      <c r="X21">
        <f>SUM(Z47,AB47,AD47,AD51,AB51,Z51,)</f>
        <v>0</v>
      </c>
      <c r="Y21" t="str">
        <f>"sypkie"</f>
        <v>sypkie</v>
      </c>
      <c r="Z21" s="33" t="s">
        <v>28</v>
      </c>
      <c r="AA21" s="19" t="s">
        <v>29</v>
      </c>
      <c r="AB21" s="18" t="s">
        <v>28</v>
      </c>
      <c r="AC21" s="19" t="s">
        <v>29</v>
      </c>
      <c r="AD21" s="18" t="s">
        <v>28</v>
      </c>
      <c r="AE21" s="34" t="s">
        <v>29</v>
      </c>
      <c r="AK21">
        <f>AK19*15</f>
        <v>0</v>
      </c>
      <c r="AL21" t="s">
        <v>69</v>
      </c>
      <c r="AM21" s="13">
        <f>AM19*20</f>
        <v>0</v>
      </c>
      <c r="AN21" t="s">
        <v>70</v>
      </c>
      <c r="AO21" t="s">
        <v>80</v>
      </c>
      <c r="AS21" s="43">
        <f>$AT$12</f>
        <v>-0.71888888888888891</v>
      </c>
      <c r="AT21" s="43">
        <f>$AV$12</f>
        <v>150</v>
      </c>
      <c r="AU21" s="43">
        <f>AT17</f>
        <v>-0.06</v>
      </c>
      <c r="AV21" s="43">
        <f>AV17</f>
        <v>-13.25</v>
      </c>
      <c r="AW21" s="43">
        <f>$AT$12</f>
        <v>-0.71888888888888891</v>
      </c>
      <c r="AX21" s="43">
        <f>$AV$12</f>
        <v>150</v>
      </c>
      <c r="AY21" s="43">
        <f>AX17</f>
        <v>-0.06</v>
      </c>
      <c r="AZ21" s="43">
        <f>AZ17</f>
        <v>0</v>
      </c>
    </row>
    <row r="22" spans="2:52" x14ac:dyDescent="0.3">
      <c r="B22" t="s">
        <v>68</v>
      </c>
      <c r="C22" s="13">
        <f>R24+P24+N24</f>
        <v>388.02698145025295</v>
      </c>
      <c r="D22" s="12">
        <f>S24+Q24+O24</f>
        <v>-11.75</v>
      </c>
      <c r="E22" s="15" t="s">
        <v>96</v>
      </c>
      <c r="F22" s="16">
        <f>IF($H22=0,0,F6)</f>
        <v>-175</v>
      </c>
      <c r="G22" s="16">
        <f>IF($H22=0,0,G$6-$H22)</f>
        <v>-4.5</v>
      </c>
      <c r="H22" s="42">
        <f>L12</f>
        <v>15</v>
      </c>
      <c r="M22" s="15" t="s">
        <v>32</v>
      </c>
      <c r="N22" s="16">
        <f>COUNT(W10:W27)</f>
        <v>2</v>
      </c>
      <c r="O22" s="15"/>
      <c r="P22" s="16">
        <f>COUNT(W10:W27)</f>
        <v>2</v>
      </c>
      <c r="Q22" s="17"/>
      <c r="R22" s="15">
        <f>COUNT(W10:W27)</f>
        <v>2</v>
      </c>
      <c r="S22" s="17"/>
      <c r="W22" s="26" t="str">
        <f>IF(IF($A$7=Y21,X21,IF($A$7=Y22,X22,IF($A$7=Y23,X23)))=0,"",IF($A$7=Y21,X21,IF($A$7=Y22,X22,IF($A$7=Y23,X23))))</f>
        <v/>
      </c>
      <c r="X22">
        <f>SUM(Z48,AB48,AD48,AD52,AB52,Z52,)</f>
        <v>0</v>
      </c>
      <c r="Y22" t="str">
        <f>"mało spoiste"</f>
        <v>mało spoiste</v>
      </c>
      <c r="Z22" s="35">
        <f>IF($A$5=$AA$22,1,0)*$N$4</f>
        <v>0</v>
      </c>
      <c r="AA22" s="20" t="str">
        <f>"tłuczniowa"</f>
        <v>tłuczniowa</v>
      </c>
      <c r="AB22" s="21">
        <f>IF($A$5=$AC$22,1,0)*$P$4</f>
        <v>1</v>
      </c>
      <c r="AC22" s="20" t="str">
        <f>"żwirowa"</f>
        <v>żwirowa</v>
      </c>
      <c r="AD22" s="21">
        <f>IF($A$5=$AE$22,1,0)*$R$4</f>
        <v>0</v>
      </c>
      <c r="AE22" s="36" t="str">
        <f>"żwirowa"</f>
        <v>żwirowa</v>
      </c>
      <c r="AK22">
        <f>AK19*15</f>
        <v>0</v>
      </c>
      <c r="AL22" t="s">
        <v>69</v>
      </c>
      <c r="AM22" s="21">
        <f>IF($A$5=$AE$26,1,0)*$R$4</f>
        <v>0</v>
      </c>
      <c r="AN22" s="36" t="str">
        <f>"żużlowa"</f>
        <v>żużlowa</v>
      </c>
      <c r="AO22" t="s">
        <v>80</v>
      </c>
      <c r="AP22" s="52"/>
      <c r="AQ22" s="52"/>
      <c r="AS22" s="44" t="s">
        <v>20</v>
      </c>
      <c r="AT22" s="43">
        <f>(AT21-AV21)/(AU21-AS21)</f>
        <v>247.7655986509275</v>
      </c>
      <c r="AU22" s="43" t="s">
        <v>21</v>
      </c>
      <c r="AV22" s="43">
        <f>AS21*AT22+AT21</f>
        <v>-28.115935919055659</v>
      </c>
      <c r="AW22" s="44" t="s">
        <v>20</v>
      </c>
      <c r="AX22" s="43">
        <f>(AX21-AZ21)/(AY21-AW21)</f>
        <v>227.6559865092749</v>
      </c>
      <c r="AY22" s="43" t="s">
        <v>21</v>
      </c>
      <c r="AZ22" s="43">
        <f>AW21*AX22+AX21</f>
        <v>-13.659359190556501</v>
      </c>
    </row>
    <row r="23" spans="2:52" x14ac:dyDescent="0.3">
      <c r="B23" t="s">
        <v>86</v>
      </c>
      <c r="C23" s="13"/>
      <c r="D23" s="12"/>
      <c r="E23" t="s">
        <v>102</v>
      </c>
      <c r="F23" s="13">
        <f>IF($H22=0,0,$AT$84)</f>
        <v>-249.81617647058823</v>
      </c>
      <c r="G23" s="12">
        <f>IF($H22=0,0,$AV$84)</f>
        <v>-5.996323529411768</v>
      </c>
      <c r="M23" t="s">
        <v>67</v>
      </c>
      <c r="N23" s="50">
        <f>MAX(N21,N19,N17,N15,N13,N18)+(-N9*N10)</f>
        <v>0</v>
      </c>
      <c r="O23" s="51">
        <f>(MIN(O21,O19,O17,O15,O13)+N9)*N4</f>
        <v>0</v>
      </c>
      <c r="P23" s="50">
        <f>MAX(P21,P19,P17,P15,P13,P18)+(-P9*P10)</f>
        <v>306.51349072512647</v>
      </c>
      <c r="Q23" s="51">
        <f>(MIN(Q21,Q19,Q17,Q15,Q13)+P9)*P4</f>
        <v>-68.390809443507607</v>
      </c>
      <c r="R23" s="50">
        <f>MAX(R21,R19,R17,R15,R13,R18)+(-R9*R10)</f>
        <v>0</v>
      </c>
      <c r="S23" s="51">
        <f>(MIN(S21,S19,S17,S15,S13)+R9)*R4</f>
        <v>0</v>
      </c>
      <c r="W23" s="26"/>
      <c r="X23">
        <f>SUM(Z49,AB49,AD49,AD53,AB53,Z53,)</f>
        <v>0</v>
      </c>
      <c r="Y23" t="str">
        <f>"spoiste"</f>
        <v>spoiste</v>
      </c>
      <c r="Z23" s="26">
        <f>Z22*14</f>
        <v>0</v>
      </c>
      <c r="AA23" s="12" t="str">
        <f>"sypkie"</f>
        <v>sypkie</v>
      </c>
      <c r="AB23" s="13">
        <f>AB22*14</f>
        <v>14</v>
      </c>
      <c r="AC23" s="12" t="str">
        <f>"sypkie"</f>
        <v>sypkie</v>
      </c>
      <c r="AD23" s="13"/>
      <c r="AE23" s="27"/>
      <c r="AK23" s="52">
        <f>IF($A$5=$AE$8,1,0)*$R$4</f>
        <v>0</v>
      </c>
      <c r="AL23" s="36" t="str">
        <f>"żużlowa"</f>
        <v>żużlowa</v>
      </c>
      <c r="AM23" s="13">
        <f>AM22*15</f>
        <v>0</v>
      </c>
      <c r="AN23" t="s">
        <v>70</v>
      </c>
      <c r="AO23" t="s">
        <v>80</v>
      </c>
      <c r="AS23" s="74" t="s">
        <v>54</v>
      </c>
      <c r="AT23" s="75"/>
      <c r="AU23" s="75"/>
      <c r="AV23" s="76"/>
      <c r="AW23" s="74" t="s">
        <v>63</v>
      </c>
      <c r="AX23" s="75"/>
      <c r="AY23" s="75"/>
      <c r="AZ23" s="76"/>
    </row>
    <row r="24" spans="2:52" x14ac:dyDescent="0.3">
      <c r="B24" t="s">
        <v>25</v>
      </c>
      <c r="C24" s="13" t="str">
        <f>AI10</f>
        <v>15cm grunt rodzimy stabilizowany cementem</v>
      </c>
      <c r="D24" s="12">
        <f>L12</f>
        <v>15</v>
      </c>
      <c r="E24" s="15" t="s">
        <v>98</v>
      </c>
      <c r="F24" s="16">
        <f>IF($H24=0,0,F6)</f>
        <v>-175</v>
      </c>
      <c r="G24" s="16">
        <f>IF($H24=0,0,G$6-$H24-$H22)</f>
        <v>-18.5</v>
      </c>
      <c r="H24" s="42">
        <f>L14</f>
        <v>14</v>
      </c>
      <c r="M24" t="s">
        <v>68</v>
      </c>
      <c r="N24" s="50">
        <f>ABS(N8-N23)+N23</f>
        <v>0</v>
      </c>
      <c r="O24" s="51">
        <f>O8</f>
        <v>0</v>
      </c>
      <c r="P24" s="50">
        <f>ABS(P8-P23)+P23</f>
        <v>388.02698145025295</v>
      </c>
      <c r="Q24" s="51">
        <f>Q8</f>
        <v>-11.75</v>
      </c>
      <c r="R24" s="50">
        <f>ABS(R8-R23)+R23</f>
        <v>0</v>
      </c>
      <c r="S24" s="51">
        <f>S8</f>
        <v>0</v>
      </c>
      <c r="W24" s="26"/>
      <c r="Y24" t="s">
        <v>31</v>
      </c>
      <c r="Z24" s="26">
        <f>Z22*14</f>
        <v>0</v>
      </c>
      <c r="AA24" s="12" t="str">
        <f>"mało spoiste"</f>
        <v>mało spoiste</v>
      </c>
      <c r="AB24" s="13">
        <f>AB22*14</f>
        <v>14</v>
      </c>
      <c r="AC24" s="12" t="str">
        <f>"mało spoiste"</f>
        <v>mało spoiste</v>
      </c>
      <c r="AD24" s="13">
        <f>AD22*15</f>
        <v>0</v>
      </c>
      <c r="AE24" s="27" t="str">
        <f>"mało spoiste"</f>
        <v>mało spoiste</v>
      </c>
      <c r="AK24">
        <f>AK23*15</f>
        <v>0</v>
      </c>
      <c r="AL24" t="s">
        <v>71</v>
      </c>
      <c r="AM24" s="13">
        <f>AM22*20</f>
        <v>0</v>
      </c>
      <c r="AN24" t="s">
        <v>70</v>
      </c>
      <c r="AO24" t="s">
        <v>80</v>
      </c>
      <c r="AS24" s="72" t="s">
        <v>26</v>
      </c>
      <c r="AT24" s="73"/>
      <c r="AU24" s="72"/>
      <c r="AV24" s="73"/>
      <c r="AW24" s="72" t="s">
        <v>31</v>
      </c>
      <c r="AX24" s="73"/>
      <c r="AY24" s="72"/>
      <c r="AZ24" s="73"/>
    </row>
    <row r="25" spans="2:52" x14ac:dyDescent="0.3">
      <c r="B25" t="s">
        <v>26</v>
      </c>
      <c r="C25" s="13" t="str">
        <f>AI12</f>
        <v>14cm żwir</v>
      </c>
      <c r="D25" s="12">
        <f>L14</f>
        <v>14</v>
      </c>
      <c r="E25" t="s">
        <v>103</v>
      </c>
      <c r="F25" s="13">
        <f>IF($H24=0,0,$AT$94)</f>
        <v>-272.97794117647061</v>
      </c>
      <c r="G25" s="12">
        <f>IF($H24=0,0,$AV$94)</f>
        <v>-20.45955882352942</v>
      </c>
      <c r="S25" t="s">
        <v>82</v>
      </c>
      <c r="W25" s="26"/>
      <c r="X25">
        <f>SUM(Z57,AB57,AD57,R72,P72,N72,)</f>
        <v>0</v>
      </c>
      <c r="Y25" t="str">
        <f>"sypkie"</f>
        <v>sypkie</v>
      </c>
      <c r="Z25" s="26">
        <f>Z22*14</f>
        <v>0</v>
      </c>
      <c r="AA25" s="12" t="str">
        <f>"spoiste"</f>
        <v>spoiste</v>
      </c>
      <c r="AB25" s="13">
        <f>AB22*14</f>
        <v>14</v>
      </c>
      <c r="AC25" s="12" t="str">
        <f>"spoiste"</f>
        <v>spoiste</v>
      </c>
      <c r="AD25" s="13">
        <f>AD22*20</f>
        <v>0</v>
      </c>
      <c r="AE25" s="27" t="str">
        <f>"spoiste"</f>
        <v>spoiste</v>
      </c>
      <c r="AK25">
        <f>AK23*15</f>
        <v>0</v>
      </c>
      <c r="AL25" t="s">
        <v>71</v>
      </c>
      <c r="AM25" t="s">
        <v>80</v>
      </c>
      <c r="AO25" t="s">
        <v>80</v>
      </c>
      <c r="AS25" s="72" t="s">
        <v>20</v>
      </c>
      <c r="AT25" s="73"/>
      <c r="AU25" s="72" t="s">
        <v>21</v>
      </c>
      <c r="AV25" s="73"/>
      <c r="AW25" s="72" t="s">
        <v>20</v>
      </c>
      <c r="AX25" s="73"/>
      <c r="AY25" s="72" t="s">
        <v>21</v>
      </c>
      <c r="AZ25" s="73"/>
    </row>
    <row r="26" spans="2:52" x14ac:dyDescent="0.3">
      <c r="B26" t="s">
        <v>27</v>
      </c>
      <c r="C26" s="13" t="str">
        <f>AI14</f>
        <v/>
      </c>
      <c r="D26" s="12">
        <f>L16</f>
        <v>0</v>
      </c>
      <c r="E26" s="15" t="s">
        <v>99</v>
      </c>
      <c r="F26" s="16">
        <f>IF($H26=0,0,F6)</f>
        <v>0</v>
      </c>
      <c r="G26" s="16">
        <f>IF($H26=0,0,G$6-$H26-$H24-$H22)</f>
        <v>0</v>
      </c>
      <c r="H26" s="42">
        <f>L16</f>
        <v>0</v>
      </c>
      <c r="S26" t="s">
        <v>25</v>
      </c>
      <c r="W26" s="26" t="str">
        <f>IF(IF($A$7=Y25,X25,IF($A$7=Y26,X26,IF($A$7=Y27,X27)))=0,"",IF($A$7=Y25,X25,IF($A$7=Y26,X26,IF($A$7=Y27,X27))))</f>
        <v/>
      </c>
      <c r="X26">
        <f>SUM(Z58,AB58,AD58,R73,P73,N73,)</f>
        <v>0</v>
      </c>
      <c r="Y26" t="str">
        <f>"mało spoiste"</f>
        <v>mało spoiste</v>
      </c>
      <c r="Z26" s="35">
        <f>IF($A$5=$AA$26,1,0)*$N$4</f>
        <v>0</v>
      </c>
      <c r="AA26" s="20" t="str">
        <f>"bitumiczna"</f>
        <v>bitumiczna</v>
      </c>
      <c r="AB26" s="21">
        <f>IF($A$5=$AC$26,1,0)*$P$4</f>
        <v>0</v>
      </c>
      <c r="AC26" s="20" t="str">
        <f>"żużlowa"</f>
        <v>żużlowa</v>
      </c>
      <c r="AD26" s="21">
        <f>IF($A$5=$AE$26,1,0)*$R$4</f>
        <v>0</v>
      </c>
      <c r="AE26" s="36" t="str">
        <f>"żużlowa"</f>
        <v>żużlowa</v>
      </c>
      <c r="AK26">
        <f>AK23*15</f>
        <v>0</v>
      </c>
      <c r="AL26" t="s">
        <v>71</v>
      </c>
      <c r="AM26" t="s">
        <v>80</v>
      </c>
      <c r="AO26" t="s">
        <v>80</v>
      </c>
      <c r="AP26" s="52"/>
      <c r="AQ26" s="52"/>
      <c r="AS26" s="72">
        <f>C12</f>
        <v>175</v>
      </c>
      <c r="AT26" s="73"/>
      <c r="AU26" s="72">
        <f>D12</f>
        <v>-37.75</v>
      </c>
      <c r="AV26" s="73"/>
      <c r="AW26" s="72">
        <f>C18</f>
        <v>0</v>
      </c>
      <c r="AX26" s="73"/>
      <c r="AY26" s="72">
        <f>D18</f>
        <v>0</v>
      </c>
      <c r="AZ26" s="73"/>
    </row>
    <row r="27" spans="2:52" ht="15" thickBot="1" x14ac:dyDescent="0.35">
      <c r="B27" t="s">
        <v>30</v>
      </c>
      <c r="C27" s="13" t="str">
        <f>AI16</f>
        <v/>
      </c>
      <c r="D27" s="12">
        <f>L18</f>
        <v>0</v>
      </c>
      <c r="E27" t="s">
        <v>104</v>
      </c>
      <c r="F27" s="13">
        <f>IF($H26=0,0,$AX$74)</f>
        <v>0</v>
      </c>
      <c r="G27" s="12">
        <f>IF($H26=0,0,$AZ$74)</f>
        <v>0</v>
      </c>
      <c r="S27" t="s">
        <v>26</v>
      </c>
      <c r="W27" s="28"/>
      <c r="X27" s="29">
        <f>SUM(Z59,AB59,AD59,R74,P74,N74,)</f>
        <v>0</v>
      </c>
      <c r="Y27" s="29" t="str">
        <f>"spoiste"</f>
        <v>spoiste</v>
      </c>
      <c r="Z27" s="26">
        <f>Z26*4</f>
        <v>0</v>
      </c>
      <c r="AA27" s="12" t="str">
        <f>"sypkie"</f>
        <v>sypkie</v>
      </c>
      <c r="AB27" s="13">
        <f>AB26*14</f>
        <v>0</v>
      </c>
      <c r="AC27" s="12" t="str">
        <f>"sypkie"</f>
        <v>sypkie</v>
      </c>
      <c r="AD27" s="13"/>
      <c r="AE27" s="27" t="str">
        <f>"sypkie"</f>
        <v>sypkie</v>
      </c>
      <c r="AK27" s="52">
        <f>IF($A$5=$AE$12,1,0)*$R$4</f>
        <v>0</v>
      </c>
      <c r="AL27" s="36" t="str">
        <f>"stab.gran"</f>
        <v>stab.gran</v>
      </c>
      <c r="AM27" t="s">
        <v>80</v>
      </c>
      <c r="AO27" t="s">
        <v>80</v>
      </c>
      <c r="AS27" s="45" t="s">
        <v>46</v>
      </c>
      <c r="AT27" s="45">
        <f>$AT$7</f>
        <v>-0.06</v>
      </c>
      <c r="AU27" s="45" t="s">
        <v>47</v>
      </c>
      <c r="AV27" s="45">
        <f>AU26-AT27*AS26</f>
        <v>-27.25</v>
      </c>
      <c r="AW27" s="45" t="s">
        <v>46</v>
      </c>
      <c r="AX27" s="45">
        <f>$AT$7</f>
        <v>-0.06</v>
      </c>
      <c r="AY27" s="45" t="s">
        <v>47</v>
      </c>
      <c r="AZ27" s="45">
        <f>AY26-AX27*AW26</f>
        <v>0</v>
      </c>
    </row>
    <row r="28" spans="2:52" x14ac:dyDescent="0.3">
      <c r="B28" t="s">
        <v>31</v>
      </c>
      <c r="C28" s="13" t="str">
        <f>AI18</f>
        <v/>
      </c>
      <c r="D28" s="12">
        <f>L20</f>
        <v>0</v>
      </c>
      <c r="E28" s="15" t="s">
        <v>100</v>
      </c>
      <c r="F28" s="16">
        <f>IF($H28=0,0,F6)</f>
        <v>0</v>
      </c>
      <c r="G28" s="16">
        <f>IF($H28=0,0,G$6-$H28-$H26-$H24-$H22)</f>
        <v>0</v>
      </c>
      <c r="H28" s="42">
        <f>L18</f>
        <v>0</v>
      </c>
      <c r="S28" t="s">
        <v>27</v>
      </c>
      <c r="Z28" s="26">
        <f>Z26*4</f>
        <v>0</v>
      </c>
      <c r="AA28" s="12" t="str">
        <f>"mało spoiste"</f>
        <v>mało spoiste</v>
      </c>
      <c r="AB28" s="13">
        <f>AB26*14</f>
        <v>0</v>
      </c>
      <c r="AC28" s="12" t="str">
        <f>"mało spoiste"</f>
        <v>mało spoiste</v>
      </c>
      <c r="AD28" s="13">
        <f>AD26*15</f>
        <v>0</v>
      </c>
      <c r="AE28" s="27" t="str">
        <f>"mało spoiste"</f>
        <v>mało spoiste</v>
      </c>
      <c r="AK28">
        <f>AK27*15</f>
        <v>0</v>
      </c>
      <c r="AL28" t="s">
        <v>70</v>
      </c>
      <c r="AM28" t="s">
        <v>80</v>
      </c>
      <c r="AO28" t="s">
        <v>80</v>
      </c>
      <c r="AS28" s="67" t="s">
        <v>56</v>
      </c>
      <c r="AT28" s="68"/>
      <c r="AU28" s="68"/>
      <c r="AV28" s="69"/>
      <c r="AW28" s="67" t="s">
        <v>64</v>
      </c>
      <c r="AX28" s="68"/>
      <c r="AY28" s="68"/>
      <c r="AZ28" s="69"/>
    </row>
    <row r="29" spans="2:52" x14ac:dyDescent="0.3">
      <c r="E29" t="s">
        <v>105</v>
      </c>
      <c r="F29" s="13">
        <f>IF($H28=0,0,$AX$84)</f>
        <v>0</v>
      </c>
      <c r="G29" s="12">
        <f>IF($H28=0,0,$AZ$84)</f>
        <v>0</v>
      </c>
      <c r="S29" t="s">
        <v>30</v>
      </c>
      <c r="Z29" s="26">
        <f>Z26*4</f>
        <v>0</v>
      </c>
      <c r="AA29" s="12" t="str">
        <f>"spoiste"</f>
        <v>spoiste</v>
      </c>
      <c r="AB29" s="13">
        <f>AB26*14</f>
        <v>0</v>
      </c>
      <c r="AC29" s="12" t="str">
        <f>"spoiste"</f>
        <v>spoiste</v>
      </c>
      <c r="AD29" s="13">
        <f>AD26*20</f>
        <v>0</v>
      </c>
      <c r="AE29" s="27" t="str">
        <f>"spoiste"</f>
        <v>spoiste</v>
      </c>
      <c r="AK29">
        <f>AK27*15</f>
        <v>0</v>
      </c>
      <c r="AL29" t="s">
        <v>70</v>
      </c>
      <c r="AM29" t="s">
        <v>80</v>
      </c>
      <c r="AO29" t="s">
        <v>80</v>
      </c>
      <c r="AS29" s="70" t="s">
        <v>53</v>
      </c>
      <c r="AT29" s="71"/>
      <c r="AU29" s="70" t="s">
        <v>55</v>
      </c>
      <c r="AV29" s="71"/>
      <c r="AW29" s="70" t="s">
        <v>53</v>
      </c>
      <c r="AX29" s="71"/>
      <c r="AY29" s="70" t="s">
        <v>65</v>
      </c>
      <c r="AZ29" s="71"/>
    </row>
    <row r="30" spans="2:52" x14ac:dyDescent="0.3">
      <c r="E30" s="15" t="s">
        <v>101</v>
      </c>
      <c r="F30" s="16">
        <f>IF($H30=0,0,F6)</f>
        <v>0</v>
      </c>
      <c r="G30" s="16">
        <f>IF($H30=0,0,G$6-$H30-$H28-$H26-$H24-$H22)</f>
        <v>0</v>
      </c>
      <c r="H30" s="42">
        <f>L20</f>
        <v>0</v>
      </c>
      <c r="S30" t="s">
        <v>31</v>
      </c>
      <c r="Z30" s="33" t="s">
        <v>14</v>
      </c>
      <c r="AA30" s="19" t="s">
        <v>27</v>
      </c>
      <c r="AB30" s="18"/>
      <c r="AC30" s="19"/>
      <c r="AD30" s="18"/>
      <c r="AE30" s="34"/>
      <c r="AK30">
        <f>AK27*15</f>
        <v>0</v>
      </c>
      <c r="AL30" t="s">
        <v>70</v>
      </c>
      <c r="AM30" t="s">
        <v>80</v>
      </c>
      <c r="AO30" t="s">
        <v>80</v>
      </c>
      <c r="AS30" s="43" t="s">
        <v>19</v>
      </c>
      <c r="AT30" s="43" t="s">
        <v>23</v>
      </c>
      <c r="AU30" s="43" t="s">
        <v>19</v>
      </c>
      <c r="AV30" s="43" t="s">
        <v>23</v>
      </c>
      <c r="AW30" s="43" t="s">
        <v>19</v>
      </c>
      <c r="AX30" s="43" t="s">
        <v>23</v>
      </c>
      <c r="AY30" s="43" t="s">
        <v>19</v>
      </c>
      <c r="AZ30" s="43" t="s">
        <v>23</v>
      </c>
    </row>
    <row r="31" spans="2:52" x14ac:dyDescent="0.3">
      <c r="E31" t="s">
        <v>106</v>
      </c>
      <c r="F31" s="13">
        <f>IF($H30=0,0,$AX$94)</f>
        <v>0</v>
      </c>
      <c r="G31" s="12">
        <f>IF($H30=0,0,$AZ$94*O4)</f>
        <v>0</v>
      </c>
      <c r="Z31" s="33" t="s">
        <v>28</v>
      </c>
      <c r="AA31" s="19" t="s">
        <v>29</v>
      </c>
      <c r="AB31" s="18" t="s">
        <v>28</v>
      </c>
      <c r="AC31" s="19" t="s">
        <v>29</v>
      </c>
      <c r="AD31" s="18"/>
      <c r="AE31" s="34"/>
      <c r="AK31" s="52">
        <f>IF($A$5=$AE$16,1,0)*$R$4</f>
        <v>0</v>
      </c>
      <c r="AL31" s="36" t="str">
        <f>"stab.cem"</f>
        <v>stab.cem</v>
      </c>
      <c r="AM31" t="s">
        <v>80</v>
      </c>
      <c r="AO31" t="s">
        <v>80</v>
      </c>
      <c r="AS31" s="43">
        <f>$AT$12</f>
        <v>-0.71888888888888891</v>
      </c>
      <c r="AT31" s="43">
        <f>$AV$12</f>
        <v>150</v>
      </c>
      <c r="AU31" s="43">
        <f>AT27</f>
        <v>-0.06</v>
      </c>
      <c r="AV31" s="43">
        <f>AV27</f>
        <v>-27.25</v>
      </c>
      <c r="AW31" s="43">
        <f>$AT$12</f>
        <v>-0.71888888888888891</v>
      </c>
      <c r="AX31" s="43">
        <f>$AV$12</f>
        <v>150</v>
      </c>
      <c r="AY31" s="43">
        <f>AX27</f>
        <v>-0.06</v>
      </c>
      <c r="AZ31" s="43">
        <f>AZ27</f>
        <v>0</v>
      </c>
    </row>
    <row r="32" spans="2:52" x14ac:dyDescent="0.3">
      <c r="E32" s="56" t="s">
        <v>107</v>
      </c>
      <c r="F32" s="50">
        <f>MIN(F31,F29,F27,F25,F23,F28)+(C7*C8)</f>
        <v>-235.47794117647061</v>
      </c>
      <c r="G32" s="51">
        <f>(MIN(G31,G29,G27,G25,G23)-C7)</f>
        <v>-45.45955882352942</v>
      </c>
      <c r="Z32" s="35">
        <f>IF($A$5=$AA$32,1,0)*$N$4</f>
        <v>0</v>
      </c>
      <c r="AA32" s="20" t="str">
        <f>"tłuczniowa"</f>
        <v>tłuczniowa</v>
      </c>
      <c r="AB32" s="21">
        <f>IF($A$5=$AC$32,1,0)*$P$4</f>
        <v>1</v>
      </c>
      <c r="AC32" s="20" t="str">
        <f>"żwirowa"</f>
        <v>żwirowa</v>
      </c>
      <c r="AD32" s="21"/>
      <c r="AE32" s="36"/>
      <c r="AK32">
        <f>AK31*15</f>
        <v>0</v>
      </c>
      <c r="AL32" t="s">
        <v>72</v>
      </c>
      <c r="AM32" t="s">
        <v>80</v>
      </c>
      <c r="AN32" s="52"/>
      <c r="AO32" t="s">
        <v>80</v>
      </c>
      <c r="AP32" s="52"/>
      <c r="AQ32" s="52"/>
      <c r="AS32" s="44" t="s">
        <v>20</v>
      </c>
      <c r="AT32" s="43">
        <f>(AT31-AV31)/(AU31-AS31)</f>
        <v>269.01349072512647</v>
      </c>
      <c r="AU32" s="43" t="s">
        <v>21</v>
      </c>
      <c r="AV32" s="43">
        <f>AS31*AT32+AT31</f>
        <v>-43.390809443507607</v>
      </c>
      <c r="AW32" s="44" t="s">
        <v>20</v>
      </c>
      <c r="AX32" s="43">
        <f>(AX31-AZ31)/(AY31-AW31)</f>
        <v>227.6559865092749</v>
      </c>
      <c r="AY32" s="43" t="s">
        <v>21</v>
      </c>
      <c r="AZ32" s="43">
        <f>AW31*AX32+AX31</f>
        <v>-13.659359190556501</v>
      </c>
    </row>
    <row r="33" spans="5:52" x14ac:dyDescent="0.3">
      <c r="E33" s="56" t="s">
        <v>97</v>
      </c>
      <c r="F33" s="50">
        <f>ABS(F8-F32)-F32</f>
        <v>245.95588235294122</v>
      </c>
      <c r="G33" s="51">
        <f>G8</f>
        <v>9.5</v>
      </c>
      <c r="Z33" s="26"/>
      <c r="AA33" s="12"/>
      <c r="AB33" s="13"/>
      <c r="AC33" s="12"/>
      <c r="AD33" s="13"/>
      <c r="AE33" s="27"/>
      <c r="AK33">
        <f>AK31*15</f>
        <v>0</v>
      </c>
      <c r="AL33" t="s">
        <v>72</v>
      </c>
      <c r="AM33" t="s">
        <v>80</v>
      </c>
      <c r="AO33" t="s">
        <v>80</v>
      </c>
      <c r="AS33" s="77" t="s">
        <v>95</v>
      </c>
      <c r="AT33" s="78"/>
      <c r="AU33" s="78"/>
      <c r="AV33" s="78"/>
      <c r="AW33" s="78"/>
      <c r="AX33" s="78"/>
      <c r="AY33" s="78"/>
      <c r="AZ33" s="79"/>
    </row>
    <row r="34" spans="5:52" x14ac:dyDescent="0.3">
      <c r="E34" s="56"/>
      <c r="F34" s="54"/>
      <c r="G34" s="54"/>
      <c r="Z34" s="26">
        <f>Z32*12</f>
        <v>0</v>
      </c>
      <c r="AA34" s="12" t="str">
        <f>"mało spoiste"</f>
        <v>mało spoiste</v>
      </c>
      <c r="AB34" s="13">
        <f>AB32*12</f>
        <v>12</v>
      </c>
      <c r="AC34" s="12" t="str">
        <f>"mało spoiste"</f>
        <v>mało spoiste</v>
      </c>
      <c r="AD34" s="13"/>
      <c r="AE34" s="27"/>
      <c r="AK34">
        <f>AK31*15</f>
        <v>0</v>
      </c>
      <c r="AL34" t="s">
        <v>72</v>
      </c>
      <c r="AM34" t="s">
        <v>80</v>
      </c>
      <c r="AO34" t="s">
        <v>80</v>
      </c>
      <c r="AS34" s="80" t="s">
        <v>48</v>
      </c>
      <c r="AT34" s="81"/>
      <c r="AU34" s="81"/>
      <c r="AV34" s="82"/>
      <c r="AW34" s="74" t="s">
        <v>57</v>
      </c>
      <c r="AX34" s="75"/>
      <c r="AY34" s="75"/>
      <c r="AZ34" s="76"/>
    </row>
    <row r="35" spans="5:52" x14ac:dyDescent="0.3">
      <c r="E35" s="56"/>
      <c r="F35" s="54"/>
      <c r="G35" s="54"/>
      <c r="Z35" s="26">
        <f>Z32*20</f>
        <v>0</v>
      </c>
      <c r="AA35" s="12" t="str">
        <f>"spoiste"</f>
        <v>spoiste</v>
      </c>
      <c r="AB35" s="13">
        <f>AB32*20</f>
        <v>20</v>
      </c>
      <c r="AC35" s="12" t="str">
        <f>"spoiste"</f>
        <v>spoiste</v>
      </c>
      <c r="AD35" s="13"/>
      <c r="AE35" s="27"/>
      <c r="AS35" s="84" t="s">
        <v>23</v>
      </c>
      <c r="AT35" s="85"/>
      <c r="AU35" s="84" t="s">
        <v>24</v>
      </c>
      <c r="AV35" s="85"/>
      <c r="AW35" s="72" t="s">
        <v>27</v>
      </c>
      <c r="AX35" s="73"/>
      <c r="AY35" s="72"/>
      <c r="AZ35" s="73"/>
    </row>
    <row r="36" spans="5:52" x14ac:dyDescent="0.3">
      <c r="Z36" s="35">
        <f>IF($A$5=$AA$36,1,0)*N$4</f>
        <v>0</v>
      </c>
      <c r="AA36" s="20" t="str">
        <f>"bitumiczna"</f>
        <v>bitumiczna</v>
      </c>
      <c r="AB36" s="21">
        <f>IF($A$5=$AC$36,1,0)*$P$4</f>
        <v>0</v>
      </c>
      <c r="AC36" s="20" t="str">
        <f>"żużlowa"</f>
        <v>żużlowa</v>
      </c>
      <c r="AD36" s="21"/>
      <c r="AE36" s="36"/>
      <c r="AF36" s="52"/>
      <c r="AK36" s="52"/>
      <c r="AL36" s="52"/>
      <c r="AM36" s="52"/>
      <c r="AN36" s="52"/>
      <c r="AO36" s="52"/>
      <c r="AP36" s="52"/>
      <c r="AQ36" s="52"/>
      <c r="AS36" s="46" t="s">
        <v>42</v>
      </c>
      <c r="AT36" s="46" t="s">
        <v>44</v>
      </c>
      <c r="AU36" s="46" t="s">
        <v>43</v>
      </c>
      <c r="AV36" s="46" t="s">
        <v>45</v>
      </c>
      <c r="AW36" s="72" t="s">
        <v>20</v>
      </c>
      <c r="AX36" s="73"/>
      <c r="AY36" s="72" t="s">
        <v>21</v>
      </c>
      <c r="AZ36" s="73"/>
    </row>
    <row r="37" spans="5:52" x14ac:dyDescent="0.3">
      <c r="Z37" s="26">
        <f>Z36*10</f>
        <v>0</v>
      </c>
      <c r="AA37" s="12" t="str">
        <f>"sypkie"</f>
        <v>sypkie</v>
      </c>
      <c r="AB37" s="13"/>
      <c r="AC37" s="12"/>
      <c r="AD37" s="13"/>
      <c r="AE37" s="27"/>
      <c r="AS37" s="46">
        <f>F5</f>
        <v>275</v>
      </c>
      <c r="AT37" s="46">
        <f>G5</f>
        <v>-16.5</v>
      </c>
      <c r="AU37" s="46">
        <f>F7</f>
        <v>325</v>
      </c>
      <c r="AV37" s="46">
        <f>G7</f>
        <v>-20</v>
      </c>
      <c r="AW37" s="72">
        <f>C14</f>
        <v>0</v>
      </c>
      <c r="AX37" s="73"/>
      <c r="AY37" s="72">
        <f>D14</f>
        <v>0</v>
      </c>
      <c r="AZ37" s="73"/>
    </row>
    <row r="38" spans="5:52" x14ac:dyDescent="0.3">
      <c r="Z38" s="26">
        <f>Z36*10</f>
        <v>0</v>
      </c>
      <c r="AA38" s="12" t="str">
        <f>"mało spoiste"</f>
        <v>mało spoiste</v>
      </c>
      <c r="AB38" s="13">
        <f>AB36*12</f>
        <v>0</v>
      </c>
      <c r="AC38" s="12" t="str">
        <f>"mało spoiste"</f>
        <v>mało spoiste</v>
      </c>
      <c r="AD38" s="13"/>
      <c r="AE38" s="27"/>
      <c r="AS38" s="47" t="s">
        <v>46</v>
      </c>
      <c r="AT38" s="48">
        <f>(-AT37+AV37)/(-AS37+AU37)</f>
        <v>-7.0000000000000007E-2</v>
      </c>
      <c r="AU38" s="47" t="s">
        <v>47</v>
      </c>
      <c r="AV38" s="48">
        <f>AT37-AT38*AS37</f>
        <v>2.7500000000000036</v>
      </c>
      <c r="AW38" s="45" t="s">
        <v>46</v>
      </c>
      <c r="AX38" s="45">
        <f>$AT$38</f>
        <v>-7.0000000000000007E-2</v>
      </c>
      <c r="AY38" s="45" t="s">
        <v>47</v>
      </c>
      <c r="AZ38" s="45">
        <f>AY37-AX38*AW37</f>
        <v>0</v>
      </c>
    </row>
    <row r="39" spans="5:52" x14ac:dyDescent="0.3">
      <c r="Z39" s="26">
        <f>Z36*10</f>
        <v>0</v>
      </c>
      <c r="AA39" s="12" t="str">
        <f>"spoiste"</f>
        <v>spoiste</v>
      </c>
      <c r="AB39" s="13">
        <f>AB36*20</f>
        <v>0</v>
      </c>
      <c r="AC39" s="12" t="str">
        <f>"spoiste"</f>
        <v>spoiste</v>
      </c>
      <c r="AD39" s="13"/>
      <c r="AE39" s="27"/>
      <c r="AS39" s="80" t="s">
        <v>49</v>
      </c>
      <c r="AT39" s="81"/>
      <c r="AU39" s="81"/>
      <c r="AV39" s="82"/>
      <c r="AW39" s="70" t="s">
        <v>58</v>
      </c>
      <c r="AX39" s="83"/>
      <c r="AY39" s="83"/>
      <c r="AZ39" s="71"/>
    </row>
    <row r="40" spans="5:52" x14ac:dyDescent="0.3">
      <c r="Z40" s="33" t="s">
        <v>14</v>
      </c>
      <c r="AA40" s="19" t="s">
        <v>30</v>
      </c>
      <c r="AB40" s="18"/>
      <c r="AC40" s="19"/>
      <c r="AD40" s="18"/>
      <c r="AE40" s="34"/>
      <c r="AS40" s="84" t="s">
        <v>34</v>
      </c>
      <c r="AT40" s="85"/>
      <c r="AU40" s="84" t="s">
        <v>24</v>
      </c>
      <c r="AV40" s="85"/>
      <c r="AW40" s="70" t="s">
        <v>53</v>
      </c>
      <c r="AX40" s="71"/>
      <c r="AY40" s="70" t="s">
        <v>59</v>
      </c>
      <c r="AZ40" s="71"/>
    </row>
    <row r="41" spans="5:52" x14ac:dyDescent="0.3">
      <c r="Z41" s="33"/>
      <c r="AA41" s="19"/>
      <c r="AB41" s="18"/>
      <c r="AC41" s="19"/>
      <c r="AD41" s="18"/>
      <c r="AE41" s="34"/>
      <c r="AS41" s="49" t="s">
        <v>42</v>
      </c>
      <c r="AT41" s="49" t="s">
        <v>44</v>
      </c>
      <c r="AU41" s="49" t="s">
        <v>43</v>
      </c>
      <c r="AV41" s="49" t="s">
        <v>45</v>
      </c>
      <c r="AW41" s="43" t="s">
        <v>19</v>
      </c>
      <c r="AX41" s="43" t="s">
        <v>23</v>
      </c>
      <c r="AY41" s="43" t="s">
        <v>19</v>
      </c>
      <c r="AZ41" s="43" t="s">
        <v>23</v>
      </c>
    </row>
    <row r="42" spans="5:52" x14ac:dyDescent="0.3">
      <c r="Z42" s="35"/>
      <c r="AA42" s="20"/>
      <c r="AB42" s="21"/>
      <c r="AC42" s="20"/>
      <c r="AD42" s="21"/>
      <c r="AE42" s="36"/>
      <c r="AF42" s="52"/>
      <c r="AK42" s="52"/>
      <c r="AL42" s="52"/>
      <c r="AM42" s="52"/>
      <c r="AN42" s="52"/>
      <c r="AO42" s="52"/>
      <c r="AP42" s="52"/>
      <c r="AQ42" s="52"/>
      <c r="AS42" s="49">
        <v>0</v>
      </c>
      <c r="AT42" s="49">
        <f>AU42*1/C8</f>
        <v>216.66666666666666</v>
      </c>
      <c r="AU42" s="49">
        <f>AU37</f>
        <v>325</v>
      </c>
      <c r="AV42" s="49">
        <f>AV37</f>
        <v>-20</v>
      </c>
      <c r="AW42" s="43">
        <f>$AT$43</f>
        <v>-0.72820512820512817</v>
      </c>
      <c r="AX42" s="43">
        <f>$AV$43</f>
        <v>216.66666666666666</v>
      </c>
      <c r="AY42" s="43">
        <f>AX38</f>
        <v>-7.0000000000000007E-2</v>
      </c>
      <c r="AZ42" s="43">
        <f>AZ38</f>
        <v>0</v>
      </c>
    </row>
    <row r="43" spans="5:52" x14ac:dyDescent="0.3">
      <c r="Z43" s="26"/>
      <c r="AA43" s="12"/>
      <c r="AB43" s="13"/>
      <c r="AC43" s="12"/>
      <c r="AD43" s="13"/>
      <c r="AE43" s="27"/>
      <c r="AS43" s="47" t="s">
        <v>46</v>
      </c>
      <c r="AT43" s="48">
        <f>(-AT42+AV42)/(-AS42+AU42)</f>
        <v>-0.72820512820512817</v>
      </c>
      <c r="AU43" s="47" t="s">
        <v>47</v>
      </c>
      <c r="AV43" s="48">
        <f>AT42-AT43*AS42</f>
        <v>216.66666666666666</v>
      </c>
      <c r="AW43" s="44" t="s">
        <v>20</v>
      </c>
      <c r="AX43" s="43">
        <f>(AX42-AZ42)/(AY42-AW42)</f>
        <v>329.17802882742501</v>
      </c>
      <c r="AY43" s="43" t="s">
        <v>21</v>
      </c>
      <c r="AZ43" s="43">
        <f>AW42*AX43+AX42</f>
        <v>-23.042462017919746</v>
      </c>
    </row>
    <row r="44" spans="5:52" x14ac:dyDescent="0.3">
      <c r="Z44" s="26"/>
      <c r="AA44" s="12"/>
      <c r="AB44" s="13"/>
      <c r="AC44" s="12"/>
      <c r="AD44" s="13"/>
      <c r="AE44" s="27"/>
      <c r="AS44" s="74" t="s">
        <v>51</v>
      </c>
      <c r="AT44" s="75"/>
      <c r="AU44" s="75"/>
      <c r="AV44" s="76"/>
      <c r="AW44" s="74" t="s">
        <v>60</v>
      </c>
      <c r="AX44" s="75"/>
      <c r="AY44" s="75"/>
      <c r="AZ44" s="76"/>
    </row>
    <row r="45" spans="5:52" x14ac:dyDescent="0.3">
      <c r="Z45" s="26"/>
      <c r="AA45" s="12"/>
      <c r="AB45" s="13"/>
      <c r="AC45" s="12"/>
      <c r="AD45" s="13"/>
      <c r="AE45" s="27"/>
      <c r="AS45" s="72" t="s">
        <v>25</v>
      </c>
      <c r="AT45" s="73"/>
      <c r="AU45" s="72"/>
      <c r="AV45" s="73"/>
      <c r="AW45" s="72" t="s">
        <v>27</v>
      </c>
      <c r="AX45" s="73"/>
      <c r="AY45" s="72"/>
      <c r="AZ45" s="73"/>
    </row>
    <row r="46" spans="5:52" x14ac:dyDescent="0.3">
      <c r="Z46" s="35">
        <f>IF($A$5=$AA$46,1,0)*$N$4</f>
        <v>0</v>
      </c>
      <c r="AA46" s="20" t="str">
        <f>"bitumiczna"</f>
        <v>bitumiczna</v>
      </c>
      <c r="AB46" s="21"/>
      <c r="AC46" s="20"/>
      <c r="AD46" s="21"/>
      <c r="AE46" s="36"/>
      <c r="AF46" s="52"/>
      <c r="AK46" s="52"/>
      <c r="AL46" s="52"/>
      <c r="AM46" s="52"/>
      <c r="AN46" s="52"/>
      <c r="AO46" s="52"/>
      <c r="AP46" s="52"/>
      <c r="AQ46" s="52"/>
      <c r="AS46" s="72" t="s">
        <v>20</v>
      </c>
      <c r="AT46" s="73"/>
      <c r="AU46" s="72" t="s">
        <v>21</v>
      </c>
      <c r="AV46" s="73"/>
      <c r="AW46" s="72" t="s">
        <v>20</v>
      </c>
      <c r="AX46" s="73"/>
      <c r="AY46" s="72" t="s">
        <v>21</v>
      </c>
      <c r="AZ46" s="73"/>
    </row>
    <row r="47" spans="5:52" x14ac:dyDescent="0.3">
      <c r="Z47" s="26">
        <f>Z46*14</f>
        <v>0</v>
      </c>
      <c r="AA47" s="12" t="str">
        <f>"sypkie"</f>
        <v>sypkie</v>
      </c>
      <c r="AB47" s="13"/>
      <c r="AC47" s="12"/>
      <c r="AD47" s="13"/>
      <c r="AE47" s="27"/>
      <c r="AS47" s="72">
        <f>F10</f>
        <v>275</v>
      </c>
      <c r="AT47" s="73"/>
      <c r="AU47" s="72">
        <f>G10</f>
        <v>-31.5</v>
      </c>
      <c r="AV47" s="73"/>
      <c r="AW47" s="72">
        <f>C16</f>
        <v>0</v>
      </c>
      <c r="AX47" s="73"/>
      <c r="AY47" s="72">
        <f>D16</f>
        <v>0</v>
      </c>
      <c r="AZ47" s="73"/>
    </row>
    <row r="48" spans="5:52" x14ac:dyDescent="0.3">
      <c r="Z48" s="26">
        <f>Z46*14</f>
        <v>0</v>
      </c>
      <c r="AA48" s="12" t="str">
        <f>"mało spoiste"</f>
        <v>mało spoiste</v>
      </c>
      <c r="AB48" s="13"/>
      <c r="AC48" s="12"/>
      <c r="AD48" s="13"/>
      <c r="AE48" s="27"/>
      <c r="AS48" s="45" t="s">
        <v>46</v>
      </c>
      <c r="AT48" s="45">
        <f>$AT$38</f>
        <v>-7.0000000000000007E-2</v>
      </c>
      <c r="AU48" s="45" t="s">
        <v>47</v>
      </c>
      <c r="AV48" s="45">
        <f>AU47-AT48*AS47</f>
        <v>-12.249999999999996</v>
      </c>
      <c r="AW48" s="45" t="s">
        <v>46</v>
      </c>
      <c r="AX48" s="45">
        <f>$AT$38</f>
        <v>-7.0000000000000007E-2</v>
      </c>
      <c r="AY48" s="45" t="s">
        <v>47</v>
      </c>
      <c r="AZ48" s="45">
        <f>AY47-AX48*AW47</f>
        <v>0</v>
      </c>
    </row>
    <row r="49" spans="26:52" x14ac:dyDescent="0.3">
      <c r="Z49" s="26">
        <f>Z46*14</f>
        <v>0</v>
      </c>
      <c r="AA49" s="12" t="str">
        <f>"spoiste"</f>
        <v>spoiste</v>
      </c>
      <c r="AB49" s="13"/>
      <c r="AC49" s="12"/>
      <c r="AD49" s="13"/>
      <c r="AE49" s="27"/>
      <c r="AS49" s="67" t="s">
        <v>50</v>
      </c>
      <c r="AT49" s="68"/>
      <c r="AU49" s="68"/>
      <c r="AV49" s="69"/>
      <c r="AW49" s="67" t="s">
        <v>61</v>
      </c>
      <c r="AX49" s="68"/>
      <c r="AY49" s="68"/>
      <c r="AZ49" s="69"/>
    </row>
    <row r="50" spans="26:52" x14ac:dyDescent="0.3">
      <c r="Z50" s="33" t="s">
        <v>14</v>
      </c>
      <c r="AA50" s="19" t="s">
        <v>31</v>
      </c>
      <c r="AB50" s="18"/>
      <c r="AC50" s="19"/>
      <c r="AD50" s="18"/>
      <c r="AE50" s="34"/>
      <c r="AS50" s="70" t="s">
        <v>53</v>
      </c>
      <c r="AT50" s="71"/>
      <c r="AU50" s="70" t="s">
        <v>52</v>
      </c>
      <c r="AV50" s="71"/>
      <c r="AW50" s="70" t="s">
        <v>53</v>
      </c>
      <c r="AX50" s="71"/>
      <c r="AY50" s="70" t="s">
        <v>62</v>
      </c>
      <c r="AZ50" s="71"/>
    </row>
    <row r="51" spans="26:52" x14ac:dyDescent="0.3">
      <c r="Z51" s="33"/>
      <c r="AA51" s="19"/>
      <c r="AB51" s="18"/>
      <c r="AC51" s="19"/>
      <c r="AD51" s="18"/>
      <c r="AE51" s="34"/>
      <c r="AS51" s="43" t="s">
        <v>19</v>
      </c>
      <c r="AT51" s="43" t="s">
        <v>23</v>
      </c>
      <c r="AU51" s="43" t="s">
        <v>19</v>
      </c>
      <c r="AV51" s="43" t="s">
        <v>23</v>
      </c>
      <c r="AW51" s="43" t="s">
        <v>19</v>
      </c>
      <c r="AX51" s="43" t="s">
        <v>23</v>
      </c>
      <c r="AY51" s="43" t="s">
        <v>19</v>
      </c>
      <c r="AZ51" s="43" t="s">
        <v>23</v>
      </c>
    </row>
    <row r="52" spans="26:52" x14ac:dyDescent="0.3">
      <c r="Z52" s="35"/>
      <c r="AA52" s="20"/>
      <c r="AB52" s="21"/>
      <c r="AC52" s="20"/>
      <c r="AD52" s="21"/>
      <c r="AE52" s="36"/>
      <c r="AF52" s="52"/>
      <c r="AK52" s="52"/>
      <c r="AL52" s="52"/>
      <c r="AM52" s="52"/>
      <c r="AN52" s="52"/>
      <c r="AO52" s="52"/>
      <c r="AP52" s="52"/>
      <c r="AQ52" s="52"/>
      <c r="AS52" s="43">
        <f>$AT$43</f>
        <v>-0.72820512820512817</v>
      </c>
      <c r="AT52" s="43">
        <f>$AV$43</f>
        <v>216.66666666666666</v>
      </c>
      <c r="AU52" s="43">
        <f>AT48</f>
        <v>-7.0000000000000007E-2</v>
      </c>
      <c r="AV52" s="43">
        <f>AV48</f>
        <v>-12.249999999999996</v>
      </c>
      <c r="AW52" s="43">
        <f>$AT$43</f>
        <v>-0.72820512820512817</v>
      </c>
      <c r="AX52" s="43">
        <f>$AV$43</f>
        <v>216.66666666666666</v>
      </c>
      <c r="AY52" s="43">
        <f>AX48</f>
        <v>-7.0000000000000007E-2</v>
      </c>
      <c r="AZ52" s="43">
        <f>AZ48</f>
        <v>0</v>
      </c>
    </row>
    <row r="53" spans="26:52" x14ac:dyDescent="0.3">
      <c r="Z53" s="26"/>
      <c r="AA53" s="12"/>
      <c r="AB53" s="13"/>
      <c r="AC53" s="12"/>
      <c r="AD53" s="13"/>
      <c r="AE53" s="27"/>
      <c r="AS53" s="44" t="s">
        <v>20</v>
      </c>
      <c r="AT53" s="43">
        <f>(AT52-AV52)/(AU52-AS52)</f>
        <v>347.78924814959095</v>
      </c>
      <c r="AU53" s="43" t="s">
        <v>21</v>
      </c>
      <c r="AV53" s="43">
        <f>AS52*AT53+AT52</f>
        <v>-36.595247370471355</v>
      </c>
      <c r="AW53" s="44" t="s">
        <v>20</v>
      </c>
      <c r="AX53" s="43">
        <f>(AX52-AZ52)/(AY52-AW52)</f>
        <v>329.17802882742501</v>
      </c>
      <c r="AY53" s="43" t="s">
        <v>21</v>
      </c>
      <c r="AZ53" s="43">
        <f>AW52*AX53+AX52</f>
        <v>-23.042462017919746</v>
      </c>
    </row>
    <row r="54" spans="26:52" x14ac:dyDescent="0.3">
      <c r="Z54" s="26"/>
      <c r="AA54" s="12"/>
      <c r="AB54" s="13"/>
      <c r="AC54" s="12"/>
      <c r="AD54" s="13"/>
      <c r="AE54" s="27"/>
      <c r="AS54" s="74" t="s">
        <v>54</v>
      </c>
      <c r="AT54" s="75"/>
      <c r="AU54" s="75"/>
      <c r="AV54" s="76"/>
      <c r="AW54" s="74" t="s">
        <v>63</v>
      </c>
      <c r="AX54" s="75"/>
      <c r="AY54" s="75"/>
      <c r="AZ54" s="76"/>
    </row>
    <row r="55" spans="26:52" x14ac:dyDescent="0.3">
      <c r="Z55" s="26"/>
      <c r="AA55" s="12"/>
      <c r="AB55" s="13"/>
      <c r="AC55" s="12"/>
      <c r="AD55" s="13"/>
      <c r="AE55" s="27"/>
      <c r="AS55" s="72" t="s">
        <v>26</v>
      </c>
      <c r="AT55" s="73"/>
      <c r="AU55" s="72"/>
      <c r="AV55" s="73"/>
      <c r="AW55" s="72" t="s">
        <v>31</v>
      </c>
      <c r="AX55" s="73"/>
      <c r="AY55" s="72"/>
      <c r="AZ55" s="73"/>
    </row>
    <row r="56" spans="26:52" x14ac:dyDescent="0.3">
      <c r="Z56" s="35">
        <f>IF($A$5=$AA$56,1,0)*$N$4</f>
        <v>0</v>
      </c>
      <c r="AA56" s="20" t="str">
        <f>"bitumiczna"</f>
        <v>bitumiczna</v>
      </c>
      <c r="AB56" s="21"/>
      <c r="AC56" s="20"/>
      <c r="AD56" s="21"/>
      <c r="AE56" s="36"/>
      <c r="AF56" s="52"/>
      <c r="AK56" s="52"/>
      <c r="AL56" s="52"/>
      <c r="AM56" s="52"/>
      <c r="AN56" s="52"/>
      <c r="AO56" s="52"/>
      <c r="AP56" s="52"/>
      <c r="AQ56" s="52"/>
      <c r="AS56" s="72" t="s">
        <v>20</v>
      </c>
      <c r="AT56" s="73"/>
      <c r="AU56" s="72" t="s">
        <v>21</v>
      </c>
      <c r="AV56" s="73"/>
      <c r="AW56" s="72" t="s">
        <v>20</v>
      </c>
      <c r="AX56" s="73"/>
      <c r="AY56" s="72" t="s">
        <v>21</v>
      </c>
      <c r="AZ56" s="73"/>
    </row>
    <row r="57" spans="26:52" x14ac:dyDescent="0.3">
      <c r="Z57" s="26">
        <f>Z56*20</f>
        <v>0</v>
      </c>
      <c r="AA57" s="12" t="str">
        <f>"sypkie"</f>
        <v>sypkie</v>
      </c>
      <c r="AB57" s="13"/>
      <c r="AC57" s="12"/>
      <c r="AD57" s="13"/>
      <c r="AE57" s="27"/>
      <c r="AS57" s="72">
        <f>F12</f>
        <v>275</v>
      </c>
      <c r="AT57" s="73"/>
      <c r="AU57" s="72">
        <f>G12</f>
        <v>-45.5</v>
      </c>
      <c r="AV57" s="73"/>
      <c r="AW57" s="72">
        <f>C18</f>
        <v>0</v>
      </c>
      <c r="AX57" s="73"/>
      <c r="AY57" s="72">
        <f>D18</f>
        <v>0</v>
      </c>
      <c r="AZ57" s="73"/>
    </row>
    <row r="58" spans="26:52" x14ac:dyDescent="0.3">
      <c r="Z58" s="26">
        <f>Z56*20</f>
        <v>0</v>
      </c>
      <c r="AA58" s="12" t="str">
        <f>"mało spoiste"</f>
        <v>mało spoiste</v>
      </c>
      <c r="AB58" s="13"/>
      <c r="AC58" s="12"/>
      <c r="AD58" s="13"/>
      <c r="AE58" s="27"/>
      <c r="AS58" s="45" t="s">
        <v>46</v>
      </c>
      <c r="AT58" s="45">
        <f>$AT$38</f>
        <v>-7.0000000000000007E-2</v>
      </c>
      <c r="AU58" s="45" t="s">
        <v>47</v>
      </c>
      <c r="AV58" s="45">
        <f>AU57-AT58*AS57</f>
        <v>-26.249999999999996</v>
      </c>
      <c r="AW58" s="45" t="s">
        <v>46</v>
      </c>
      <c r="AX58" s="45">
        <f>$AT$38</f>
        <v>-7.0000000000000007E-2</v>
      </c>
      <c r="AY58" s="45" t="s">
        <v>47</v>
      </c>
      <c r="AZ58" s="45">
        <f>AY57-AX58*AW57</f>
        <v>0</v>
      </c>
    </row>
    <row r="59" spans="26:52" ht="15" thickBot="1" x14ac:dyDescent="0.35">
      <c r="Z59" s="28">
        <f>Z56*20</f>
        <v>0</v>
      </c>
      <c r="AA59" s="37" t="str">
        <f>"spoiste"</f>
        <v>spoiste</v>
      </c>
      <c r="AB59" s="38"/>
      <c r="AC59" s="37"/>
      <c r="AD59" s="38"/>
      <c r="AE59" s="30"/>
      <c r="AS59" s="67" t="s">
        <v>56</v>
      </c>
      <c r="AT59" s="68"/>
      <c r="AU59" s="68"/>
      <c r="AV59" s="69"/>
      <c r="AW59" s="67" t="s">
        <v>64</v>
      </c>
      <c r="AX59" s="68"/>
      <c r="AY59" s="68"/>
      <c r="AZ59" s="69"/>
    </row>
    <row r="60" spans="26:52" x14ac:dyDescent="0.3">
      <c r="AS60" s="70" t="s">
        <v>53</v>
      </c>
      <c r="AT60" s="71"/>
      <c r="AU60" s="70" t="s">
        <v>55</v>
      </c>
      <c r="AV60" s="71"/>
      <c r="AW60" s="70" t="s">
        <v>53</v>
      </c>
      <c r="AX60" s="71"/>
      <c r="AY60" s="70" t="s">
        <v>65</v>
      </c>
      <c r="AZ60" s="71"/>
    </row>
    <row r="61" spans="26:52" x14ac:dyDescent="0.3">
      <c r="AS61" s="43" t="s">
        <v>19</v>
      </c>
      <c r="AT61" s="43" t="s">
        <v>23</v>
      </c>
      <c r="AU61" s="43" t="s">
        <v>19</v>
      </c>
      <c r="AV61" s="43" t="s">
        <v>23</v>
      </c>
      <c r="AW61" s="43" t="s">
        <v>19</v>
      </c>
      <c r="AX61" s="43" t="s">
        <v>23</v>
      </c>
      <c r="AY61" s="43" t="s">
        <v>19</v>
      </c>
      <c r="AZ61" s="43" t="s">
        <v>23</v>
      </c>
    </row>
    <row r="62" spans="26:52" x14ac:dyDescent="0.3">
      <c r="AS62" s="43">
        <f>$AT$43</f>
        <v>-0.72820512820512817</v>
      </c>
      <c r="AT62" s="43">
        <f>$AV$43</f>
        <v>216.66666666666666</v>
      </c>
      <c r="AU62" s="43">
        <f>AT58</f>
        <v>-7.0000000000000007E-2</v>
      </c>
      <c r="AV62" s="43">
        <f>AV58</f>
        <v>-26.249999999999996</v>
      </c>
      <c r="AW62" s="43">
        <f>$AT$43</f>
        <v>-0.72820512820512817</v>
      </c>
      <c r="AX62" s="43">
        <f>$AV$43</f>
        <v>216.66666666666666</v>
      </c>
      <c r="AY62" s="43">
        <f>AX58</f>
        <v>-7.0000000000000007E-2</v>
      </c>
      <c r="AZ62" s="43">
        <f>AZ58</f>
        <v>0</v>
      </c>
    </row>
    <row r="63" spans="26:52" x14ac:dyDescent="0.3">
      <c r="AS63" s="44" t="s">
        <v>20</v>
      </c>
      <c r="AT63" s="43">
        <f>(AT62-AV62)/(AU62-AS62)</f>
        <v>369.05921308920915</v>
      </c>
      <c r="AU63" s="43" t="s">
        <v>21</v>
      </c>
      <c r="AV63" s="43">
        <f>AS62*AT63+AT62</f>
        <v>-52.084144916244583</v>
      </c>
      <c r="AW63" s="44" t="s">
        <v>20</v>
      </c>
      <c r="AX63" s="43">
        <f>(AX62-AZ62)/(AY62-AW62)</f>
        <v>329.17802882742501</v>
      </c>
      <c r="AY63" s="43" t="s">
        <v>21</v>
      </c>
      <c r="AZ63" s="43">
        <f>AW62*AX63+AX62</f>
        <v>-23.042462017919746</v>
      </c>
    </row>
    <row r="64" spans="26:52" x14ac:dyDescent="0.3">
      <c r="AS64" s="77" t="s">
        <v>108</v>
      </c>
      <c r="AT64" s="78"/>
      <c r="AU64" s="78"/>
      <c r="AV64" s="78"/>
      <c r="AW64" s="78"/>
      <c r="AX64" s="78"/>
      <c r="AY64" s="78"/>
      <c r="AZ64" s="79"/>
    </row>
    <row r="65" spans="45:52" x14ac:dyDescent="0.3">
      <c r="AS65" s="80" t="s">
        <v>48</v>
      </c>
      <c r="AT65" s="81"/>
      <c r="AU65" s="81"/>
      <c r="AV65" s="82"/>
      <c r="AW65" s="74" t="s">
        <v>57</v>
      </c>
      <c r="AX65" s="75"/>
      <c r="AY65" s="75"/>
      <c r="AZ65" s="76"/>
    </row>
    <row r="66" spans="45:52" x14ac:dyDescent="0.3">
      <c r="AS66" s="84" t="s">
        <v>23</v>
      </c>
      <c r="AT66" s="85"/>
      <c r="AU66" s="84" t="s">
        <v>24</v>
      </c>
      <c r="AV66" s="85"/>
      <c r="AW66" s="72" t="s">
        <v>27</v>
      </c>
      <c r="AX66" s="73"/>
      <c r="AY66" s="72"/>
      <c r="AZ66" s="73"/>
    </row>
    <row r="67" spans="45:52" x14ac:dyDescent="0.3">
      <c r="AS67" s="46" t="s">
        <v>42</v>
      </c>
      <c r="AT67" s="46" t="s">
        <v>44</v>
      </c>
      <c r="AU67" s="46" t="s">
        <v>43</v>
      </c>
      <c r="AV67" s="46" t="s">
        <v>45</v>
      </c>
      <c r="AW67" s="72" t="s">
        <v>20</v>
      </c>
      <c r="AX67" s="73"/>
      <c r="AY67" s="72" t="s">
        <v>21</v>
      </c>
      <c r="AZ67" s="73"/>
    </row>
    <row r="68" spans="45:52" x14ac:dyDescent="0.3">
      <c r="AS68" s="46">
        <f>F6</f>
        <v>-175</v>
      </c>
      <c r="AT68" s="46">
        <f>G6</f>
        <v>10.5</v>
      </c>
      <c r="AU68" s="46">
        <f>F8</f>
        <v>-225</v>
      </c>
      <c r="AV68" s="46">
        <f>G8</f>
        <v>9.5</v>
      </c>
      <c r="AW68" s="72">
        <f>C14</f>
        <v>0</v>
      </c>
      <c r="AX68" s="73"/>
      <c r="AY68" s="72">
        <f>D14</f>
        <v>0</v>
      </c>
      <c r="AZ68" s="73"/>
    </row>
    <row r="69" spans="45:52" x14ac:dyDescent="0.3">
      <c r="AS69" s="47" t="s">
        <v>46</v>
      </c>
      <c r="AT69" s="48">
        <f>(-AT68+AV68)/(-AS68+AU68)</f>
        <v>0.02</v>
      </c>
      <c r="AU69" s="47" t="s">
        <v>47</v>
      </c>
      <c r="AV69" s="48">
        <f>AT68-AT69*AS68</f>
        <v>14</v>
      </c>
      <c r="AW69" s="45" t="s">
        <v>46</v>
      </c>
      <c r="AX69" s="45">
        <f>$AT$69</f>
        <v>0.02</v>
      </c>
      <c r="AY69" s="45" t="s">
        <v>47</v>
      </c>
      <c r="AZ69" s="45">
        <f>AY68-AX69*AW68</f>
        <v>0</v>
      </c>
    </row>
    <row r="70" spans="45:52" x14ac:dyDescent="0.3">
      <c r="AS70" s="80" t="s">
        <v>49</v>
      </c>
      <c r="AT70" s="81"/>
      <c r="AU70" s="81"/>
      <c r="AV70" s="82"/>
      <c r="AW70" s="70" t="s">
        <v>58</v>
      </c>
      <c r="AX70" s="83"/>
      <c r="AY70" s="83"/>
      <c r="AZ70" s="71"/>
    </row>
    <row r="71" spans="45:52" x14ac:dyDescent="0.3">
      <c r="AS71" s="84" t="s">
        <v>34</v>
      </c>
      <c r="AT71" s="85"/>
      <c r="AU71" s="84" t="s">
        <v>24</v>
      </c>
      <c r="AV71" s="85"/>
      <c r="AW71" s="70" t="s">
        <v>53</v>
      </c>
      <c r="AX71" s="71"/>
      <c r="AY71" s="70" t="s">
        <v>59</v>
      </c>
      <c r="AZ71" s="71"/>
    </row>
    <row r="72" spans="45:52" x14ac:dyDescent="0.3">
      <c r="AS72" s="49" t="s">
        <v>42</v>
      </c>
      <c r="AT72" s="49" t="s">
        <v>44</v>
      </c>
      <c r="AU72" s="49" t="s">
        <v>43</v>
      </c>
      <c r="AV72" s="49" t="s">
        <v>45</v>
      </c>
      <c r="AW72" s="43" t="s">
        <v>19</v>
      </c>
      <c r="AX72" s="43" t="s">
        <v>23</v>
      </c>
      <c r="AY72" s="43" t="s">
        <v>19</v>
      </c>
      <c r="AZ72" s="43" t="s">
        <v>23</v>
      </c>
    </row>
    <row r="73" spans="45:52" x14ac:dyDescent="0.3">
      <c r="AS73" s="49">
        <v>0</v>
      </c>
      <c r="AT73" s="49">
        <f>-AU73/C8</f>
        <v>150</v>
      </c>
      <c r="AU73" s="49">
        <f>AU68</f>
        <v>-225</v>
      </c>
      <c r="AV73" s="49">
        <f>AV68</f>
        <v>9.5</v>
      </c>
      <c r="AW73" s="43">
        <f>$AT$74</f>
        <v>0.62444444444444447</v>
      </c>
      <c r="AX73" s="43">
        <f>$AV$74</f>
        <v>150</v>
      </c>
      <c r="AY73" s="43">
        <f>AX69</f>
        <v>0.02</v>
      </c>
      <c r="AZ73" s="43">
        <f>AZ69</f>
        <v>0</v>
      </c>
    </row>
    <row r="74" spans="45:52" x14ac:dyDescent="0.3">
      <c r="AS74" s="47" t="s">
        <v>46</v>
      </c>
      <c r="AT74" s="48">
        <f>(-AT73+AV73)/(-AS73+AU73)</f>
        <v>0.62444444444444447</v>
      </c>
      <c r="AU74" s="47" t="s">
        <v>47</v>
      </c>
      <c r="AV74" s="48">
        <f>AT73-AT74*AS73</f>
        <v>150</v>
      </c>
      <c r="AW74" s="44" t="s">
        <v>20</v>
      </c>
      <c r="AX74" s="43">
        <f>(AX73-AZ73)/(AY73-AW73)</f>
        <v>-248.16176470588235</v>
      </c>
      <c r="AY74" s="43" t="s">
        <v>21</v>
      </c>
      <c r="AZ74" s="43">
        <f>AW73*AX74+AX73</f>
        <v>-4.9632352941176521</v>
      </c>
    </row>
    <row r="75" spans="45:52" x14ac:dyDescent="0.3">
      <c r="AS75" s="74" t="s">
        <v>51</v>
      </c>
      <c r="AT75" s="75"/>
      <c r="AU75" s="75"/>
      <c r="AV75" s="76"/>
      <c r="AW75" s="74" t="s">
        <v>60</v>
      </c>
      <c r="AX75" s="75"/>
      <c r="AY75" s="75"/>
      <c r="AZ75" s="76"/>
    </row>
    <row r="76" spans="45:52" x14ac:dyDescent="0.3">
      <c r="AS76" s="72" t="s">
        <v>25</v>
      </c>
      <c r="AT76" s="73"/>
      <c r="AU76" s="72"/>
      <c r="AV76" s="73"/>
      <c r="AW76" s="72" t="s">
        <v>27</v>
      </c>
      <c r="AX76" s="73"/>
      <c r="AY76" s="72"/>
      <c r="AZ76" s="73"/>
    </row>
    <row r="77" spans="45:52" x14ac:dyDescent="0.3">
      <c r="AS77" s="72" t="s">
        <v>20</v>
      </c>
      <c r="AT77" s="73"/>
      <c r="AU77" s="72" t="s">
        <v>21</v>
      </c>
      <c r="AV77" s="73"/>
      <c r="AW77" s="72" t="s">
        <v>20</v>
      </c>
      <c r="AX77" s="73"/>
      <c r="AY77" s="72" t="s">
        <v>21</v>
      </c>
      <c r="AZ77" s="73"/>
    </row>
    <row r="78" spans="45:52" x14ac:dyDescent="0.3">
      <c r="AS78" s="72">
        <f>F22</f>
        <v>-175</v>
      </c>
      <c r="AT78" s="73"/>
      <c r="AU78" s="72">
        <f>G22</f>
        <v>-4.5</v>
      </c>
      <c r="AV78" s="73"/>
      <c r="AW78" s="72">
        <f>C16</f>
        <v>0</v>
      </c>
      <c r="AX78" s="73"/>
      <c r="AY78" s="72">
        <f>D16</f>
        <v>0</v>
      </c>
      <c r="AZ78" s="73"/>
    </row>
    <row r="79" spans="45:52" x14ac:dyDescent="0.3">
      <c r="AS79" s="45" t="s">
        <v>46</v>
      </c>
      <c r="AT79" s="45">
        <f>$AT$69</f>
        <v>0.02</v>
      </c>
      <c r="AU79" s="45" t="s">
        <v>47</v>
      </c>
      <c r="AV79" s="45">
        <f>AU78-AT79*AS78</f>
        <v>-1</v>
      </c>
      <c r="AW79" s="45" t="s">
        <v>46</v>
      </c>
      <c r="AX79" s="45">
        <f>$AT$69</f>
        <v>0.02</v>
      </c>
      <c r="AY79" s="45" t="s">
        <v>47</v>
      </c>
      <c r="AZ79" s="45">
        <f>AY78-AX79*AW78</f>
        <v>0</v>
      </c>
    </row>
    <row r="80" spans="45:52" x14ac:dyDescent="0.3">
      <c r="AS80" s="67" t="s">
        <v>50</v>
      </c>
      <c r="AT80" s="68"/>
      <c r="AU80" s="68"/>
      <c r="AV80" s="69"/>
      <c r="AW80" s="67" t="s">
        <v>61</v>
      </c>
      <c r="AX80" s="68"/>
      <c r="AY80" s="68"/>
      <c r="AZ80" s="69"/>
    </row>
    <row r="81" spans="45:52" x14ac:dyDescent="0.3">
      <c r="AS81" s="70" t="s">
        <v>53</v>
      </c>
      <c r="AT81" s="71"/>
      <c r="AU81" s="70" t="s">
        <v>52</v>
      </c>
      <c r="AV81" s="71"/>
      <c r="AW81" s="70" t="s">
        <v>53</v>
      </c>
      <c r="AX81" s="71"/>
      <c r="AY81" s="70" t="s">
        <v>62</v>
      </c>
      <c r="AZ81" s="71"/>
    </row>
    <row r="82" spans="45:52" x14ac:dyDescent="0.3">
      <c r="AS82" s="43" t="s">
        <v>19</v>
      </c>
      <c r="AT82" s="43" t="s">
        <v>23</v>
      </c>
      <c r="AU82" s="43" t="s">
        <v>19</v>
      </c>
      <c r="AV82" s="43" t="s">
        <v>23</v>
      </c>
      <c r="AW82" s="43" t="s">
        <v>19</v>
      </c>
      <c r="AX82" s="43" t="s">
        <v>23</v>
      </c>
      <c r="AY82" s="43" t="s">
        <v>19</v>
      </c>
      <c r="AZ82" s="43" t="s">
        <v>23</v>
      </c>
    </row>
    <row r="83" spans="45:52" x14ac:dyDescent="0.3">
      <c r="AS83" s="43">
        <f>$AT$74</f>
        <v>0.62444444444444447</v>
      </c>
      <c r="AT83" s="43">
        <f>$AV$74</f>
        <v>150</v>
      </c>
      <c r="AU83" s="43">
        <f>AT79</f>
        <v>0.02</v>
      </c>
      <c r="AV83" s="43">
        <f>AV79</f>
        <v>-1</v>
      </c>
      <c r="AW83" s="43">
        <f>$AT$74</f>
        <v>0.62444444444444447</v>
      </c>
      <c r="AX83" s="43">
        <f>$AV$74</f>
        <v>150</v>
      </c>
      <c r="AY83" s="43">
        <f>AX79</f>
        <v>0.02</v>
      </c>
      <c r="AZ83" s="43">
        <f>AZ79</f>
        <v>0</v>
      </c>
    </row>
    <row r="84" spans="45:52" x14ac:dyDescent="0.3">
      <c r="AS84" s="44" t="s">
        <v>20</v>
      </c>
      <c r="AT84" s="43">
        <f>(AT83-AV83)/(AU83-AS83)</f>
        <v>-249.81617647058823</v>
      </c>
      <c r="AU84" s="43" t="s">
        <v>21</v>
      </c>
      <c r="AV84" s="43">
        <f>AS83*AT84+AT83</f>
        <v>-5.996323529411768</v>
      </c>
      <c r="AW84" s="44" t="s">
        <v>20</v>
      </c>
      <c r="AX84" s="43">
        <f>(AX83-AZ83)/(AY83-AW83)</f>
        <v>-248.16176470588235</v>
      </c>
      <c r="AY84" s="43" t="s">
        <v>21</v>
      </c>
      <c r="AZ84" s="43">
        <f>AW83*AX84+AX83</f>
        <v>-4.9632352941176521</v>
      </c>
    </row>
    <row r="85" spans="45:52" x14ac:dyDescent="0.3">
      <c r="AS85" s="74" t="s">
        <v>54</v>
      </c>
      <c r="AT85" s="75"/>
      <c r="AU85" s="75"/>
      <c r="AV85" s="76"/>
      <c r="AW85" s="74" t="s">
        <v>63</v>
      </c>
      <c r="AX85" s="75"/>
      <c r="AY85" s="75"/>
      <c r="AZ85" s="76"/>
    </row>
    <row r="86" spans="45:52" x14ac:dyDescent="0.3">
      <c r="AS86" s="72" t="s">
        <v>26</v>
      </c>
      <c r="AT86" s="73"/>
      <c r="AU86" s="72"/>
      <c r="AV86" s="73"/>
      <c r="AW86" s="72" t="s">
        <v>31</v>
      </c>
      <c r="AX86" s="73"/>
      <c r="AY86" s="72"/>
      <c r="AZ86" s="73"/>
    </row>
    <row r="87" spans="45:52" x14ac:dyDescent="0.3">
      <c r="AS87" s="72" t="s">
        <v>20</v>
      </c>
      <c r="AT87" s="73"/>
      <c r="AU87" s="72" t="s">
        <v>21</v>
      </c>
      <c r="AV87" s="73"/>
      <c r="AW87" s="72" t="s">
        <v>20</v>
      </c>
      <c r="AX87" s="73"/>
      <c r="AY87" s="72" t="s">
        <v>21</v>
      </c>
      <c r="AZ87" s="73"/>
    </row>
    <row r="88" spans="45:52" x14ac:dyDescent="0.3">
      <c r="AS88" s="72">
        <f>F24</f>
        <v>-175</v>
      </c>
      <c r="AT88" s="73"/>
      <c r="AU88" s="72">
        <f>G24</f>
        <v>-18.5</v>
      </c>
      <c r="AV88" s="73"/>
      <c r="AW88" s="72">
        <f>C18</f>
        <v>0</v>
      </c>
      <c r="AX88" s="73"/>
      <c r="AY88" s="72">
        <f>D18</f>
        <v>0</v>
      </c>
      <c r="AZ88" s="73"/>
    </row>
    <row r="89" spans="45:52" x14ac:dyDescent="0.3">
      <c r="AS89" s="45" t="s">
        <v>46</v>
      </c>
      <c r="AT89" s="45">
        <f>$AT$69</f>
        <v>0.02</v>
      </c>
      <c r="AU89" s="45" t="s">
        <v>47</v>
      </c>
      <c r="AV89" s="45">
        <f>AU88-AT89*AS88</f>
        <v>-15</v>
      </c>
      <c r="AW89" s="45" t="s">
        <v>46</v>
      </c>
      <c r="AX89" s="45">
        <f>$AT$69</f>
        <v>0.02</v>
      </c>
      <c r="AY89" s="45" t="s">
        <v>47</v>
      </c>
      <c r="AZ89" s="45">
        <f>AY88-AX89*AW88</f>
        <v>0</v>
      </c>
    </row>
    <row r="90" spans="45:52" x14ac:dyDescent="0.3">
      <c r="AS90" s="67" t="s">
        <v>56</v>
      </c>
      <c r="AT90" s="68"/>
      <c r="AU90" s="68"/>
      <c r="AV90" s="69"/>
      <c r="AW90" s="67" t="s">
        <v>64</v>
      </c>
      <c r="AX90" s="68"/>
      <c r="AY90" s="68"/>
      <c r="AZ90" s="69"/>
    </row>
    <row r="91" spans="45:52" x14ac:dyDescent="0.3">
      <c r="AS91" s="70" t="s">
        <v>53</v>
      </c>
      <c r="AT91" s="71"/>
      <c r="AU91" s="70" t="s">
        <v>55</v>
      </c>
      <c r="AV91" s="71"/>
      <c r="AW91" s="70" t="s">
        <v>53</v>
      </c>
      <c r="AX91" s="71"/>
      <c r="AY91" s="70" t="s">
        <v>65</v>
      </c>
      <c r="AZ91" s="71"/>
    </row>
    <row r="92" spans="45:52" x14ac:dyDescent="0.3">
      <c r="AS92" s="43" t="s">
        <v>19</v>
      </c>
      <c r="AT92" s="43" t="s">
        <v>23</v>
      </c>
      <c r="AU92" s="43" t="s">
        <v>19</v>
      </c>
      <c r="AV92" s="43" t="s">
        <v>23</v>
      </c>
      <c r="AW92" s="43" t="s">
        <v>19</v>
      </c>
      <c r="AX92" s="43" t="s">
        <v>23</v>
      </c>
      <c r="AY92" s="43" t="s">
        <v>19</v>
      </c>
      <c r="AZ92" s="43" t="s">
        <v>23</v>
      </c>
    </row>
    <row r="93" spans="45:52" x14ac:dyDescent="0.3">
      <c r="AS93" s="43">
        <f>$AT$74</f>
        <v>0.62444444444444447</v>
      </c>
      <c r="AT93" s="43">
        <f>$AV$74</f>
        <v>150</v>
      </c>
      <c r="AU93" s="43">
        <f>AT89</f>
        <v>0.02</v>
      </c>
      <c r="AV93" s="43">
        <f>AV89</f>
        <v>-15</v>
      </c>
      <c r="AW93" s="43">
        <f>$AT$74</f>
        <v>0.62444444444444447</v>
      </c>
      <c r="AX93" s="43">
        <f>$AV$74</f>
        <v>150</v>
      </c>
      <c r="AY93" s="43">
        <f>AX89</f>
        <v>0.02</v>
      </c>
      <c r="AZ93" s="43">
        <f>AZ89</f>
        <v>0</v>
      </c>
    </row>
    <row r="94" spans="45:52" x14ac:dyDescent="0.3">
      <c r="AS94" s="44" t="s">
        <v>20</v>
      </c>
      <c r="AT94" s="43">
        <f>(AT93-AV93)/(AU93-AS93)</f>
        <v>-272.97794117647061</v>
      </c>
      <c r="AU94" s="43" t="s">
        <v>21</v>
      </c>
      <c r="AV94" s="43">
        <f>AS93*AT94+AT93</f>
        <v>-20.45955882352942</v>
      </c>
      <c r="AW94" s="44" t="s">
        <v>20</v>
      </c>
      <c r="AX94" s="43">
        <f>(AX93-AZ93)/(AY93-AW93)</f>
        <v>-248.16176470588235</v>
      </c>
      <c r="AY94" s="43" t="s">
        <v>21</v>
      </c>
      <c r="AZ94" s="43">
        <f>AW93*AX94+AX93</f>
        <v>-4.9632352941176521</v>
      </c>
    </row>
  </sheetData>
  <mergeCells count="171">
    <mergeCell ref="AS88:AT88"/>
    <mergeCell ref="AU88:AV88"/>
    <mergeCell ref="AW88:AX88"/>
    <mergeCell ref="AY88:AZ88"/>
    <mergeCell ref="AS90:AV90"/>
    <mergeCell ref="AW90:AZ90"/>
    <mergeCell ref="AS91:AT91"/>
    <mergeCell ref="AU91:AV91"/>
    <mergeCell ref="AW91:AX91"/>
    <mergeCell ref="AY91:AZ91"/>
    <mergeCell ref="AS85:AV85"/>
    <mergeCell ref="AW85:AZ85"/>
    <mergeCell ref="AS86:AT86"/>
    <mergeCell ref="AU86:AV86"/>
    <mergeCell ref="AW86:AX86"/>
    <mergeCell ref="AY86:AZ86"/>
    <mergeCell ref="AS87:AT87"/>
    <mergeCell ref="AU87:AV87"/>
    <mergeCell ref="AW87:AX87"/>
    <mergeCell ref="AY87:AZ87"/>
    <mergeCell ref="AS78:AT78"/>
    <mergeCell ref="AU78:AV78"/>
    <mergeCell ref="AW78:AX78"/>
    <mergeCell ref="AY78:AZ78"/>
    <mergeCell ref="AS80:AV80"/>
    <mergeCell ref="AW80:AZ80"/>
    <mergeCell ref="AS81:AT81"/>
    <mergeCell ref="AU81:AV81"/>
    <mergeCell ref="AW81:AX81"/>
    <mergeCell ref="AY81:AZ81"/>
    <mergeCell ref="AY71:AZ71"/>
    <mergeCell ref="AS75:AV75"/>
    <mergeCell ref="AW75:AZ75"/>
    <mergeCell ref="AS76:AT76"/>
    <mergeCell ref="AU76:AV76"/>
    <mergeCell ref="AW76:AX76"/>
    <mergeCell ref="AY76:AZ76"/>
    <mergeCell ref="AS77:AT77"/>
    <mergeCell ref="AU77:AV77"/>
    <mergeCell ref="AW77:AX77"/>
    <mergeCell ref="AY77:AZ77"/>
    <mergeCell ref="AW68:AX68"/>
    <mergeCell ref="AY68:AZ68"/>
    <mergeCell ref="AS70:AV70"/>
    <mergeCell ref="AW70:AZ70"/>
    <mergeCell ref="AS71:AT71"/>
    <mergeCell ref="AU71:AV71"/>
    <mergeCell ref="AW71:AX71"/>
    <mergeCell ref="AS44:AV44"/>
    <mergeCell ref="AW44:AZ44"/>
    <mergeCell ref="AS60:AT60"/>
    <mergeCell ref="AU60:AV60"/>
    <mergeCell ref="AW60:AX60"/>
    <mergeCell ref="AY60:AZ60"/>
    <mergeCell ref="AS59:AV59"/>
    <mergeCell ref="AW59:AZ59"/>
    <mergeCell ref="AS64:AZ64"/>
    <mergeCell ref="AS65:AV65"/>
    <mergeCell ref="AW65:AZ65"/>
    <mergeCell ref="AS66:AT66"/>
    <mergeCell ref="AU66:AV66"/>
    <mergeCell ref="AW66:AX66"/>
    <mergeCell ref="AY66:AZ66"/>
    <mergeCell ref="AW67:AX67"/>
    <mergeCell ref="AY67:AZ67"/>
    <mergeCell ref="AW37:AX37"/>
    <mergeCell ref="AY37:AZ37"/>
    <mergeCell ref="AS39:AV39"/>
    <mergeCell ref="AW39:AZ39"/>
    <mergeCell ref="AS54:AV54"/>
    <mergeCell ref="AW54:AZ54"/>
    <mergeCell ref="AS47:AT47"/>
    <mergeCell ref="AU47:AV47"/>
    <mergeCell ref="AW47:AX47"/>
    <mergeCell ref="AY47:AZ47"/>
    <mergeCell ref="AS49:AV49"/>
    <mergeCell ref="AW49:AZ49"/>
    <mergeCell ref="AW50:AX50"/>
    <mergeCell ref="AY50:AZ50"/>
    <mergeCell ref="AS46:AT46"/>
    <mergeCell ref="AU46:AV46"/>
    <mergeCell ref="AW46:AX46"/>
    <mergeCell ref="AY46:AZ46"/>
    <mergeCell ref="AS45:AT45"/>
    <mergeCell ref="AU45:AV45"/>
    <mergeCell ref="AW45:AX45"/>
    <mergeCell ref="AY45:AZ45"/>
    <mergeCell ref="AW35:AX35"/>
    <mergeCell ref="AY35:AZ35"/>
    <mergeCell ref="AW36:AX36"/>
    <mergeCell ref="AY36:AZ36"/>
    <mergeCell ref="AS56:AT56"/>
    <mergeCell ref="AU56:AV56"/>
    <mergeCell ref="AW56:AX56"/>
    <mergeCell ref="AY56:AZ56"/>
    <mergeCell ref="AS57:AT57"/>
    <mergeCell ref="AU57:AV57"/>
    <mergeCell ref="AW57:AX57"/>
    <mergeCell ref="AY57:AZ57"/>
    <mergeCell ref="AS55:AT55"/>
    <mergeCell ref="AU55:AV55"/>
    <mergeCell ref="AW55:AX55"/>
    <mergeCell ref="AY55:AZ55"/>
    <mergeCell ref="AS50:AT50"/>
    <mergeCell ref="AU50:AV50"/>
    <mergeCell ref="AS40:AT40"/>
    <mergeCell ref="AU40:AV40"/>
    <mergeCell ref="AW40:AX40"/>
    <mergeCell ref="AY40:AZ40"/>
    <mergeCell ref="AS35:AT35"/>
    <mergeCell ref="AU35:AV35"/>
    <mergeCell ref="AS33:AZ33"/>
    <mergeCell ref="AS34:AV34"/>
    <mergeCell ref="AW34:AZ34"/>
    <mergeCell ref="AW8:AZ8"/>
    <mergeCell ref="AS2:AZ2"/>
    <mergeCell ref="AS3:AV3"/>
    <mergeCell ref="AU4:AV4"/>
    <mergeCell ref="AS4:AT4"/>
    <mergeCell ref="AS8:AV8"/>
    <mergeCell ref="AW3:AZ3"/>
    <mergeCell ref="AW4:AX4"/>
    <mergeCell ref="AY4:AZ4"/>
    <mergeCell ref="AY6:AZ6"/>
    <mergeCell ref="AW6:AX6"/>
    <mergeCell ref="AY5:AZ5"/>
    <mergeCell ref="AW5:AX5"/>
    <mergeCell ref="AY9:AZ9"/>
    <mergeCell ref="AS13:AV13"/>
    <mergeCell ref="AS14:AT14"/>
    <mergeCell ref="AU14:AV14"/>
    <mergeCell ref="AS15:AT15"/>
    <mergeCell ref="AU15:AV15"/>
    <mergeCell ref="AS9:AT9"/>
    <mergeCell ref="AU9:AV9"/>
    <mergeCell ref="AW9:AX9"/>
    <mergeCell ref="AW13:AZ13"/>
    <mergeCell ref="AW14:AX14"/>
    <mergeCell ref="AY14:AZ14"/>
    <mergeCell ref="AW15:AX15"/>
    <mergeCell ref="AY15:AZ15"/>
    <mergeCell ref="AW23:AZ23"/>
    <mergeCell ref="AW24:AX24"/>
    <mergeCell ref="AY24:AZ24"/>
    <mergeCell ref="AS23:AV23"/>
    <mergeCell ref="AS16:AT16"/>
    <mergeCell ref="AU16:AV16"/>
    <mergeCell ref="AS18:AV18"/>
    <mergeCell ref="AS19:AT19"/>
    <mergeCell ref="AU19:AV19"/>
    <mergeCell ref="AW16:AX16"/>
    <mergeCell ref="AY16:AZ16"/>
    <mergeCell ref="AW18:AZ18"/>
    <mergeCell ref="AW19:AX19"/>
    <mergeCell ref="AY19:AZ19"/>
    <mergeCell ref="AW28:AZ28"/>
    <mergeCell ref="AW29:AX29"/>
    <mergeCell ref="AY29:AZ29"/>
    <mergeCell ref="AS28:AV28"/>
    <mergeCell ref="AS29:AT29"/>
    <mergeCell ref="AU29:AV29"/>
    <mergeCell ref="AW26:AX26"/>
    <mergeCell ref="AY26:AZ26"/>
    <mergeCell ref="AS24:AT24"/>
    <mergeCell ref="AU24:AV24"/>
    <mergeCell ref="AS25:AT25"/>
    <mergeCell ref="AU25:AV25"/>
    <mergeCell ref="AS26:AT26"/>
    <mergeCell ref="AU26:AV26"/>
    <mergeCell ref="AW25:AX25"/>
    <mergeCell ref="AY25:AZ2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4B1E-3046-4907-A546-5F0BDC66B987}">
  <dimension ref="A1:BK59"/>
  <sheetViews>
    <sheetView zoomScale="85" zoomScaleNormal="85" workbookViewId="0">
      <selection activeCell="E22" sqref="E22:Q52"/>
    </sheetView>
  </sheetViews>
  <sheetFormatPr defaultRowHeight="14.4" x14ac:dyDescent="0.3"/>
  <cols>
    <col min="1" max="1" width="20" bestFit="1" customWidth="1"/>
    <col min="2" max="2" width="28.109375" bestFit="1" customWidth="1"/>
    <col min="3" max="3" width="39.88671875" bestFit="1" customWidth="1"/>
    <col min="4" max="4" width="13" bestFit="1" customWidth="1"/>
    <col min="5" max="16" width="13" customWidth="1"/>
    <col min="20" max="20" width="29" bestFit="1" customWidth="1"/>
    <col min="21" max="21" width="12" style="13" bestFit="1" customWidth="1"/>
    <col min="22" max="22" width="11.33203125" bestFit="1" customWidth="1"/>
    <col min="23" max="23" width="7.5546875" style="13" bestFit="1" customWidth="1"/>
    <col min="24" max="24" width="11.33203125" style="12" bestFit="1" customWidth="1"/>
    <col min="25" max="25" width="10.44140625" bestFit="1" customWidth="1"/>
    <col min="26" max="26" width="11.33203125" style="12" bestFit="1" customWidth="1"/>
    <col min="27" max="27" width="16.5546875" style="13" customWidth="1"/>
    <col min="28" max="28" width="16.5546875" style="12" customWidth="1"/>
    <col min="31" max="31" width="8.21875" customWidth="1"/>
    <col min="32" max="32" width="12.21875" bestFit="1" customWidth="1"/>
    <col min="33" max="33" width="13" bestFit="1" customWidth="1"/>
    <col min="34" max="34" width="11.33203125" bestFit="1" customWidth="1"/>
    <col min="35" max="35" width="7.5546875" bestFit="1" customWidth="1"/>
    <col min="36" max="36" width="11.33203125" bestFit="1" customWidth="1"/>
    <col min="37" max="37" width="7.5546875" bestFit="1" customWidth="1"/>
    <col min="38" max="50" width="12.5546875" customWidth="1"/>
    <col min="57" max="57" width="8.88671875" customWidth="1"/>
  </cols>
  <sheetData>
    <row r="1" spans="1:63" ht="15" thickBot="1" x14ac:dyDescent="0.35">
      <c r="A1" s="54" t="s">
        <v>15</v>
      </c>
      <c r="B1" t="s">
        <v>85</v>
      </c>
      <c r="C1" t="s">
        <v>84</v>
      </c>
      <c r="D1" t="s">
        <v>83</v>
      </c>
      <c r="E1" t="s">
        <v>89</v>
      </c>
      <c r="F1" t="s">
        <v>90</v>
      </c>
      <c r="G1" t="s">
        <v>91</v>
      </c>
    </row>
    <row r="2" spans="1:63" x14ac:dyDescent="0.3">
      <c r="A2" s="54" t="s">
        <v>13</v>
      </c>
      <c r="C2" s="10" t="s">
        <v>20</v>
      </c>
      <c r="D2" s="10" t="s">
        <v>21</v>
      </c>
      <c r="E2" s="56"/>
      <c r="F2" s="56" t="s">
        <v>20</v>
      </c>
      <c r="G2" s="56" t="s">
        <v>21</v>
      </c>
      <c r="H2" s="56"/>
      <c r="U2" s="10" t="s">
        <v>20</v>
      </c>
      <c r="V2" s="10" t="s">
        <v>21</v>
      </c>
      <c r="W2" s="10" t="s">
        <v>20</v>
      </c>
      <c r="X2" s="10" t="s">
        <v>21</v>
      </c>
      <c r="Y2" s="10" t="s">
        <v>20</v>
      </c>
      <c r="Z2" s="10" t="s">
        <v>21</v>
      </c>
      <c r="AG2" s="23" t="s">
        <v>14</v>
      </c>
      <c r="AH2" s="31" t="s">
        <v>25</v>
      </c>
      <c r="AI2" s="32"/>
      <c r="AJ2" s="31"/>
      <c r="AK2" s="32"/>
      <c r="AL2" s="25"/>
      <c r="AR2" s="24"/>
      <c r="AS2" s="31" t="s">
        <v>25</v>
      </c>
      <c r="AU2" t="s">
        <v>26</v>
      </c>
      <c r="AV2" t="s">
        <v>27</v>
      </c>
      <c r="BD2" s="77" t="s">
        <v>66</v>
      </c>
      <c r="BE2" s="78"/>
      <c r="BF2" s="78"/>
      <c r="BG2" s="78"/>
      <c r="BH2" s="78"/>
      <c r="BI2" s="78"/>
      <c r="BJ2" s="78"/>
      <c r="BK2" s="79"/>
    </row>
    <row r="3" spans="1:63" x14ac:dyDescent="0.3">
      <c r="A3" s="54" t="str">
        <f>[1]KILOMETRAŻ!$B$2</f>
        <v>Boczna</v>
      </c>
      <c r="B3" t="s">
        <v>22</v>
      </c>
      <c r="C3" s="13">
        <f>Y5+W5+U5</f>
        <v>350</v>
      </c>
      <c r="D3" s="12"/>
      <c r="E3" s="56" t="s">
        <v>88</v>
      </c>
      <c r="F3" s="56">
        <f>50/A9</f>
        <v>1</v>
      </c>
      <c r="G3" s="56"/>
      <c r="U3" s="10" t="s">
        <v>18</v>
      </c>
      <c r="W3" s="10" t="s">
        <v>16</v>
      </c>
      <c r="X3"/>
      <c r="Y3" s="10" t="s">
        <v>17</v>
      </c>
      <c r="Z3"/>
      <c r="AG3" s="33" t="s">
        <v>28</v>
      </c>
      <c r="AH3" s="19" t="s">
        <v>29</v>
      </c>
      <c r="AI3" s="18" t="s">
        <v>28</v>
      </c>
      <c r="AJ3" s="19" t="s">
        <v>29</v>
      </c>
      <c r="AK3" s="18" t="s">
        <v>28</v>
      </c>
      <c r="AL3" s="34" t="s">
        <v>29</v>
      </c>
      <c r="AR3" s="52">
        <f>IF($A$5=$AH$4,1,0)*$U$4</f>
        <v>0</v>
      </c>
      <c r="AS3" s="20" t="str">
        <f>"tłuczniowa"</f>
        <v>tłuczniowa</v>
      </c>
      <c r="AT3" s="35">
        <f>IF($A$5=$AH$22,1,0)*$U$4</f>
        <v>0</v>
      </c>
      <c r="AU3" s="20" t="str">
        <f>"tłuczniowa"</f>
        <v>tłuczniowa</v>
      </c>
      <c r="AV3" s="35">
        <f>IF($A$5=$AH$32,1,0)*$U$4</f>
        <v>0</v>
      </c>
      <c r="AW3" s="20" t="str">
        <f>"tłuczniowa"</f>
        <v>tłuczniowa</v>
      </c>
      <c r="AX3" t="s">
        <v>80</v>
      </c>
      <c r="AZ3" s="52"/>
      <c r="BA3" s="52"/>
      <c r="BB3" s="52"/>
      <c r="BC3" s="52"/>
      <c r="BD3" s="80" t="s">
        <v>48</v>
      </c>
      <c r="BE3" s="81"/>
      <c r="BF3" s="81"/>
      <c r="BG3" s="82"/>
      <c r="BH3" s="74" t="s">
        <v>57</v>
      </c>
      <c r="BI3" s="75"/>
      <c r="BJ3" s="75"/>
      <c r="BK3" s="76"/>
    </row>
    <row r="4" spans="1:63" x14ac:dyDescent="0.3">
      <c r="A4" s="54" t="s">
        <v>14</v>
      </c>
      <c r="B4" t="s">
        <v>19</v>
      </c>
      <c r="C4" s="13">
        <f>Y6+W6+U6</f>
        <v>0</v>
      </c>
      <c r="D4" s="12">
        <f>Z6+X6+V6</f>
        <v>0</v>
      </c>
      <c r="E4" s="56" t="s">
        <v>19</v>
      </c>
      <c r="F4" s="56">
        <f>C4</f>
        <v>0</v>
      </c>
      <c r="G4" s="56">
        <f>D4</f>
        <v>0</v>
      </c>
      <c r="U4" s="22">
        <f>IF($A$3="Glowna",1,0)</f>
        <v>0</v>
      </c>
      <c r="W4" s="22">
        <f>IF($A$3="Boczna",1,0)</f>
        <v>1</v>
      </c>
      <c r="Y4" s="39">
        <f>IF($A$3="Łącznikowa",1,0)</f>
        <v>0</v>
      </c>
      <c r="AG4" s="35">
        <f>IF($A$5=$AH$4,1,0)*$U$4</f>
        <v>0</v>
      </c>
      <c r="AH4" s="20" t="str">
        <f>"tłuczniowa"</f>
        <v>tłuczniowa</v>
      </c>
      <c r="AI4" s="21">
        <f>IF($A$5=$AJ$4,1,0)*$W$4</f>
        <v>1</v>
      </c>
      <c r="AJ4" s="20" t="str">
        <f>"żwirowa"</f>
        <v>żwirowa</v>
      </c>
      <c r="AK4" s="21">
        <f>IF($A$5=$AL$4,1,0)*$Y$4</f>
        <v>0</v>
      </c>
      <c r="AL4" s="36" t="str">
        <f>"żwirowa"</f>
        <v>żwirowa</v>
      </c>
      <c r="AR4">
        <f>AR3*15</f>
        <v>0</v>
      </c>
      <c r="AS4" t="s">
        <v>76</v>
      </c>
      <c r="AT4" s="26">
        <f>AT3*14</f>
        <v>0</v>
      </c>
      <c r="AU4" t="s">
        <v>76</v>
      </c>
      <c r="AV4" s="26">
        <f>AV3*12</f>
        <v>0</v>
      </c>
      <c r="AW4" t="s">
        <v>76</v>
      </c>
      <c r="AX4" t="s">
        <v>80</v>
      </c>
      <c r="BD4" s="84" t="s">
        <v>23</v>
      </c>
      <c r="BE4" s="85"/>
      <c r="BF4" s="84" t="s">
        <v>24</v>
      </c>
      <c r="BG4" s="85"/>
      <c r="BH4" s="72" t="s">
        <v>27</v>
      </c>
      <c r="BI4" s="73"/>
      <c r="BJ4" s="72"/>
      <c r="BK4" s="73"/>
    </row>
    <row r="5" spans="1:63" x14ac:dyDescent="0.3">
      <c r="A5" s="54" t="str">
        <f>[1]KILOMETRAŻ!$C$2</f>
        <v>żwirowa</v>
      </c>
      <c r="B5" t="s">
        <v>23</v>
      </c>
      <c r="C5" s="13">
        <f>Y7+W7+U7</f>
        <v>175</v>
      </c>
      <c r="D5" s="12">
        <f>Z7+X7+V7</f>
        <v>-8.75</v>
      </c>
      <c r="E5" s="56" t="s">
        <v>23</v>
      </c>
      <c r="F5" s="56">
        <f>C5+F3*100</f>
        <v>275</v>
      </c>
      <c r="G5" s="56">
        <f>-F5*0.06</f>
        <v>-16.5</v>
      </c>
      <c r="T5" t="s">
        <v>22</v>
      </c>
      <c r="U5" s="14">
        <f>350*U4</f>
        <v>0</v>
      </c>
      <c r="W5" s="40">
        <f>350*W4</f>
        <v>350</v>
      </c>
      <c r="Y5" s="40">
        <f>300*Y4</f>
        <v>0</v>
      </c>
      <c r="AG5" s="26">
        <f>AG4*15</f>
        <v>0</v>
      </c>
      <c r="AH5" s="12" t="str">
        <f>"sypkie"</f>
        <v>sypkie</v>
      </c>
      <c r="AI5" s="13">
        <f>AI4*15</f>
        <v>15</v>
      </c>
      <c r="AJ5" s="12" t="str">
        <f>"sypkie"</f>
        <v>sypkie</v>
      </c>
      <c r="AK5" s="13">
        <f>AK4*15</f>
        <v>0</v>
      </c>
      <c r="AL5" s="27" t="str">
        <f>"sypkie"</f>
        <v>sypkie</v>
      </c>
      <c r="AR5">
        <f>AR3*15</f>
        <v>0</v>
      </c>
      <c r="AS5" t="s">
        <v>76</v>
      </c>
      <c r="AT5" s="26">
        <f>AT3*14</f>
        <v>0</v>
      </c>
      <c r="AU5" t="s">
        <v>76</v>
      </c>
      <c r="AV5" s="26">
        <f>AV3*20</f>
        <v>0</v>
      </c>
      <c r="AW5" t="s">
        <v>76</v>
      </c>
      <c r="AX5" t="s">
        <v>80</v>
      </c>
      <c r="BD5" s="46" t="s">
        <v>42</v>
      </c>
      <c r="BE5" s="46" t="s">
        <v>44</v>
      </c>
      <c r="BF5" s="46" t="s">
        <v>43</v>
      </c>
      <c r="BG5" s="46" t="s">
        <v>45</v>
      </c>
      <c r="BH5" s="72" t="s">
        <v>20</v>
      </c>
      <c r="BI5" s="73"/>
      <c r="BJ5" s="72" t="s">
        <v>21</v>
      </c>
      <c r="BK5" s="73"/>
    </row>
    <row r="6" spans="1:63" x14ac:dyDescent="0.3">
      <c r="A6" s="54" t="s">
        <v>94</v>
      </c>
      <c r="B6" t="s">
        <v>24</v>
      </c>
      <c r="C6" s="13">
        <f>Y8+W8+U8</f>
        <v>225</v>
      </c>
      <c r="D6" s="12">
        <f>Z8+X8+V8</f>
        <v>-11.75</v>
      </c>
      <c r="E6" s="56" t="s">
        <v>92</v>
      </c>
      <c r="F6" s="56">
        <f>-C5</f>
        <v>-175</v>
      </c>
      <c r="G6" s="56">
        <f>-F6*0.06</f>
        <v>10.5</v>
      </c>
      <c r="T6" t="s">
        <v>19</v>
      </c>
      <c r="U6" s="13">
        <v>0</v>
      </c>
      <c r="V6" s="12">
        <v>0</v>
      </c>
      <c r="W6" s="13">
        <v>0</v>
      </c>
      <c r="X6" s="12">
        <v>0</v>
      </c>
      <c r="Y6" s="13">
        <v>0</v>
      </c>
      <c r="Z6" s="12">
        <v>0</v>
      </c>
      <c r="AG6" s="26">
        <f>AG4*15</f>
        <v>0</v>
      </c>
      <c r="AH6" s="12" t="str">
        <f>"mało spoiste"</f>
        <v>mało spoiste</v>
      </c>
      <c r="AI6" s="13">
        <f>AI4*15</f>
        <v>15</v>
      </c>
      <c r="AJ6" s="12" t="str">
        <f>"mało spoiste"</f>
        <v>mało spoiste</v>
      </c>
      <c r="AK6" s="13">
        <f>AK4*15</f>
        <v>0</v>
      </c>
      <c r="AL6" s="27" t="str">
        <f>"mało spoiste"</f>
        <v>mało spoiste</v>
      </c>
      <c r="AR6">
        <f>AR3*15</f>
        <v>0</v>
      </c>
      <c r="AS6" t="s">
        <v>76</v>
      </c>
      <c r="AT6" s="26">
        <f>AT3*14</f>
        <v>0</v>
      </c>
      <c r="AU6" t="s">
        <v>76</v>
      </c>
      <c r="AV6" s="35">
        <f>IF($A$5=$AH$36,1,0)*AE$4</f>
        <v>0</v>
      </c>
      <c r="AW6" s="20" t="str">
        <f>"bitumiczna"</f>
        <v>bitumiczna</v>
      </c>
      <c r="AX6" t="s">
        <v>80</v>
      </c>
      <c r="BD6" s="46">
        <f>C5</f>
        <v>175</v>
      </c>
      <c r="BE6" s="46">
        <f>D5</f>
        <v>-8.75</v>
      </c>
      <c r="BF6" s="46">
        <f>C6</f>
        <v>225</v>
      </c>
      <c r="BG6" s="46">
        <f>D6</f>
        <v>-11.75</v>
      </c>
      <c r="BH6" s="72">
        <f>C14</f>
        <v>0</v>
      </c>
      <c r="BI6" s="73"/>
      <c r="BJ6" s="72">
        <f>D14</f>
        <v>0</v>
      </c>
      <c r="BK6" s="73"/>
    </row>
    <row r="7" spans="1:63" ht="15" thickBot="1" x14ac:dyDescent="0.35">
      <c r="A7" s="54" t="str">
        <f>[1]KILOMETRAŻ!$D$2</f>
        <v>sypkie</v>
      </c>
      <c r="B7" t="s">
        <v>33</v>
      </c>
      <c r="C7" s="13">
        <f>-(Y9+W9+U9)</f>
        <v>25</v>
      </c>
      <c r="D7" s="12"/>
      <c r="E7" s="56" t="s">
        <v>24</v>
      </c>
      <c r="F7" s="56">
        <f>50+F5</f>
        <v>325</v>
      </c>
      <c r="G7" s="56">
        <f>G5-(50*0.07)</f>
        <v>-20</v>
      </c>
      <c r="T7" t="s">
        <v>23</v>
      </c>
      <c r="U7" s="13">
        <f>U5/2</f>
        <v>0</v>
      </c>
      <c r="V7" s="12">
        <f>-(U5/2)*0.05</f>
        <v>0</v>
      </c>
      <c r="W7" s="13">
        <f>W5/2</f>
        <v>175</v>
      </c>
      <c r="X7" s="12">
        <f>-(W5/2)*0.05</f>
        <v>-8.75</v>
      </c>
      <c r="Y7" s="13">
        <f>Y5/2</f>
        <v>0</v>
      </c>
      <c r="Z7" s="12">
        <f>-(Y5/2)*0.05</f>
        <v>0</v>
      </c>
      <c r="AG7" s="26">
        <f>AG4*15</f>
        <v>0</v>
      </c>
      <c r="AH7" s="12" t="str">
        <f>"spoiste"</f>
        <v>spoiste</v>
      </c>
      <c r="AI7" s="13">
        <f>AI4*15</f>
        <v>15</v>
      </c>
      <c r="AJ7" s="12" t="str">
        <f>"spoiste"</f>
        <v>spoiste</v>
      </c>
      <c r="AK7" s="13">
        <f>AK4*15</f>
        <v>0</v>
      </c>
      <c r="AL7" s="27" t="str">
        <f>"spoiste"</f>
        <v>spoiste</v>
      </c>
      <c r="AR7" s="52">
        <f>IF($A$5=$AH$8,1,0)*$U$4</f>
        <v>0</v>
      </c>
      <c r="AS7" s="20" t="str">
        <f>"bitumiczna"</f>
        <v>bitumiczna</v>
      </c>
      <c r="AT7" s="35">
        <f>IF($A$5=$AH$26,1,0)*$U$4</f>
        <v>0</v>
      </c>
      <c r="AU7" s="20" t="str">
        <f>"bitumiczna"</f>
        <v>bitumiczna</v>
      </c>
      <c r="AV7" s="26">
        <f>AV6*10</f>
        <v>0</v>
      </c>
      <c r="AW7" t="s">
        <v>76</v>
      </c>
      <c r="AX7" t="s">
        <v>80</v>
      </c>
      <c r="AZ7" s="52"/>
      <c r="BA7" s="52"/>
      <c r="BB7" s="52"/>
      <c r="BC7" s="52"/>
      <c r="BD7" s="47" t="s">
        <v>46</v>
      </c>
      <c r="BE7" s="48">
        <f>(-BE6+BG6)/(-BD6+BF6)</f>
        <v>-0.06</v>
      </c>
      <c r="BF7" s="47" t="s">
        <v>47</v>
      </c>
      <c r="BG7" s="48">
        <f>BE6-BE7*BD6</f>
        <v>1.75</v>
      </c>
      <c r="BH7" s="45" t="s">
        <v>46</v>
      </c>
      <c r="BI7" s="45">
        <f>$BE$7</f>
        <v>-0.06</v>
      </c>
      <c r="BJ7" s="45" t="s">
        <v>47</v>
      </c>
      <c r="BK7" s="45">
        <f>BJ6-BI7*BH6</f>
        <v>0</v>
      </c>
    </row>
    <row r="8" spans="1:63" x14ac:dyDescent="0.3">
      <c r="A8" s="54" t="s">
        <v>87</v>
      </c>
      <c r="B8" t="s">
        <v>35</v>
      </c>
      <c r="C8" s="13">
        <f t="shared" ref="C8:D19" si="0">Y10+W10+U10</f>
        <v>1.5</v>
      </c>
      <c r="D8" s="12"/>
      <c r="E8" s="56" t="s">
        <v>93</v>
      </c>
      <c r="F8" s="56">
        <f>F6-50</f>
        <v>-225</v>
      </c>
      <c r="G8" s="56">
        <f>G6-(50*0.02)</f>
        <v>9.5</v>
      </c>
      <c r="T8" t="s">
        <v>24</v>
      </c>
      <c r="U8" s="13">
        <f>(U7+50)*U4</f>
        <v>0</v>
      </c>
      <c r="V8" s="12">
        <f>(V7-3)*U4</f>
        <v>0</v>
      </c>
      <c r="W8" s="13">
        <f>(W7+50)*W4</f>
        <v>225</v>
      </c>
      <c r="X8" s="12">
        <f>(X7-3)*W4</f>
        <v>-11.75</v>
      </c>
      <c r="Y8" s="13">
        <f>(Y7+50)*Y4</f>
        <v>0</v>
      </c>
      <c r="Z8" s="12">
        <f>(Z7-3)*Y4</f>
        <v>0</v>
      </c>
      <c r="AD8" s="23"/>
      <c r="AE8" s="24"/>
      <c r="AF8" s="24" t="s">
        <v>25</v>
      </c>
      <c r="AG8" s="35">
        <f>IF($A$5=$AH$8,1,0)*$U$4</f>
        <v>0</v>
      </c>
      <c r="AH8" s="20" t="str">
        <f>"bitumiczna"</f>
        <v>bitumiczna</v>
      </c>
      <c r="AI8" s="21">
        <f>IF($A$5=$AJ$8,1,0)*$W$4</f>
        <v>0</v>
      </c>
      <c r="AJ8" s="20" t="str">
        <f>"żużlowa"</f>
        <v>żużlowa</v>
      </c>
      <c r="AK8" s="21">
        <f>IF($A$5=$AL$8,1,0)*$Y$4</f>
        <v>0</v>
      </c>
      <c r="AL8" s="36" t="str">
        <f>"żużlowa"</f>
        <v>żużlowa</v>
      </c>
      <c r="AN8" s="52"/>
      <c r="AO8" s="52"/>
      <c r="AP8" s="52"/>
      <c r="AR8">
        <f>AR7*4</f>
        <v>0</v>
      </c>
      <c r="AS8" t="s">
        <v>78</v>
      </c>
      <c r="AT8" s="26">
        <f>AT7*4</f>
        <v>0</v>
      </c>
      <c r="AU8" t="s">
        <v>79</v>
      </c>
      <c r="AV8" s="26">
        <f>AV6*10</f>
        <v>0</v>
      </c>
      <c r="AW8" t="s">
        <v>76</v>
      </c>
      <c r="AX8" t="s">
        <v>80</v>
      </c>
      <c r="BD8" s="80" t="s">
        <v>49</v>
      </c>
      <c r="BE8" s="81"/>
      <c r="BF8" s="81"/>
      <c r="BG8" s="82"/>
      <c r="BH8" s="70" t="s">
        <v>58</v>
      </c>
      <c r="BI8" s="83"/>
      <c r="BJ8" s="83"/>
      <c r="BK8" s="71"/>
    </row>
    <row r="9" spans="1:63" x14ac:dyDescent="0.3">
      <c r="A9" s="55">
        <f>[1]KILOMETRAŻ!$E$10</f>
        <v>50</v>
      </c>
      <c r="B9" t="s">
        <v>34</v>
      </c>
      <c r="C9" s="13">
        <f t="shared" si="0"/>
        <v>203.92727655986505</v>
      </c>
      <c r="D9" s="12">
        <f t="shared" si="0"/>
        <v>-68.390809443507607</v>
      </c>
      <c r="F9" s="13"/>
      <c r="T9" t="s">
        <v>33</v>
      </c>
      <c r="U9" s="13">
        <f>-30*U4</f>
        <v>0</v>
      </c>
      <c r="W9" s="13">
        <f>-25*W4</f>
        <v>-25</v>
      </c>
      <c r="Y9">
        <f>-20*Y4</f>
        <v>0</v>
      </c>
      <c r="AD9" s="26"/>
      <c r="AE9">
        <f>SUM(AG5,AI5,AK5,AK9,AI9,AG9,AK13,AK17)</f>
        <v>15</v>
      </c>
      <c r="AF9" t="str">
        <f>"sypkie"</f>
        <v>sypkie</v>
      </c>
      <c r="AG9" s="26">
        <f>AG8*4</f>
        <v>0</v>
      </c>
      <c r="AH9" s="12" t="str">
        <f>"sypkie"</f>
        <v>sypkie</v>
      </c>
      <c r="AI9" s="13">
        <f>AI8*15</f>
        <v>0</v>
      </c>
      <c r="AJ9" s="12" t="str">
        <f>"sypkie"</f>
        <v>sypkie</v>
      </c>
      <c r="AK9" s="13">
        <f>AK8*15</f>
        <v>0</v>
      </c>
      <c r="AL9" s="27" t="str">
        <f>"sypkie"</f>
        <v>sypkie</v>
      </c>
      <c r="AN9" t="s">
        <v>25</v>
      </c>
      <c r="AR9">
        <f>AR7*4</f>
        <v>0</v>
      </c>
      <c r="AS9" t="s">
        <v>78</v>
      </c>
      <c r="AT9" s="26">
        <f>AT7*4</f>
        <v>0</v>
      </c>
      <c r="AU9" t="s">
        <v>79</v>
      </c>
      <c r="AV9" s="26">
        <f>AV6*10</f>
        <v>0</v>
      </c>
      <c r="AW9" t="s">
        <v>76</v>
      </c>
      <c r="AX9" t="s">
        <v>80</v>
      </c>
      <c r="BD9" s="84" t="s">
        <v>34</v>
      </c>
      <c r="BE9" s="85"/>
      <c r="BF9" s="84" t="s">
        <v>24</v>
      </c>
      <c r="BG9" s="85"/>
      <c r="BH9" s="70" t="s">
        <v>53</v>
      </c>
      <c r="BI9" s="71"/>
      <c r="BJ9" s="70" t="s">
        <v>59</v>
      </c>
      <c r="BK9" s="71"/>
    </row>
    <row r="10" spans="1:63" x14ac:dyDescent="0.3">
      <c r="B10" s="15" t="s">
        <v>25</v>
      </c>
      <c r="C10" s="13">
        <f t="shared" si="0"/>
        <v>175</v>
      </c>
      <c r="D10" s="12">
        <f t="shared" si="0"/>
        <v>-23.75</v>
      </c>
      <c r="T10" t="s">
        <v>35</v>
      </c>
      <c r="U10" s="13">
        <f>IF($A$7="sypkie",1.5,IF($A$7="mało spoiste",1.75,IF($A$7="spoiste",2)))*U4</f>
        <v>0</v>
      </c>
      <c r="W10" s="13">
        <f>IF($A$7="sypkie",1.5,IF($A$7="mało spoiste",1.75,IF($A$7="spoiste",2)))*W4</f>
        <v>1.5</v>
      </c>
      <c r="Y10" s="13">
        <f>IF($A$7="sypkie",1.5,IF($A$7="mało spoiste",1.75,IF($A$7="spoiste",2)))*Y4</f>
        <v>0</v>
      </c>
      <c r="AD10" s="26">
        <f>IF(IF($A$7=AF9,AE9,IF($A$7=AF10,AE10,IF($A$7=AF11,AE11)))=0,"",IF($A$7=AF9,AE9,IF($A$7=AF10,AE10,IF($A$7=AF11,AE11))))</f>
        <v>15</v>
      </c>
      <c r="AE10">
        <f>SUM(AG6,AI6,AK6,AK10,AI10,AG10,AK14,AK18)</f>
        <v>15</v>
      </c>
      <c r="AF10" t="str">
        <f>"mało spoiste"</f>
        <v>mało spoiste</v>
      </c>
      <c r="AG10" s="26">
        <f>AG8*4</f>
        <v>0</v>
      </c>
      <c r="AH10" s="12" t="str">
        <f>"mało spoiste"</f>
        <v>mało spoiste</v>
      </c>
      <c r="AI10" s="13">
        <f>AI8*15</f>
        <v>0</v>
      </c>
      <c r="AJ10" s="12" t="str">
        <f>"mało spoiste"</f>
        <v>mało spoiste</v>
      </c>
      <c r="AK10" s="13">
        <f>AK8*15</f>
        <v>0</v>
      </c>
      <c r="AL10" s="27" t="str">
        <f>"mało spoiste"</f>
        <v>mało spoiste</v>
      </c>
      <c r="AN10" s="53">
        <f>AD10</f>
        <v>15</v>
      </c>
      <c r="AO10" t="str">
        <f>LOOKUP(AO9,AR3:AR34,AS3:AS34)</f>
        <v>cm grunt rodzimy stabilizowany cementem</v>
      </c>
      <c r="AP10" t="str">
        <f>IF(AN10="","",AN10&amp;AO10)</f>
        <v>15cm grunt rodzimy stabilizowany cementem</v>
      </c>
      <c r="AR10">
        <f>AR7*4</f>
        <v>0</v>
      </c>
      <c r="AS10" t="s">
        <v>78</v>
      </c>
      <c r="AT10" s="26">
        <f>AT7*4</f>
        <v>0</v>
      </c>
      <c r="AU10" t="s">
        <v>79</v>
      </c>
      <c r="AV10" s="21">
        <f>IF($A$5=$AJ$32,1,0)*$W$4</f>
        <v>1</v>
      </c>
      <c r="AW10" s="20" t="str">
        <f>"żwirowa"</f>
        <v>żwirowa</v>
      </c>
      <c r="AX10" t="s">
        <v>80</v>
      </c>
      <c r="BD10" s="49" t="s">
        <v>42</v>
      </c>
      <c r="BE10" s="49" t="s">
        <v>44</v>
      </c>
      <c r="BF10" s="49" t="s">
        <v>43</v>
      </c>
      <c r="BG10" s="49" t="s">
        <v>45</v>
      </c>
      <c r="BH10" s="43" t="s">
        <v>19</v>
      </c>
      <c r="BI10" s="43" t="s">
        <v>23</v>
      </c>
      <c r="BJ10" s="43" t="s">
        <v>19</v>
      </c>
      <c r="BK10" s="43" t="s">
        <v>23</v>
      </c>
    </row>
    <row r="11" spans="1:63" x14ac:dyDescent="0.3">
      <c r="B11" t="s">
        <v>36</v>
      </c>
      <c r="C11" s="13">
        <f t="shared" si="0"/>
        <v>247.7655986509275</v>
      </c>
      <c r="D11" s="12">
        <f t="shared" si="0"/>
        <v>-28.115935919055659</v>
      </c>
      <c r="T11" t="s">
        <v>34</v>
      </c>
      <c r="U11" s="13">
        <f>U23+(V23*U10)</f>
        <v>0</v>
      </c>
      <c r="V11">
        <f>V23</f>
        <v>0</v>
      </c>
      <c r="W11" s="13">
        <f>W23+(X23*W10)</f>
        <v>203.92727655986505</v>
      </c>
      <c r="X11">
        <f>X23</f>
        <v>-68.390809443507607</v>
      </c>
      <c r="Y11" s="13">
        <f>Y23+(Z23*Y10)</f>
        <v>0</v>
      </c>
      <c r="Z11">
        <f>Z23</f>
        <v>0</v>
      </c>
      <c r="AD11" s="26"/>
      <c r="AE11">
        <f>SUM(AG7,AI7,AK7,AK11,AI11,AG11,AK15,AK19)</f>
        <v>15</v>
      </c>
      <c r="AF11" t="str">
        <f>"spoiste"</f>
        <v>spoiste</v>
      </c>
      <c r="AG11" s="26">
        <f>AG8*4</f>
        <v>0</v>
      </c>
      <c r="AH11" s="12" t="str">
        <f>"spoiste"</f>
        <v>spoiste</v>
      </c>
      <c r="AI11" s="13">
        <f>AI8*15</f>
        <v>0</v>
      </c>
      <c r="AJ11" s="12" t="str">
        <f>"spoiste"</f>
        <v>spoiste</v>
      </c>
      <c r="AK11" s="13">
        <f>AK8*15</f>
        <v>0</v>
      </c>
      <c r="AL11" s="27" t="str">
        <f>"spoiste"</f>
        <v>spoiste</v>
      </c>
      <c r="AN11" t="s">
        <v>26</v>
      </c>
      <c r="AR11" s="52">
        <f>IF($A$5=$AJ$4,1,0)*$W$4</f>
        <v>1</v>
      </c>
      <c r="AS11" s="20" t="str">
        <f>"żwirowa"</f>
        <v>żwirowa</v>
      </c>
      <c r="AT11" s="21">
        <f>IF($A$5=$AJ$22,1,0)*$W$4</f>
        <v>1</v>
      </c>
      <c r="AU11" s="20" t="str">
        <f>"żwirowa"</f>
        <v>żwirowa</v>
      </c>
      <c r="AV11" s="13">
        <f>AV10*12</f>
        <v>12</v>
      </c>
      <c r="AW11" t="s">
        <v>70</v>
      </c>
      <c r="AX11" t="s">
        <v>80</v>
      </c>
      <c r="BD11" s="49">
        <v>0</v>
      </c>
      <c r="BE11" s="49">
        <f>BF11/C8</f>
        <v>150</v>
      </c>
      <c r="BF11" s="49">
        <f>C6</f>
        <v>225</v>
      </c>
      <c r="BG11" s="49">
        <f>D6</f>
        <v>-11.75</v>
      </c>
      <c r="BH11" s="43">
        <f>$BE$12</f>
        <v>-0.71888888888888891</v>
      </c>
      <c r="BI11" s="43">
        <f>$BG$12</f>
        <v>150</v>
      </c>
      <c r="BJ11" s="43">
        <f>BI7</f>
        <v>-0.06</v>
      </c>
      <c r="BK11" s="43">
        <f>BK7</f>
        <v>0</v>
      </c>
    </row>
    <row r="12" spans="1:63" x14ac:dyDescent="0.3">
      <c r="B12" s="15" t="s">
        <v>26</v>
      </c>
      <c r="C12" s="13">
        <f t="shared" si="0"/>
        <v>175</v>
      </c>
      <c r="D12" s="12">
        <f t="shared" si="0"/>
        <v>-37.75</v>
      </c>
      <c r="R12" s="41" t="s">
        <v>41</v>
      </c>
      <c r="S12" s="42">
        <f>IF(AD10="",0,AD10)</f>
        <v>15</v>
      </c>
      <c r="T12" s="15" t="s">
        <v>25</v>
      </c>
      <c r="U12" s="16">
        <f>IF($S12=0,0,U7)</f>
        <v>0</v>
      </c>
      <c r="V12" s="16">
        <f>IF($S12=0,0,V$7-$S12)*U$4</f>
        <v>0</v>
      </c>
      <c r="W12" s="16">
        <f>IF($S12=0,0,W7)</f>
        <v>175</v>
      </c>
      <c r="X12" s="16">
        <f>IF($S12=0,0,X$7-$S12)*W$4</f>
        <v>-23.75</v>
      </c>
      <c r="Y12" s="16">
        <f>IF($S12=0,0,Y7)</f>
        <v>0</v>
      </c>
      <c r="Z12" s="16">
        <f>IF($S12=0,0,Z$7-$S12)*Y$4</f>
        <v>0</v>
      </c>
      <c r="AD12" s="26"/>
      <c r="AF12" t="s">
        <v>26</v>
      </c>
      <c r="AG12" s="26"/>
      <c r="AH12" s="12"/>
      <c r="AI12" s="13"/>
      <c r="AJ12" s="12"/>
      <c r="AK12" s="21">
        <f>IF($A$5=$AL$12,1,0)*$Y$4</f>
        <v>0</v>
      </c>
      <c r="AL12" s="36" t="str">
        <f>"stab.gran"</f>
        <v>stab.gran</v>
      </c>
      <c r="AN12" s="53">
        <f>AD14</f>
        <v>14</v>
      </c>
      <c r="AO12" t="str">
        <f>LOOKUP(AN12,AT3:AT24,AU3:AU24)</f>
        <v>cm żwir</v>
      </c>
      <c r="AP12" t="str">
        <f>IF(AN12="","",AN12&amp;AO12)</f>
        <v>14cm żwir</v>
      </c>
      <c r="AR12">
        <f>AR11*15</f>
        <v>15</v>
      </c>
      <c r="AS12" t="s">
        <v>73</v>
      </c>
      <c r="AT12" s="13">
        <f>AT11*14</f>
        <v>14</v>
      </c>
      <c r="AU12" t="s">
        <v>74</v>
      </c>
      <c r="AV12" s="13">
        <f>AV10*20</f>
        <v>20</v>
      </c>
      <c r="AW12" t="s">
        <v>70</v>
      </c>
      <c r="AX12" t="s">
        <v>80</v>
      </c>
      <c r="BD12" s="47" t="s">
        <v>46</v>
      </c>
      <c r="BE12" s="48">
        <f>(-BE11+BG11)/(-BD11+BF11)</f>
        <v>-0.71888888888888891</v>
      </c>
      <c r="BF12" s="47" t="s">
        <v>47</v>
      </c>
      <c r="BG12" s="48">
        <f>BE11-BE12*BD11</f>
        <v>150</v>
      </c>
      <c r="BH12" s="44" t="s">
        <v>20</v>
      </c>
      <c r="BI12" s="43">
        <f>(BI11-BK11)/(BJ11-BH11)</f>
        <v>227.6559865092749</v>
      </c>
      <c r="BJ12" s="43" t="s">
        <v>21</v>
      </c>
      <c r="BK12" s="43">
        <f>BH11*BI12+BI11</f>
        <v>-13.659359190556501</v>
      </c>
    </row>
    <row r="13" spans="1:63" x14ac:dyDescent="0.3">
      <c r="B13" t="s">
        <v>37</v>
      </c>
      <c r="C13" s="13">
        <f t="shared" si="0"/>
        <v>269.01349072512647</v>
      </c>
      <c r="D13" s="12">
        <f t="shared" si="0"/>
        <v>-43.390809443507607</v>
      </c>
      <c r="T13" t="s">
        <v>36</v>
      </c>
      <c r="U13" s="13">
        <f>IF($S12=0,0,$BE$22*U4)</f>
        <v>0</v>
      </c>
      <c r="V13" s="12">
        <f>IF($S12=0,0,$BG$22*U4)</f>
        <v>0</v>
      </c>
      <c r="W13" s="13">
        <f>IF($S12=0,0,$BE$22*W4)</f>
        <v>247.7655986509275</v>
      </c>
      <c r="X13" s="12">
        <f>IF($S12=0,0,$BG$22*W4)</f>
        <v>-28.115935919055659</v>
      </c>
      <c r="Y13" s="13">
        <f>IF($S12=0,0,$BE$22*Y4)</f>
        <v>0</v>
      </c>
      <c r="Z13" s="12">
        <f>IF($S12=0,0,$BG$22*Y4)</f>
        <v>0</v>
      </c>
      <c r="AD13" s="26"/>
      <c r="AE13">
        <f>SUM(AG23,AI23,AK23,AK27,AI27,AG27,)</f>
        <v>14</v>
      </c>
      <c r="AF13" t="str">
        <f>"sypkie"</f>
        <v>sypkie</v>
      </c>
      <c r="AG13" s="26"/>
      <c r="AH13" s="12"/>
      <c r="AI13" s="13"/>
      <c r="AJ13" s="12"/>
      <c r="AK13" s="13">
        <f>AK12*15</f>
        <v>0</v>
      </c>
      <c r="AL13" s="27" t="str">
        <f>"sypkie"</f>
        <v>sypkie</v>
      </c>
      <c r="AN13" t="s">
        <v>27</v>
      </c>
      <c r="AR13">
        <f>AR11*15</f>
        <v>15</v>
      </c>
      <c r="AS13" t="s">
        <v>73</v>
      </c>
      <c r="AT13" s="13">
        <f>AT11*14</f>
        <v>14</v>
      </c>
      <c r="AU13" t="s">
        <v>74</v>
      </c>
      <c r="AV13" s="21">
        <f>IF($A$5=$AJ$36,1,0)*$W$4</f>
        <v>0</v>
      </c>
      <c r="AW13" s="20" t="str">
        <f>"żużlowa"</f>
        <v>żużlowa</v>
      </c>
      <c r="AX13" t="s">
        <v>80</v>
      </c>
      <c r="BD13" s="74" t="s">
        <v>51</v>
      </c>
      <c r="BE13" s="75"/>
      <c r="BF13" s="75"/>
      <c r="BG13" s="76"/>
      <c r="BH13" s="74" t="s">
        <v>60</v>
      </c>
      <c r="BI13" s="75"/>
      <c r="BJ13" s="75"/>
      <c r="BK13" s="76"/>
    </row>
    <row r="14" spans="1:63" x14ac:dyDescent="0.3">
      <c r="B14" s="15" t="s">
        <v>27</v>
      </c>
      <c r="C14" s="13">
        <f t="shared" si="0"/>
        <v>0</v>
      </c>
      <c r="D14" s="12">
        <f t="shared" si="0"/>
        <v>0</v>
      </c>
      <c r="R14" s="41" t="s">
        <v>41</v>
      </c>
      <c r="S14" s="42">
        <f>IF(AD14="",0,AD14)</f>
        <v>14</v>
      </c>
      <c r="T14" s="15" t="s">
        <v>26</v>
      </c>
      <c r="U14" s="16">
        <f>IF($S14=0,0,U7)</f>
        <v>0</v>
      </c>
      <c r="V14" s="16">
        <f>IF($S14=0,0,V$7-$S14-$S12)*U$4</f>
        <v>0</v>
      </c>
      <c r="W14" s="16">
        <f>IF($S14=0,0,W7)</f>
        <v>175</v>
      </c>
      <c r="X14" s="16">
        <f>IF($S14=0,0,X$7-$S14-$S12)*W$4</f>
        <v>-37.75</v>
      </c>
      <c r="Y14" s="16">
        <f>IF($S14=0,0,Y7)</f>
        <v>0</v>
      </c>
      <c r="Z14" s="16">
        <f>IF($S14=0,0,Z$7-$S14-$S12)*Y$4</f>
        <v>0</v>
      </c>
      <c r="AD14" s="26">
        <f>IF(IF($A$7=AF13,AE13,IF($A$7=AF14,AE14,IF($A$7=AF15,AE15)))=0,"",IF($A$7=AF13,AE13,IF($A$7=AF14,AE14,IF($A$7=AF15,AE15))))</f>
        <v>14</v>
      </c>
      <c r="AE14">
        <f>SUM(AG24,AI24,AK24,AK28,AI28,AG28,)</f>
        <v>14</v>
      </c>
      <c r="AF14" t="str">
        <f>"mało spoiste"</f>
        <v>mało spoiste</v>
      </c>
      <c r="AG14" s="26"/>
      <c r="AH14" s="12"/>
      <c r="AI14" s="13"/>
      <c r="AJ14" s="12"/>
      <c r="AK14" s="13">
        <f>AK12*15</f>
        <v>0</v>
      </c>
      <c r="AL14" s="27" t="str">
        <f>"mało spoiste"</f>
        <v>mało spoiste</v>
      </c>
      <c r="AN14" s="53" t="str">
        <f>AD18</f>
        <v/>
      </c>
      <c r="AO14" t="e">
        <f>LOOKUP(AN14,AV3:AV24,AW3:AW24)</f>
        <v>#N/A</v>
      </c>
      <c r="AP14" t="str">
        <f>IF(AN14="","",AN14&amp;AO14)</f>
        <v/>
      </c>
      <c r="AR14">
        <f>AR11*15</f>
        <v>15</v>
      </c>
      <c r="AS14" t="s">
        <v>73</v>
      </c>
      <c r="AT14" s="13" t="s">
        <v>81</v>
      </c>
      <c r="AU14" t="s">
        <v>74</v>
      </c>
      <c r="AV14" s="13">
        <f>AV13*12</f>
        <v>0</v>
      </c>
      <c r="AW14" t="s">
        <v>70</v>
      </c>
      <c r="AX14" t="s">
        <v>80</v>
      </c>
      <c r="BD14" s="72" t="s">
        <v>25</v>
      </c>
      <c r="BE14" s="73"/>
      <c r="BF14" s="72"/>
      <c r="BG14" s="73"/>
      <c r="BH14" s="72" t="s">
        <v>27</v>
      </c>
      <c r="BI14" s="73"/>
      <c r="BJ14" s="72"/>
      <c r="BK14" s="73"/>
    </row>
    <row r="15" spans="1:63" x14ac:dyDescent="0.3">
      <c r="B15" t="s">
        <v>38</v>
      </c>
      <c r="C15" s="13">
        <f t="shared" si="0"/>
        <v>0</v>
      </c>
      <c r="D15" s="12">
        <f t="shared" si="0"/>
        <v>0</v>
      </c>
      <c r="T15" t="s">
        <v>37</v>
      </c>
      <c r="U15" s="13">
        <f>IF($S14=0,0,$BE$32*U4)</f>
        <v>0</v>
      </c>
      <c r="V15" s="12">
        <f>IF($S14=0,0,$BG$32*U4)</f>
        <v>0</v>
      </c>
      <c r="W15" s="13">
        <f>IF($S14=0,0,$BE$32*W4)</f>
        <v>269.01349072512647</v>
      </c>
      <c r="X15" s="12">
        <f>IF($S14=0,0,$BG$32*W4)</f>
        <v>-43.390809443507607</v>
      </c>
      <c r="Y15" s="13">
        <f>IF($S14=0,0,$BE$32*Y4)</f>
        <v>0</v>
      </c>
      <c r="Z15" s="12">
        <f>IF($S14=0,0,$BG$32*Y4)</f>
        <v>0</v>
      </c>
      <c r="AD15" s="26"/>
      <c r="AE15">
        <f>SUM(AG25,AI25,AK25,AK29,AI29,AG29,)</f>
        <v>14</v>
      </c>
      <c r="AF15" t="str">
        <f>"spoiste"</f>
        <v>spoiste</v>
      </c>
      <c r="AG15" s="26"/>
      <c r="AH15" s="12"/>
      <c r="AI15" s="13"/>
      <c r="AJ15" s="12"/>
      <c r="AK15" s="13">
        <f>AK12*15</f>
        <v>0</v>
      </c>
      <c r="AL15" s="27" t="str">
        <f>"spoiste"</f>
        <v>spoiste</v>
      </c>
      <c r="AN15" t="s">
        <v>30</v>
      </c>
      <c r="AR15" s="52">
        <f>IF($A$5=$AJ$8,1,0)*$W$4</f>
        <v>0</v>
      </c>
      <c r="AS15" s="20" t="str">
        <f>"żużlowa"</f>
        <v>żużlowa</v>
      </c>
      <c r="AT15" s="21">
        <f>IF($A$5=$AJ$26,1,0)*$W$4</f>
        <v>0</v>
      </c>
      <c r="AU15" s="20" t="str">
        <f>"żużlowa"</f>
        <v>żużlowa</v>
      </c>
      <c r="AV15" s="13">
        <f>AV13*20</f>
        <v>0</v>
      </c>
      <c r="AW15" t="s">
        <v>70</v>
      </c>
      <c r="AX15" t="s">
        <v>80</v>
      </c>
      <c r="BD15" s="72" t="s">
        <v>20</v>
      </c>
      <c r="BE15" s="73"/>
      <c r="BF15" s="72" t="s">
        <v>21</v>
      </c>
      <c r="BG15" s="73"/>
      <c r="BH15" s="72" t="s">
        <v>20</v>
      </c>
      <c r="BI15" s="73"/>
      <c r="BJ15" s="72" t="s">
        <v>21</v>
      </c>
      <c r="BK15" s="73"/>
    </row>
    <row r="16" spans="1:63" x14ac:dyDescent="0.3">
      <c r="B16" s="15" t="s">
        <v>30</v>
      </c>
      <c r="C16" s="13">
        <f t="shared" si="0"/>
        <v>0</v>
      </c>
      <c r="D16" s="12">
        <f t="shared" si="0"/>
        <v>0</v>
      </c>
      <c r="R16" s="41" t="s">
        <v>41</v>
      </c>
      <c r="S16" s="42">
        <f>IF(AD18="",0,AD18)</f>
        <v>0</v>
      </c>
      <c r="T16" s="15" t="s">
        <v>27</v>
      </c>
      <c r="U16" s="16">
        <f>IF($S16=0,0,U7)</f>
        <v>0</v>
      </c>
      <c r="V16" s="16">
        <f>IF($S16=0,0,V$7-$S16-$S14-$S12)*U$4</f>
        <v>0</v>
      </c>
      <c r="W16" s="16">
        <f>IF($S16=0,0,W7)</f>
        <v>0</v>
      </c>
      <c r="X16" s="16">
        <f>IF($S16=0,0,X$7-$S16-$S14-$S12)*W$4</f>
        <v>0</v>
      </c>
      <c r="Y16" s="16">
        <f>IF($S16=0,0,Y7)</f>
        <v>0</v>
      </c>
      <c r="Z16" s="16">
        <f>IF($S16=0,0,Z$7-$S16-$S14-$S12)*Y$4</f>
        <v>0</v>
      </c>
      <c r="AD16" s="26"/>
      <c r="AF16" t="s">
        <v>27</v>
      </c>
      <c r="AG16" s="26"/>
      <c r="AH16" s="12"/>
      <c r="AI16" s="13"/>
      <c r="AJ16" s="12"/>
      <c r="AK16" s="21">
        <f>IF($A$5=$AL$16,1,0)*$Y$4</f>
        <v>0</v>
      </c>
      <c r="AL16" s="36" t="str">
        <f>"stab.cem"</f>
        <v>stab.cem</v>
      </c>
      <c r="AN16" s="53" t="str">
        <f>AD22</f>
        <v/>
      </c>
      <c r="AO16" t="s">
        <v>77</v>
      </c>
      <c r="AP16" t="str">
        <f>IF(AN16="","",AN16&amp;AO16)</f>
        <v/>
      </c>
      <c r="AR16">
        <f>AR15*15</f>
        <v>0</v>
      </c>
      <c r="AS16" t="s">
        <v>71</v>
      </c>
      <c r="AT16" s="13">
        <f>AT15*14</f>
        <v>0</v>
      </c>
      <c r="AU16" t="s">
        <v>75</v>
      </c>
      <c r="AV16" t="s">
        <v>80</v>
      </c>
      <c r="BD16" s="72">
        <f>C10</f>
        <v>175</v>
      </c>
      <c r="BE16" s="73"/>
      <c r="BF16" s="72">
        <f>D10</f>
        <v>-23.75</v>
      </c>
      <c r="BG16" s="73"/>
      <c r="BH16" s="72">
        <f>C16</f>
        <v>0</v>
      </c>
      <c r="BI16" s="73"/>
      <c r="BJ16" s="72">
        <f>D16</f>
        <v>0</v>
      </c>
      <c r="BK16" s="73"/>
    </row>
    <row r="17" spans="2:63" x14ac:dyDescent="0.3">
      <c r="B17" t="s">
        <v>39</v>
      </c>
      <c r="C17" s="13">
        <f t="shared" si="0"/>
        <v>0</v>
      </c>
      <c r="D17" s="12">
        <f t="shared" si="0"/>
        <v>0</v>
      </c>
      <c r="T17" t="s">
        <v>38</v>
      </c>
      <c r="U17" s="13">
        <f>IF($S16=0,0,$BI$12*U4)</f>
        <v>0</v>
      </c>
      <c r="V17" s="12">
        <f>IF($S16=0,0,$BK$12*U4)</f>
        <v>0</v>
      </c>
      <c r="W17" s="13">
        <f>IF($S16=0,0,$BI$12*W4)</f>
        <v>0</v>
      </c>
      <c r="X17" s="12">
        <f>IF($S16=0,0,$BK$12*W4)</f>
        <v>0</v>
      </c>
      <c r="Y17" s="13">
        <f>IF($S16=0,0,$BI$12*Y4)</f>
        <v>0</v>
      </c>
      <c r="Z17" s="12">
        <f>IF($S16=0,0,$BK$12*Y4)</f>
        <v>0</v>
      </c>
      <c r="AD17" s="26"/>
      <c r="AE17">
        <f>SUM(AG33,AI33,AK33,AK37,AI37,AG37,)</f>
        <v>0</v>
      </c>
      <c r="AF17" t="str">
        <f>"sypkie"</f>
        <v>sypkie</v>
      </c>
      <c r="AG17" s="26"/>
      <c r="AH17" s="12"/>
      <c r="AI17" s="13"/>
      <c r="AJ17" s="12"/>
      <c r="AK17" s="13">
        <f>AK16*15</f>
        <v>0</v>
      </c>
      <c r="AL17" s="27" t="str">
        <f>"sypkie"</f>
        <v>sypkie</v>
      </c>
      <c r="AN17" t="s">
        <v>31</v>
      </c>
      <c r="AR17">
        <f>AR15*15</f>
        <v>0</v>
      </c>
      <c r="AS17" t="s">
        <v>71</v>
      </c>
      <c r="AT17" s="13">
        <f>AT15*14</f>
        <v>0</v>
      </c>
      <c r="AU17" t="s">
        <v>75</v>
      </c>
      <c r="AV17" t="s">
        <v>80</v>
      </c>
      <c r="BD17" s="45" t="s">
        <v>46</v>
      </c>
      <c r="BE17" s="45">
        <f>$BE$7</f>
        <v>-0.06</v>
      </c>
      <c r="BF17" s="45" t="s">
        <v>47</v>
      </c>
      <c r="BG17" s="45">
        <f>BF16-BE17*BD16</f>
        <v>-13.25</v>
      </c>
      <c r="BH17" s="45" t="s">
        <v>46</v>
      </c>
      <c r="BI17" s="45">
        <f>$BE$7</f>
        <v>-0.06</v>
      </c>
      <c r="BJ17" s="45" t="s">
        <v>47</v>
      </c>
      <c r="BK17" s="45">
        <f>BJ16-BI17*BH16</f>
        <v>0</v>
      </c>
    </row>
    <row r="18" spans="2:63" x14ac:dyDescent="0.3">
      <c r="B18" s="15" t="s">
        <v>31</v>
      </c>
      <c r="C18" s="13">
        <f t="shared" si="0"/>
        <v>0</v>
      </c>
      <c r="D18" s="12">
        <f t="shared" si="0"/>
        <v>0</v>
      </c>
      <c r="R18" s="41" t="s">
        <v>41</v>
      </c>
      <c r="S18" s="42">
        <f>IF(AD22="",0,AD22)</f>
        <v>0</v>
      </c>
      <c r="T18" s="15" t="s">
        <v>30</v>
      </c>
      <c r="U18" s="16">
        <f>IF($S18=0,0,U7)</f>
        <v>0</v>
      </c>
      <c r="V18" s="16">
        <f>IF($S18=0,0,V$7-$S18-$S16-$S14-$S12)*U$4</f>
        <v>0</v>
      </c>
      <c r="W18" s="16">
        <f>IF($S18=0,0,W7)</f>
        <v>0</v>
      </c>
      <c r="X18" s="16">
        <f>IF($S18=0,0,X$7-$S18-$S16-$S14-$S12)*W$4</f>
        <v>0</v>
      </c>
      <c r="Y18" s="16">
        <f>IF($S18=0,0,Y7)</f>
        <v>0</v>
      </c>
      <c r="Z18" s="16">
        <f>IF($S18=0,0,Z$7-$S18-$S16-$S14-$S12)*Y$4</f>
        <v>0</v>
      </c>
      <c r="AD18" s="26" t="str">
        <f>IF(IF($A$7=AF17,AE17,IF($A$7=AF18,AE18,IF($A$7=AF19,AE19)))=0,"",IF($A$7=AF17,AE17,IF($A$7=AF18,AE18,IF($A$7=AF19,AE19))))</f>
        <v/>
      </c>
      <c r="AE18">
        <f>SUM(AG34,AI34,AK34,AK38,AI38,AG38,)</f>
        <v>12</v>
      </c>
      <c r="AF18" t="str">
        <f>"mało spoiste"</f>
        <v>mało spoiste</v>
      </c>
      <c r="AG18" s="26"/>
      <c r="AH18" s="12"/>
      <c r="AI18" s="13"/>
      <c r="AJ18" s="12"/>
      <c r="AK18" s="13">
        <f>AK16*15</f>
        <v>0</v>
      </c>
      <c r="AL18" s="27" t="str">
        <f>"mało spoiste"</f>
        <v>mało spoiste</v>
      </c>
      <c r="AN18" s="53" t="str">
        <f>AD26</f>
        <v/>
      </c>
      <c r="AO18" t="s">
        <v>70</v>
      </c>
      <c r="AP18" t="str">
        <f>IF(AN18="","",AN18&amp;AO18)</f>
        <v/>
      </c>
      <c r="AR18">
        <f>AR15*15</f>
        <v>0</v>
      </c>
      <c r="AS18" t="s">
        <v>71</v>
      </c>
      <c r="AT18" s="13">
        <f>AT15*14</f>
        <v>0</v>
      </c>
      <c r="AU18" t="s">
        <v>75</v>
      </c>
      <c r="AV18" t="s">
        <v>80</v>
      </c>
      <c r="BD18" s="67" t="s">
        <v>50</v>
      </c>
      <c r="BE18" s="68"/>
      <c r="BF18" s="68"/>
      <c r="BG18" s="69"/>
      <c r="BH18" s="67" t="s">
        <v>61</v>
      </c>
      <c r="BI18" s="68"/>
      <c r="BJ18" s="68"/>
      <c r="BK18" s="69"/>
    </row>
    <row r="19" spans="2:63" x14ac:dyDescent="0.3">
      <c r="B19" t="s">
        <v>40</v>
      </c>
      <c r="C19" s="13">
        <f t="shared" si="0"/>
        <v>0</v>
      </c>
      <c r="D19" s="12">
        <f t="shared" si="0"/>
        <v>0</v>
      </c>
      <c r="T19" t="s">
        <v>39</v>
      </c>
      <c r="U19" s="13">
        <f>IF($S18=0,0,$BI$22*U4)</f>
        <v>0</v>
      </c>
      <c r="V19" s="12">
        <f>IF($S18=0,0,$BK$22*U4)</f>
        <v>0</v>
      </c>
      <c r="W19" s="13">
        <f>IF($S18=0,0,$BI$22*W4)</f>
        <v>0</v>
      </c>
      <c r="X19" s="12">
        <f>IF($S18=0,0,$BK$22*W4)</f>
        <v>0</v>
      </c>
      <c r="Y19" s="13">
        <f>IF($S18=0,0,$BI$22*Y4)</f>
        <v>0</v>
      </c>
      <c r="Z19" s="12">
        <f>IF($S18=0,0,$BK$22*Y4)</f>
        <v>0</v>
      </c>
      <c r="AD19" s="26"/>
      <c r="AE19">
        <f>SUM(AG35,AI35,AK35,AK39,AI39,AG39,)</f>
        <v>20</v>
      </c>
      <c r="AF19" t="str">
        <f>"spoiste"</f>
        <v>spoiste</v>
      </c>
      <c r="AG19" s="26"/>
      <c r="AK19" s="13">
        <f>AK16*15</f>
        <v>0</v>
      </c>
      <c r="AL19" s="27" t="str">
        <f>"spoiste"</f>
        <v>spoiste</v>
      </c>
      <c r="AR19" s="52">
        <f>IF($A$5=$AL$4,1,0)*$Y$4</f>
        <v>0</v>
      </c>
      <c r="AS19" s="36" t="str">
        <f>"żwirowa"</f>
        <v>żwirowa</v>
      </c>
      <c r="AT19" s="21">
        <f>IF($A$5=$AL$22,1,0)*$Y$4</f>
        <v>0</v>
      </c>
      <c r="AU19" s="36" t="str">
        <f>"żwirowa"</f>
        <v>żwirowa</v>
      </c>
      <c r="AV19" t="s">
        <v>80</v>
      </c>
      <c r="BD19" s="70" t="s">
        <v>53</v>
      </c>
      <c r="BE19" s="71"/>
      <c r="BF19" s="70" t="s">
        <v>52</v>
      </c>
      <c r="BG19" s="71"/>
      <c r="BH19" s="70" t="s">
        <v>53</v>
      </c>
      <c r="BI19" s="71"/>
      <c r="BJ19" s="70" t="s">
        <v>62</v>
      </c>
      <c r="BK19" s="71"/>
    </row>
    <row r="20" spans="2:63" x14ac:dyDescent="0.3">
      <c r="B20" s="15" t="s">
        <v>32</v>
      </c>
      <c r="C20" s="13">
        <f>U22</f>
        <v>2</v>
      </c>
      <c r="D20" s="12"/>
      <c r="R20" s="41" t="s">
        <v>41</v>
      </c>
      <c r="S20" s="42">
        <f>IF(AD26="",0,AD26)</f>
        <v>0</v>
      </c>
      <c r="T20" s="15" t="s">
        <v>31</v>
      </c>
      <c r="U20" s="16">
        <f>IF($S20=0,0,U7)</f>
        <v>0</v>
      </c>
      <c r="V20" s="16">
        <f>IF($S20=0,0,V$7-$S20-$S18-$S16-$S14-$S12)*U$4</f>
        <v>0</v>
      </c>
      <c r="W20" s="16">
        <f>IF($S20=0,0,W7)</f>
        <v>0</v>
      </c>
      <c r="X20" s="16">
        <f>IF($S20=0,0,X$7-$S20-$S18-$S16-$S14-$S12)*W$4</f>
        <v>0</v>
      </c>
      <c r="Y20" s="16">
        <f>IF($S20=0,0,Y7)</f>
        <v>0</v>
      </c>
      <c r="Z20" s="16">
        <f>IF($S20=0,0,Z$7-$S20-$S18-$S16-$S14-$S12)*Y$4</f>
        <v>0</v>
      </c>
      <c r="AD20" s="26"/>
      <c r="AF20" t="s">
        <v>30</v>
      </c>
      <c r="AG20" s="33" t="s">
        <v>14</v>
      </c>
      <c r="AH20" s="19" t="s">
        <v>26</v>
      </c>
      <c r="AI20" s="18"/>
      <c r="AJ20" s="19"/>
      <c r="AK20" s="18"/>
      <c r="AL20" s="34"/>
      <c r="AR20">
        <f>AR19*15</f>
        <v>0</v>
      </c>
      <c r="AS20" t="s">
        <v>69</v>
      </c>
      <c r="AT20" s="13">
        <f>AT19*15</f>
        <v>0</v>
      </c>
      <c r="AU20" t="s">
        <v>70</v>
      </c>
      <c r="AV20" t="s">
        <v>80</v>
      </c>
      <c r="BD20" s="43" t="s">
        <v>19</v>
      </c>
      <c r="BE20" s="43" t="s">
        <v>23</v>
      </c>
      <c r="BF20" s="43" t="s">
        <v>19</v>
      </c>
      <c r="BG20" s="43" t="s">
        <v>23</v>
      </c>
      <c r="BH20" s="43" t="s">
        <v>19</v>
      </c>
      <c r="BI20" s="43" t="s">
        <v>23</v>
      </c>
      <c r="BJ20" s="43" t="s">
        <v>19</v>
      </c>
      <c r="BK20" s="43" t="s">
        <v>23</v>
      </c>
    </row>
    <row r="21" spans="2:63" x14ac:dyDescent="0.3">
      <c r="B21" t="s">
        <v>67</v>
      </c>
      <c r="C21" s="13">
        <f>Y23+W23+U23</f>
        <v>306.51349072512647</v>
      </c>
      <c r="D21" s="12">
        <f>Z23+X23+V23</f>
        <v>-68.390809443507607</v>
      </c>
      <c r="T21" t="s">
        <v>40</v>
      </c>
      <c r="U21" s="13">
        <f>IF($S20=0,0,$BI$32*U4)</f>
        <v>0</v>
      </c>
      <c r="V21" s="12">
        <f>IF($S20=0,0,$BK$32*U4)</f>
        <v>0</v>
      </c>
      <c r="W21" s="13">
        <f>IF($S20=0,0,$BI$32*W4)</f>
        <v>0</v>
      </c>
      <c r="X21" s="12">
        <f>IF($S20=0,0,$BK$32*W4)</f>
        <v>0</v>
      </c>
      <c r="Y21" s="13">
        <f>IF($S20=0,0,$BI$32*Y4)</f>
        <v>0</v>
      </c>
      <c r="Z21" s="12">
        <f>IF($S20=0,0,$BK$32*Y4)</f>
        <v>0</v>
      </c>
      <c r="AD21" s="26"/>
      <c r="AE21">
        <f>SUM(AG47,AI47,AK47,AK51,AI51,AG51,)</f>
        <v>0</v>
      </c>
      <c r="AF21" t="str">
        <f>"sypkie"</f>
        <v>sypkie</v>
      </c>
      <c r="AG21" s="33" t="s">
        <v>28</v>
      </c>
      <c r="AH21" s="19" t="s">
        <v>29</v>
      </c>
      <c r="AI21" s="18" t="s">
        <v>28</v>
      </c>
      <c r="AJ21" s="19" t="s">
        <v>29</v>
      </c>
      <c r="AK21" s="18" t="s">
        <v>28</v>
      </c>
      <c r="AL21" s="34" t="s">
        <v>29</v>
      </c>
      <c r="AR21">
        <f>AR19*15</f>
        <v>0</v>
      </c>
      <c r="AS21" t="s">
        <v>69</v>
      </c>
      <c r="AT21" s="13">
        <f>AT19*20</f>
        <v>0</v>
      </c>
      <c r="AU21" t="s">
        <v>70</v>
      </c>
      <c r="AV21" t="s">
        <v>80</v>
      </c>
      <c r="BD21" s="43">
        <f>$BE$12</f>
        <v>-0.71888888888888891</v>
      </c>
      <c r="BE21" s="43">
        <f>$BG$12</f>
        <v>150</v>
      </c>
      <c r="BF21" s="43">
        <f>BE17</f>
        <v>-0.06</v>
      </c>
      <c r="BG21" s="43">
        <f>BG17</f>
        <v>-13.25</v>
      </c>
      <c r="BH21" s="43">
        <f>$BE$12</f>
        <v>-0.71888888888888891</v>
      </c>
      <c r="BI21" s="43">
        <f>$BG$12</f>
        <v>150</v>
      </c>
      <c r="BJ21" s="43">
        <f>BI17</f>
        <v>-0.06</v>
      </c>
      <c r="BK21" s="43">
        <f>BK17</f>
        <v>0</v>
      </c>
    </row>
    <row r="22" spans="2:63" x14ac:dyDescent="0.3">
      <c r="B22" t="s">
        <v>68</v>
      </c>
      <c r="C22" s="13">
        <f>Y24+W24+U24</f>
        <v>388.02698145025295</v>
      </c>
      <c r="D22" s="12">
        <f>Z24+X24+V24</f>
        <v>-11.75</v>
      </c>
      <c r="E22" s="15" t="s">
        <v>96</v>
      </c>
      <c r="F22" s="16">
        <f>IF($H22=0,0,F6)</f>
        <v>-175</v>
      </c>
      <c r="G22" s="16">
        <f>IF($H22=0,0,G$6-$H22)</f>
        <v>-4.5</v>
      </c>
      <c r="H22" s="42">
        <f>S12</f>
        <v>15</v>
      </c>
      <c r="J22" s="77" t="s">
        <v>95</v>
      </c>
      <c r="K22" s="78"/>
      <c r="L22" s="78"/>
      <c r="M22" s="78"/>
      <c r="N22" s="78"/>
      <c r="O22" s="78"/>
      <c r="P22" s="78"/>
      <c r="Q22" s="79"/>
      <c r="T22" s="15" t="s">
        <v>32</v>
      </c>
      <c r="U22" s="16">
        <f>COUNT(AD10:AD27)</f>
        <v>2</v>
      </c>
      <c r="V22" s="15"/>
      <c r="W22" s="16">
        <f>COUNT(AD10:AD27)</f>
        <v>2</v>
      </c>
      <c r="X22" s="17"/>
      <c r="Y22" s="15">
        <f>COUNT(AD10:AD27)</f>
        <v>2</v>
      </c>
      <c r="Z22" s="17"/>
      <c r="AD22" s="26" t="str">
        <f>IF(IF($A$7=AF21,AE21,IF($A$7=AF22,AE22,IF($A$7=AF23,AE23)))=0,"",IF($A$7=AF21,AE21,IF($A$7=AF22,AE22,IF($A$7=AF23,AE23))))</f>
        <v/>
      </c>
      <c r="AE22">
        <f>SUM(AG48,AI48,AK48,AK52,AI52,AG52,)</f>
        <v>0</v>
      </c>
      <c r="AF22" t="str">
        <f>"mało spoiste"</f>
        <v>mało spoiste</v>
      </c>
      <c r="AG22" s="35">
        <f>IF($A$5=$AH$22,1,0)*$U$4</f>
        <v>0</v>
      </c>
      <c r="AH22" s="20" t="str">
        <f>"tłuczniowa"</f>
        <v>tłuczniowa</v>
      </c>
      <c r="AI22" s="21">
        <f>IF($A$5=$AJ$22,1,0)*$W$4</f>
        <v>1</v>
      </c>
      <c r="AJ22" s="20" t="str">
        <f>"żwirowa"</f>
        <v>żwirowa</v>
      </c>
      <c r="AK22" s="21">
        <f>IF($A$5=$AL$22,1,0)*$Y$4</f>
        <v>0</v>
      </c>
      <c r="AL22" s="36" t="str">
        <f>"żwirowa"</f>
        <v>żwirowa</v>
      </c>
      <c r="AR22">
        <f>AR19*15</f>
        <v>0</v>
      </c>
      <c r="AS22" t="s">
        <v>69</v>
      </c>
      <c r="AT22" s="21">
        <f>IF($A$5=$AL$26,1,0)*$Y$4</f>
        <v>0</v>
      </c>
      <c r="AU22" s="36" t="str">
        <f>"żużlowa"</f>
        <v>żużlowa</v>
      </c>
      <c r="AV22" t="s">
        <v>80</v>
      </c>
      <c r="AW22" s="52"/>
      <c r="AX22" s="52"/>
      <c r="BD22" s="44" t="s">
        <v>20</v>
      </c>
      <c r="BE22" s="43">
        <f>(BE21-BG21)/(BF21-BD21)</f>
        <v>247.7655986509275</v>
      </c>
      <c r="BF22" s="43" t="s">
        <v>21</v>
      </c>
      <c r="BG22" s="43">
        <f>BD21*BE22+BE21</f>
        <v>-28.115935919055659</v>
      </c>
      <c r="BH22" s="44" t="s">
        <v>20</v>
      </c>
      <c r="BI22" s="43">
        <f>(BI21-BK21)/(BJ21-BH21)</f>
        <v>227.6559865092749</v>
      </c>
      <c r="BJ22" s="43" t="s">
        <v>21</v>
      </c>
      <c r="BK22" s="43">
        <f>BH21*BI22+BI21</f>
        <v>-13.659359190556501</v>
      </c>
    </row>
    <row r="23" spans="2:63" x14ac:dyDescent="0.3">
      <c r="B23" t="s">
        <v>86</v>
      </c>
      <c r="C23" s="13"/>
      <c r="D23" s="12"/>
      <c r="E23" t="s">
        <v>102</v>
      </c>
      <c r="F23" s="13">
        <f>IF($H22=0,0,$K$42)</f>
        <v>-249.81617647058823</v>
      </c>
      <c r="G23" s="12">
        <f>IF($H22=0,0,$M$42)</f>
        <v>-5.996323529411768</v>
      </c>
      <c r="J23" s="80" t="s">
        <v>48</v>
      </c>
      <c r="K23" s="81"/>
      <c r="L23" s="81"/>
      <c r="M23" s="82"/>
      <c r="N23" s="74" t="s">
        <v>57</v>
      </c>
      <c r="O23" s="75"/>
      <c r="P23" s="75"/>
      <c r="Q23" s="76"/>
      <c r="T23" t="s">
        <v>67</v>
      </c>
      <c r="U23" s="50">
        <f>MAX(U21,U19,U17,U15,U13,U18)+(-U9*U10)</f>
        <v>0</v>
      </c>
      <c r="V23" s="51">
        <f>(MIN(V21,V19,V17,V15,V13)+U9)*U4</f>
        <v>0</v>
      </c>
      <c r="W23" s="50">
        <f>MAX(W21,W19,W17,W15,W13,W18)+(-W9*W10)</f>
        <v>306.51349072512647</v>
      </c>
      <c r="X23" s="51">
        <f>(MIN(X21,X19,X17,X15,X13)+W9)*W4</f>
        <v>-68.390809443507607</v>
      </c>
      <c r="Y23" s="50">
        <f>MAX(Y21,Y19,Y17,Y15,Y13,Y18)+(-Y9*Y10)</f>
        <v>0</v>
      </c>
      <c r="Z23" s="51">
        <f>(MIN(Z21,Z19,Z17,Z15,Z13)+Y9)*Y4</f>
        <v>0</v>
      </c>
      <c r="AD23" s="26"/>
      <c r="AE23">
        <f>SUM(AG49,AI49,AK49,AK53,AI53,AG53,)</f>
        <v>0</v>
      </c>
      <c r="AF23" t="str">
        <f>"spoiste"</f>
        <v>spoiste</v>
      </c>
      <c r="AG23" s="26">
        <f>AG22*14</f>
        <v>0</v>
      </c>
      <c r="AH23" s="12" t="str">
        <f>"sypkie"</f>
        <v>sypkie</v>
      </c>
      <c r="AI23" s="13">
        <f>AI22*14</f>
        <v>14</v>
      </c>
      <c r="AJ23" s="12" t="str">
        <f>"sypkie"</f>
        <v>sypkie</v>
      </c>
      <c r="AK23" s="13"/>
      <c r="AL23" s="27"/>
      <c r="AR23" s="52">
        <f>IF($A$5=$AL$8,1,0)*$Y$4</f>
        <v>0</v>
      </c>
      <c r="AS23" s="36" t="str">
        <f>"żużlowa"</f>
        <v>żużlowa</v>
      </c>
      <c r="AT23" s="13">
        <f>AT22*15</f>
        <v>0</v>
      </c>
      <c r="AU23" t="s">
        <v>70</v>
      </c>
      <c r="AV23" t="s">
        <v>80</v>
      </c>
      <c r="BD23" s="74" t="s">
        <v>54</v>
      </c>
      <c r="BE23" s="75"/>
      <c r="BF23" s="75"/>
      <c r="BG23" s="76"/>
      <c r="BH23" s="74" t="s">
        <v>63</v>
      </c>
      <c r="BI23" s="75"/>
      <c r="BJ23" s="75"/>
      <c r="BK23" s="76"/>
    </row>
    <row r="24" spans="2:63" x14ac:dyDescent="0.3">
      <c r="B24" t="s">
        <v>25</v>
      </c>
      <c r="C24" s="13" t="str">
        <f>AP10</f>
        <v>15cm grunt rodzimy stabilizowany cementem</v>
      </c>
      <c r="D24" s="12">
        <f>S12</f>
        <v>15</v>
      </c>
      <c r="E24" s="15" t="s">
        <v>98</v>
      </c>
      <c r="F24" s="16">
        <f>IF($H24=0,0,F6)</f>
        <v>-175</v>
      </c>
      <c r="G24" s="16">
        <f>IF($H24=0,0,G$6-$H24-$H22)</f>
        <v>-18.5</v>
      </c>
      <c r="H24" s="42">
        <f>S14</f>
        <v>14</v>
      </c>
      <c r="J24" s="84" t="s">
        <v>23</v>
      </c>
      <c r="K24" s="85"/>
      <c r="L24" s="84" t="s">
        <v>24</v>
      </c>
      <c r="M24" s="85"/>
      <c r="N24" s="72" t="s">
        <v>27</v>
      </c>
      <c r="O24" s="73"/>
      <c r="P24" s="72"/>
      <c r="Q24" s="73"/>
      <c r="T24" t="s">
        <v>68</v>
      </c>
      <c r="U24" s="50">
        <f>ABS(U8-U23)+U23</f>
        <v>0</v>
      </c>
      <c r="V24" s="51">
        <f>V8</f>
        <v>0</v>
      </c>
      <c r="W24" s="50">
        <f>ABS(W8-W23)+W23</f>
        <v>388.02698145025295</v>
      </c>
      <c r="X24" s="51">
        <f>X8</f>
        <v>-11.75</v>
      </c>
      <c r="Y24" s="50">
        <f>ABS(Y8-Y23)+Y23</f>
        <v>0</v>
      </c>
      <c r="Z24" s="51">
        <f>Z8</f>
        <v>0</v>
      </c>
      <c r="AD24" s="26"/>
      <c r="AF24" t="s">
        <v>31</v>
      </c>
      <c r="AG24" s="26">
        <f>AG22*14</f>
        <v>0</v>
      </c>
      <c r="AH24" s="12" t="str">
        <f>"mało spoiste"</f>
        <v>mało spoiste</v>
      </c>
      <c r="AI24" s="13">
        <f>AI22*14</f>
        <v>14</v>
      </c>
      <c r="AJ24" s="12" t="str">
        <f>"mało spoiste"</f>
        <v>mało spoiste</v>
      </c>
      <c r="AK24" s="13">
        <f>AK22*15</f>
        <v>0</v>
      </c>
      <c r="AL24" s="27" t="str">
        <f>"mało spoiste"</f>
        <v>mało spoiste</v>
      </c>
      <c r="AR24">
        <f>AR23*15</f>
        <v>0</v>
      </c>
      <c r="AS24" t="s">
        <v>71</v>
      </c>
      <c r="AT24" s="13">
        <f>AT22*20</f>
        <v>0</v>
      </c>
      <c r="AU24" t="s">
        <v>70</v>
      </c>
      <c r="AV24" t="s">
        <v>80</v>
      </c>
      <c r="BD24" s="72" t="s">
        <v>26</v>
      </c>
      <c r="BE24" s="73"/>
      <c r="BF24" s="72"/>
      <c r="BG24" s="73"/>
      <c r="BH24" s="72" t="s">
        <v>31</v>
      </c>
      <c r="BI24" s="73"/>
      <c r="BJ24" s="72"/>
      <c r="BK24" s="73"/>
    </row>
    <row r="25" spans="2:63" x14ac:dyDescent="0.3">
      <c r="B25" t="s">
        <v>26</v>
      </c>
      <c r="C25" s="13" t="str">
        <f>AP12</f>
        <v>14cm żwir</v>
      </c>
      <c r="D25" s="12">
        <f>S14</f>
        <v>14</v>
      </c>
      <c r="E25" t="s">
        <v>103</v>
      </c>
      <c r="F25" s="13">
        <f>IF($H24=0,0,$K$52)</f>
        <v>-272.97794117647061</v>
      </c>
      <c r="G25" s="12">
        <f>IF($H24=0,0,$M$52)</f>
        <v>-20.45955882352942</v>
      </c>
      <c r="J25" s="46" t="s">
        <v>42</v>
      </c>
      <c r="K25" s="46" t="s">
        <v>44</v>
      </c>
      <c r="L25" s="46" t="s">
        <v>43</v>
      </c>
      <c r="M25" s="46" t="s">
        <v>45</v>
      </c>
      <c r="N25" s="72" t="s">
        <v>20</v>
      </c>
      <c r="O25" s="73"/>
      <c r="P25" s="72" t="s">
        <v>21</v>
      </c>
      <c r="Q25" s="73"/>
      <c r="Z25" t="s">
        <v>82</v>
      </c>
      <c r="AD25" s="26"/>
      <c r="AE25">
        <f>SUM(AG57,AI57,AK57,Y72,W72,U72,)</f>
        <v>0</v>
      </c>
      <c r="AF25" t="str">
        <f>"sypkie"</f>
        <v>sypkie</v>
      </c>
      <c r="AG25" s="26">
        <f>AG22*14</f>
        <v>0</v>
      </c>
      <c r="AH25" s="12" t="str">
        <f>"spoiste"</f>
        <v>spoiste</v>
      </c>
      <c r="AI25" s="13">
        <f>AI22*14</f>
        <v>14</v>
      </c>
      <c r="AJ25" s="12" t="str">
        <f>"spoiste"</f>
        <v>spoiste</v>
      </c>
      <c r="AK25" s="13">
        <f>AK22*20</f>
        <v>0</v>
      </c>
      <c r="AL25" s="27" t="str">
        <f>"spoiste"</f>
        <v>spoiste</v>
      </c>
      <c r="AR25">
        <f>AR23*15</f>
        <v>0</v>
      </c>
      <c r="AS25" t="s">
        <v>71</v>
      </c>
      <c r="AT25" t="s">
        <v>80</v>
      </c>
      <c r="AV25" t="s">
        <v>80</v>
      </c>
      <c r="BD25" s="72" t="s">
        <v>20</v>
      </c>
      <c r="BE25" s="73"/>
      <c r="BF25" s="72" t="s">
        <v>21</v>
      </c>
      <c r="BG25" s="73"/>
      <c r="BH25" s="72" t="s">
        <v>20</v>
      </c>
      <c r="BI25" s="73"/>
      <c r="BJ25" s="72" t="s">
        <v>21</v>
      </c>
      <c r="BK25" s="73"/>
    </row>
    <row r="26" spans="2:63" x14ac:dyDescent="0.3">
      <c r="B26" t="s">
        <v>27</v>
      </c>
      <c r="C26" s="13" t="str">
        <f>AP14</f>
        <v/>
      </c>
      <c r="D26" s="12">
        <f>S16</f>
        <v>0</v>
      </c>
      <c r="E26" s="15" t="s">
        <v>99</v>
      </c>
      <c r="F26" s="16">
        <f>IF($H26=0,0,F6)</f>
        <v>0</v>
      </c>
      <c r="G26" s="16">
        <f>IF($H26=0,0,G$6-$H26-$H24-$H22)</f>
        <v>0</v>
      </c>
      <c r="H26" s="42">
        <f>S16</f>
        <v>0</v>
      </c>
      <c r="J26" s="46">
        <f>F6</f>
        <v>-175</v>
      </c>
      <c r="K26" s="46">
        <f>G6</f>
        <v>10.5</v>
      </c>
      <c r="L26" s="46">
        <f>F8</f>
        <v>-225</v>
      </c>
      <c r="M26" s="46">
        <f>G8</f>
        <v>9.5</v>
      </c>
      <c r="N26" s="72">
        <f>C14</f>
        <v>0</v>
      </c>
      <c r="O26" s="73"/>
      <c r="P26" s="72">
        <f>D14</f>
        <v>0</v>
      </c>
      <c r="Q26" s="73"/>
      <c r="Z26" t="s">
        <v>25</v>
      </c>
      <c r="AD26" s="26" t="str">
        <f>IF(IF($A$7=AF25,AE25,IF($A$7=AF26,AE26,IF($A$7=AF27,AE27)))=0,"",IF($A$7=AF25,AE25,IF($A$7=AF26,AE26,IF($A$7=AF27,AE27))))</f>
        <v/>
      </c>
      <c r="AE26">
        <f>SUM(AG58,AI58,AK58,Y73,W73,U73,)</f>
        <v>0</v>
      </c>
      <c r="AF26" t="str">
        <f>"mało spoiste"</f>
        <v>mało spoiste</v>
      </c>
      <c r="AG26" s="35">
        <f>IF($A$5=$AH$26,1,0)*$U$4</f>
        <v>0</v>
      </c>
      <c r="AH26" s="20" t="str">
        <f>"bitumiczna"</f>
        <v>bitumiczna</v>
      </c>
      <c r="AI26" s="21">
        <f>IF($A$5=$AJ$26,1,0)*$W$4</f>
        <v>0</v>
      </c>
      <c r="AJ26" s="20" t="str">
        <f>"żużlowa"</f>
        <v>żużlowa</v>
      </c>
      <c r="AK26" s="21">
        <f>IF($A$5=$AL$26,1,0)*$Y$4</f>
        <v>0</v>
      </c>
      <c r="AL26" s="36" t="str">
        <f>"żużlowa"</f>
        <v>żużlowa</v>
      </c>
      <c r="AR26">
        <f>AR23*15</f>
        <v>0</v>
      </c>
      <c r="AS26" t="s">
        <v>71</v>
      </c>
      <c r="AT26" t="s">
        <v>80</v>
      </c>
      <c r="AV26" t="s">
        <v>80</v>
      </c>
      <c r="AW26" s="52"/>
      <c r="AX26" s="52"/>
      <c r="BD26" s="72">
        <f>C12</f>
        <v>175</v>
      </c>
      <c r="BE26" s="73"/>
      <c r="BF26" s="72">
        <f>D12</f>
        <v>-37.75</v>
      </c>
      <c r="BG26" s="73"/>
      <c r="BH26" s="72">
        <f>C18</f>
        <v>0</v>
      </c>
      <c r="BI26" s="73"/>
      <c r="BJ26" s="72">
        <f>D18</f>
        <v>0</v>
      </c>
      <c r="BK26" s="73"/>
    </row>
    <row r="27" spans="2:63" ht="15" thickBot="1" x14ac:dyDescent="0.35">
      <c r="B27" t="s">
        <v>30</v>
      </c>
      <c r="C27" s="13" t="str">
        <f>AP16</f>
        <v/>
      </c>
      <c r="D27" s="12">
        <f>S18</f>
        <v>0</v>
      </c>
      <c r="E27" t="s">
        <v>104</v>
      </c>
      <c r="F27" s="13">
        <f>IF($H26=0,0,$O$32)</f>
        <v>0</v>
      </c>
      <c r="G27" s="12">
        <f>IF($H26=0,0,$Q$32)</f>
        <v>0</v>
      </c>
      <c r="J27" s="47" t="s">
        <v>46</v>
      </c>
      <c r="K27" s="48">
        <f>(-K26+M26)/(-J26+L26)</f>
        <v>0.02</v>
      </c>
      <c r="L27" s="47" t="s">
        <v>47</v>
      </c>
      <c r="M27" s="48">
        <f>K26-K27*J26</f>
        <v>14</v>
      </c>
      <c r="N27" s="45" t="s">
        <v>46</v>
      </c>
      <c r="O27" s="45">
        <f>$K$27</f>
        <v>0.02</v>
      </c>
      <c r="P27" s="45" t="s">
        <v>47</v>
      </c>
      <c r="Q27" s="45">
        <f>P26-O27*N26</f>
        <v>0</v>
      </c>
      <c r="Z27" t="s">
        <v>26</v>
      </c>
      <c r="AD27" s="28"/>
      <c r="AE27" s="29">
        <f>SUM(AG59,AI59,AK59,Y74,W74,U74,)</f>
        <v>0</v>
      </c>
      <c r="AF27" s="29" t="str">
        <f>"spoiste"</f>
        <v>spoiste</v>
      </c>
      <c r="AG27" s="26">
        <f>AG26*4</f>
        <v>0</v>
      </c>
      <c r="AH27" s="12" t="str">
        <f>"sypkie"</f>
        <v>sypkie</v>
      </c>
      <c r="AI27" s="13">
        <f>AI26*14</f>
        <v>0</v>
      </c>
      <c r="AJ27" s="12" t="str">
        <f>"sypkie"</f>
        <v>sypkie</v>
      </c>
      <c r="AK27" s="13"/>
      <c r="AL27" s="27" t="str">
        <f>"sypkie"</f>
        <v>sypkie</v>
      </c>
      <c r="AR27" s="52">
        <f>IF($A$5=$AL$12,1,0)*$Y$4</f>
        <v>0</v>
      </c>
      <c r="AS27" s="36" t="str">
        <f>"stab.gran"</f>
        <v>stab.gran</v>
      </c>
      <c r="AT27" t="s">
        <v>80</v>
      </c>
      <c r="AV27" t="s">
        <v>80</v>
      </c>
      <c r="BD27" s="45" t="s">
        <v>46</v>
      </c>
      <c r="BE27" s="45">
        <f>$BE$7</f>
        <v>-0.06</v>
      </c>
      <c r="BF27" s="45" t="s">
        <v>47</v>
      </c>
      <c r="BG27" s="45">
        <f>BF26-BE27*BD26</f>
        <v>-27.25</v>
      </c>
      <c r="BH27" s="45" t="s">
        <v>46</v>
      </c>
      <c r="BI27" s="45">
        <f>$BE$7</f>
        <v>-0.06</v>
      </c>
      <c r="BJ27" s="45" t="s">
        <v>47</v>
      </c>
      <c r="BK27" s="45">
        <f>BJ26-BI27*BH26</f>
        <v>0</v>
      </c>
    </row>
    <row r="28" spans="2:63" x14ac:dyDescent="0.3">
      <c r="B28" t="s">
        <v>31</v>
      </c>
      <c r="C28" s="13" t="str">
        <f>AP18</f>
        <v/>
      </c>
      <c r="D28" s="12">
        <f>S20</f>
        <v>0</v>
      </c>
      <c r="E28" s="15" t="s">
        <v>100</v>
      </c>
      <c r="F28" s="16">
        <f>IF($H28=0,0,F6)</f>
        <v>0</v>
      </c>
      <c r="G28" s="16">
        <f>IF($H28=0,0,G$6-$H28-$H26-$H24-$H22)</f>
        <v>0</v>
      </c>
      <c r="H28" s="42">
        <f>S18</f>
        <v>0</v>
      </c>
      <c r="J28" s="80" t="s">
        <v>49</v>
      </c>
      <c r="K28" s="81"/>
      <c r="L28" s="81"/>
      <c r="M28" s="82"/>
      <c r="N28" s="70" t="s">
        <v>58</v>
      </c>
      <c r="O28" s="83"/>
      <c r="P28" s="83"/>
      <c r="Q28" s="71"/>
      <c r="Z28" t="s">
        <v>27</v>
      </c>
      <c r="AG28" s="26">
        <f>AG26*4</f>
        <v>0</v>
      </c>
      <c r="AH28" s="12" t="str">
        <f>"mało spoiste"</f>
        <v>mało spoiste</v>
      </c>
      <c r="AI28" s="13">
        <f>AI26*14</f>
        <v>0</v>
      </c>
      <c r="AJ28" s="12" t="str">
        <f>"mało spoiste"</f>
        <v>mało spoiste</v>
      </c>
      <c r="AK28" s="13">
        <f>AK26*15</f>
        <v>0</v>
      </c>
      <c r="AL28" s="27" t="str">
        <f>"mało spoiste"</f>
        <v>mało spoiste</v>
      </c>
      <c r="AR28">
        <f>AR27*15</f>
        <v>0</v>
      </c>
      <c r="AS28" t="s">
        <v>70</v>
      </c>
      <c r="AT28" t="s">
        <v>80</v>
      </c>
      <c r="AV28" t="s">
        <v>80</v>
      </c>
      <c r="BD28" s="67" t="s">
        <v>56</v>
      </c>
      <c r="BE28" s="68"/>
      <c r="BF28" s="68"/>
      <c r="BG28" s="69"/>
      <c r="BH28" s="67" t="s">
        <v>64</v>
      </c>
      <c r="BI28" s="68"/>
      <c r="BJ28" s="68"/>
      <c r="BK28" s="69"/>
    </row>
    <row r="29" spans="2:63" x14ac:dyDescent="0.3">
      <c r="E29" t="s">
        <v>105</v>
      </c>
      <c r="F29" s="13">
        <f>IF($H28=0,0,$O$42)</f>
        <v>0</v>
      </c>
      <c r="G29" s="12">
        <f>IF($H28=0,0,$Q$42)</f>
        <v>0</v>
      </c>
      <c r="J29" s="84" t="s">
        <v>34</v>
      </c>
      <c r="K29" s="85"/>
      <c r="L29" s="84" t="s">
        <v>24</v>
      </c>
      <c r="M29" s="85"/>
      <c r="N29" s="70" t="s">
        <v>53</v>
      </c>
      <c r="O29" s="71"/>
      <c r="P29" s="70" t="s">
        <v>59</v>
      </c>
      <c r="Q29" s="71"/>
      <c r="Z29" t="s">
        <v>30</v>
      </c>
      <c r="AG29" s="26">
        <f>AG26*4</f>
        <v>0</v>
      </c>
      <c r="AH29" s="12" t="str">
        <f>"spoiste"</f>
        <v>spoiste</v>
      </c>
      <c r="AI29" s="13">
        <f>AI26*14</f>
        <v>0</v>
      </c>
      <c r="AJ29" s="12" t="str">
        <f>"spoiste"</f>
        <v>spoiste</v>
      </c>
      <c r="AK29" s="13">
        <f>AK26*20</f>
        <v>0</v>
      </c>
      <c r="AL29" s="27" t="str">
        <f>"spoiste"</f>
        <v>spoiste</v>
      </c>
      <c r="AR29">
        <f>AR27*15</f>
        <v>0</v>
      </c>
      <c r="AS29" t="s">
        <v>70</v>
      </c>
      <c r="AT29" t="s">
        <v>80</v>
      </c>
      <c r="AV29" t="s">
        <v>80</v>
      </c>
      <c r="BD29" s="70" t="s">
        <v>53</v>
      </c>
      <c r="BE29" s="71"/>
      <c r="BF29" s="70" t="s">
        <v>55</v>
      </c>
      <c r="BG29" s="71"/>
      <c r="BH29" s="70" t="s">
        <v>53</v>
      </c>
      <c r="BI29" s="71"/>
      <c r="BJ29" s="70" t="s">
        <v>65</v>
      </c>
      <c r="BK29" s="71"/>
    </row>
    <row r="30" spans="2:63" x14ac:dyDescent="0.3">
      <c r="E30" s="15" t="s">
        <v>101</v>
      </c>
      <c r="F30" s="16">
        <f>IF($H30=0,0,F6)</f>
        <v>0</v>
      </c>
      <c r="G30" s="16">
        <f>IF($H30=0,0,G$6-$H30-$H28-$H26-$H24-$H22)</f>
        <v>0</v>
      </c>
      <c r="H30" s="42">
        <f>S20</f>
        <v>0</v>
      </c>
      <c r="J30" s="49" t="s">
        <v>42</v>
      </c>
      <c r="K30" s="49" t="s">
        <v>44</v>
      </c>
      <c r="L30" s="49" t="s">
        <v>43</v>
      </c>
      <c r="M30" s="49" t="s">
        <v>45</v>
      </c>
      <c r="N30" s="43" t="s">
        <v>19</v>
      </c>
      <c r="O30" s="43" t="s">
        <v>23</v>
      </c>
      <c r="P30" s="43" t="s">
        <v>19</v>
      </c>
      <c r="Q30" s="43" t="s">
        <v>23</v>
      </c>
      <c r="Z30" t="s">
        <v>31</v>
      </c>
      <c r="AG30" s="33" t="s">
        <v>14</v>
      </c>
      <c r="AH30" s="19" t="s">
        <v>27</v>
      </c>
      <c r="AI30" s="18"/>
      <c r="AJ30" s="19"/>
      <c r="AK30" s="18"/>
      <c r="AL30" s="34"/>
      <c r="AR30">
        <f>AR27*15</f>
        <v>0</v>
      </c>
      <c r="AS30" t="s">
        <v>70</v>
      </c>
      <c r="AT30" t="s">
        <v>80</v>
      </c>
      <c r="AV30" t="s">
        <v>80</v>
      </c>
      <c r="BD30" s="43" t="s">
        <v>19</v>
      </c>
      <c r="BE30" s="43" t="s">
        <v>23</v>
      </c>
      <c r="BF30" s="43" t="s">
        <v>19</v>
      </c>
      <c r="BG30" s="43" t="s">
        <v>23</v>
      </c>
      <c r="BH30" s="43" t="s">
        <v>19</v>
      </c>
      <c r="BI30" s="43" t="s">
        <v>23</v>
      </c>
      <c r="BJ30" s="43" t="s">
        <v>19</v>
      </c>
      <c r="BK30" s="43" t="s">
        <v>23</v>
      </c>
    </row>
    <row r="31" spans="2:63" x14ac:dyDescent="0.3">
      <c r="E31" t="s">
        <v>106</v>
      </c>
      <c r="F31" s="13">
        <f>IF($H30=0,0,$O$52)</f>
        <v>0</v>
      </c>
      <c r="G31" s="12">
        <f>IF($H30=0,0,$Q$52*V4)</f>
        <v>0</v>
      </c>
      <c r="J31" s="49">
        <v>0</v>
      </c>
      <c r="K31" s="49">
        <f>-L31/C8</f>
        <v>150</v>
      </c>
      <c r="L31" s="49">
        <f>L26</f>
        <v>-225</v>
      </c>
      <c r="M31" s="49">
        <f>M26</f>
        <v>9.5</v>
      </c>
      <c r="N31" s="43">
        <f>$K$32</f>
        <v>0.62444444444444447</v>
      </c>
      <c r="O31" s="43">
        <f>$M$32</f>
        <v>150</v>
      </c>
      <c r="P31" s="43">
        <f>O27</f>
        <v>0.02</v>
      </c>
      <c r="Q31" s="43">
        <f>Q27</f>
        <v>0</v>
      </c>
      <c r="AG31" s="33" t="s">
        <v>28</v>
      </c>
      <c r="AH31" s="19" t="s">
        <v>29</v>
      </c>
      <c r="AI31" s="18" t="s">
        <v>28</v>
      </c>
      <c r="AJ31" s="19" t="s">
        <v>29</v>
      </c>
      <c r="AK31" s="18"/>
      <c r="AL31" s="34"/>
      <c r="AR31" s="52">
        <f>IF($A$5=$AL$16,1,0)*$Y$4</f>
        <v>0</v>
      </c>
      <c r="AS31" s="36" t="str">
        <f>"stab.cem"</f>
        <v>stab.cem</v>
      </c>
      <c r="AT31" t="s">
        <v>80</v>
      </c>
      <c r="AV31" t="s">
        <v>80</v>
      </c>
      <c r="BD31" s="43">
        <f>$BE$12</f>
        <v>-0.71888888888888891</v>
      </c>
      <c r="BE31" s="43">
        <f>$BG$12</f>
        <v>150</v>
      </c>
      <c r="BF31" s="43">
        <f>BE27</f>
        <v>-0.06</v>
      </c>
      <c r="BG31" s="43">
        <f>BG27</f>
        <v>-27.25</v>
      </c>
      <c r="BH31" s="43">
        <f>$BE$12</f>
        <v>-0.71888888888888891</v>
      </c>
      <c r="BI31" s="43">
        <f>$BG$12</f>
        <v>150</v>
      </c>
      <c r="BJ31" s="43">
        <f>BI27</f>
        <v>-0.06</v>
      </c>
      <c r="BK31" s="43">
        <f>BK27</f>
        <v>0</v>
      </c>
    </row>
    <row r="32" spans="2:63" x14ac:dyDescent="0.3">
      <c r="E32" s="56" t="s">
        <v>107</v>
      </c>
      <c r="F32" s="50">
        <f>MIN(F31,F29,F27,F25,F23,F28)+(C7*C8)</f>
        <v>-235.47794117647061</v>
      </c>
      <c r="G32" s="51">
        <f>(MIN(G31,G29,G27,G25,G23)-C7)</f>
        <v>-45.45955882352942</v>
      </c>
      <c r="J32" s="47" t="s">
        <v>46</v>
      </c>
      <c r="K32" s="48">
        <f>(-K31+M31)/(-J31+L31)</f>
        <v>0.62444444444444447</v>
      </c>
      <c r="L32" s="47" t="s">
        <v>47</v>
      </c>
      <c r="M32" s="48">
        <f>K31-K32*J31</f>
        <v>150</v>
      </c>
      <c r="N32" s="44" t="s">
        <v>20</v>
      </c>
      <c r="O32" s="43">
        <f>(O31-Q31)/(P31-N31)</f>
        <v>-248.16176470588235</v>
      </c>
      <c r="P32" s="43" t="s">
        <v>21</v>
      </c>
      <c r="Q32" s="43">
        <f>N31*O32+O31</f>
        <v>-4.9632352941176521</v>
      </c>
      <c r="AG32" s="35">
        <f>IF($A$5=$AH$32,1,0)*$U$4</f>
        <v>0</v>
      </c>
      <c r="AH32" s="20" t="str">
        <f>"tłuczniowa"</f>
        <v>tłuczniowa</v>
      </c>
      <c r="AI32" s="21">
        <f>IF($A$5=$AJ$32,1,0)*$W$4</f>
        <v>1</v>
      </c>
      <c r="AJ32" s="20" t="str">
        <f>"żwirowa"</f>
        <v>żwirowa</v>
      </c>
      <c r="AK32" s="21"/>
      <c r="AL32" s="36"/>
      <c r="AR32">
        <f>AR31*15</f>
        <v>0</v>
      </c>
      <c r="AS32" t="s">
        <v>72</v>
      </c>
      <c r="AT32" t="s">
        <v>80</v>
      </c>
      <c r="AU32" s="52"/>
      <c r="AV32" t="s">
        <v>80</v>
      </c>
      <c r="AW32" s="52"/>
      <c r="AX32" s="52"/>
      <c r="BD32" s="44" t="s">
        <v>20</v>
      </c>
      <c r="BE32" s="43">
        <f>(BE31-BG31)/(BF31-BD31)</f>
        <v>269.01349072512647</v>
      </c>
      <c r="BF32" s="43" t="s">
        <v>21</v>
      </c>
      <c r="BG32" s="43">
        <f>BD31*BE32+BE31</f>
        <v>-43.390809443507607</v>
      </c>
      <c r="BH32" s="44" t="s">
        <v>20</v>
      </c>
      <c r="BI32" s="43">
        <f>(BI31-BK31)/(BJ31-BH31)</f>
        <v>227.6559865092749</v>
      </c>
      <c r="BJ32" s="43" t="s">
        <v>21</v>
      </c>
      <c r="BK32" s="43">
        <f>BH31*BI32+BI31</f>
        <v>-13.659359190556501</v>
      </c>
    </row>
    <row r="33" spans="5:50" x14ac:dyDescent="0.3">
      <c r="E33" s="56" t="s">
        <v>97</v>
      </c>
      <c r="F33" s="50">
        <f>ABS(F8-F32)-F32</f>
        <v>245.95588235294122</v>
      </c>
      <c r="G33" s="51">
        <f>G8</f>
        <v>9.5</v>
      </c>
      <c r="J33" s="57" t="s">
        <v>51</v>
      </c>
      <c r="K33" s="58"/>
      <c r="L33" s="58"/>
      <c r="M33" s="59"/>
      <c r="N33" s="57" t="s">
        <v>60</v>
      </c>
      <c r="O33" s="58"/>
      <c r="P33" s="58"/>
      <c r="Q33" s="59"/>
      <c r="AG33" s="26"/>
      <c r="AH33" s="12"/>
      <c r="AI33" s="13"/>
      <c r="AJ33" s="12"/>
      <c r="AK33" s="13"/>
      <c r="AL33" s="27"/>
      <c r="AR33">
        <f>AR31*15</f>
        <v>0</v>
      </c>
      <c r="AS33" t="s">
        <v>72</v>
      </c>
      <c r="AT33" t="s">
        <v>80</v>
      </c>
      <c r="AV33" t="s">
        <v>80</v>
      </c>
    </row>
    <row r="34" spans="5:50" x14ac:dyDescent="0.3">
      <c r="E34" s="56"/>
      <c r="F34" s="54"/>
      <c r="G34" s="54"/>
      <c r="J34" s="60" t="s">
        <v>25</v>
      </c>
      <c r="K34" s="61"/>
      <c r="L34" s="60"/>
      <c r="M34" s="61"/>
      <c r="N34" s="60" t="s">
        <v>27</v>
      </c>
      <c r="O34" s="61"/>
      <c r="P34" s="60"/>
      <c r="Q34" s="61"/>
      <c r="AG34" s="26">
        <f>AG32*12</f>
        <v>0</v>
      </c>
      <c r="AH34" s="12" t="str">
        <f>"mało spoiste"</f>
        <v>mało spoiste</v>
      </c>
      <c r="AI34" s="13">
        <f>AI32*12</f>
        <v>12</v>
      </c>
      <c r="AJ34" s="12" t="str">
        <f>"mało spoiste"</f>
        <v>mało spoiste</v>
      </c>
      <c r="AK34" s="13"/>
      <c r="AL34" s="27"/>
      <c r="AR34">
        <f>AR31*15</f>
        <v>0</v>
      </c>
      <c r="AS34" t="s">
        <v>72</v>
      </c>
      <c r="AT34" t="s">
        <v>80</v>
      </c>
      <c r="AV34" t="s">
        <v>80</v>
      </c>
    </row>
    <row r="35" spans="5:50" x14ac:dyDescent="0.3">
      <c r="E35" s="56"/>
      <c r="F35" s="54"/>
      <c r="G35" s="54"/>
      <c r="J35" s="60" t="s">
        <v>20</v>
      </c>
      <c r="K35" s="61"/>
      <c r="L35" s="60" t="s">
        <v>21</v>
      </c>
      <c r="M35" s="61"/>
      <c r="N35" s="60" t="s">
        <v>20</v>
      </c>
      <c r="O35" s="61"/>
      <c r="P35" s="60" t="s">
        <v>21</v>
      </c>
      <c r="Q35" s="61"/>
      <c r="AG35" s="26">
        <f>AG32*20</f>
        <v>0</v>
      </c>
      <c r="AH35" s="12" t="str">
        <f>"spoiste"</f>
        <v>spoiste</v>
      </c>
      <c r="AI35" s="13">
        <f>AI32*20</f>
        <v>20</v>
      </c>
      <c r="AJ35" s="12" t="str">
        <f>"spoiste"</f>
        <v>spoiste</v>
      </c>
      <c r="AK35" s="13"/>
      <c r="AL35" s="27"/>
    </row>
    <row r="36" spans="5:50" x14ac:dyDescent="0.3">
      <c r="J36" s="60">
        <f>F22</f>
        <v>-175</v>
      </c>
      <c r="K36" s="61"/>
      <c r="L36" s="60">
        <f>G22</f>
        <v>-4.5</v>
      </c>
      <c r="M36" s="61"/>
      <c r="N36" s="60">
        <f>C16</f>
        <v>0</v>
      </c>
      <c r="O36" s="61"/>
      <c r="P36" s="60">
        <f>D16</f>
        <v>0</v>
      </c>
      <c r="Q36" s="61"/>
      <c r="AG36" s="35">
        <f>IF($A$5=$AH$36,1,0)*U$4</f>
        <v>0</v>
      </c>
      <c r="AH36" s="20" t="str">
        <f>"bitumiczna"</f>
        <v>bitumiczna</v>
      </c>
      <c r="AI36" s="21">
        <f>IF($A$5=$AJ$36,1,0)*$W$4</f>
        <v>0</v>
      </c>
      <c r="AJ36" s="20" t="str">
        <f>"żużlowa"</f>
        <v>żużlowa</v>
      </c>
      <c r="AK36" s="21"/>
      <c r="AL36" s="36"/>
      <c r="AM36" s="52"/>
      <c r="AR36" s="52"/>
      <c r="AS36" s="52"/>
      <c r="AT36" s="52"/>
      <c r="AU36" s="52"/>
      <c r="AV36" s="52"/>
      <c r="AW36" s="52"/>
      <c r="AX36" s="52"/>
    </row>
    <row r="37" spans="5:50" x14ac:dyDescent="0.3">
      <c r="J37" s="45" t="s">
        <v>46</v>
      </c>
      <c r="K37" s="45">
        <f>$K$27</f>
        <v>0.02</v>
      </c>
      <c r="L37" s="45" t="s">
        <v>47</v>
      </c>
      <c r="M37" s="45">
        <f>L36-K37*J36</f>
        <v>-1</v>
      </c>
      <c r="N37" s="45" t="s">
        <v>46</v>
      </c>
      <c r="O37" s="45">
        <f>$K$27</f>
        <v>0.02</v>
      </c>
      <c r="P37" s="45" t="s">
        <v>47</v>
      </c>
      <c r="Q37" s="45">
        <f>P36-O37*N36</f>
        <v>0</v>
      </c>
      <c r="AG37" s="26">
        <f>AG36*10</f>
        <v>0</v>
      </c>
      <c r="AH37" s="12" t="str">
        <f>"sypkie"</f>
        <v>sypkie</v>
      </c>
      <c r="AI37" s="13"/>
      <c r="AJ37" s="12"/>
      <c r="AK37" s="13"/>
      <c r="AL37" s="27"/>
    </row>
    <row r="38" spans="5:50" x14ac:dyDescent="0.3">
      <c r="J38" s="63" t="s">
        <v>50</v>
      </c>
      <c r="K38" s="64"/>
      <c r="L38" s="64"/>
      <c r="M38" s="65"/>
      <c r="N38" s="63" t="s">
        <v>61</v>
      </c>
      <c r="O38" s="64"/>
      <c r="P38" s="64"/>
      <c r="Q38" s="65"/>
      <c r="AG38" s="26">
        <f>AG36*10</f>
        <v>0</v>
      </c>
      <c r="AH38" s="12" t="str">
        <f>"mało spoiste"</f>
        <v>mało spoiste</v>
      </c>
      <c r="AI38" s="13">
        <f>AI36*12</f>
        <v>0</v>
      </c>
      <c r="AJ38" s="12" t="str">
        <f>"mało spoiste"</f>
        <v>mało spoiste</v>
      </c>
      <c r="AK38" s="13"/>
      <c r="AL38" s="27"/>
    </row>
    <row r="39" spans="5:50" x14ac:dyDescent="0.3">
      <c r="J39" s="44" t="s">
        <v>53</v>
      </c>
      <c r="K39" s="62"/>
      <c r="L39" s="44" t="s">
        <v>52</v>
      </c>
      <c r="M39" s="62"/>
      <c r="N39" s="44" t="s">
        <v>53</v>
      </c>
      <c r="O39" s="62"/>
      <c r="P39" s="44" t="s">
        <v>62</v>
      </c>
      <c r="Q39" s="62"/>
      <c r="AG39" s="26">
        <f>AG36*10</f>
        <v>0</v>
      </c>
      <c r="AH39" s="12" t="str">
        <f>"spoiste"</f>
        <v>spoiste</v>
      </c>
      <c r="AI39" s="13">
        <f>AI36*20</f>
        <v>0</v>
      </c>
      <c r="AJ39" s="12" t="str">
        <f>"spoiste"</f>
        <v>spoiste</v>
      </c>
      <c r="AK39" s="13"/>
      <c r="AL39" s="27"/>
    </row>
    <row r="40" spans="5:50" x14ac:dyDescent="0.3">
      <c r="J40" s="43" t="s">
        <v>19</v>
      </c>
      <c r="K40" s="43" t="s">
        <v>23</v>
      </c>
      <c r="L40" s="43" t="s">
        <v>19</v>
      </c>
      <c r="M40" s="43" t="s">
        <v>23</v>
      </c>
      <c r="N40" s="43" t="s">
        <v>19</v>
      </c>
      <c r="O40" s="43" t="s">
        <v>23</v>
      </c>
      <c r="P40" s="43" t="s">
        <v>19</v>
      </c>
      <c r="Q40" s="43" t="s">
        <v>23</v>
      </c>
      <c r="AG40" s="33" t="s">
        <v>14</v>
      </c>
      <c r="AH40" s="19" t="s">
        <v>30</v>
      </c>
      <c r="AI40" s="18"/>
      <c r="AJ40" s="19"/>
      <c r="AK40" s="18"/>
      <c r="AL40" s="34"/>
    </row>
    <row r="41" spans="5:50" x14ac:dyDescent="0.3">
      <c r="J41" s="43">
        <f>$K$32</f>
        <v>0.62444444444444447</v>
      </c>
      <c r="K41" s="43">
        <f>$M$32</f>
        <v>150</v>
      </c>
      <c r="L41" s="43">
        <f>K37</f>
        <v>0.02</v>
      </c>
      <c r="M41" s="43">
        <f>M37</f>
        <v>-1</v>
      </c>
      <c r="N41" s="43">
        <f>$K$32</f>
        <v>0.62444444444444447</v>
      </c>
      <c r="O41" s="43">
        <f>$M$32</f>
        <v>150</v>
      </c>
      <c r="P41" s="43">
        <f>O37</f>
        <v>0.02</v>
      </c>
      <c r="Q41" s="43">
        <f>Q37</f>
        <v>0</v>
      </c>
      <c r="AG41" s="33"/>
      <c r="AH41" s="19"/>
      <c r="AI41" s="18"/>
      <c r="AJ41" s="19"/>
      <c r="AK41" s="18"/>
      <c r="AL41" s="34"/>
    </row>
    <row r="42" spans="5:50" x14ac:dyDescent="0.3">
      <c r="J42" s="44" t="s">
        <v>20</v>
      </c>
      <c r="K42" s="43">
        <f>(K41-M41)/(L41-J41)</f>
        <v>-249.81617647058823</v>
      </c>
      <c r="L42" s="43" t="s">
        <v>21</v>
      </c>
      <c r="M42" s="43">
        <f>J41*K42+K41</f>
        <v>-5.996323529411768</v>
      </c>
      <c r="N42" s="44" t="s">
        <v>20</v>
      </c>
      <c r="O42" s="43">
        <f>(O41-Q41)/(P41-N41)</f>
        <v>-248.16176470588235</v>
      </c>
      <c r="P42" s="43" t="s">
        <v>21</v>
      </c>
      <c r="Q42" s="43">
        <f>N41*O42+O41</f>
        <v>-4.9632352941176521</v>
      </c>
      <c r="AG42" s="35"/>
      <c r="AH42" s="20"/>
      <c r="AI42" s="21"/>
      <c r="AJ42" s="20"/>
      <c r="AK42" s="21"/>
      <c r="AL42" s="36"/>
      <c r="AM42" s="52"/>
      <c r="AR42" s="52"/>
      <c r="AS42" s="52"/>
      <c r="AT42" s="52"/>
      <c r="AU42" s="52"/>
      <c r="AV42" s="52"/>
      <c r="AW42" s="52"/>
      <c r="AX42" s="52"/>
    </row>
    <row r="43" spans="5:50" x14ac:dyDescent="0.3">
      <c r="J43" s="57" t="s">
        <v>54</v>
      </c>
      <c r="K43" s="58"/>
      <c r="L43" s="58"/>
      <c r="M43" s="59"/>
      <c r="N43" s="57" t="s">
        <v>63</v>
      </c>
      <c r="O43" s="58"/>
      <c r="P43" s="58"/>
      <c r="Q43" s="59"/>
      <c r="AG43" s="26"/>
      <c r="AH43" s="12"/>
      <c r="AI43" s="13"/>
      <c r="AJ43" s="12"/>
      <c r="AK43" s="13"/>
      <c r="AL43" s="27"/>
    </row>
    <row r="44" spans="5:50" x14ac:dyDescent="0.3">
      <c r="J44" s="60" t="s">
        <v>26</v>
      </c>
      <c r="K44" s="61"/>
      <c r="L44" s="60"/>
      <c r="M44" s="61"/>
      <c r="N44" s="60" t="s">
        <v>31</v>
      </c>
      <c r="O44" s="61"/>
      <c r="P44" s="60"/>
      <c r="Q44" s="61"/>
      <c r="AG44" s="26"/>
      <c r="AH44" s="12"/>
      <c r="AI44" s="13"/>
      <c r="AJ44" s="12"/>
      <c r="AK44" s="13"/>
      <c r="AL44" s="27"/>
    </row>
    <row r="45" spans="5:50" x14ac:dyDescent="0.3">
      <c r="J45" s="60" t="s">
        <v>20</v>
      </c>
      <c r="K45" s="61"/>
      <c r="L45" s="60" t="s">
        <v>21</v>
      </c>
      <c r="M45" s="61"/>
      <c r="N45" s="60" t="s">
        <v>20</v>
      </c>
      <c r="O45" s="61"/>
      <c r="P45" s="60" t="s">
        <v>21</v>
      </c>
      <c r="Q45" s="61"/>
      <c r="AG45" s="26"/>
      <c r="AH45" s="12"/>
      <c r="AI45" s="13"/>
      <c r="AJ45" s="12"/>
      <c r="AK45" s="13"/>
      <c r="AL45" s="27"/>
    </row>
    <row r="46" spans="5:50" x14ac:dyDescent="0.3">
      <c r="J46" s="60">
        <f>F24</f>
        <v>-175</v>
      </c>
      <c r="K46" s="61"/>
      <c r="L46" s="60">
        <f>G24</f>
        <v>-18.5</v>
      </c>
      <c r="M46" s="61"/>
      <c r="N46" s="60">
        <f>C18</f>
        <v>0</v>
      </c>
      <c r="O46" s="61"/>
      <c r="P46" s="60">
        <f>D18</f>
        <v>0</v>
      </c>
      <c r="Q46" s="61"/>
      <c r="AG46" s="35">
        <f>IF($A$5=$AH$46,1,0)*$U$4</f>
        <v>0</v>
      </c>
      <c r="AH46" s="20" t="str">
        <f>"bitumiczna"</f>
        <v>bitumiczna</v>
      </c>
      <c r="AI46" s="21"/>
      <c r="AJ46" s="20"/>
      <c r="AK46" s="21"/>
      <c r="AL46" s="36"/>
      <c r="AM46" s="52"/>
      <c r="AR46" s="52"/>
      <c r="AS46" s="52"/>
      <c r="AT46" s="52"/>
      <c r="AU46" s="52"/>
      <c r="AV46" s="52"/>
      <c r="AW46" s="52"/>
      <c r="AX46" s="52"/>
    </row>
    <row r="47" spans="5:50" x14ac:dyDescent="0.3">
      <c r="J47" s="45" t="s">
        <v>46</v>
      </c>
      <c r="K47" s="45">
        <f>$K$27</f>
        <v>0.02</v>
      </c>
      <c r="L47" s="45" t="s">
        <v>47</v>
      </c>
      <c r="M47" s="45">
        <f>L46-K47*J46</f>
        <v>-15</v>
      </c>
      <c r="N47" s="45" t="s">
        <v>46</v>
      </c>
      <c r="O47" s="45">
        <f>$K$27</f>
        <v>0.02</v>
      </c>
      <c r="P47" s="45" t="s">
        <v>47</v>
      </c>
      <c r="Q47" s="45">
        <f>P46-O47*N46</f>
        <v>0</v>
      </c>
      <c r="AG47" s="26">
        <f>AG46*14</f>
        <v>0</v>
      </c>
      <c r="AH47" s="12" t="str">
        <f>"sypkie"</f>
        <v>sypkie</v>
      </c>
      <c r="AI47" s="13"/>
      <c r="AJ47" s="12"/>
      <c r="AK47" s="13"/>
      <c r="AL47" s="27"/>
    </row>
    <row r="48" spans="5:50" x14ac:dyDescent="0.3">
      <c r="J48" s="63" t="s">
        <v>56</v>
      </c>
      <c r="K48" s="64"/>
      <c r="L48" s="64"/>
      <c r="M48" s="65"/>
      <c r="N48" s="63" t="s">
        <v>64</v>
      </c>
      <c r="O48" s="64"/>
      <c r="P48" s="64"/>
      <c r="Q48" s="65"/>
      <c r="AG48" s="26">
        <f>AG46*14</f>
        <v>0</v>
      </c>
      <c r="AH48" s="12" t="str">
        <f>"mało spoiste"</f>
        <v>mało spoiste</v>
      </c>
      <c r="AI48" s="13"/>
      <c r="AJ48" s="12"/>
      <c r="AK48" s="13"/>
      <c r="AL48" s="27"/>
    </row>
    <row r="49" spans="10:50" x14ac:dyDescent="0.3">
      <c r="J49" s="44" t="s">
        <v>53</v>
      </c>
      <c r="K49" s="62"/>
      <c r="L49" s="44" t="s">
        <v>55</v>
      </c>
      <c r="M49" s="62"/>
      <c r="N49" s="44" t="s">
        <v>53</v>
      </c>
      <c r="O49" s="62"/>
      <c r="P49" s="44" t="s">
        <v>65</v>
      </c>
      <c r="Q49" s="62"/>
      <c r="AG49" s="26">
        <f>AG46*14</f>
        <v>0</v>
      </c>
      <c r="AH49" s="12" t="str">
        <f>"spoiste"</f>
        <v>spoiste</v>
      </c>
      <c r="AI49" s="13"/>
      <c r="AJ49" s="12"/>
      <c r="AK49" s="13"/>
      <c r="AL49" s="27"/>
    </row>
    <row r="50" spans="10:50" x14ac:dyDescent="0.3">
      <c r="J50" s="43" t="s">
        <v>19</v>
      </c>
      <c r="K50" s="43" t="s">
        <v>23</v>
      </c>
      <c r="L50" s="43" t="s">
        <v>19</v>
      </c>
      <c r="M50" s="43" t="s">
        <v>23</v>
      </c>
      <c r="N50" s="43" t="s">
        <v>19</v>
      </c>
      <c r="O50" s="43" t="s">
        <v>23</v>
      </c>
      <c r="P50" s="43" t="s">
        <v>19</v>
      </c>
      <c r="Q50" s="43" t="s">
        <v>23</v>
      </c>
      <c r="AG50" s="33" t="s">
        <v>14</v>
      </c>
      <c r="AH50" s="19" t="s">
        <v>31</v>
      </c>
      <c r="AI50" s="18"/>
      <c r="AJ50" s="19"/>
      <c r="AK50" s="18"/>
      <c r="AL50" s="34"/>
    </row>
    <row r="51" spans="10:50" x14ac:dyDescent="0.3">
      <c r="J51" s="43">
        <f>$K$32</f>
        <v>0.62444444444444447</v>
      </c>
      <c r="K51" s="43">
        <f>$M$32</f>
        <v>150</v>
      </c>
      <c r="L51" s="43">
        <f>K47</f>
        <v>0.02</v>
      </c>
      <c r="M51" s="43">
        <f>M47</f>
        <v>-15</v>
      </c>
      <c r="N51" s="43">
        <f>$K$32</f>
        <v>0.62444444444444447</v>
      </c>
      <c r="O51" s="43">
        <f>$M$32</f>
        <v>150</v>
      </c>
      <c r="P51" s="43">
        <f>O47</f>
        <v>0.02</v>
      </c>
      <c r="Q51" s="43">
        <f>Q47</f>
        <v>0</v>
      </c>
      <c r="AG51" s="33"/>
      <c r="AH51" s="19"/>
      <c r="AI51" s="18"/>
      <c r="AJ51" s="19"/>
      <c r="AK51" s="18"/>
      <c r="AL51" s="34"/>
    </row>
    <row r="52" spans="10:50" x14ac:dyDescent="0.3">
      <c r="J52" s="44" t="s">
        <v>20</v>
      </c>
      <c r="K52" s="43">
        <f>(K51-M51)/(L51-J51)</f>
        <v>-272.97794117647061</v>
      </c>
      <c r="L52" s="43" t="s">
        <v>21</v>
      </c>
      <c r="M52" s="43">
        <f>J51*K52+K51</f>
        <v>-20.45955882352942</v>
      </c>
      <c r="N52" s="44" t="s">
        <v>20</v>
      </c>
      <c r="O52" s="43">
        <f>(O51-Q51)/(P51-N51)</f>
        <v>-248.16176470588235</v>
      </c>
      <c r="P52" s="43" t="s">
        <v>21</v>
      </c>
      <c r="Q52" s="43">
        <f>N51*O52+O51</f>
        <v>-4.9632352941176521</v>
      </c>
      <c r="AG52" s="35"/>
      <c r="AH52" s="20"/>
      <c r="AI52" s="21"/>
      <c r="AJ52" s="20"/>
      <c r="AK52" s="21"/>
      <c r="AL52" s="36"/>
      <c r="AM52" s="52"/>
      <c r="AR52" s="52"/>
      <c r="AS52" s="52"/>
      <c r="AT52" s="52"/>
      <c r="AU52" s="52"/>
      <c r="AV52" s="52"/>
      <c r="AW52" s="52"/>
      <c r="AX52" s="52"/>
    </row>
    <row r="53" spans="10:50" x14ac:dyDescent="0.3">
      <c r="AG53" s="26"/>
      <c r="AH53" s="12"/>
      <c r="AI53" s="13"/>
      <c r="AJ53" s="12"/>
      <c r="AK53" s="13"/>
      <c r="AL53" s="27"/>
    </row>
    <row r="54" spans="10:50" x14ac:dyDescent="0.3">
      <c r="AG54" s="26"/>
      <c r="AH54" s="12"/>
      <c r="AI54" s="13"/>
      <c r="AJ54" s="12"/>
      <c r="AK54" s="13"/>
      <c r="AL54" s="27"/>
    </row>
    <row r="55" spans="10:50" x14ac:dyDescent="0.3">
      <c r="AG55" s="26"/>
      <c r="AH55" s="12"/>
      <c r="AI55" s="13"/>
      <c r="AJ55" s="12"/>
      <c r="AK55" s="13"/>
      <c r="AL55" s="27"/>
    </row>
    <row r="56" spans="10:50" x14ac:dyDescent="0.3">
      <c r="AG56" s="35">
        <f>IF($A$5=$AH$56,1,0)*$U$4</f>
        <v>0</v>
      </c>
      <c r="AH56" s="20" t="str">
        <f>"bitumiczna"</f>
        <v>bitumiczna</v>
      </c>
      <c r="AI56" s="21"/>
      <c r="AJ56" s="20"/>
      <c r="AK56" s="21"/>
      <c r="AL56" s="36"/>
      <c r="AM56" s="52"/>
      <c r="AR56" s="52"/>
      <c r="AS56" s="52"/>
      <c r="AT56" s="52"/>
      <c r="AU56" s="52"/>
      <c r="AV56" s="52"/>
      <c r="AW56" s="52"/>
      <c r="AX56" s="52"/>
    </row>
    <row r="57" spans="10:50" x14ac:dyDescent="0.3">
      <c r="AG57" s="26">
        <f>AG56*20</f>
        <v>0</v>
      </c>
      <c r="AH57" s="12" t="str">
        <f>"sypkie"</f>
        <v>sypkie</v>
      </c>
      <c r="AI57" s="13"/>
      <c r="AJ57" s="12"/>
      <c r="AK57" s="13"/>
      <c r="AL57" s="27"/>
    </row>
    <row r="58" spans="10:50" x14ac:dyDescent="0.3">
      <c r="AG58" s="26">
        <f>AG56*20</f>
        <v>0</v>
      </c>
      <c r="AH58" s="12" t="str">
        <f>"mało spoiste"</f>
        <v>mało spoiste</v>
      </c>
      <c r="AI58" s="13"/>
      <c r="AJ58" s="12"/>
      <c r="AK58" s="13"/>
      <c r="AL58" s="27"/>
    </row>
    <row r="59" spans="10:50" ht="15" thickBot="1" x14ac:dyDescent="0.35">
      <c r="AG59" s="28">
        <f>AG56*20</f>
        <v>0</v>
      </c>
      <c r="AH59" s="37" t="str">
        <f>"spoiste"</f>
        <v>spoiste</v>
      </c>
      <c r="AI59" s="38"/>
      <c r="AJ59" s="37"/>
      <c r="AK59" s="38"/>
      <c r="AL59" s="30"/>
    </row>
  </sheetData>
  <mergeCells count="74">
    <mergeCell ref="N26:O26"/>
    <mergeCell ref="P26:Q26"/>
    <mergeCell ref="J28:M28"/>
    <mergeCell ref="N28:Q28"/>
    <mergeCell ref="J29:K29"/>
    <mergeCell ref="L29:M29"/>
    <mergeCell ref="N29:O29"/>
    <mergeCell ref="P29:Q29"/>
    <mergeCell ref="J24:K24"/>
    <mergeCell ref="L24:M24"/>
    <mergeCell ref="N24:O24"/>
    <mergeCell ref="P24:Q24"/>
    <mergeCell ref="N25:O25"/>
    <mergeCell ref="P25:Q25"/>
    <mergeCell ref="BD29:BE29"/>
    <mergeCell ref="BF29:BG29"/>
    <mergeCell ref="BH29:BI29"/>
    <mergeCell ref="BJ29:BK29"/>
    <mergeCell ref="J22:Q22"/>
    <mergeCell ref="J23:M23"/>
    <mergeCell ref="N23:Q23"/>
    <mergeCell ref="BD26:BE26"/>
    <mergeCell ref="BF26:BG26"/>
    <mergeCell ref="BH26:BI26"/>
    <mergeCell ref="BJ26:BK26"/>
    <mergeCell ref="BD28:BG28"/>
    <mergeCell ref="BH28:BK28"/>
    <mergeCell ref="BD24:BE24"/>
    <mergeCell ref="BF24:BG24"/>
    <mergeCell ref="BH24:BI24"/>
    <mergeCell ref="BJ24:BK24"/>
    <mergeCell ref="BD25:BE25"/>
    <mergeCell ref="BF25:BG25"/>
    <mergeCell ref="BH25:BI25"/>
    <mergeCell ref="BJ25:BK25"/>
    <mergeCell ref="BD19:BE19"/>
    <mergeCell ref="BF19:BG19"/>
    <mergeCell ref="BH19:BI19"/>
    <mergeCell ref="BJ19:BK19"/>
    <mergeCell ref="BD23:BG23"/>
    <mergeCell ref="BH23:BK23"/>
    <mergeCell ref="BD16:BE16"/>
    <mergeCell ref="BF16:BG16"/>
    <mergeCell ref="BH16:BI16"/>
    <mergeCell ref="BJ16:BK16"/>
    <mergeCell ref="BD18:BG18"/>
    <mergeCell ref="BH18:BK18"/>
    <mergeCell ref="BD14:BE14"/>
    <mergeCell ref="BF14:BG14"/>
    <mergeCell ref="BH14:BI14"/>
    <mergeCell ref="BJ14:BK14"/>
    <mergeCell ref="BD15:BE15"/>
    <mergeCell ref="BF15:BG15"/>
    <mergeCell ref="BH15:BI15"/>
    <mergeCell ref="BJ15:BK15"/>
    <mergeCell ref="BD9:BE9"/>
    <mergeCell ref="BF9:BG9"/>
    <mergeCell ref="BH9:BI9"/>
    <mergeCell ref="BJ9:BK9"/>
    <mergeCell ref="BD13:BG13"/>
    <mergeCell ref="BH13:BK13"/>
    <mergeCell ref="BD8:BG8"/>
    <mergeCell ref="BH8:BK8"/>
    <mergeCell ref="BD2:BK2"/>
    <mergeCell ref="BD3:BG3"/>
    <mergeCell ref="BH3:BK3"/>
    <mergeCell ref="BD4:BE4"/>
    <mergeCell ref="BF4:BG4"/>
    <mergeCell ref="BH4:BI4"/>
    <mergeCell ref="BJ4:BK4"/>
    <mergeCell ref="BH5:BI5"/>
    <mergeCell ref="BJ5:BK5"/>
    <mergeCell ref="BH6:BI6"/>
    <mergeCell ref="BJ6:B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Dane</vt:lpstr>
      <vt:lpstr>x,y</vt:lpstr>
      <vt:lpstr>Etykiety</vt:lpstr>
      <vt:lpstr>Luki</vt:lpstr>
      <vt:lpstr>Przekroj normalny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sadsad dsasad</dc:creator>
  <cp:lastModifiedBy>sadsad dsasad</cp:lastModifiedBy>
  <cp:lastPrinted>2023-09-05T21:16:57Z</cp:lastPrinted>
  <dcterms:created xsi:type="dcterms:W3CDTF">2015-06-05T18:17:20Z</dcterms:created>
  <dcterms:modified xsi:type="dcterms:W3CDTF">2024-02-05T17:33:04Z</dcterms:modified>
</cp:coreProperties>
</file>