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rem\Documents\GitHub\CANWatermarking\"/>
    </mc:Choice>
  </mc:AlternateContent>
  <xr:revisionPtr revIDLastSave="0" documentId="13_ncr:1_{45EB3430-1CF4-4703-9264-63FD8AC1B26B}" xr6:coauthVersionLast="44" xr6:coauthVersionMax="44" xr10:uidLastSave="{00000000-0000-0000-0000-000000000000}"/>
  <bookViews>
    <workbookView xWindow="4908" yWindow="2952" windowWidth="32652" windowHeight="12084" activeTab="1" xr2:uid="{5B6976C2-9332-4C93-A071-574ACDED7E9D}"/>
  </bookViews>
  <sheets>
    <sheet name="Slot Config" sheetId="1" r:id="rId1"/>
    <sheet name="Key Config"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 l="1"/>
  <c r="Q5" i="2"/>
  <c r="P5" i="2"/>
  <c r="O5" i="2"/>
  <c r="N5" i="2"/>
  <c r="M5" i="2"/>
  <c r="M6" i="2" s="1"/>
  <c r="L5" i="2"/>
  <c r="K5" i="2"/>
  <c r="J5" i="2"/>
  <c r="I5" i="2"/>
  <c r="H5" i="2"/>
  <c r="G5" i="2"/>
  <c r="F5" i="2"/>
  <c r="E5" i="2"/>
  <c r="D5" i="2"/>
  <c r="D6" i="2" s="1"/>
  <c r="C5" i="2"/>
  <c r="C6" i="2" s="1"/>
  <c r="B5" i="2"/>
  <c r="B6" i="2" s="1"/>
  <c r="L5" i="1"/>
  <c r="L9" i="1" s="1"/>
  <c r="M5" i="1"/>
  <c r="K5" i="1"/>
  <c r="K8" i="1" s="1"/>
  <c r="I5" i="1"/>
  <c r="I6" i="1" s="1"/>
  <c r="H5" i="1"/>
  <c r="H6" i="1" s="1"/>
  <c r="G5" i="1"/>
  <c r="F5" i="1"/>
  <c r="E5" i="1"/>
  <c r="E6" i="1" s="1"/>
  <c r="D5" i="1"/>
  <c r="D6" i="1" s="1"/>
  <c r="C5" i="1"/>
  <c r="B7" i="1" s="1"/>
  <c r="B5" i="1"/>
  <c r="B6" i="1" s="1"/>
  <c r="Q5" i="1"/>
  <c r="P5" i="1"/>
  <c r="O5" i="1"/>
  <c r="N5" i="1"/>
  <c r="J5" i="1"/>
  <c r="F7" i="2" l="1"/>
  <c r="E6" i="2" s="1"/>
  <c r="H6" i="2"/>
  <c r="I6" i="2"/>
  <c r="N6" i="2"/>
  <c r="L6" i="2"/>
  <c r="F6" i="1"/>
  <c r="C6" i="1"/>
  <c r="G6" i="1"/>
  <c r="N6" i="1"/>
  <c r="K6" i="1"/>
  <c r="L7" i="1"/>
  <c r="L6" i="1"/>
  <c r="J6" i="1"/>
  <c r="M6" i="1"/>
</calcChain>
</file>

<file path=xl/sharedStrings.xml><?xml version="1.0" encoding="utf-8"?>
<sst xmlns="http://schemas.openxmlformats.org/spreadsheetml/2006/main" count="56" uniqueCount="40">
  <si>
    <t>Slot Config Bits</t>
  </si>
  <si>
    <t>Read Key</t>
  </si>
  <si>
    <t>NoMac</t>
  </si>
  <si>
    <t>LimitedUse</t>
  </si>
  <si>
    <t>EncryptRead</t>
  </si>
  <si>
    <t>Is Secret</t>
  </si>
  <si>
    <t>Write Key</t>
  </si>
  <si>
    <t>Hex</t>
  </si>
  <si>
    <t>Bit</t>
  </si>
  <si>
    <t>Value</t>
  </si>
  <si>
    <t>GenKey Command</t>
  </si>
  <si>
    <t>PrivWrite Command</t>
  </si>
  <si>
    <t>DeriveKey Command</t>
  </si>
  <si>
    <t>Note</t>
  </si>
  <si>
    <t>ATECC508A Datasheet</t>
  </si>
  <si>
    <t>See Table 2-9</t>
  </si>
  <si>
    <t>Bit = 0</t>
  </si>
  <si>
    <t>Bit = 1</t>
  </si>
  <si>
    <t>Write Command</t>
  </si>
  <si>
    <t>Slots with this value in the WriteConfig field may not be used asthe target of the DeriveKey command.</t>
  </si>
  <si>
    <t>Not Used</t>
  </si>
  <si>
    <t>Slot 15 is limited use key</t>
  </si>
  <si>
    <t>.</t>
  </si>
  <si>
    <t>X509id</t>
  </si>
  <si>
    <t>RFU</t>
  </si>
  <si>
    <t>IntrusionDisable</t>
  </si>
  <si>
    <t>Auth Key</t>
  </si>
  <si>
    <t>ReqAuth</t>
  </si>
  <si>
    <t>ReqRandom</t>
  </si>
  <si>
    <t>Lockable</t>
  </si>
  <si>
    <t>Key Type</t>
  </si>
  <si>
    <t>PubInfo</t>
  </si>
  <si>
    <t>Private</t>
  </si>
  <si>
    <t>Key Config Bits</t>
  </si>
  <si>
    <t>Key Types:</t>
  </si>
  <si>
    <t>AES128 Symmetric Key</t>
  </si>
  <si>
    <t>SHA256 Key/General Data</t>
  </si>
  <si>
    <t>P256 NIST ECC Key</t>
  </si>
  <si>
    <t>F</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</si>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</sst>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3F3F76"/>
      <name val="Calibri"/>
      <family val="2"/>
      <scheme val="minor"/>
    </font>
    <font>
      <b/>
      <sz val="14"/>
      <color rgb="FF3F3F76"/>
      <name val="Calibri"/>
      <family val="2"/>
      <scheme val="minor"/>
    </font>
  </fonts>
  <fills count="3">
    <fill>
      <patternFill patternType="none"/>
    </fill>
    <fill>
      <patternFill patternType="gray125"/>
    </fill>
    <fill>
      <patternFill patternType="solid">
        <fgColor rgb="FFFFCC99"/>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7F7F7F"/>
      </top>
      <bottom/>
      <diagonal/>
    </border>
    <border>
      <left/>
      <right/>
      <top style="thin">
        <color rgb="FF7F7F7F"/>
      </top>
      <bottom/>
      <diagonal/>
    </border>
  </borders>
  <cellStyleXfs count="2">
    <xf numFmtId="0" fontId="0" fillId="0" borderId="0"/>
    <xf numFmtId="0" fontId="1" fillId="2" borderId="1" applyNumberFormat="0" applyAlignment="0" applyProtection="0"/>
  </cellStyleXfs>
  <cellXfs count="40">
    <xf numFmtId="0" fontId="0" fillId="0" borderId="0" xfId="0"/>
    <xf numFmtId="0" fontId="0" fillId="0" borderId="0" xfId="0" applyAlignment="1">
      <alignment horizontal="center"/>
    </xf>
    <xf numFmtId="16" fontId="0" fillId="0" borderId="0" xfId="0" applyNumberFormat="1"/>
    <xf numFmtId="0" fontId="0" fillId="0" borderId="0" xfId="0" applyAlignment="1">
      <alignment vertical="center" wrapText="1"/>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vertical="center" wrapText="1"/>
    </xf>
    <xf numFmtId="0" fontId="0" fillId="0" borderId="0" xfId="0" applyBorder="1" applyAlignment="1">
      <alignment vertical="center" wrapText="1"/>
    </xf>
    <xf numFmtId="0" fontId="0" fillId="0" borderId="6" xfId="0" applyBorder="1" applyAlignment="1">
      <alignment horizontal="left" vertical="center" wrapText="1"/>
    </xf>
    <xf numFmtId="0" fontId="0" fillId="0" borderId="0" xfId="0" applyBorder="1" applyAlignment="1">
      <alignment horizontal="left"/>
    </xf>
    <xf numFmtId="0" fontId="0" fillId="0" borderId="6" xfId="0" applyBorder="1" applyAlignment="1">
      <alignment vertical="center" wrapText="1"/>
    </xf>
    <xf numFmtId="0" fontId="0" fillId="0" borderId="5" xfId="0" applyBorder="1" applyAlignment="1"/>
    <xf numFmtId="0" fontId="0" fillId="0" borderId="0" xfId="0" applyBorder="1" applyAlignment="1"/>
    <xf numFmtId="0" fontId="0" fillId="0" borderId="6" xfId="0" applyBorder="1" applyAlignment="1"/>
    <xf numFmtId="0" fontId="0" fillId="0" borderId="0" xfId="0" applyFill="1" applyBorder="1" applyAlignment="1">
      <alignment horizontal="center"/>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9" xfId="0" applyBorder="1" applyAlignment="1">
      <alignment horizontal="left"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2" fillId="2" borderId="2" xfId="1" applyFont="1" applyBorder="1" applyAlignment="1" applyProtection="1">
      <alignment horizontal="center"/>
      <protection locked="0"/>
    </xf>
    <xf numFmtId="0" fontId="2" fillId="2" borderId="3" xfId="1" applyFont="1" applyBorder="1" applyAlignment="1" applyProtection="1">
      <alignment horizontal="center"/>
      <protection locked="0"/>
    </xf>
    <xf numFmtId="0" fontId="2" fillId="2" borderId="4" xfId="1" applyFont="1" applyBorder="1" applyAlignment="1" applyProtection="1">
      <alignment horizontal="center"/>
      <protection locked="0"/>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AC73-2FE5-44D9-8C50-722495485929}">
  <dimension ref="A1:Q17"/>
  <sheetViews>
    <sheetView workbookViewId="0">
      <selection activeCell="R2" sqref="R2"/>
    </sheetView>
  </sheetViews>
  <sheetFormatPr defaultRowHeight="14.4" x14ac:dyDescent="0.3"/>
  <cols>
    <col min="1" max="1" width="17.21875" customWidth="1"/>
    <col min="2" max="17" width="17.5546875" customWidth="1"/>
  </cols>
  <sheetData>
    <row r="1" spans="1:17" ht="15" thickBot="1" x14ac:dyDescent="0.35">
      <c r="B1" t="s">
        <v>0</v>
      </c>
    </row>
    <row r="2" spans="1:17" ht="18" x14ac:dyDescent="0.35">
      <c r="A2" t="s">
        <v>7</v>
      </c>
      <c r="B2" s="29">
        <v>8</v>
      </c>
      <c r="C2" s="30"/>
      <c r="D2" s="30"/>
      <c r="E2" s="31"/>
      <c r="F2" s="29" t="s">
        <v>38</v>
      </c>
      <c r="G2" s="30"/>
      <c r="H2" s="30"/>
      <c r="I2" s="31"/>
      <c r="J2" s="29">
        <v>0</v>
      </c>
      <c r="K2" s="30"/>
      <c r="L2" s="30"/>
      <c r="M2" s="31"/>
      <c r="N2" s="29" t="s">
        <v>38</v>
      </c>
      <c r="O2" s="30"/>
      <c r="P2" s="30"/>
      <c r="Q2" s="31"/>
    </row>
    <row r="3" spans="1:17" x14ac:dyDescent="0.3">
      <c r="B3" s="4" t="s">
        <v>5</v>
      </c>
      <c r="C3" s="5" t="s">
        <v>4</v>
      </c>
      <c r="D3" s="5" t="s">
        <v>3</v>
      </c>
      <c r="E3" s="6" t="s">
        <v>2</v>
      </c>
      <c r="F3" s="32" t="s">
        <v>1</v>
      </c>
      <c r="G3" s="33"/>
      <c r="H3" s="33"/>
      <c r="I3" s="34"/>
      <c r="J3" s="32" t="s">
        <v>22</v>
      </c>
      <c r="K3" s="33"/>
      <c r="L3" s="33"/>
      <c r="M3" s="34"/>
      <c r="N3" s="32" t="s">
        <v>6</v>
      </c>
      <c r="O3" s="33"/>
      <c r="P3" s="33"/>
      <c r="Q3" s="34"/>
    </row>
    <row r="4" spans="1:17" s="1" customFormat="1" x14ac:dyDescent="0.3">
      <c r="A4" s="1" t="s">
        <v>8</v>
      </c>
      <c r="B4" s="4">
        <v>7</v>
      </c>
      <c r="C4" s="5">
        <v>6</v>
      </c>
      <c r="D4" s="5">
        <v>5</v>
      </c>
      <c r="E4" s="6">
        <v>4</v>
      </c>
      <c r="F4" s="4">
        <v>3</v>
      </c>
      <c r="G4" s="5">
        <v>2</v>
      </c>
      <c r="H4" s="5">
        <v>1</v>
      </c>
      <c r="I4" s="6">
        <v>0</v>
      </c>
      <c r="J4" s="4">
        <v>15</v>
      </c>
      <c r="K4" s="5">
        <v>14</v>
      </c>
      <c r="L4" s="5">
        <v>13</v>
      </c>
      <c r="M4" s="6">
        <v>12</v>
      </c>
      <c r="N4" s="4">
        <v>11</v>
      </c>
      <c r="O4" s="5">
        <v>10</v>
      </c>
      <c r="P4" s="5">
        <v>9</v>
      </c>
      <c r="Q4" s="6">
        <v>8</v>
      </c>
    </row>
    <row r="5" spans="1:17" s="1" customFormat="1" x14ac:dyDescent="0.3">
      <c r="A5" s="1" t="s">
        <v>9</v>
      </c>
      <c r="B5" s="4" t="str">
        <f>LEFT(RIGHT(HEX2BIN($B$2,4),4),1)</f>
        <v>1</v>
      </c>
      <c r="C5" s="5" t="str">
        <f>LEFT(RIGHT(HEX2BIN($B$2,4),3),1)</f>
        <v>0</v>
      </c>
      <c r="D5" s="5" t="str">
        <f>LEFT(RIGHT(HEX2BIN($B$2,4),2),1)</f>
        <v>0</v>
      </c>
      <c r="E5" s="6" t="str">
        <f>RIGHT(HEX2BIN($B$2,4),1)</f>
        <v>0</v>
      </c>
      <c r="F5" s="4" t="str">
        <f>LEFT(RIGHT(HEX2BIN($F$2,4),4),1)</f>
        <v>1</v>
      </c>
      <c r="G5" s="5" t="str">
        <f>LEFT(RIGHT(HEX2BIN($F$2,4),3),1)</f>
        <v>1</v>
      </c>
      <c r="H5" s="5" t="str">
        <f>LEFT(RIGHT(HEX2BIN($F$2,4),2),1)</f>
        <v>1</v>
      </c>
      <c r="I5" s="6" t="str">
        <f>RIGHT(HEX2BIN($F$2,4),1)</f>
        <v>1</v>
      </c>
      <c r="J5" s="4" t="str">
        <f>LEFT(RIGHT(HEX2BIN($J$2,4),4),1)</f>
        <v>0</v>
      </c>
      <c r="K5" s="5" t="str">
        <f>LEFT(RIGHT(HEX2BIN($J$2,4),3),1)</f>
        <v>0</v>
      </c>
      <c r="L5" s="5" t="str">
        <f>LEFT(RIGHT(HEX2BIN($J$2,4),2),1)</f>
        <v>0</v>
      </c>
      <c r="M5" s="6" t="str">
        <f>RIGHT(HEX2BIN($J$2,4),1)</f>
        <v>0</v>
      </c>
      <c r="N5" s="4" t="str">
        <f>LEFT(RIGHT(HEX2BIN($N$2,4),4),1)</f>
        <v>1</v>
      </c>
      <c r="O5" s="5" t="str">
        <f>LEFT(RIGHT(HEX2BIN($N$2,4),3),1)</f>
        <v>1</v>
      </c>
      <c r="P5" s="5" t="str">
        <f>LEFT(RIGHT(HEX2BIN($N$2,4),2),1)</f>
        <v>1</v>
      </c>
      <c r="Q5" s="6" t="str">
        <f>RIGHT(HEX2BIN($N$2,4),1)</f>
        <v>1</v>
      </c>
    </row>
    <row r="6" spans="1:17" s="3" customFormat="1" ht="144" x14ac:dyDescent="0.3">
      <c r="A6" s="3" t="s">
        <v>18</v>
      </c>
      <c r="B6" s="13" t="str">
        <f>IF(B5="1","The contents of this slot are secret. 4-byte reads and writes are prohibited.","The contents of this slot should contain neither confidential data nor keys. The GenKey and Sign commands will fail if IsSecret is set to zero for any ECC private key.")</f>
        <v>The contents of this slot are secret. 4-byte reads and writes are prohibited.</v>
      </c>
      <c r="C6" s="14" t="str">
        <f>IF(C5="0","Clear Reads Permitted","Reads from this slot will be encrypted with the Read Command using ReadKey")</f>
        <v>Clear Reads Permitted</v>
      </c>
      <c r="D6" s="14" t="str">
        <f>IF(D5="0","No Usage Limitations","Limited Use Key")</f>
        <v>No Usage Limitations</v>
      </c>
      <c r="E6" s="17" t="str">
        <f>IF(E5="0","The key stored in the slot can be used by all commands.","The key stored in the slot is for verification usage and cannot be used by the MAC or HMAC commands. ")</f>
        <v>The key stored in the slot can be used by all commands.</v>
      </c>
      <c r="F6" s="13" t="str">
        <f>IF(G5="1",IF(F5="0","ECDH master secret in clear","Master secret will be written into slot N+1"),"Not Used")</f>
        <v>Master secret will be written into slot N+1</v>
      </c>
      <c r="G6" s="14" t="str">
        <f>IF(G5="0","No ECDH for key","ECDH operation is permitted.")</f>
        <v>ECDH operation is permitted.</v>
      </c>
      <c r="H6" s="14" t="str">
        <f>IF(H5="0","internal signatures NOT enabled.","Internal signatures of messages generated by GenDig or GenKey are enabled")</f>
        <v>Internal signatures of messages generated by GenDig or GenKey are enabled</v>
      </c>
      <c r="I6" s="17" t="str">
        <f>IF(I5="0","External signatures of arbitrary messages are NOT enabled","External signatures of arbitrary messages are enabled.")</f>
        <v>External signatures of arbitrary messages are enabled.</v>
      </c>
      <c r="J6" s="13" t="str">
        <f>IF(K5="1","Not used",IF(J5="1","Never: Writes are never permitted on this slot using the Write command. Slots set to never can still be used as key storage.","See Bit 13"))</f>
        <v>See Bit 13</v>
      </c>
      <c r="K6" s="14" t="str">
        <f>IF(K5="0","Use Bit 13","Encrypt: Writes to this slot require a properly computed MAC, and the input data must be encrypted by the system with WriteKey using the encryption algorithm documented in the Write command description. 4 byte writes to this slot are prohibited.")</f>
        <v>Use Bit 13</v>
      </c>
      <c r="L6" s="14" t="str">
        <f>IF(J5="1","Not Used",IF(K5="1","Not Used",IF(L5="0","Use Bit 12","Writes are never permitted on this slot using the Write command. Slots set to never can still be used as key storage.")))</f>
        <v>Use Bit 12</v>
      </c>
      <c r="M6" s="15" t="str">
        <f>IF(J5="1","Not Used",IF(K5="1","Not Used",IF(L5="0",IF(M5="0","Always: Clear text writes are always permitted on this slot. Slots set to alwaysshould never be used as key storage. Either 4 or 32 bytes may bewritten to this slot.","PubInvalid: If a validated public key is stored in the slot, writes are prohibited. UseVerify(Invalidate) to invalidate prior to writing. Do not use this mode unless the slot contains a public key."),"Not Used")))</f>
        <v>Always: Clear text writes are always permitted on this slot. Slots set to alwaysshould never be used as key storage. Either 4 or 32 bytes may bewritten to this slot.</v>
      </c>
      <c r="N6" s="26" t="str">
        <f>IF(K5="1","Slot for the encrypted write key","Not used")</f>
        <v>Not used</v>
      </c>
      <c r="O6" s="27"/>
      <c r="P6" s="27"/>
      <c r="Q6" s="28"/>
    </row>
    <row r="7" spans="1:17" x14ac:dyDescent="0.3">
      <c r="A7" s="1" t="s">
        <v>10</v>
      </c>
      <c r="B7" s="7" t="str">
        <f>IF(C5="1",IF(B5="1","OK","Inconsistent"),"OK")</f>
        <v>OK</v>
      </c>
      <c r="C7" s="8"/>
      <c r="D7" s="8" t="s">
        <v>21</v>
      </c>
      <c r="E7" s="9"/>
      <c r="F7" s="18" t="str">
        <f>IF(F2=0,"Source for the CheckMac/Copy operation. Do not use zero as a default. Do not set this field to zero unless the CheckMac/Copy operation is explicitly desired.","See Above for slots containing private keys. Otherwies, this is the KeyID that should be used to perform validation.")</f>
        <v>See Above for slots containing private keys. Otherwies, this is the KeyID that should be used to perform validation.</v>
      </c>
      <c r="G7" s="19"/>
      <c r="H7" s="19"/>
      <c r="I7" s="20"/>
      <c r="J7" s="7" t="s">
        <v>20</v>
      </c>
      <c r="K7" s="8" t="s">
        <v>20</v>
      </c>
      <c r="L7" s="16" t="str">
        <f>IF(L5="0","GenKey may NOT be used to write random keys into this slot.","GenKey may be used to write random keys into this slot.")</f>
        <v>GenKey may NOT be used to write random keys into this slot.</v>
      </c>
      <c r="M7" s="9" t="s">
        <v>20</v>
      </c>
      <c r="N7" s="7"/>
      <c r="O7" s="8"/>
      <c r="P7" s="8"/>
      <c r="Q7" s="9"/>
    </row>
    <row r="8" spans="1:17" x14ac:dyDescent="0.3">
      <c r="A8" s="1" t="s">
        <v>11</v>
      </c>
      <c r="B8" s="7"/>
      <c r="C8" s="8"/>
      <c r="D8" s="8"/>
      <c r="E8" s="9"/>
      <c r="F8" s="7"/>
      <c r="G8" s="8"/>
      <c r="H8" s="8"/>
      <c r="I8" s="9"/>
      <c r="J8" s="7" t="s">
        <v>20</v>
      </c>
      <c r="K8" s="16" t="str">
        <f>IF(K5="0","Forbidden: PrivWrite will return an error if the target key slot has this value","Encrypt: Writes to this slot require a properly computed MAC and the input data must be encrypted by the system with SlotConfig. WriteKey using the encryption algorithm documented in the PrivWrite command d escription (Section PrivWrite Command).")</f>
        <v>Forbidden: PrivWrite will return an error if the target key slot has this value</v>
      </c>
      <c r="L8" s="8" t="s">
        <v>20</v>
      </c>
      <c r="M8" s="9" t="s">
        <v>20</v>
      </c>
      <c r="N8" s="7"/>
      <c r="O8" s="8"/>
      <c r="P8" s="8"/>
      <c r="Q8" s="9"/>
    </row>
    <row r="9" spans="1:17" ht="15" thickBot="1" x14ac:dyDescent="0.35">
      <c r="A9" s="1" t="s">
        <v>12</v>
      </c>
      <c r="B9" s="10"/>
      <c r="C9" s="11"/>
      <c r="D9" s="11"/>
      <c r="E9" s="12"/>
      <c r="F9" s="10"/>
      <c r="G9" s="11"/>
      <c r="H9" s="11"/>
      <c r="I9" s="12"/>
      <c r="J9" s="10"/>
      <c r="K9" s="11"/>
      <c r="L9" s="11" t="str">
        <f>IF(L5="0",B17,A17)</f>
        <v>Slots with this value in the WriteConfig field may not be used asthe target of the DeriveKey command.</v>
      </c>
      <c r="M9" s="12"/>
      <c r="N9" s="10"/>
      <c r="O9" s="11"/>
      <c r="P9" s="11"/>
      <c r="Q9" s="12"/>
    </row>
    <row r="15" spans="1:17" x14ac:dyDescent="0.3">
      <c r="A15" t="s">
        <v>14</v>
      </c>
      <c r="B15" t="s">
        <v>13</v>
      </c>
    </row>
    <row r="16" spans="1:17" x14ac:dyDescent="0.3">
      <c r="A16" t="s">
        <v>17</v>
      </c>
      <c r="B16" t="s">
        <v>16</v>
      </c>
    </row>
    <row r="17" spans="1:2" x14ac:dyDescent="0.3">
      <c r="A17" s="2" t="s">
        <v>15</v>
      </c>
      <c r="B17" t="s">
        <v>19</v>
      </c>
    </row>
  </sheetData>
  <mergeCells count="8">
    <mergeCell ref="N6:Q6"/>
    <mergeCell ref="J2:M2"/>
    <mergeCell ref="N2:Q2"/>
    <mergeCell ref="B2:E2"/>
    <mergeCell ref="F2:I2"/>
    <mergeCell ref="F3:I3"/>
    <mergeCell ref="N3:Q3"/>
    <mergeCell ref="J3:M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5D664-9507-4544-935B-0C32836C1BEE}">
  <dimension ref="A1:Q14"/>
  <sheetViews>
    <sheetView tabSelected="1" workbookViewId="0">
      <selection activeCell="E3" sqref="E3:G3"/>
    </sheetView>
  </sheetViews>
  <sheetFormatPr defaultRowHeight="14.4" x14ac:dyDescent="0.3"/>
  <cols>
    <col min="1" max="1" width="17.21875" customWidth="1"/>
    <col min="2" max="17" width="17.5546875" customWidth="1"/>
  </cols>
  <sheetData>
    <row r="1" spans="1:17" ht="15" thickBot="1" x14ac:dyDescent="0.35">
      <c r="B1" t="s">
        <v>33</v>
      </c>
    </row>
    <row r="2" spans="1:17" ht="18" x14ac:dyDescent="0.35">
      <c r="A2" t="s">
        <v>7</v>
      </c>
      <c r="B2" s="29">
        <v>3</v>
      </c>
      <c r="C2" s="30"/>
      <c r="D2" s="30"/>
      <c r="E2" s="31"/>
      <c r="F2" s="29" t="s">
        <v>39</v>
      </c>
      <c r="G2" s="30"/>
      <c r="H2" s="30"/>
      <c r="I2" s="31"/>
      <c r="J2" s="29">
        <v>0</v>
      </c>
      <c r="K2" s="30"/>
      <c r="L2" s="30"/>
      <c r="M2" s="31"/>
      <c r="N2" s="29">
        <v>0</v>
      </c>
      <c r="O2" s="30"/>
      <c r="P2" s="30"/>
      <c r="Q2" s="31"/>
    </row>
    <row r="3" spans="1:17" x14ac:dyDescent="0.3">
      <c r="B3" s="4" t="s">
        <v>27</v>
      </c>
      <c r="C3" s="5" t="s">
        <v>28</v>
      </c>
      <c r="D3" s="5" t="s">
        <v>29</v>
      </c>
      <c r="E3" s="39" t="s">
        <v>30</v>
      </c>
      <c r="F3" s="39"/>
      <c r="G3" s="39"/>
      <c r="H3" s="21" t="s">
        <v>31</v>
      </c>
      <c r="I3" s="20" t="s">
        <v>32</v>
      </c>
      <c r="J3" s="38" t="s">
        <v>23</v>
      </c>
      <c r="K3" s="39"/>
      <c r="L3" s="21" t="s">
        <v>24</v>
      </c>
      <c r="M3" s="20" t="s">
        <v>25</v>
      </c>
      <c r="N3" s="32" t="s">
        <v>26</v>
      </c>
      <c r="O3" s="33"/>
      <c r="P3" s="33"/>
      <c r="Q3" s="34"/>
    </row>
    <row r="4" spans="1:17" s="1" customFormat="1" x14ac:dyDescent="0.3">
      <c r="A4" s="1" t="s">
        <v>8</v>
      </c>
      <c r="B4" s="4">
        <v>7</v>
      </c>
      <c r="C4" s="5">
        <v>6</v>
      </c>
      <c r="D4" s="5">
        <v>5</v>
      </c>
      <c r="E4" s="6">
        <v>4</v>
      </c>
      <c r="F4" s="4">
        <v>3</v>
      </c>
      <c r="G4" s="5">
        <v>2</v>
      </c>
      <c r="H4" s="5">
        <v>1</v>
      </c>
      <c r="I4" s="6">
        <v>0</v>
      </c>
      <c r="J4" s="4">
        <v>15</v>
      </c>
      <c r="K4" s="5">
        <v>14</v>
      </c>
      <c r="L4" s="5">
        <v>13</v>
      </c>
      <c r="M4" s="6">
        <v>12</v>
      </c>
      <c r="N4" s="4">
        <v>11</v>
      </c>
      <c r="O4" s="5">
        <v>10</v>
      </c>
      <c r="P4" s="5">
        <v>9</v>
      </c>
      <c r="Q4" s="6">
        <v>8</v>
      </c>
    </row>
    <row r="5" spans="1:17" s="1" customFormat="1" x14ac:dyDescent="0.3">
      <c r="A5" s="1" t="s">
        <v>9</v>
      </c>
      <c r="B5" s="4" t="str">
        <f>LEFT(RIGHT(HEX2BIN($B$2,4),4),1)</f>
        <v>0</v>
      </c>
      <c r="C5" s="5" t="str">
        <f>LEFT(RIGHT(HEX2BIN($B$2,4),3),1)</f>
        <v>0</v>
      </c>
      <c r="D5" s="5" t="str">
        <f>LEFT(RIGHT(HEX2BIN($B$2,4),2),1)</f>
        <v>1</v>
      </c>
      <c r="E5" s="6" t="str">
        <f>RIGHT(HEX2BIN($B$2,4),1)</f>
        <v>1</v>
      </c>
      <c r="F5" s="4" t="str">
        <f>LEFT(RIGHT(HEX2BIN($F$2,4),4),1)</f>
        <v>1</v>
      </c>
      <c r="G5" s="5" t="str">
        <f>LEFT(RIGHT(HEX2BIN($F$2,4),3),1)</f>
        <v>0</v>
      </c>
      <c r="H5" s="5" t="str">
        <f>LEFT(RIGHT(HEX2BIN($F$2,4),2),1)</f>
        <v>1</v>
      </c>
      <c r="I5" s="6" t="str">
        <f>RIGHT(HEX2BIN($F$2,4),1)</f>
        <v>0</v>
      </c>
      <c r="J5" s="4" t="str">
        <f>LEFT(RIGHT(HEX2BIN($J$2,4),4),1)</f>
        <v>0</v>
      </c>
      <c r="K5" s="5" t="str">
        <f>LEFT(RIGHT(HEX2BIN($J$2,4),3),1)</f>
        <v>0</v>
      </c>
      <c r="L5" s="5" t="str">
        <f>LEFT(RIGHT(HEX2BIN($J$2,4),2),1)</f>
        <v>0</v>
      </c>
      <c r="M5" s="6" t="str">
        <f>RIGHT(HEX2BIN($J$2,4),1)</f>
        <v>0</v>
      </c>
      <c r="N5" s="4" t="str">
        <f>LEFT(RIGHT(HEX2BIN($N$2,4),4),1)</f>
        <v>0</v>
      </c>
      <c r="O5" s="5" t="str">
        <f>LEFT(RIGHT(HEX2BIN($N$2,4),3),1)</f>
        <v>0</v>
      </c>
      <c r="P5" s="5" t="str">
        <f>LEFT(RIGHT(HEX2BIN($N$2,4),2),1)</f>
        <v>0</v>
      </c>
      <c r="Q5" s="6" t="str">
        <f>RIGHT(HEX2BIN($N$2,4),1)</f>
        <v>0</v>
      </c>
    </row>
    <row r="6" spans="1:17" s="3" customFormat="1" ht="144.6" thickBot="1" x14ac:dyDescent="0.35">
      <c r="A6" s="3" t="s">
        <v>18</v>
      </c>
      <c r="B6" s="22" t="str">
        <f>IF(B5="1","The contents of this slot are secret. 4-byte reads and writes are prohibited.","The contents of this slot should contain neither confidential data nor keys. The GenKey and Sign commands will fail if IsSecret is set to zero for any ECC private key.")</f>
        <v>The contents of this slot should contain neither confidential data nor keys. The GenKey and Sign commands will fail if IsSecret is set to zero for any ECC private key.</v>
      </c>
      <c r="C6" s="23" t="str">
        <f>IF(C5="0","Not required","A random Nonce is Required")</f>
        <v>Not required</v>
      </c>
      <c r="D6" s="23" t="str">
        <f>IF(D5="0","SlotConfig and remaining KeyConfig bits control modification permission","Slot can be individually locked using the Lock command")</f>
        <v>Slot can be individually locked using the Lock command</v>
      </c>
      <c r="E6" s="37" t="str">
        <f>IF(F7=F8,E8,IF(F7=F9,E9,E10))</f>
        <v>AES128 Symmetric Key</v>
      </c>
      <c r="F6" s="37"/>
      <c r="G6" s="36"/>
      <c r="H6" s="23" t="str">
        <f>IF(I5="0",IF(H5="0","Public key can be used by Verify without validation.","The public key must be validated for Verify."),IF(H5="0","No public Key Generation","Generate Public Key"))</f>
        <v>The public key must be validated for Verify.</v>
      </c>
      <c r="I6" s="24" t="str">
        <f>IF(I5="1","The key slot contains an ECC private key and can be used only with the Sign,GenKey, ECDH and PrivWrite commands","The key slot does not contain an ECC private key and cannot be used with the Sign, GenKey, ECDH and PrivWrite commands. It may contain an ECC publickey, a SHA key, or data.")</f>
        <v>The key slot does not contain an ECC private key and cannot be used with the Sign, GenKey, ECDH and PrivWrite commands. It may contain an ECC publickey, a SHA key, or data.</v>
      </c>
      <c r="J6" s="22"/>
      <c r="K6" s="23"/>
      <c r="L6" s="23" t="str">
        <f>IF(L5="0","OK","ERROR: Should be Zero")</f>
        <v>OK</v>
      </c>
      <c r="M6" s="25" t="str">
        <f>IF(M5="0","Independent of the state of the IntrusionLatch","Use of this key is prohibited for all commands other than GenKey if the IntrusionLatch is zero. GenKey is permitted regardless of the state of the latch.")</f>
        <v>Independent of the state of the IntrusionLatch</v>
      </c>
      <c r="N6" s="35" t="str">
        <f>IF(B5="1","Slot for the Auth key","Should be all zeros.")</f>
        <v>Should be all zeros.</v>
      </c>
      <c r="O6" s="36"/>
      <c r="P6" s="36"/>
      <c r="Q6" s="37"/>
    </row>
    <row r="7" spans="1:17" x14ac:dyDescent="0.3">
      <c r="E7" t="s">
        <v>34</v>
      </c>
      <c r="F7">
        <f>BIN2DEC(_xlfn.CONCAT(E5,F5,G5))</f>
        <v>6</v>
      </c>
    </row>
    <row r="8" spans="1:17" x14ac:dyDescent="0.3">
      <c r="E8" t="s">
        <v>37</v>
      </c>
      <c r="F8">
        <v>4</v>
      </c>
    </row>
    <row r="9" spans="1:17" x14ac:dyDescent="0.3">
      <c r="E9" t="s">
        <v>35</v>
      </c>
      <c r="F9">
        <v>6</v>
      </c>
    </row>
    <row r="10" spans="1:17" x14ac:dyDescent="0.3">
      <c r="E10" t="s">
        <v>36</v>
      </c>
      <c r="F10">
        <v>7</v>
      </c>
    </row>
    <row r="12" spans="1:17" x14ac:dyDescent="0.3">
      <c r="A12" t="s">
        <v>14</v>
      </c>
      <c r="B12" t="s">
        <v>13</v>
      </c>
    </row>
    <row r="13" spans="1:17" x14ac:dyDescent="0.3">
      <c r="A13" t="s">
        <v>17</v>
      </c>
      <c r="B13" t="s">
        <v>16</v>
      </c>
    </row>
    <row r="14" spans="1:17" x14ac:dyDescent="0.3">
      <c r="A14" s="2" t="s">
        <v>15</v>
      </c>
      <c r="B14" t="s">
        <v>19</v>
      </c>
    </row>
  </sheetData>
  <mergeCells count="9">
    <mergeCell ref="N6:Q6"/>
    <mergeCell ref="J3:K3"/>
    <mergeCell ref="E3:G3"/>
    <mergeCell ref="E6:G6"/>
    <mergeCell ref="B2:E2"/>
    <mergeCell ref="F2:I2"/>
    <mergeCell ref="J2:M2"/>
    <mergeCell ref="N2:Q2"/>
    <mergeCell ref="N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Slot Config</vt:lpstr>
      <vt:lpstr>Key 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Daily</dc:creator>
  <cp:lastModifiedBy>Jeremy Daily</cp:lastModifiedBy>
  <dcterms:created xsi:type="dcterms:W3CDTF">2020-04-05T17:19:31Z</dcterms:created>
  <dcterms:modified xsi:type="dcterms:W3CDTF">2020-04-07T22:45:20Z</dcterms:modified>
</cp:coreProperties>
</file>