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1190" yWindow="6555" windowWidth="28440" windowHeight="16440" tabRatio="910"/>
  </bookViews>
  <sheets>
    <sheet name="YEAR 4--FY'18" sheetId="28" r:id="rId1"/>
    <sheet name="0.1 Planning-MasterPlan" sheetId="5" r:id="rId2"/>
    <sheet name="0.2 Police-AddlCoverage" sheetId="7" r:id="rId3"/>
    <sheet name="0.3 Police-CSD Headquarters" sheetId="29" r:id="rId4"/>
    <sheet name="0.4 FIRE-Enhanced Medic Svcs" sheetId="15" r:id="rId5"/>
    <sheet name="0.5 DOT_TrafficEnforcement" sheetId="13" r:id="rId6"/>
    <sheet name="0.6 MOCJ-InitialCCTV-CitiWatch" sheetId="8" r:id="rId7"/>
    <sheet name="0.7 Mayoralty_Coordinator" sheetId="62" r:id="rId8"/>
    <sheet name="1.1 DOT-CompleteStreets" sheetId="2" r:id="rId9"/>
    <sheet name="1.2 DOT-CompleteStreetsImplmtn" sheetId="6" r:id="rId10"/>
    <sheet name="2.1 DPW-SanitationSatffing" sheetId="17" r:id="rId11"/>
    <sheet name="2.2 DPW_MB ShorelineCleaning" sheetId="41" r:id="rId12"/>
    <sheet name="2.3 BCRP-TreePlanting" sheetId="33" r:id="rId13"/>
    <sheet name="2.4 BCRP-ParksUpgrades&amp;Maint" sheetId="40" r:id="rId14"/>
    <sheet name="2.5 BCRP_FederalHillSlope" sheetId="65" r:id="rId15"/>
    <sheet name="2.6 BCRP_MiddleBranchPlan" sheetId="36" r:id="rId16"/>
    <sheet name="3.1 MOCJCriminalJustice Coord" sheetId="42" r:id="rId17"/>
    <sheet name="3.2 MOCJCitiwatchInstallCameras" sheetId="43" r:id="rId18"/>
    <sheet name="3.3 BCFD UpgradeFireStationsEMS" sheetId="44" r:id="rId19"/>
    <sheet name="4.1 MAYOR-CommunityImpactDist" sheetId="30" r:id="rId20"/>
    <sheet name="4.2 MAYOR CommunitEnhanceProjs" sheetId="32" r:id="rId21"/>
    <sheet name="4.3 Planning_RedevOpps_Studies" sheetId="46" r:id="rId22"/>
    <sheet name="4.4 HCD-HomeownershipCounseling" sheetId="66" r:id="rId23"/>
    <sheet name="5.1 BDC_SmallBusinessGrants" sheetId="48" r:id="rId24"/>
    <sheet name="5.2 BDC_AssessmtCarrollCamden" sheetId="47" r:id="rId25"/>
    <sheet name="5.3 MOED-EmploymntConnectionCtr" sheetId="9" r:id="rId26"/>
    <sheet name="5.4 MOED-WorkforceNeedsAssess" sheetId="71" r:id="rId27"/>
    <sheet name="5.5 MOED-TargetedTraining" sheetId="11" r:id="rId28"/>
    <sheet name="5.6 MOED-YouthJobs" sheetId="34" r:id="rId29"/>
    <sheet name="6.1 MOHS_EarlyChildhoodEd" sheetId="37" r:id="rId30"/>
    <sheet name="6.2 MOHS_ReadingPartners" sheetId="49" r:id="rId31"/>
    <sheet name="6.3 Planning_EnvironmentalEd" sheetId="50" r:id="rId32"/>
    <sheet name="6.4 MOHS_WeinbergLibraries" sheetId="51" r:id="rId33"/>
    <sheet name="6.5 BCRP_LakelandSTEAMCenter" sheetId="53" r:id="rId34"/>
    <sheet name="6.6 MOHS_PublicAllies" sheetId="54" r:id="rId35"/>
    <sheet name="7.1 BCHD_FoodAccess" sheetId="55" r:id="rId36"/>
    <sheet name="7.2 MOHS_HomelessnessStrategies" sheetId="67" r:id="rId37"/>
    <sheet name="8.1 BOPA-Public Art" sheetId="35" r:id="rId38"/>
    <sheet name="8.2 BOPA_SupportForCommunEvents" sheetId="57" r:id="rId39"/>
    <sheet name="8.3 BOPA-CoordinateArtsCulture" sheetId="58" r:id="rId40"/>
    <sheet name="8.4 BCRP_WaterfrontRecProgs" sheetId="56" r:id="rId41"/>
    <sheet name="8.5 BCRP_CommunityRecPrograms" sheetId="63" r:id="rId42"/>
    <sheet name="9.1 MOIT-ExpandCityFiber" sheetId="59" r:id="rId43"/>
    <sheet name="P1 BDC_InfrastructureUpgrades" sheetId="14" r:id="rId44"/>
    <sheet name="P2 DOT_SteamlineRepayment" sheetId="60" r:id="rId45"/>
    <sheet name="P3 BDC_PublicInfrastructure" sheetId="68" r:id="rId46"/>
  </sheets>
  <externalReferences>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xlnm.Print_Area" localSheetId="1">'0.1 Planning-MasterPlan'!$A$1:$G$16</definedName>
    <definedName name="_xlnm.Print_Area" localSheetId="2">'0.2 Police-AddlCoverage'!$A$1:$G$20</definedName>
    <definedName name="_xlnm.Print_Area" localSheetId="3">'0.3 Police-CSD Headquarters'!$A$1:$G$13</definedName>
    <definedName name="_xlnm.Print_Area" localSheetId="4">'0.4 FIRE-Enhanced Medic Svcs'!$A$1:$G$17</definedName>
    <definedName name="_xlnm.Print_Area" localSheetId="5">'0.5 DOT_TrafficEnforcement'!$A$1:$G$15</definedName>
    <definedName name="_xlnm.Print_Area" localSheetId="6">'0.6 MOCJ-InitialCCTV-CitiWatch'!$A$1:$G$14</definedName>
    <definedName name="_xlnm.Print_Area" localSheetId="7">'0.7 Mayoralty_Coordinator'!$A$1:$G$15</definedName>
    <definedName name="_xlnm.Print_Area" localSheetId="8">'1.1 DOT-CompleteStreets'!$A$1:$G$19</definedName>
    <definedName name="_xlnm.Print_Area" localSheetId="9">'1.2 DOT-CompleteStreetsImplmtn'!$A$1:$G$30</definedName>
    <definedName name="_xlnm.Print_Area" localSheetId="10">'2.1 DPW-SanitationSatffing'!$A$1:$G$20</definedName>
    <definedName name="_xlnm.Print_Area" localSheetId="11">'2.2 DPW_MB ShorelineCleaning'!$A$1:$G$13</definedName>
    <definedName name="_xlnm.Print_Area" localSheetId="12">'2.3 BCRP-TreePlanting'!$A$1:$G$17</definedName>
    <definedName name="_xlnm.Print_Area" localSheetId="13">'2.4 BCRP-ParksUpgrades&amp;Maint'!$A$1:$J$65</definedName>
    <definedName name="_xlnm.Print_Area" localSheetId="14">'2.5 BCRP_FederalHillSlope'!$A$1:$G$13</definedName>
    <definedName name="_xlnm.Print_Area" localSheetId="15">'2.6 BCRP_MiddleBranchPlan'!$A$1:$G$12</definedName>
    <definedName name="_xlnm.Print_Area" localSheetId="16">'3.1 MOCJCriminalJustice Coord'!$A$1:$G$12</definedName>
    <definedName name="_xlnm.Print_Area" localSheetId="17">'3.2 MOCJCitiwatchInstallCameras'!$A$1:$G$24</definedName>
    <definedName name="_xlnm.Print_Area" localSheetId="18">'3.3 BCFD UpgradeFireStationsEMS'!$A$1:$G$14</definedName>
    <definedName name="_xlnm.Print_Area" localSheetId="19">'4.1 MAYOR-CommunityImpactDist'!$A$1:$G$24</definedName>
    <definedName name="_xlnm.Print_Area" localSheetId="20">'4.2 MAYOR CommunitEnhanceProjs'!$A$1:$G$29</definedName>
    <definedName name="_xlnm.Print_Area" localSheetId="21">'4.3 Planning_RedevOpps_Studies'!$A$1:$G$15</definedName>
    <definedName name="_xlnm.Print_Area" localSheetId="22">'4.4 HCD-HomeownershipCounseling'!$A$1:$G$15</definedName>
    <definedName name="_xlnm.Print_Area" localSheetId="23">'5.1 BDC_SmallBusinessGrants'!$A$1:$G$15</definedName>
    <definedName name="_xlnm.Print_Area" localSheetId="24">'5.2 BDC_AssessmtCarrollCamden'!$A$1:$G$13</definedName>
    <definedName name="_xlnm.Print_Area" localSheetId="25">'5.3 MOED-EmploymntConnectionCtr'!$A$1:$G$28</definedName>
    <definedName name="_xlnm.Print_Area" localSheetId="26">'5.4 MOED-WorkforceNeedsAssess'!#REF!</definedName>
    <definedName name="_xlnm.Print_Area" localSheetId="27">'5.5 MOED-TargetedTraining'!$A$1:$G$19</definedName>
    <definedName name="_xlnm.Print_Area" localSheetId="28">'5.6 MOED-YouthJobs'!$A$1:$G$17</definedName>
    <definedName name="_xlnm.Print_Area" localSheetId="29">'6.1 MOHS_EarlyChildhoodEd'!$A$1:$G$13</definedName>
    <definedName name="_xlnm.Print_Area" localSheetId="30">'6.2 MOHS_ReadingPartners'!$A$1:$G$17</definedName>
    <definedName name="_xlnm.Print_Area" localSheetId="31">'6.3 Planning_EnvironmentalEd'!$A$1:$G$13</definedName>
    <definedName name="_xlnm.Print_Area" localSheetId="32">'6.4 MOHS_WeinbergLibraries'!$A$1:$G$16</definedName>
    <definedName name="_xlnm.Print_Area" localSheetId="33">'6.5 BCRP_LakelandSTEAMCenter'!$A$1:$G$19</definedName>
    <definedName name="_xlnm.Print_Area" localSheetId="34">'6.6 MOHS_PublicAllies'!$A$1:$G$17</definedName>
    <definedName name="_xlnm.Print_Area" localSheetId="35">'7.1 BCHD_FoodAccess'!$A$1:$G$23</definedName>
    <definedName name="_xlnm.Print_Area" localSheetId="36">'7.2 MOHS_HomelessnessStrategies'!$A$1:$G$17</definedName>
    <definedName name="_xlnm.Print_Area" localSheetId="37">'8.1 BOPA-Public Art'!$A$1:$G$17</definedName>
    <definedName name="_xlnm.Print_Area" localSheetId="38">'8.2 BOPA_SupportForCommunEvents'!$A$1:$G$15</definedName>
    <definedName name="_xlnm.Print_Area" localSheetId="39">'8.3 BOPA-CoordinateArtsCulture'!$A$1:$G$15</definedName>
    <definedName name="_xlnm.Print_Area" localSheetId="40">'8.4 BCRP_WaterfrontRecProgs'!$A$1:$G$16</definedName>
    <definedName name="_xlnm.Print_Area" localSheetId="41">'8.5 BCRP_CommunityRecPrograms'!$A$1:$G$21</definedName>
    <definedName name="_xlnm.Print_Area" localSheetId="42">'9.1 MOIT-ExpandCityFiber'!$A$1:$G$22</definedName>
    <definedName name="_xlnm.Print_Area" localSheetId="43">'P1 BDC_InfrastructureUpgrades'!$A$1:$G$13</definedName>
    <definedName name="_xlnm.Print_Area" localSheetId="44">'P2 DOT_SteamlineRepayment'!$A$1:$G$12</definedName>
    <definedName name="_xlnm.Print_Area" localSheetId="45">'P3 BDC_PublicInfrastructure'!$A$1:$G$13</definedName>
    <definedName name="_xlnm.Print_Area" localSheetId="0">'YEAR 4--FY''18'!$B$1:$AA$67</definedName>
    <definedName name="_xlnm.Print_Titles" localSheetId="2">'0.2 Police-AddlCoverage'!$1:$7</definedName>
    <definedName name="_xlnm.Print_Titles" localSheetId="3">'0.3 Police-CSD Headquarters'!$1:$7</definedName>
    <definedName name="_xlnm.Print_Titles" localSheetId="4">'0.4 FIRE-Enhanced Medic Svcs'!$1:$7</definedName>
    <definedName name="_xlnm.Print_Titles" localSheetId="5">'0.5 DOT_TrafficEnforcement'!$1:$7</definedName>
    <definedName name="_xlnm.Print_Titles" localSheetId="6">'0.6 MOCJ-InitialCCTV-CitiWatch'!$1:$7</definedName>
    <definedName name="_xlnm.Print_Titles" localSheetId="8">'1.1 DOT-CompleteStreets'!$1:$7</definedName>
    <definedName name="_xlnm.Print_Titles" localSheetId="9">'1.2 DOT-CompleteStreetsImplmtn'!$1:$7</definedName>
    <definedName name="_xlnm.Print_Titles" localSheetId="10">'2.1 DPW-SanitationSatffing'!$1:$7</definedName>
    <definedName name="_xlnm.Print_Titles" localSheetId="12">'2.3 BCRP-TreePlanting'!$1:$7</definedName>
    <definedName name="_xlnm.Print_Titles" localSheetId="13">'2.4 BCRP-ParksUpgrades&amp;Maint'!$1:$10</definedName>
    <definedName name="_xlnm.Print_Titles" localSheetId="14">'2.5 BCRP_FederalHillSlope'!$1:$7</definedName>
    <definedName name="_xlnm.Print_Titles" localSheetId="15">'2.6 BCRP_MiddleBranchPlan'!$1:$7</definedName>
    <definedName name="_xlnm.Print_Titles" localSheetId="16">'3.1 MOCJCriminalJustice Coord'!$1:$7</definedName>
    <definedName name="_xlnm.Print_Titles" localSheetId="17">'3.2 MOCJCitiwatchInstallCameras'!$1:$7</definedName>
    <definedName name="_xlnm.Print_Titles" localSheetId="18">'3.3 BCFD UpgradeFireStationsEMS'!$1:$7</definedName>
    <definedName name="_xlnm.Print_Titles" localSheetId="19">'4.1 MAYOR-CommunityImpactDist'!$1:$7</definedName>
    <definedName name="_xlnm.Print_Titles" localSheetId="20">'4.2 MAYOR CommunitEnhanceProjs'!$1:$7</definedName>
    <definedName name="_xlnm.Print_Titles" localSheetId="23">'5.1 BDC_SmallBusinessGrants'!$1:$14</definedName>
    <definedName name="_xlnm.Print_Titles" localSheetId="24">'5.2 BDC_AssessmtCarrollCamden'!$1:$11</definedName>
    <definedName name="_xlnm.Print_Titles" localSheetId="25">'5.3 MOED-EmploymntConnectionCtr'!$1:$5</definedName>
    <definedName name="_xlnm.Print_Titles" localSheetId="26">'5.4 MOED-WorkforceNeedsAssess'!$1:$5</definedName>
    <definedName name="_xlnm.Print_Titles" localSheetId="27">'5.5 MOED-TargetedTraining'!$1:$5</definedName>
    <definedName name="_xlnm.Print_Titles" localSheetId="28">'5.6 MOED-YouthJobs'!$1:$7</definedName>
    <definedName name="_xlnm.Print_Titles" localSheetId="30">'6.2 MOHS_ReadingPartners'!$1:$7</definedName>
    <definedName name="_xlnm.Print_Titles" localSheetId="31">'6.3 Planning_EnvironmentalEd'!$1:$7</definedName>
    <definedName name="_xlnm.Print_Titles" localSheetId="32">'6.4 MOHS_WeinbergLibraries'!$1:$7</definedName>
    <definedName name="_xlnm.Print_Titles" localSheetId="33">'6.5 BCRP_LakelandSTEAMCenter'!$1:$9</definedName>
    <definedName name="_xlnm.Print_Titles" localSheetId="34">'6.6 MOHS_PublicAllies'!$1:$7</definedName>
    <definedName name="_xlnm.Print_Titles" localSheetId="35">'7.1 BCHD_FoodAccess'!$1:$7</definedName>
    <definedName name="_xlnm.Print_Titles" localSheetId="36">'7.2 MOHS_HomelessnessStrategies'!$1:$7</definedName>
    <definedName name="_xlnm.Print_Titles" localSheetId="37">'8.1 BOPA-Public Art'!$1:$7</definedName>
    <definedName name="_xlnm.Print_Titles" localSheetId="38">'8.2 BOPA_SupportForCommunEvents'!$1:$7</definedName>
    <definedName name="_xlnm.Print_Titles" localSheetId="39">'8.3 BOPA-CoordinateArtsCulture'!$1:$7</definedName>
    <definedName name="_xlnm.Print_Titles" localSheetId="40">'8.4 BCRP_WaterfrontRecProgs'!$1:$7</definedName>
    <definedName name="_xlnm.Print_Titles" localSheetId="42">'9.1 MOIT-ExpandCityFiber'!$1:$7</definedName>
    <definedName name="_xlnm.Print_Titles" localSheetId="0">'YEAR 4--FY''18'!$1:$1</definedName>
  </definedNames>
  <calcPr calcId="145621"/>
</workbook>
</file>

<file path=xl/calcChain.xml><?xml version="1.0" encoding="utf-8"?>
<calcChain xmlns="http://schemas.openxmlformats.org/spreadsheetml/2006/main">
  <c r="L13" i="57" l="1"/>
  <c r="K10" i="57"/>
  <c r="K11" i="57"/>
  <c r="K12" i="57"/>
  <c r="K9" i="57"/>
  <c r="J13" i="57"/>
  <c r="J10" i="57"/>
  <c r="J12" i="57"/>
  <c r="J9" i="57" s="1"/>
  <c r="J11" i="57"/>
  <c r="F12" i="57"/>
  <c r="E13" i="57"/>
  <c r="D13" i="57"/>
  <c r="C13" i="57"/>
  <c r="G11" i="57"/>
  <c r="I9" i="57" l="1"/>
  <c r="B9" i="57"/>
  <c r="B13" i="57" s="1"/>
  <c r="G10" i="13" l="1"/>
  <c r="B2" i="13"/>
  <c r="B2" i="15"/>
  <c r="V61" i="28"/>
  <c r="W61" i="28"/>
  <c r="X61" i="28"/>
  <c r="Y61" i="28"/>
  <c r="Z61" i="28"/>
  <c r="U61" i="28"/>
  <c r="Z49" i="28"/>
  <c r="Z58" i="28"/>
  <c r="Z55" i="28"/>
  <c r="Z51" i="28"/>
  <c r="Z44" i="28"/>
  <c r="Z43" i="28"/>
  <c r="Z42" i="28"/>
  <c r="Z41" i="28"/>
  <c r="Z36" i="28"/>
  <c r="Z34" i="28"/>
  <c r="Z33" i="28"/>
  <c r="Z32" i="28"/>
  <c r="Z28" i="28"/>
  <c r="Z25" i="28"/>
  <c r="Z24" i="28"/>
  <c r="Z23" i="28"/>
  <c r="Z21" i="28"/>
  <c r="Z20" i="28"/>
  <c r="Z18" i="28"/>
  <c r="Z17" i="28"/>
  <c r="Z16" i="28"/>
  <c r="Z14" i="28"/>
  <c r="Z13" i="28"/>
  <c r="Z9" i="28"/>
  <c r="Z8" i="28"/>
  <c r="Z7" i="28"/>
  <c r="Z6" i="28"/>
  <c r="Z5" i="28"/>
  <c r="Z3" i="28"/>
  <c r="G14" i="56"/>
  <c r="F14" i="56"/>
  <c r="F10" i="56"/>
  <c r="F11" i="56"/>
  <c r="F12" i="56"/>
  <c r="F9" i="56"/>
  <c r="F9" i="53"/>
  <c r="G11" i="50"/>
  <c r="G9" i="37"/>
  <c r="F9" i="37"/>
  <c r="C13" i="11"/>
  <c r="D13" i="11"/>
  <c r="E13" i="11"/>
  <c r="F13" i="11"/>
  <c r="B13" i="11"/>
  <c r="F7" i="71"/>
  <c r="B7" i="71"/>
  <c r="D6" i="71"/>
  <c r="B2" i="30"/>
  <c r="E11" i="47"/>
  <c r="X33" i="28"/>
  <c r="V19" i="28"/>
  <c r="W19" i="28"/>
  <c r="X19" i="28"/>
  <c r="Y19" i="28"/>
  <c r="Z19" i="28"/>
  <c r="U19" i="28"/>
  <c r="F19" i="43"/>
  <c r="G19" i="43"/>
  <c r="F18" i="43"/>
  <c r="G18" i="43"/>
  <c r="F17" i="43"/>
  <c r="G17" i="43"/>
  <c r="F16" i="43"/>
  <c r="G16" i="43"/>
  <c r="N19" i="43"/>
  <c r="O19" i="43"/>
  <c r="N18" i="43"/>
  <c r="O18" i="43"/>
  <c r="N17" i="43"/>
  <c r="O17" i="43"/>
  <c r="N16" i="43"/>
  <c r="O16" i="43"/>
  <c r="F9" i="65"/>
  <c r="H9" i="65"/>
  <c r="R20" i="28"/>
  <c r="F7" i="65"/>
  <c r="H10" i="65"/>
  <c r="G10" i="65"/>
  <c r="G9" i="65"/>
  <c r="F10" i="65"/>
  <c r="C63" i="40"/>
  <c r="J54" i="40"/>
  <c r="I54" i="40"/>
  <c r="J15" i="40"/>
  <c r="H54" i="40"/>
  <c r="K54" i="40"/>
  <c r="H57" i="40"/>
  <c r="I62" i="40"/>
  <c r="H43" i="40"/>
  <c r="H60" i="40"/>
  <c r="H19" i="40"/>
  <c r="H18" i="40"/>
  <c r="H17" i="40"/>
  <c r="H22" i="40"/>
  <c r="H34" i="40"/>
  <c r="H35" i="40"/>
  <c r="H41" i="40"/>
  <c r="H40" i="40"/>
  <c r="H39" i="40"/>
  <c r="H46" i="40"/>
  <c r="H49" i="40"/>
  <c r="H56" i="40"/>
  <c r="H59" i="40"/>
  <c r="J59" i="40"/>
  <c r="J62" i="40"/>
  <c r="H62" i="40"/>
  <c r="G16" i="40"/>
  <c r="G17" i="40"/>
  <c r="G18" i="40"/>
  <c r="I19" i="40"/>
  <c r="G19" i="40"/>
  <c r="G20" i="40"/>
  <c r="G21" i="40"/>
  <c r="G22" i="40"/>
  <c r="G24" i="40"/>
  <c r="G25" i="40"/>
  <c r="G26" i="40"/>
  <c r="J28" i="40"/>
  <c r="J21" i="40"/>
  <c r="I21" i="40"/>
  <c r="I27" i="40"/>
  <c r="G27" i="40"/>
  <c r="G32" i="40"/>
  <c r="G33" i="40"/>
  <c r="G34" i="40"/>
  <c r="G35" i="40"/>
  <c r="G36" i="40"/>
  <c r="G37" i="40"/>
  <c r="G38" i="40"/>
  <c r="G39" i="40"/>
  <c r="G40" i="40"/>
  <c r="G41" i="40"/>
  <c r="G42" i="40"/>
  <c r="G43" i="40"/>
  <c r="G44" i="40"/>
  <c r="G45" i="40"/>
  <c r="G46" i="40"/>
  <c r="G47" i="40"/>
  <c r="G48" i="40"/>
  <c r="G49" i="40"/>
  <c r="G51" i="40"/>
  <c r="G52" i="40"/>
  <c r="G53" i="40"/>
  <c r="G54" i="40"/>
  <c r="I56" i="40"/>
  <c r="G56" i="40"/>
  <c r="G57" i="40"/>
  <c r="I59" i="40"/>
  <c r="G59" i="40"/>
  <c r="G60" i="40"/>
  <c r="G61" i="40"/>
  <c r="G62" i="40"/>
  <c r="J37" i="40"/>
  <c r="F12" i="40"/>
  <c r="E6" i="40"/>
  <c r="C13" i="40"/>
  <c r="D13" i="40"/>
  <c r="E13" i="40"/>
  <c r="F13" i="40"/>
  <c r="G13" i="40"/>
  <c r="M19" i="28"/>
  <c r="O19" i="28"/>
  <c r="P19" i="28"/>
  <c r="E7" i="40"/>
  <c r="R19" i="28"/>
  <c r="G7" i="40"/>
  <c r="R18" i="28"/>
  <c r="F7" i="33"/>
  <c r="R17" i="28"/>
  <c r="F7" i="41"/>
  <c r="B10" i="41"/>
  <c r="B11" i="41"/>
  <c r="C10" i="41"/>
  <c r="C11" i="41"/>
  <c r="D10" i="41"/>
  <c r="D11" i="41"/>
  <c r="E9" i="41"/>
  <c r="E10" i="41"/>
  <c r="E11" i="41"/>
  <c r="F11" i="41"/>
  <c r="M16" i="28"/>
  <c r="O16" i="28"/>
  <c r="P16" i="28"/>
  <c r="R16" i="28"/>
  <c r="F7" i="17"/>
  <c r="G11" i="41"/>
  <c r="B2" i="17"/>
  <c r="G18" i="17"/>
  <c r="G28" i="6"/>
  <c r="F23" i="6"/>
  <c r="F28" i="6"/>
  <c r="F17" i="6"/>
  <c r="B15" i="6"/>
  <c r="F13" i="6"/>
  <c r="F14" i="6"/>
  <c r="J14" i="6"/>
  <c r="J13" i="6"/>
  <c r="J12" i="6"/>
  <c r="J11" i="6"/>
  <c r="F12" i="6"/>
  <c r="F11" i="6"/>
  <c r="F9" i="6"/>
  <c r="J9" i="6"/>
  <c r="F10" i="6"/>
  <c r="M14" i="28"/>
  <c r="O14" i="28"/>
  <c r="P14" i="28"/>
  <c r="R14" i="28"/>
  <c r="T14" i="28"/>
  <c r="F7" i="6"/>
  <c r="D7" i="6"/>
  <c r="B7" i="6"/>
  <c r="L10" i="28"/>
  <c r="L15" i="28"/>
  <c r="L22" i="28"/>
  <c r="L26" i="28"/>
  <c r="L31" i="28"/>
  <c r="L38" i="28"/>
  <c r="L45" i="28"/>
  <c r="L48" i="28"/>
  <c r="L54" i="28"/>
  <c r="L12" i="28"/>
  <c r="L61" i="28"/>
  <c r="L62" i="28"/>
  <c r="L63" i="28"/>
  <c r="Q10" i="28"/>
  <c r="Q15" i="28"/>
  <c r="Q22" i="28"/>
  <c r="Q26" i="28"/>
  <c r="Q31" i="28"/>
  <c r="Q38" i="28"/>
  <c r="Q45" i="28"/>
  <c r="Q48" i="28"/>
  <c r="Q54" i="28"/>
  <c r="Q12" i="28"/>
  <c r="Q61" i="28"/>
  <c r="Q62" i="28"/>
  <c r="Q63" i="28"/>
  <c r="D66" i="28" s="1"/>
  <c r="D67" i="28" s="1"/>
  <c r="R6" i="28"/>
  <c r="F7" i="15"/>
  <c r="H10" i="15"/>
  <c r="E10" i="15"/>
  <c r="E12" i="15"/>
  <c r="X6" i="28"/>
  <c r="U6" i="28"/>
  <c r="V6" i="28"/>
  <c r="W6" i="28"/>
  <c r="Y6" i="28"/>
  <c r="S6" i="28"/>
  <c r="U4" i="28"/>
  <c r="V4" i="28"/>
  <c r="W4" i="28"/>
  <c r="X4" i="28"/>
  <c r="Y4" i="28"/>
  <c r="N5" i="28"/>
  <c r="N4" i="28"/>
  <c r="O4" i="28"/>
  <c r="P4" i="28"/>
  <c r="R4" i="28"/>
  <c r="S4" i="28"/>
  <c r="U5" i="28"/>
  <c r="V5" i="28"/>
  <c r="W5" i="28"/>
  <c r="X5" i="28"/>
  <c r="Y5" i="28"/>
  <c r="O5" i="28"/>
  <c r="P5" i="28"/>
  <c r="R5" i="28"/>
  <c r="S5" i="28"/>
  <c r="U7" i="28"/>
  <c r="V7" i="28"/>
  <c r="W7" i="28"/>
  <c r="X7" i="28"/>
  <c r="Y7" i="28"/>
  <c r="R7" i="28"/>
  <c r="S7" i="28"/>
  <c r="U9" i="28"/>
  <c r="V9" i="28"/>
  <c r="W9" i="28"/>
  <c r="X9" i="28"/>
  <c r="Y9" i="28"/>
  <c r="R9" i="28"/>
  <c r="S9" i="28"/>
  <c r="S10" i="28"/>
  <c r="S30" i="28"/>
  <c r="S26" i="28"/>
  <c r="S54" i="28"/>
  <c r="B18" i="17"/>
  <c r="U16" i="28"/>
  <c r="C18" i="17"/>
  <c r="V16" i="28"/>
  <c r="D18" i="17"/>
  <c r="W16" i="28"/>
  <c r="E16" i="17"/>
  <c r="E18" i="17"/>
  <c r="X16" i="28"/>
  <c r="Y16" i="28"/>
  <c r="S16" i="28"/>
  <c r="U17" i="28"/>
  <c r="V17" i="28"/>
  <c r="W17" i="28"/>
  <c r="X17" i="28"/>
  <c r="Y17" i="28"/>
  <c r="S17" i="28"/>
  <c r="B13" i="33"/>
  <c r="U18" i="28"/>
  <c r="C13" i="33"/>
  <c r="V18" i="28"/>
  <c r="F9" i="33"/>
  <c r="F11" i="33"/>
  <c r="F12" i="33"/>
  <c r="D10" i="33"/>
  <c r="D13" i="33"/>
  <c r="W18" i="28"/>
  <c r="E13" i="33"/>
  <c r="X18" i="28"/>
  <c r="Y18" i="28"/>
  <c r="S18" i="28"/>
  <c r="S19" i="28"/>
  <c r="S15" i="28"/>
  <c r="S22" i="28"/>
  <c r="S31" i="28"/>
  <c r="S45" i="28"/>
  <c r="S48" i="28"/>
  <c r="U13" i="28"/>
  <c r="V13" i="28"/>
  <c r="W13" i="28"/>
  <c r="X13" i="28"/>
  <c r="Y13" i="28"/>
  <c r="R13" i="28"/>
  <c r="S13" i="28"/>
  <c r="S12" i="28"/>
  <c r="S38" i="28"/>
  <c r="S61" i="28"/>
  <c r="S62" i="28"/>
  <c r="S64" i="28"/>
  <c r="M3" i="28"/>
  <c r="O3" i="28"/>
  <c r="O6" i="28"/>
  <c r="O7" i="28"/>
  <c r="O9" i="28"/>
  <c r="O10" i="28"/>
  <c r="M17" i="28"/>
  <c r="O17" i="28"/>
  <c r="K21" i="28"/>
  <c r="M21" i="28"/>
  <c r="O21" i="28"/>
  <c r="O15" i="28"/>
  <c r="M24" i="28"/>
  <c r="O24" i="28"/>
  <c r="M25" i="28"/>
  <c r="O25" i="28"/>
  <c r="O22" i="28"/>
  <c r="O27" i="28"/>
  <c r="G28" i="28"/>
  <c r="J28" i="28"/>
  <c r="K28" i="28"/>
  <c r="M28" i="28"/>
  <c r="O28" i="28"/>
  <c r="M29" i="28"/>
  <c r="O29" i="28"/>
  <c r="O26" i="28"/>
  <c r="M32" i="28"/>
  <c r="O32" i="28"/>
  <c r="M33" i="28"/>
  <c r="O33" i="28"/>
  <c r="O34" i="28"/>
  <c r="O36" i="28"/>
  <c r="J37" i="28"/>
  <c r="K37" i="28"/>
  <c r="M37" i="28"/>
  <c r="O37" i="28"/>
  <c r="O31" i="28"/>
  <c r="M39" i="28"/>
  <c r="O39" i="28"/>
  <c r="M40" i="28"/>
  <c r="O40" i="28"/>
  <c r="M42" i="28"/>
  <c r="O42" i="28"/>
  <c r="M43" i="28"/>
  <c r="O43" i="28"/>
  <c r="M44" i="28"/>
  <c r="O44" i="28"/>
  <c r="O38" i="28"/>
  <c r="M46" i="28"/>
  <c r="O46" i="28"/>
  <c r="O45" i="28"/>
  <c r="K49" i="28"/>
  <c r="M49" i="28"/>
  <c r="O49" i="28"/>
  <c r="M50" i="28"/>
  <c r="O50" i="28"/>
  <c r="K51" i="28"/>
  <c r="M51" i="28"/>
  <c r="O51" i="28"/>
  <c r="M52" i="28"/>
  <c r="O52" i="28"/>
  <c r="M53" i="28"/>
  <c r="O53" i="28"/>
  <c r="O48" i="28"/>
  <c r="M55" i="28"/>
  <c r="O55" i="28"/>
  <c r="O54" i="28"/>
  <c r="K13" i="28"/>
  <c r="M13" i="28"/>
  <c r="O13" i="28"/>
  <c r="O12" i="28"/>
  <c r="G58" i="28"/>
  <c r="K58" i="28"/>
  <c r="M58" i="28"/>
  <c r="O58" i="28"/>
  <c r="M59" i="28"/>
  <c r="O59" i="28"/>
  <c r="O61" i="28"/>
  <c r="O62" i="28"/>
  <c r="M4" i="28"/>
  <c r="M5" i="28"/>
  <c r="M6" i="28"/>
  <c r="M7" i="28"/>
  <c r="M8" i="28"/>
  <c r="M9" i="28"/>
  <c r="M10" i="28"/>
  <c r="M18" i="28"/>
  <c r="M15" i="28"/>
  <c r="M23" i="28"/>
  <c r="M22" i="28"/>
  <c r="G27" i="28"/>
  <c r="K27" i="28"/>
  <c r="M27" i="28"/>
  <c r="M26" i="28"/>
  <c r="M34" i="28"/>
  <c r="M36" i="28"/>
  <c r="M31" i="28"/>
  <c r="M41" i="28"/>
  <c r="M38" i="28"/>
  <c r="M45" i="28"/>
  <c r="M48" i="28"/>
  <c r="M54" i="28"/>
  <c r="M12" i="28"/>
  <c r="M61" i="28"/>
  <c r="M62" i="28"/>
  <c r="O64" i="28"/>
  <c r="D65" i="28"/>
  <c r="B26" i="32"/>
  <c r="U28" i="28"/>
  <c r="C26" i="32"/>
  <c r="V28" i="28"/>
  <c r="D26" i="32"/>
  <c r="W28" i="28"/>
  <c r="E26" i="32"/>
  <c r="X28" i="28"/>
  <c r="Y28" i="28"/>
  <c r="N28" i="28"/>
  <c r="P28" i="28"/>
  <c r="R28" i="28"/>
  <c r="T6" i="28"/>
  <c r="T4" i="28"/>
  <c r="T5" i="28"/>
  <c r="T7" i="28"/>
  <c r="T9" i="28"/>
  <c r="N3" i="28"/>
  <c r="P3" i="28"/>
  <c r="R3" i="28"/>
  <c r="T3" i="28"/>
  <c r="N8" i="28"/>
  <c r="P8" i="28"/>
  <c r="R8" i="28"/>
  <c r="T8" i="28"/>
  <c r="T10" i="28"/>
  <c r="T16" i="28"/>
  <c r="T17" i="28"/>
  <c r="T18" i="28"/>
  <c r="T19" i="28"/>
  <c r="T20" i="28"/>
  <c r="P21" i="28"/>
  <c r="R21" i="28"/>
  <c r="T21" i="28"/>
  <c r="T15" i="28"/>
  <c r="T28" i="28"/>
  <c r="P27" i="28"/>
  <c r="R27" i="28"/>
  <c r="T27" i="28"/>
  <c r="R29" i="28"/>
  <c r="T29" i="28"/>
  <c r="R30" i="28"/>
  <c r="T30" i="28"/>
  <c r="T26" i="28"/>
  <c r="T13" i="28"/>
  <c r="T12" i="28"/>
  <c r="P23" i="28"/>
  <c r="R23" i="28"/>
  <c r="T23" i="28"/>
  <c r="P24" i="28"/>
  <c r="R24" i="28"/>
  <c r="T24" i="28"/>
  <c r="N25" i="28"/>
  <c r="P25" i="28"/>
  <c r="R25" i="28"/>
  <c r="T25" i="28"/>
  <c r="T22" i="28"/>
  <c r="P32" i="28"/>
  <c r="R32" i="28"/>
  <c r="T32" i="28"/>
  <c r="P33" i="28"/>
  <c r="R33" i="28"/>
  <c r="T33" i="28"/>
  <c r="R34" i="28"/>
  <c r="T34" i="28"/>
  <c r="R36" i="28"/>
  <c r="T36" i="28"/>
  <c r="R37" i="28"/>
  <c r="T37" i="28"/>
  <c r="T31" i="28"/>
  <c r="N39" i="28"/>
  <c r="P39" i="28"/>
  <c r="R39" i="28"/>
  <c r="P41" i="28"/>
  <c r="R41" i="28"/>
  <c r="T41" i="28"/>
  <c r="N42" i="28"/>
  <c r="P42" i="28"/>
  <c r="R42" i="28"/>
  <c r="T42" i="28"/>
  <c r="N43" i="28"/>
  <c r="P43" i="28"/>
  <c r="R43" i="28"/>
  <c r="T43" i="28"/>
  <c r="P44" i="28"/>
  <c r="R44" i="28"/>
  <c r="T38" i="28"/>
  <c r="P46" i="28"/>
  <c r="R46" i="28"/>
  <c r="T46" i="28"/>
  <c r="R47" i="28"/>
  <c r="T47" i="28"/>
  <c r="T45" i="28"/>
  <c r="P49" i="28"/>
  <c r="R49" i="28"/>
  <c r="T49" i="28"/>
  <c r="P50" i="28"/>
  <c r="R50" i="28"/>
  <c r="T50" i="28"/>
  <c r="P51" i="28"/>
  <c r="R51" i="28"/>
  <c r="T51" i="28"/>
  <c r="R52" i="28"/>
  <c r="T52" i="28"/>
  <c r="T48" i="28"/>
  <c r="P55" i="28"/>
  <c r="R55" i="28"/>
  <c r="T55" i="28"/>
  <c r="T54" i="28"/>
  <c r="N58" i="28"/>
  <c r="P58" i="28"/>
  <c r="R58" i="28"/>
  <c r="T58" i="28"/>
  <c r="T59" i="28"/>
  <c r="R60" i="28"/>
  <c r="T60" i="28"/>
  <c r="T61" i="28"/>
  <c r="T62" i="28"/>
  <c r="R10" i="28"/>
  <c r="R15" i="28"/>
  <c r="R22" i="28"/>
  <c r="R26" i="28"/>
  <c r="R31" i="28"/>
  <c r="R38" i="28"/>
  <c r="R45" i="28"/>
  <c r="R48" i="28"/>
  <c r="R54" i="28"/>
  <c r="R61" i="28"/>
  <c r="R12" i="28"/>
  <c r="R62" i="28"/>
  <c r="T63" i="28"/>
  <c r="S63" i="28"/>
  <c r="P10" i="28"/>
  <c r="P15" i="28"/>
  <c r="P22" i="28"/>
  <c r="P26" i="28"/>
  <c r="P31" i="28"/>
  <c r="N40" i="28"/>
  <c r="P40" i="28"/>
  <c r="P38" i="28"/>
  <c r="P45" i="28"/>
  <c r="P48" i="28"/>
  <c r="P54" i="28"/>
  <c r="N59" i="28"/>
  <c r="P59" i="28"/>
  <c r="P61" i="28"/>
  <c r="P12" i="28"/>
  <c r="P62" i="28"/>
  <c r="R63" i="28"/>
  <c r="O63" i="28"/>
  <c r="K10" i="28"/>
  <c r="K15" i="28"/>
  <c r="K22" i="28"/>
  <c r="K26" i="28"/>
  <c r="K31" i="28"/>
  <c r="K38" i="28"/>
  <c r="K45" i="28"/>
  <c r="K48" i="28"/>
  <c r="K54" i="28"/>
  <c r="K61" i="28"/>
  <c r="K12" i="28"/>
  <c r="K62" i="28"/>
  <c r="M63" i="28"/>
  <c r="N10" i="28"/>
  <c r="N12" i="28"/>
  <c r="N18" i="28"/>
  <c r="N15" i="28"/>
  <c r="N22" i="28"/>
  <c r="N26" i="28"/>
  <c r="N31" i="28"/>
  <c r="N38" i="28"/>
  <c r="N45" i="28"/>
  <c r="N53" i="28"/>
  <c r="N48" i="28"/>
  <c r="N54" i="28"/>
  <c r="O56" i="28"/>
  <c r="N56" i="28"/>
  <c r="M56" i="28"/>
  <c r="L56" i="28"/>
  <c r="N61" i="28"/>
  <c r="N62" i="28"/>
  <c r="B14" i="35"/>
  <c r="U49" i="28"/>
  <c r="U50" i="28"/>
  <c r="U48" i="28" s="1"/>
  <c r="B13" i="58"/>
  <c r="U51" i="28"/>
  <c r="C12" i="35"/>
  <c r="C14" i="35"/>
  <c r="V49" i="28"/>
  <c r="V50" i="28"/>
  <c r="C13" i="58"/>
  <c r="V51" i="28"/>
  <c r="V48" i="28"/>
  <c r="D14" i="35"/>
  <c r="W49" i="28"/>
  <c r="W50" i="28"/>
  <c r="W48" i="28" s="1"/>
  <c r="D13" i="58"/>
  <c r="W51" i="28"/>
  <c r="E14" i="35"/>
  <c r="X49" i="28"/>
  <c r="X50" i="28"/>
  <c r="E13" i="58"/>
  <c r="X51" i="28"/>
  <c r="X52" i="28"/>
  <c r="Y49" i="28"/>
  <c r="Y51" i="28"/>
  <c r="Z52" i="28"/>
  <c r="P56" i="28"/>
  <c r="Q56" i="28"/>
  <c r="B15" i="59"/>
  <c r="C15" i="59"/>
  <c r="D15" i="59"/>
  <c r="E15" i="59"/>
  <c r="F15" i="59"/>
  <c r="F14" i="59"/>
  <c r="G14" i="59"/>
  <c r="F12" i="59"/>
  <c r="F13" i="59"/>
  <c r="G12" i="59"/>
  <c r="F11" i="59"/>
  <c r="G11" i="59"/>
  <c r="G13" i="59"/>
  <c r="D7" i="59"/>
  <c r="F11" i="57"/>
  <c r="F10" i="58"/>
  <c r="G10" i="58"/>
  <c r="F9" i="58"/>
  <c r="G9" i="58"/>
  <c r="F48" i="28"/>
  <c r="G48" i="28"/>
  <c r="H48" i="28"/>
  <c r="J48" i="28"/>
  <c r="D13" i="55"/>
  <c r="W46" i="28" s="1"/>
  <c r="W45" i="28" s="1"/>
  <c r="F7" i="55"/>
  <c r="J12" i="55"/>
  <c r="J11" i="55"/>
  <c r="J10" i="55"/>
  <c r="J9" i="55"/>
  <c r="B9" i="55"/>
  <c r="B13" i="55" s="1"/>
  <c r="D7" i="55"/>
  <c r="B25" i="55" s="1"/>
  <c r="B27" i="55" s="1"/>
  <c r="B14" i="54"/>
  <c r="U44" i="28"/>
  <c r="C14" i="54"/>
  <c r="V44" i="28"/>
  <c r="D14" i="54"/>
  <c r="W44" i="28"/>
  <c r="E14" i="54"/>
  <c r="X44" i="28"/>
  <c r="Y44" i="28"/>
  <c r="B17" i="53"/>
  <c r="U43" i="28"/>
  <c r="C17" i="53"/>
  <c r="V43" i="28"/>
  <c r="D17" i="53"/>
  <c r="W43" i="28"/>
  <c r="E17" i="53"/>
  <c r="X43" i="28"/>
  <c r="Y43" i="28"/>
  <c r="B11" i="50"/>
  <c r="U41" i="28"/>
  <c r="C11" i="50"/>
  <c r="V41" i="28"/>
  <c r="D11" i="50"/>
  <c r="W41" i="28"/>
  <c r="E11" i="50"/>
  <c r="X41" i="28"/>
  <c r="Y41" i="28"/>
  <c r="U40" i="28"/>
  <c r="V40" i="28"/>
  <c r="W40" i="28"/>
  <c r="X40" i="28"/>
  <c r="Y40" i="28"/>
  <c r="Z40" i="28"/>
  <c r="U39" i="28"/>
  <c r="C10" i="37"/>
  <c r="V39" i="28"/>
  <c r="W39" i="28"/>
  <c r="E10" i="37"/>
  <c r="X39" i="28"/>
  <c r="Y39" i="28"/>
  <c r="Z39" i="28"/>
  <c r="B13" i="51"/>
  <c r="U42" i="28"/>
  <c r="C13" i="51"/>
  <c r="V42" i="28"/>
  <c r="D13" i="51"/>
  <c r="W42" i="28"/>
  <c r="E13" i="51"/>
  <c r="X42" i="28"/>
  <c r="Y42" i="28"/>
  <c r="F7" i="54"/>
  <c r="F9" i="54"/>
  <c r="F10" i="54"/>
  <c r="F11" i="54"/>
  <c r="F12" i="54"/>
  <c r="F13" i="54"/>
  <c r="F14" i="54"/>
  <c r="G14" i="54"/>
  <c r="H14" i="54"/>
  <c r="D19" i="67"/>
  <c r="E19" i="67"/>
  <c r="E20" i="67"/>
  <c r="E21" i="67"/>
  <c r="U47" i="28"/>
  <c r="V47" i="28"/>
  <c r="W47" i="28"/>
  <c r="E13" i="55"/>
  <c r="X46" i="28" s="1"/>
  <c r="X47" i="28"/>
  <c r="G38" i="28"/>
  <c r="H38" i="28"/>
  <c r="I38" i="28"/>
  <c r="J39" i="28"/>
  <c r="J38" i="28"/>
  <c r="B11" i="34"/>
  <c r="U37" i="28"/>
  <c r="C11" i="34"/>
  <c r="V37" i="28"/>
  <c r="D11" i="34"/>
  <c r="W37" i="28"/>
  <c r="E11" i="34"/>
  <c r="X37" i="28"/>
  <c r="Y37" i="28"/>
  <c r="Z37" i="28"/>
  <c r="U36" i="28"/>
  <c r="V36" i="28"/>
  <c r="W36" i="28"/>
  <c r="X36" i="28"/>
  <c r="Y36" i="28"/>
  <c r="B11" i="47"/>
  <c r="U33" i="28"/>
  <c r="C11" i="47"/>
  <c r="V33" i="28"/>
  <c r="D11" i="47"/>
  <c r="W33" i="28"/>
  <c r="Y33" i="28"/>
  <c r="U34" i="28"/>
  <c r="V34" i="28"/>
  <c r="W34" i="28"/>
  <c r="X34" i="28"/>
  <c r="Y34" i="28"/>
  <c r="F10" i="47"/>
  <c r="G10" i="47"/>
  <c r="I11" i="48"/>
  <c r="F9" i="47"/>
  <c r="G9" i="47"/>
  <c r="F7" i="48"/>
  <c r="H12" i="48"/>
  <c r="F12" i="48"/>
  <c r="G12" i="48"/>
  <c r="D13" i="48"/>
  <c r="W32" i="28"/>
  <c r="E13" i="48"/>
  <c r="X32" i="28"/>
  <c r="B13" i="48"/>
  <c r="U32" i="28"/>
  <c r="C13" i="48"/>
  <c r="V32" i="28"/>
  <c r="Y32" i="28"/>
  <c r="F13" i="48"/>
  <c r="F9" i="48"/>
  <c r="G9" i="48"/>
  <c r="F10" i="48"/>
  <c r="G10" i="48"/>
  <c r="U31" i="28"/>
  <c r="V31" i="28"/>
  <c r="W31" i="28"/>
  <c r="X31" i="28"/>
  <c r="Y31" i="28"/>
  <c r="Z31" i="28"/>
  <c r="G31" i="28"/>
  <c r="H36" i="28"/>
  <c r="H31" i="28"/>
  <c r="I31" i="28"/>
  <c r="J31" i="28"/>
  <c r="F31" i="28"/>
  <c r="B15" i="30"/>
  <c r="B20" i="30"/>
  <c r="U27" i="28"/>
  <c r="C20" i="30"/>
  <c r="V27" i="28"/>
  <c r="D20" i="30"/>
  <c r="W27" i="28"/>
  <c r="E20" i="30"/>
  <c r="X27" i="28"/>
  <c r="Y27" i="28"/>
  <c r="Z27" i="28"/>
  <c r="F26" i="32"/>
  <c r="H16" i="30"/>
  <c r="I16" i="30"/>
  <c r="D10" i="5"/>
  <c r="G26" i="28"/>
  <c r="H26" i="28"/>
  <c r="I26" i="28"/>
  <c r="J26" i="28"/>
  <c r="B13" i="46"/>
  <c r="U29" i="28"/>
  <c r="U30" i="28"/>
  <c r="U26" i="28"/>
  <c r="C13" i="46"/>
  <c r="V29" i="28"/>
  <c r="V30" i="28"/>
  <c r="V26" i="28"/>
  <c r="D13" i="46"/>
  <c r="W29" i="28"/>
  <c r="W30" i="28"/>
  <c r="W26" i="28"/>
  <c r="E13" i="46"/>
  <c r="X29" i="28"/>
  <c r="X30" i="28"/>
  <c r="X26" i="28"/>
  <c r="Y29" i="28"/>
  <c r="Y30" i="28"/>
  <c r="Y26" i="28"/>
  <c r="Z29" i="28"/>
  <c r="Z30" i="28"/>
  <c r="Z26" i="28"/>
  <c r="F26" i="28"/>
  <c r="F15" i="30"/>
  <c r="F13" i="30"/>
  <c r="F12" i="30"/>
  <c r="F11" i="30"/>
  <c r="F20" i="30"/>
  <c r="F19" i="30"/>
  <c r="F18" i="30"/>
  <c r="F17" i="30"/>
  <c r="F7" i="30"/>
  <c r="H20" i="30"/>
  <c r="I20" i="30"/>
  <c r="H13" i="30"/>
  <c r="H15" i="30"/>
  <c r="B10" i="42"/>
  <c r="U23" i="28"/>
  <c r="C10" i="42"/>
  <c r="V23" i="28"/>
  <c r="W23" i="28"/>
  <c r="X23" i="28"/>
  <c r="Y23" i="28"/>
  <c r="B10" i="2"/>
  <c r="B13" i="2"/>
  <c r="C13" i="2"/>
  <c r="D13" i="2"/>
  <c r="E13" i="2"/>
  <c r="F7" i="44"/>
  <c r="G10" i="44"/>
  <c r="B10" i="44"/>
  <c r="G9" i="44"/>
  <c r="B9" i="44"/>
  <c r="F9" i="44"/>
  <c r="U24" i="28"/>
  <c r="V24" i="28"/>
  <c r="D20" i="43"/>
  <c r="D21" i="43"/>
  <c r="D22" i="43"/>
  <c r="W24" i="28"/>
  <c r="E14" i="43"/>
  <c r="E20" i="43"/>
  <c r="E21" i="43"/>
  <c r="E22" i="43"/>
  <c r="X24" i="28"/>
  <c r="Y24" i="28"/>
  <c r="F7" i="43"/>
  <c r="F22" i="43"/>
  <c r="G22" i="43"/>
  <c r="C20" i="43"/>
  <c r="C21" i="43"/>
  <c r="X21" i="28"/>
  <c r="W21" i="28"/>
  <c r="V21" i="28"/>
  <c r="U21" i="28"/>
  <c r="Y21" i="28"/>
  <c r="B11" i="65"/>
  <c r="U20" i="28"/>
  <c r="C11" i="65"/>
  <c r="V20" i="28"/>
  <c r="D11" i="65"/>
  <c r="W20" i="28"/>
  <c r="E11" i="65"/>
  <c r="X20" i="28"/>
  <c r="Y20" i="28"/>
  <c r="Y15" i="28"/>
  <c r="X15" i="28"/>
  <c r="W15" i="28"/>
  <c r="V15" i="28"/>
  <c r="U15" i="28"/>
  <c r="B2" i="36"/>
  <c r="F11" i="65"/>
  <c r="A16" i="28"/>
  <c r="A17" i="28"/>
  <c r="A18" i="28"/>
  <c r="A19" i="28"/>
  <c r="A20" i="28"/>
  <c r="F10" i="33"/>
  <c r="J15" i="28"/>
  <c r="I15" i="28"/>
  <c r="H15" i="28"/>
  <c r="G15" i="28"/>
  <c r="F15" i="28"/>
  <c r="F17" i="17"/>
  <c r="G17" i="17"/>
  <c r="F13" i="2"/>
  <c r="F7" i="2"/>
  <c r="G13" i="2"/>
  <c r="B15" i="7"/>
  <c r="C15" i="7"/>
  <c r="D15" i="7"/>
  <c r="E9" i="7"/>
  <c r="E15" i="7"/>
  <c r="B7" i="7"/>
  <c r="D7" i="7"/>
  <c r="F7" i="7"/>
  <c r="J16" i="7"/>
  <c r="I16" i="7"/>
  <c r="F15" i="7"/>
  <c r="G15" i="7"/>
  <c r="H16" i="7"/>
  <c r="D6" i="68"/>
  <c r="D6" i="60"/>
  <c r="D6" i="14"/>
  <c r="D6" i="59"/>
  <c r="D6" i="58"/>
  <c r="D6" i="35"/>
  <c r="D6" i="57"/>
  <c r="D6" i="63"/>
  <c r="D6" i="56"/>
  <c r="D6" i="67"/>
  <c r="D6" i="55"/>
  <c r="D6" i="54"/>
  <c r="D6" i="53"/>
  <c r="D6" i="51"/>
  <c r="D6" i="50"/>
  <c r="D6" i="49"/>
  <c r="D6" i="37"/>
  <c r="D6" i="48"/>
  <c r="D6" i="47"/>
  <c r="D6" i="34"/>
  <c r="D6" i="11"/>
  <c r="D6" i="9"/>
  <c r="D6" i="66"/>
  <c r="D6" i="46"/>
  <c r="D6" i="32"/>
  <c r="D6" i="30"/>
  <c r="D6" i="44"/>
  <c r="D6" i="43"/>
  <c r="D6" i="42"/>
  <c r="D6" i="41"/>
  <c r="D6" i="17"/>
  <c r="D6" i="36"/>
  <c r="D6" i="65"/>
  <c r="D6" i="33"/>
  <c r="D6" i="6"/>
  <c r="D6" i="2"/>
  <c r="D6" i="62"/>
  <c r="D6" i="8"/>
  <c r="D6" i="13"/>
  <c r="D6" i="15"/>
  <c r="D6" i="29"/>
  <c r="D6" i="7"/>
  <c r="D6" i="5"/>
  <c r="A23" i="28"/>
  <c r="A27" i="28"/>
  <c r="A32" i="28"/>
  <c r="A39" i="28"/>
  <c r="A46" i="28"/>
  <c r="A49" i="28"/>
  <c r="A55" i="28"/>
  <c r="A50" i="28"/>
  <c r="A51" i="28"/>
  <c r="A52" i="28"/>
  <c r="A53" i="28"/>
  <c r="A47" i="28"/>
  <c r="A40" i="28"/>
  <c r="A41" i="28"/>
  <c r="A42" i="28"/>
  <c r="A43" i="28"/>
  <c r="A44" i="28"/>
  <c r="A33" i="28"/>
  <c r="A34" i="28"/>
  <c r="A35" i="28"/>
  <c r="A36" i="28"/>
  <c r="A37" i="28"/>
  <c r="A28" i="28"/>
  <c r="A29" i="28"/>
  <c r="A30" i="28"/>
  <c r="A24" i="28"/>
  <c r="A25" i="28"/>
  <c r="A21" i="28"/>
  <c r="A14" i="28"/>
  <c r="A4" i="28"/>
  <c r="A5" i="28"/>
  <c r="A6" i="28"/>
  <c r="A7" i="28"/>
  <c r="A8" i="28"/>
  <c r="A9" i="28"/>
  <c r="E9" i="62"/>
  <c r="C17" i="8"/>
  <c r="C20" i="8"/>
  <c r="C23" i="8"/>
  <c r="C26" i="8"/>
  <c r="C27" i="8"/>
  <c r="B7" i="29"/>
  <c r="D7" i="13"/>
  <c r="B7" i="13"/>
  <c r="B10" i="13"/>
  <c r="C10" i="13"/>
  <c r="D10" i="13"/>
  <c r="E10" i="13"/>
  <c r="F10" i="13"/>
  <c r="F7" i="13"/>
  <c r="B17" i="29"/>
  <c r="B16" i="29"/>
  <c r="B18" i="29"/>
  <c r="L21" i="7"/>
  <c r="L20" i="7"/>
  <c r="B13" i="62"/>
  <c r="B12" i="15"/>
  <c r="F9" i="67"/>
  <c r="G9" i="67"/>
  <c r="F10" i="67"/>
  <c r="G10" i="67"/>
  <c r="F11" i="67"/>
  <c r="G11" i="67"/>
  <c r="G12" i="67"/>
  <c r="F14" i="67"/>
  <c r="G14" i="67"/>
  <c r="G13" i="67"/>
  <c r="H15" i="67"/>
  <c r="B4" i="67"/>
  <c r="B3" i="67"/>
  <c r="B2" i="67"/>
  <c r="I16" i="53"/>
  <c r="G29" i="33"/>
  <c r="G30" i="33"/>
  <c r="G31" i="33"/>
  <c r="G32" i="33"/>
  <c r="B30" i="33"/>
  <c r="B32" i="33"/>
  <c r="H15" i="7"/>
  <c r="B11" i="29"/>
  <c r="K21" i="40"/>
  <c r="K22" i="40"/>
  <c r="F9" i="41"/>
  <c r="I10" i="13"/>
  <c r="X60" i="28"/>
  <c r="E11" i="14"/>
  <c r="X58" i="28"/>
  <c r="H6" i="51"/>
  <c r="H7" i="51"/>
  <c r="F10" i="29"/>
  <c r="C11" i="29"/>
  <c r="D11" i="29"/>
  <c r="E11" i="29"/>
  <c r="B11" i="14"/>
  <c r="U58" i="28"/>
  <c r="B10" i="36"/>
  <c r="U55" i="28"/>
  <c r="U54" i="28"/>
  <c r="C10" i="36"/>
  <c r="D10" i="36"/>
  <c r="E10" i="36"/>
  <c r="F13" i="33"/>
  <c r="K13" i="55"/>
  <c r="F10" i="55"/>
  <c r="F11" i="55"/>
  <c r="J8" i="55"/>
  <c r="H13" i="55"/>
  <c r="I13" i="55"/>
  <c r="F12" i="55"/>
  <c r="C13" i="55"/>
  <c r="V46" i="28" s="1"/>
  <c r="B7" i="55"/>
  <c r="B5" i="55"/>
  <c r="B4" i="55"/>
  <c r="B3" i="55"/>
  <c r="B2" i="55"/>
  <c r="B1" i="55"/>
  <c r="H18" i="17"/>
  <c r="K30" i="40"/>
  <c r="K29" i="40"/>
  <c r="L10" i="35"/>
  <c r="L9" i="35"/>
  <c r="H12" i="35"/>
  <c r="K12" i="35"/>
  <c r="L12" i="35"/>
  <c r="H13" i="35"/>
  <c r="L13" i="35"/>
  <c r="L14" i="35"/>
  <c r="F10" i="35"/>
  <c r="F9" i="35"/>
  <c r="F12" i="35"/>
  <c r="F13" i="35"/>
  <c r="F14" i="35"/>
  <c r="I15" i="35"/>
  <c r="I13" i="57"/>
  <c r="K13" i="57" s="1"/>
  <c r="H13" i="57"/>
  <c r="J14" i="35"/>
  <c r="K14" i="35"/>
  <c r="H14" i="35"/>
  <c r="I14" i="35"/>
  <c r="M14" i="35"/>
  <c r="G9" i="35"/>
  <c r="G10" i="35"/>
  <c r="G12" i="35"/>
  <c r="G13" i="35"/>
  <c r="G14" i="35"/>
  <c r="F9" i="57"/>
  <c r="F10" i="57"/>
  <c r="G10" i="57"/>
  <c r="F11" i="58"/>
  <c r="F12" i="58"/>
  <c r="G13" i="58"/>
  <c r="J9" i="58"/>
  <c r="J10" i="58"/>
  <c r="J11" i="58"/>
  <c r="J12" i="58"/>
  <c r="J13" i="58"/>
  <c r="I13" i="58"/>
  <c r="H13" i="58"/>
  <c r="B1" i="35"/>
  <c r="B7" i="68"/>
  <c r="B5" i="68"/>
  <c r="B4" i="68"/>
  <c r="B2" i="68"/>
  <c r="B3" i="68"/>
  <c r="B1" i="68"/>
  <c r="B7" i="60"/>
  <c r="B11" i="68"/>
  <c r="C11" i="68"/>
  <c r="D11" i="68"/>
  <c r="E11" i="68"/>
  <c r="F11" i="68"/>
  <c r="F9" i="68"/>
  <c r="B7" i="14"/>
  <c r="G15" i="59"/>
  <c r="H15" i="59"/>
  <c r="B7" i="59"/>
  <c r="U60" i="28"/>
  <c r="V60" i="28"/>
  <c r="W60" i="28"/>
  <c r="F7" i="68"/>
  <c r="B7" i="58"/>
  <c r="B7" i="35"/>
  <c r="B7" i="57"/>
  <c r="F7" i="56"/>
  <c r="B7" i="56"/>
  <c r="B7" i="63"/>
  <c r="F19" i="63"/>
  <c r="G19" i="63"/>
  <c r="F7" i="67"/>
  <c r="B7" i="67"/>
  <c r="F13" i="67"/>
  <c r="F15" i="67"/>
  <c r="E15" i="67"/>
  <c r="D15" i="67"/>
  <c r="C15" i="67"/>
  <c r="B15" i="67"/>
  <c r="B5" i="67"/>
  <c r="B1" i="67"/>
  <c r="B1" i="56"/>
  <c r="B7" i="54"/>
  <c r="B7" i="53"/>
  <c r="B7" i="51"/>
  <c r="B1" i="54"/>
  <c r="B1" i="51"/>
  <c r="B1" i="50"/>
  <c r="B1" i="49"/>
  <c r="B1" i="37"/>
  <c r="B1" i="48"/>
  <c r="F7" i="50"/>
  <c r="F10" i="50"/>
  <c r="B7" i="50"/>
  <c r="B7" i="49"/>
  <c r="B7" i="37"/>
  <c r="B7" i="48"/>
  <c r="F7" i="47"/>
  <c r="F11" i="47"/>
  <c r="G11" i="47"/>
  <c r="B7" i="47"/>
  <c r="B1" i="47"/>
  <c r="B7" i="34"/>
  <c r="B7" i="11"/>
  <c r="B1" i="11"/>
  <c r="B7" i="9"/>
  <c r="B1" i="9"/>
  <c r="F9" i="66"/>
  <c r="F10" i="66"/>
  <c r="F11" i="66"/>
  <c r="F12" i="66"/>
  <c r="F13" i="66"/>
  <c r="B7" i="66"/>
  <c r="B5" i="66"/>
  <c r="B4" i="66"/>
  <c r="B3" i="66"/>
  <c r="B2" i="66"/>
  <c r="F7" i="46"/>
  <c r="F9" i="46"/>
  <c r="F10" i="46"/>
  <c r="F11" i="46"/>
  <c r="F12" i="46"/>
  <c r="F13" i="46"/>
  <c r="G13" i="46"/>
  <c r="B7" i="46"/>
  <c r="E13" i="66"/>
  <c r="D13" i="66"/>
  <c r="C13" i="66"/>
  <c r="B13" i="66"/>
  <c r="B1" i="66"/>
  <c r="B7" i="32"/>
  <c r="G20" i="30"/>
  <c r="B7" i="30"/>
  <c r="B7" i="44"/>
  <c r="B7" i="43"/>
  <c r="F7" i="42"/>
  <c r="B7" i="42"/>
  <c r="B7" i="41"/>
  <c r="B1" i="17"/>
  <c r="B7" i="17"/>
  <c r="B7" i="36"/>
  <c r="G11" i="65"/>
  <c r="B7" i="65"/>
  <c r="B5" i="65"/>
  <c r="B4" i="65"/>
  <c r="B3" i="65"/>
  <c r="B2" i="65"/>
  <c r="B1" i="65"/>
  <c r="H52" i="40"/>
  <c r="C7" i="40"/>
  <c r="C1" i="40"/>
  <c r="F15" i="33"/>
  <c r="G13" i="33"/>
  <c r="B7" i="33"/>
  <c r="B1" i="33"/>
  <c r="B1" i="6"/>
  <c r="B7" i="2"/>
  <c r="K9" i="2"/>
  <c r="K10" i="2"/>
  <c r="K11" i="2"/>
  <c r="K12" i="2"/>
  <c r="B1" i="2"/>
  <c r="F7" i="62"/>
  <c r="B7" i="62"/>
  <c r="B7" i="8"/>
  <c r="B7" i="15"/>
  <c r="B7" i="5"/>
  <c r="F11" i="5"/>
  <c r="I18" i="11"/>
  <c r="E12" i="44"/>
  <c r="X25" i="28"/>
  <c r="B12" i="44"/>
  <c r="U25" i="28"/>
  <c r="C12" i="44"/>
  <c r="V25" i="28"/>
  <c r="D12" i="44"/>
  <c r="W25" i="28"/>
  <c r="F11" i="32"/>
  <c r="I14" i="32"/>
  <c r="J14" i="32"/>
  <c r="G12" i="32"/>
  <c r="F14" i="32"/>
  <c r="G14" i="32"/>
  <c r="F9" i="32"/>
  <c r="G9" i="32"/>
  <c r="F10" i="32"/>
  <c r="G10" i="32"/>
  <c r="F24" i="32"/>
  <c r="G24" i="32"/>
  <c r="I19" i="32"/>
  <c r="F19" i="32"/>
  <c r="G21" i="32"/>
  <c r="F22" i="32"/>
  <c r="G22" i="32"/>
  <c r="G20" i="32"/>
  <c r="F18" i="32"/>
  <c r="G18" i="32"/>
  <c r="G15" i="32"/>
  <c r="F7" i="11"/>
  <c r="B19" i="63"/>
  <c r="C19" i="63"/>
  <c r="D19" i="63"/>
  <c r="E19" i="63"/>
  <c r="C14" i="56"/>
  <c r="D14" i="56"/>
  <c r="E14" i="56"/>
  <c r="K17" i="63"/>
  <c r="H19" i="63"/>
  <c r="C12" i="15"/>
  <c r="D12" i="15"/>
  <c r="B11" i="8"/>
  <c r="U8" i="28"/>
  <c r="C11" i="8"/>
  <c r="V8" i="28"/>
  <c r="D11" i="8"/>
  <c r="W8" i="28"/>
  <c r="E11" i="8"/>
  <c r="X8" i="28"/>
  <c r="C13" i="62"/>
  <c r="D13" i="62"/>
  <c r="E13" i="62"/>
  <c r="B14" i="5"/>
  <c r="U3" i="28"/>
  <c r="C14" i="5"/>
  <c r="V3" i="28"/>
  <c r="D14" i="5"/>
  <c r="W3" i="28"/>
  <c r="E14" i="5"/>
  <c r="X3" i="28"/>
  <c r="D9" i="30"/>
  <c r="H9" i="30"/>
  <c r="V55" i="28"/>
  <c r="V54" i="28"/>
  <c r="W55" i="28"/>
  <c r="W54" i="28"/>
  <c r="X55" i="28"/>
  <c r="X54" i="28"/>
  <c r="B14" i="43"/>
  <c r="C14" i="43"/>
  <c r="D14" i="43"/>
  <c r="V22" i="28"/>
  <c r="W22" i="28"/>
  <c r="C11" i="14"/>
  <c r="V58" i="28"/>
  <c r="D11" i="14"/>
  <c r="W58" i="28"/>
  <c r="F9" i="14"/>
  <c r="G9" i="14"/>
  <c r="G21" i="43"/>
  <c r="B20" i="43"/>
  <c r="B21" i="43"/>
  <c r="H20" i="43"/>
  <c r="H14" i="43"/>
  <c r="G13" i="43"/>
  <c r="G12" i="43"/>
  <c r="G11" i="43"/>
  <c r="B5" i="43"/>
  <c r="B4" i="43"/>
  <c r="B3" i="43"/>
  <c r="B2" i="43"/>
  <c r="B1" i="43"/>
  <c r="B20" i="59"/>
  <c r="C20" i="59"/>
  <c r="D20" i="59"/>
  <c r="E20" i="59"/>
  <c r="F20" i="59"/>
  <c r="G20" i="59"/>
  <c r="F17" i="59"/>
  <c r="F18" i="59"/>
  <c r="F19" i="59"/>
  <c r="H20" i="59"/>
  <c r="G19" i="59"/>
  <c r="G18" i="59"/>
  <c r="F9" i="59"/>
  <c r="G9" i="59"/>
  <c r="F16" i="53"/>
  <c r="G16" i="53"/>
  <c r="F11" i="50"/>
  <c r="G13" i="54"/>
  <c r="G11" i="54"/>
  <c r="G10" i="54"/>
  <c r="G9" i="54"/>
  <c r="F13" i="51"/>
  <c r="F12" i="51"/>
  <c r="F11" i="51"/>
  <c r="F10" i="51"/>
  <c r="F9" i="51"/>
  <c r="B5" i="51"/>
  <c r="B4" i="51"/>
  <c r="B3" i="51"/>
  <c r="B2" i="51"/>
  <c r="F10" i="37"/>
  <c r="B5" i="48"/>
  <c r="B4" i="48"/>
  <c r="B3" i="48"/>
  <c r="B2" i="48"/>
  <c r="F10" i="44"/>
  <c r="F9" i="36"/>
  <c r="F14" i="33"/>
  <c r="F9" i="42"/>
  <c r="G9" i="42"/>
  <c r="G10" i="42"/>
  <c r="J16" i="40"/>
  <c r="J32" i="40"/>
  <c r="J35" i="40"/>
  <c r="J44" i="40"/>
  <c r="J48" i="40"/>
  <c r="J52" i="40"/>
  <c r="J53" i="40"/>
  <c r="J56" i="40"/>
  <c r="G9" i="40"/>
  <c r="G10" i="40"/>
  <c r="F27" i="6"/>
  <c r="F26" i="6"/>
  <c r="F25" i="6"/>
  <c r="G25" i="6"/>
  <c r="F24" i="6"/>
  <c r="G24" i="6"/>
  <c r="F22" i="6"/>
  <c r="F10" i="2"/>
  <c r="F9" i="2"/>
  <c r="F11" i="2"/>
  <c r="F12" i="2"/>
  <c r="F21" i="6"/>
  <c r="F20" i="6"/>
  <c r="F18" i="6"/>
  <c r="G18" i="6"/>
  <c r="I5" i="7"/>
  <c r="F9" i="8"/>
  <c r="F11" i="15"/>
  <c r="F9" i="15"/>
  <c r="A26" i="34"/>
  <c r="A27" i="34"/>
  <c r="A28" i="34"/>
  <c r="A24" i="34"/>
  <c r="A21" i="34"/>
  <c r="J13" i="2"/>
  <c r="I13" i="2"/>
  <c r="K13" i="2"/>
  <c r="D25" i="33"/>
  <c r="C25" i="33"/>
  <c r="B25" i="33"/>
  <c r="E25" i="33"/>
  <c r="E24" i="33"/>
  <c r="E23" i="33"/>
  <c r="E22" i="33"/>
  <c r="E21" i="33"/>
  <c r="E20" i="33"/>
  <c r="B5" i="33"/>
  <c r="B4" i="33"/>
  <c r="B3" i="33"/>
  <c r="B2" i="33"/>
  <c r="B5" i="6"/>
  <c r="B4" i="6"/>
  <c r="B3" i="6"/>
  <c r="B2" i="6"/>
  <c r="F15" i="17"/>
  <c r="F14" i="17"/>
  <c r="F13" i="17"/>
  <c r="F12" i="17"/>
  <c r="F11" i="17"/>
  <c r="F10" i="17"/>
  <c r="F9" i="17"/>
  <c r="B5" i="17"/>
  <c r="B4" i="17"/>
  <c r="B3" i="17"/>
  <c r="F14" i="49"/>
  <c r="F13" i="49"/>
  <c r="F12" i="49"/>
  <c r="F11" i="49"/>
  <c r="F10" i="49"/>
  <c r="F9" i="49"/>
  <c r="B5" i="49"/>
  <c r="B4" i="49"/>
  <c r="B3" i="49"/>
  <c r="B2" i="49"/>
  <c r="B5" i="47"/>
  <c r="B4" i="47"/>
  <c r="B3" i="47"/>
  <c r="B2" i="47"/>
  <c r="B5" i="56"/>
  <c r="B4" i="56"/>
  <c r="B3" i="56"/>
  <c r="B2" i="56"/>
  <c r="B5" i="63"/>
  <c r="B4" i="63"/>
  <c r="B3" i="63"/>
  <c r="B2" i="63"/>
  <c r="B1" i="63"/>
  <c r="B5" i="57"/>
  <c r="B4" i="57"/>
  <c r="B3" i="57"/>
  <c r="B2" i="57"/>
  <c r="B1" i="57"/>
  <c r="B5" i="35"/>
  <c r="B4" i="35"/>
  <c r="B3" i="35"/>
  <c r="B2" i="35"/>
  <c r="F13" i="58"/>
  <c r="B5" i="58"/>
  <c r="B4" i="58"/>
  <c r="B3" i="58"/>
  <c r="B2" i="58"/>
  <c r="B1" i="58"/>
  <c r="F10" i="8"/>
  <c r="B4" i="8"/>
  <c r="B3" i="8"/>
  <c r="B2" i="8"/>
  <c r="B5" i="54"/>
  <c r="B4" i="54"/>
  <c r="B3" i="54"/>
  <c r="B2" i="54"/>
  <c r="I9" i="8"/>
  <c r="B5" i="59"/>
  <c r="B4" i="59"/>
  <c r="B3" i="59"/>
  <c r="B2" i="59"/>
  <c r="B1" i="59"/>
  <c r="F10" i="34"/>
  <c r="H10" i="34"/>
  <c r="H9" i="34"/>
  <c r="I14" i="34"/>
  <c r="I13" i="34"/>
  <c r="F9" i="34"/>
  <c r="F9" i="50"/>
  <c r="F10" i="62"/>
  <c r="F11" i="62"/>
  <c r="F13" i="62"/>
  <c r="B5" i="62"/>
  <c r="B4" i="62"/>
  <c r="B3" i="62"/>
  <c r="B2" i="62"/>
  <c r="B1" i="62"/>
  <c r="F9" i="62"/>
  <c r="G55" i="28"/>
  <c r="J55" i="28"/>
  <c r="J54" i="28"/>
  <c r="J8" i="28"/>
  <c r="F8" i="28"/>
  <c r="F10" i="28"/>
  <c r="F12" i="28"/>
  <c r="F22" i="28"/>
  <c r="J12" i="28"/>
  <c r="J22" i="28"/>
  <c r="J45" i="28"/>
  <c r="H12" i="28"/>
  <c r="H22" i="28"/>
  <c r="H45" i="28"/>
  <c r="H54" i="28"/>
  <c r="G13" i="28"/>
  <c r="G12" i="28"/>
  <c r="G22" i="28"/>
  <c r="G45" i="28"/>
  <c r="F38" i="28"/>
  <c r="F45" i="28"/>
  <c r="F54" i="28"/>
  <c r="I12" i="28"/>
  <c r="I22" i="28"/>
  <c r="I45" i="28"/>
  <c r="I48" i="28"/>
  <c r="I54" i="28"/>
  <c r="J3" i="28"/>
  <c r="J61" i="28"/>
  <c r="H10" i="28"/>
  <c r="H61" i="28"/>
  <c r="G10" i="28"/>
  <c r="F61" i="28"/>
  <c r="B5" i="14"/>
  <c r="B5" i="60"/>
  <c r="B4" i="60"/>
  <c r="B3" i="60"/>
  <c r="B2" i="60"/>
  <c r="B1" i="60"/>
  <c r="B2" i="14"/>
  <c r="B1" i="14"/>
  <c r="B3" i="53"/>
  <c r="B2" i="53"/>
  <c r="B5" i="53"/>
  <c r="B4" i="53"/>
  <c r="B1" i="53"/>
  <c r="B5" i="50"/>
  <c r="B4" i="50"/>
  <c r="B3" i="50"/>
  <c r="B2" i="50"/>
  <c r="I10" i="28"/>
  <c r="B5" i="34"/>
  <c r="B4" i="34"/>
  <c r="B3" i="34"/>
  <c r="B2" i="34"/>
  <c r="B1" i="34"/>
  <c r="AB54" i="28"/>
  <c r="AB38" i="28"/>
  <c r="AB45" i="28"/>
  <c r="AB48" i="28"/>
  <c r="B5" i="46"/>
  <c r="B4" i="46"/>
  <c r="B3" i="46"/>
  <c r="B2" i="46"/>
  <c r="B1" i="46"/>
  <c r="B5" i="32"/>
  <c r="B4" i="32"/>
  <c r="B3" i="32"/>
  <c r="B2" i="32"/>
  <c r="B1" i="32"/>
  <c r="B5" i="44"/>
  <c r="B4" i="44"/>
  <c r="B3" i="44"/>
  <c r="B2" i="44"/>
  <c r="F11" i="44"/>
  <c r="B1" i="44"/>
  <c r="B5" i="42"/>
  <c r="B3" i="42"/>
  <c r="B2" i="42"/>
  <c r="B1" i="42"/>
  <c r="B4" i="42"/>
  <c r="B5" i="41"/>
  <c r="B4" i="41"/>
  <c r="B3" i="41"/>
  <c r="B2" i="41"/>
  <c r="F10" i="41"/>
  <c r="B1" i="41"/>
  <c r="B1" i="36"/>
  <c r="B5" i="15"/>
  <c r="B4" i="15"/>
  <c r="B3" i="15"/>
  <c r="F9" i="29"/>
  <c r="F11" i="29"/>
  <c r="B5" i="29"/>
  <c r="B4" i="29"/>
  <c r="B3" i="29"/>
  <c r="B2" i="29"/>
  <c r="B5" i="5"/>
  <c r="B3" i="5"/>
  <c r="B1" i="5"/>
  <c r="B2" i="7"/>
  <c r="B2" i="5"/>
  <c r="O19" i="34"/>
  <c r="O25" i="34"/>
  <c r="F10" i="5"/>
  <c r="F9" i="5"/>
  <c r="F23" i="32"/>
  <c r="G13" i="32"/>
  <c r="G17" i="32"/>
  <c r="F16" i="32"/>
  <c r="G16" i="32"/>
  <c r="G25" i="32"/>
  <c r="G11" i="32"/>
  <c r="B5" i="36"/>
  <c r="B4" i="36"/>
  <c r="B3" i="36"/>
  <c r="F10" i="36"/>
  <c r="B1" i="30"/>
  <c r="B1" i="7"/>
  <c r="B1" i="15"/>
  <c r="B1" i="29"/>
  <c r="R5" i="9"/>
  <c r="F14" i="5"/>
  <c r="G61" i="28"/>
  <c r="F11" i="14"/>
  <c r="F10" i="42"/>
  <c r="H11" i="11"/>
  <c r="F12" i="44"/>
  <c r="G23" i="32"/>
  <c r="G26" i="32"/>
  <c r="F20" i="43"/>
  <c r="G20" i="43"/>
  <c r="F17" i="53"/>
  <c r="F11" i="34"/>
  <c r="F7" i="35"/>
  <c r="H26" i="32"/>
  <c r="F7" i="63"/>
  <c r="D7" i="63"/>
  <c r="F12" i="15"/>
  <c r="G54" i="28"/>
  <c r="G56" i="28"/>
  <c r="F10" i="15"/>
  <c r="X22" i="28"/>
  <c r="J10" i="28"/>
  <c r="Y25" i="28"/>
  <c r="F9" i="30"/>
  <c r="AB31" i="28"/>
  <c r="AB22" i="28"/>
  <c r="D7" i="35"/>
  <c r="G12" i="15"/>
  <c r="I56" i="28"/>
  <c r="D7" i="56"/>
  <c r="Y3" i="28"/>
  <c r="D7" i="65"/>
  <c r="D7" i="54"/>
  <c r="D7" i="44"/>
  <c r="H10" i="8"/>
  <c r="Y8" i="28"/>
  <c r="F11" i="8"/>
  <c r="F7" i="51"/>
  <c r="G13" i="51"/>
  <c r="F7" i="60"/>
  <c r="F7" i="53"/>
  <c r="D7" i="50"/>
  <c r="Y58" i="28"/>
  <c r="F7" i="36"/>
  <c r="G9" i="36"/>
  <c r="J62" i="28"/>
  <c r="X38" i="28"/>
  <c r="U38" i="28"/>
  <c r="G62" i="28"/>
  <c r="H56" i="28"/>
  <c r="D7" i="15"/>
  <c r="D7" i="47"/>
  <c r="G13" i="11"/>
  <c r="I13" i="11"/>
  <c r="D7" i="11"/>
  <c r="H9" i="11"/>
  <c r="H13" i="11"/>
  <c r="G11" i="44"/>
  <c r="G12" i="44"/>
  <c r="AB26" i="28"/>
  <c r="H7" i="68"/>
  <c r="D7" i="68"/>
  <c r="G11" i="68"/>
  <c r="F7" i="34"/>
  <c r="F7" i="9"/>
  <c r="H62" i="28"/>
  <c r="J56" i="28"/>
  <c r="H7" i="59"/>
  <c r="W38" i="28"/>
  <c r="Y55" i="28"/>
  <c r="D7" i="30"/>
  <c r="H7" i="30"/>
  <c r="D7" i="43"/>
  <c r="F7" i="49"/>
  <c r="I62" i="28"/>
  <c r="F56" i="28"/>
  <c r="D7" i="33"/>
  <c r="Y60" i="28"/>
  <c r="U22" i="28"/>
  <c r="D7" i="42"/>
  <c r="V38" i="28"/>
  <c r="F62" i="28"/>
  <c r="D7" i="46"/>
  <c r="A15" i="7"/>
  <c r="X10" i="28"/>
  <c r="D7" i="62"/>
  <c r="G13" i="62"/>
  <c r="W10" i="28"/>
  <c r="U10" i="28"/>
  <c r="V10" i="28"/>
  <c r="K23" i="40"/>
  <c r="D7" i="67"/>
  <c r="D7" i="17"/>
  <c r="F7" i="14"/>
  <c r="D7" i="14"/>
  <c r="H7" i="60"/>
  <c r="F7" i="37"/>
  <c r="D7" i="37"/>
  <c r="D7" i="60"/>
  <c r="D7" i="36"/>
  <c r="G9" i="43"/>
  <c r="G14" i="43"/>
  <c r="D7" i="53"/>
  <c r="G17" i="53"/>
  <c r="D7" i="51"/>
  <c r="G10" i="36"/>
  <c r="F7" i="57"/>
  <c r="D7" i="57" s="1"/>
  <c r="F7" i="32"/>
  <c r="D7" i="32"/>
  <c r="Y54" i="28"/>
  <c r="Z54" i="28"/>
  <c r="G11" i="34"/>
  <c r="D7" i="34"/>
  <c r="Z60" i="28"/>
  <c r="D7" i="48"/>
  <c r="D7" i="9"/>
  <c r="G26" i="9"/>
  <c r="Y38" i="28"/>
  <c r="Y22" i="28"/>
  <c r="Y10" i="28"/>
  <c r="K31" i="40"/>
  <c r="L21" i="40"/>
  <c r="G10" i="37"/>
  <c r="Z22" i="28"/>
  <c r="K56" i="28"/>
  <c r="G11" i="14"/>
  <c r="H13" i="48"/>
  <c r="G13" i="48"/>
  <c r="Z38" i="28"/>
  <c r="D7" i="2"/>
  <c r="I15" i="7"/>
  <c r="H13" i="2"/>
  <c r="F7" i="8"/>
  <c r="G11" i="8"/>
  <c r="D7" i="8"/>
  <c r="Z4" i="28"/>
  <c r="F16" i="17"/>
  <c r="F18" i="17"/>
  <c r="G9" i="41"/>
  <c r="G10" i="41"/>
  <c r="D7" i="41"/>
  <c r="F7" i="66"/>
  <c r="G13" i="66"/>
  <c r="D7" i="66"/>
  <c r="F7" i="58"/>
  <c r="D7" i="58"/>
  <c r="R56" i="28"/>
  <c r="F7" i="59"/>
  <c r="Z15" i="28"/>
  <c r="S56" i="28"/>
  <c r="T56" i="28"/>
  <c r="F7" i="5"/>
  <c r="D7" i="5"/>
  <c r="G14" i="5"/>
  <c r="D7" i="29"/>
  <c r="F7" i="29"/>
  <c r="O65" i="28"/>
  <c r="Z10" i="28"/>
  <c r="V12" i="28"/>
  <c r="W12" i="28"/>
  <c r="X12" i="28"/>
  <c r="F15" i="6"/>
  <c r="U14" i="28"/>
  <c r="Y14" i="28"/>
  <c r="Y12" i="28"/>
  <c r="U12" i="28"/>
  <c r="Z12" i="28"/>
  <c r="F13" i="57" l="1"/>
  <c r="G9" i="57"/>
  <c r="G13" i="57" s="1"/>
  <c r="G12" i="57"/>
  <c r="X48" i="28"/>
  <c r="Y50" i="28"/>
  <c r="Z50" i="28" s="1"/>
  <c r="Z48" i="28" s="1"/>
  <c r="W56" i="28"/>
  <c r="W62" i="28"/>
  <c r="U46" i="28"/>
  <c r="F13" i="55"/>
  <c r="F9" i="55"/>
  <c r="G13" i="55"/>
  <c r="J13" i="55" s="1"/>
  <c r="X45" i="28"/>
  <c r="X56" i="28" s="1"/>
  <c r="Y47" i="28"/>
  <c r="Z47" i="28"/>
  <c r="V45" i="28"/>
  <c r="S65" i="28"/>
  <c r="Y48" i="28" l="1"/>
  <c r="Y46" i="28"/>
  <c r="Z46" i="28" s="1"/>
  <c r="Z45" i="28" s="1"/>
  <c r="Z62" i="28" s="1"/>
  <c r="Z64" i="28" s="1"/>
  <c r="U45" i="28"/>
  <c r="X62" i="28"/>
  <c r="V56" i="28"/>
  <c r="V62" i="28"/>
  <c r="Y45" i="28" l="1"/>
  <c r="Y62" i="28" s="1"/>
  <c r="Y64" i="28" s="1"/>
  <c r="U62" i="28"/>
  <c r="U56" i="28"/>
  <c r="Y56" i="28" s="1"/>
  <c r="Z56" i="28" s="1"/>
  <c r="H15" i="6" l="1"/>
  <c r="J15" i="6"/>
  <c r="I15" i="6"/>
  <c r="G15" i="6"/>
</calcChain>
</file>

<file path=xl/sharedStrings.xml><?xml version="1.0" encoding="utf-8"?>
<sst xmlns="http://schemas.openxmlformats.org/spreadsheetml/2006/main" count="1855" uniqueCount="765">
  <si>
    <t>Lead Agency</t>
  </si>
  <si>
    <t>Police</t>
  </si>
  <si>
    <t>DOT</t>
  </si>
  <si>
    <t>MOED</t>
  </si>
  <si>
    <t>Notes</t>
  </si>
  <si>
    <t>Work to be done by Caesars</t>
  </si>
  <si>
    <t>BDC</t>
  </si>
  <si>
    <t>1-Time</t>
  </si>
  <si>
    <t>Phased in</t>
  </si>
  <si>
    <t>Ongoing</t>
  </si>
  <si>
    <t>Employment Connection Center</t>
  </si>
  <si>
    <t>Project Name:</t>
  </si>
  <si>
    <t>Projected Timeframe:</t>
  </si>
  <si>
    <t>LDC Ranking (Year 1):</t>
  </si>
  <si>
    <t>Budget Allocation:</t>
  </si>
  <si>
    <t>Actual Q1</t>
  </si>
  <si>
    <t>Actual Q2</t>
  </si>
  <si>
    <t xml:space="preserve">Actual Q3 </t>
  </si>
  <si>
    <t>Actual Q4</t>
  </si>
  <si>
    <t>Total To Date</t>
  </si>
  <si>
    <t>Balance Remaining</t>
  </si>
  <si>
    <t>Remarks:</t>
  </si>
  <si>
    <t>Sub-Task / Description:</t>
  </si>
  <si>
    <t>FY 2015</t>
  </si>
  <si>
    <t>Budget Year:</t>
  </si>
  <si>
    <t>Total</t>
  </si>
  <si>
    <t>Agency/Agencies:</t>
  </si>
  <si>
    <t>Planning</t>
  </si>
  <si>
    <t>Workforce Development Needs Assessment</t>
  </si>
  <si>
    <t>Enhanced Medic Services</t>
  </si>
  <si>
    <t>DOT plans to frontload the full funding</t>
  </si>
  <si>
    <t>Determine Impacts attributable to Casino</t>
  </si>
  <si>
    <t>To be funded from other sources</t>
  </si>
  <si>
    <t>Phase-in more funds in future years</t>
  </si>
  <si>
    <t>Timeframe</t>
  </si>
  <si>
    <t>Main St/Public Space upgrades in 7 areas</t>
  </si>
  <si>
    <t>Adj. down; incl. $100K Benefits Dist. Mgt. Plan</t>
  </si>
  <si>
    <t>NA</t>
  </si>
  <si>
    <t>Q1</t>
  </si>
  <si>
    <t xml:space="preserve">Remarks: </t>
  </si>
  <si>
    <t>1) Consultant services</t>
  </si>
  <si>
    <t>Q2</t>
  </si>
  <si>
    <t>Year 1</t>
  </si>
  <si>
    <t>TARGETED INITIATIVES</t>
  </si>
  <si>
    <t>3-5 Years</t>
  </si>
  <si>
    <t>Fire Dept./EMS</t>
  </si>
  <si>
    <t>7/1/14 - 12/31/14</t>
  </si>
  <si>
    <t>5B</t>
  </si>
  <si>
    <t>5A</t>
  </si>
  <si>
    <t>Mayor's Office END, BDC</t>
  </si>
  <si>
    <t>6A</t>
  </si>
  <si>
    <t>5D</t>
  </si>
  <si>
    <t>5C</t>
  </si>
  <si>
    <t xml:space="preserve">Complete Streets Phase 1--The Plan </t>
  </si>
  <si>
    <t xml:space="preserve">Additional Police Coverage </t>
  </si>
  <si>
    <t>Community Enhancement Projects</t>
  </si>
  <si>
    <t>Q3</t>
  </si>
  <si>
    <t>Q4</t>
  </si>
  <si>
    <t>Total Spending</t>
  </si>
  <si>
    <t>Remarks</t>
  </si>
  <si>
    <t>1B</t>
  </si>
  <si>
    <t>1A</t>
  </si>
  <si>
    <t>14A</t>
  </si>
  <si>
    <t xml:space="preserve">Ongoing </t>
  </si>
  <si>
    <t>BOPA</t>
  </si>
  <si>
    <t>Middle Branch Waterfront Plan/Study</t>
  </si>
  <si>
    <t>Permanent Full-time</t>
  </si>
  <si>
    <t>Overtime -- Sworn Personnel</t>
  </si>
  <si>
    <t>Incl. above</t>
  </si>
  <si>
    <t>Street Tree Planting</t>
  </si>
  <si>
    <t>Multi-Year</t>
  </si>
  <si>
    <t>FY'15 Carry Fwd</t>
  </si>
  <si>
    <t xml:space="preserve">2) Task 2:  Inventory of Streets </t>
  </si>
  <si>
    <t>3) Task 3: Parking Study, So. Baltimore</t>
  </si>
  <si>
    <t xml:space="preserve">4) Task 4: Analysis &amp; Final Report </t>
  </si>
  <si>
    <t>1) Task 1: Public Outreach, Assessment</t>
  </si>
  <si>
    <t>SUB-TOTAL</t>
  </si>
  <si>
    <t>TOTAL</t>
  </si>
  <si>
    <r>
      <rPr>
        <b/>
        <sz val="10"/>
        <color theme="1"/>
        <rFont val="Calibri"/>
        <family val="2"/>
        <scheme val="minor"/>
      </rPr>
      <t>January 2016</t>
    </r>
    <r>
      <rPr>
        <sz val="10"/>
        <color theme="1"/>
        <rFont val="Calibri"/>
        <family val="2"/>
        <scheme val="minor"/>
      </rPr>
      <t xml:space="preserve"> -- Based on current operations after 6 months, there appears to be a projected savings or surplus in this budgeted item of $25,000, which could be reallocated, potentially to cover a projected deficit in operating the Enhanced Medic/EMS Services of a similar amount.</t>
    </r>
  </si>
  <si>
    <r>
      <t>Status/Update (1/29/16):</t>
    </r>
    <r>
      <rPr>
        <sz val="10"/>
        <color theme="1"/>
        <rFont val="Calibri"/>
        <family val="2"/>
        <scheme val="minor"/>
      </rPr>
      <t xml:space="preserve"> Meetings are currently scheduled for DOT and consultants to report back to community groups.  The meetings scheduled for the week of January 29, 2016 were rescheduled due to the snow emergency in accordance with DOT weather policy.  Task 2, inventory is currently 80% complete for field work for the entire area.  Field work is expected to be completed within the next 4 to 6 weeks weather dependent.  DOT is meeting with City Agencies regarding CIP and planned projects in the area.
</t>
    </r>
  </si>
  <si>
    <r>
      <t>Status/Update (7/27/15):</t>
    </r>
    <r>
      <rPr>
        <sz val="10"/>
        <color theme="1"/>
        <rFont val="Calibri"/>
        <family val="2"/>
        <scheme val="minor"/>
      </rPr>
      <t xml:space="preserve"> The CSP scope has been modified as requested to meet the revised revenue projections for FY15 and FY16. The original intent is the same, but the scope is separated into its component parts: Outreach, Inventory (a physical conditions survey of the entire area), Parking Study for South Baltimore Peninsula, Analysis and Final Plan. The revised contract for the first two tasks has been approved by Finance for carry-forward of FY'15 funds and submitted for BOE approval. Task 1 (Outreach) was been approved in July and can resume. Approval by BOE of Task 2 (Inventory) is expected imminently. Under Outreach, DOT met with 13 of 17 neighborhoods. Under the revised scope, there will be an interim report or chapter at the end of each task so that information is available to the LDC in decision-making before completing the final plan.  </t>
    </r>
    <r>
      <rPr>
        <i/>
        <sz val="10"/>
        <color theme="1"/>
        <rFont val="Calibri"/>
        <family val="2"/>
        <scheme val="minor"/>
      </rPr>
      <t>(Continued next page)</t>
    </r>
  </si>
  <si>
    <r>
      <rPr>
        <b/>
        <sz val="10"/>
        <color theme="1"/>
        <rFont val="Calibri"/>
        <family val="2"/>
        <scheme val="minor"/>
      </rPr>
      <t xml:space="preserve">Status/Update (3/31/16): </t>
    </r>
    <r>
      <rPr>
        <sz val="10"/>
        <color theme="1"/>
        <rFont val="Calibri"/>
        <family val="2"/>
        <scheme val="minor"/>
      </rPr>
      <t>The community meetings have been held for Draft Chapters with the exception of Riverside scheduled for April 25, 2016. Tasks 3 &amp; 4 (Parking Study and Final Analysis/Report) are going through procurement, but NTP has not been given. DOT expects to finish the CSP by 30-June-16.</t>
    </r>
  </si>
  <si>
    <t>2) Restore Cherry Hill Mural</t>
  </si>
  <si>
    <t>Calls/day in Q4</t>
  </si>
  <si>
    <t>Calls/day in Fy16</t>
  </si>
  <si>
    <r>
      <t>·</t>
    </r>
    <r>
      <rPr>
        <sz val="7"/>
        <color theme="1"/>
        <rFont val="Times New Roman"/>
        <family val="1"/>
      </rPr>
      <t xml:space="preserve">         </t>
    </r>
    <r>
      <rPr>
        <sz val="12"/>
        <color theme="1"/>
        <rFont val="Calibri"/>
        <family val="2"/>
      </rPr>
      <t xml:space="preserve">06/13 – City Council Meeting - Introduction of Ordinance </t>
    </r>
  </si>
  <si>
    <r>
      <t>·</t>
    </r>
    <r>
      <rPr>
        <sz val="7"/>
        <color theme="1"/>
        <rFont val="Times New Roman"/>
        <family val="1"/>
      </rPr>
      <t xml:space="preserve">         </t>
    </r>
    <r>
      <rPr>
        <sz val="12"/>
        <color theme="1"/>
        <rFont val="Calibri"/>
        <family val="2"/>
      </rPr>
      <t>06/20 – City Council Meeting – Councilwoman Middleton will announce Urban Affairs &amp; Aging Committee Hearing for 07/14</t>
    </r>
  </si>
  <si>
    <r>
      <t>·</t>
    </r>
    <r>
      <rPr>
        <sz val="7"/>
        <color theme="1"/>
        <rFont val="Times New Roman"/>
        <family val="1"/>
      </rPr>
      <t xml:space="preserve">         </t>
    </r>
    <r>
      <rPr>
        <sz val="12"/>
        <color theme="1"/>
        <rFont val="Calibri"/>
        <family val="2"/>
      </rPr>
      <t>06/23 – Planning Commission Hearing</t>
    </r>
  </si>
  <si>
    <r>
      <t>·</t>
    </r>
    <r>
      <rPr>
        <sz val="7"/>
        <color theme="1"/>
        <rFont val="Times New Roman"/>
        <family val="1"/>
      </rPr>
      <t xml:space="preserve">         </t>
    </r>
    <r>
      <rPr>
        <sz val="12"/>
        <color theme="1"/>
        <rFont val="Calibri"/>
        <family val="2"/>
      </rPr>
      <t>07/14 – Urban Affairs &amp; Aging Committee Hearing</t>
    </r>
  </si>
  <si>
    <r>
      <t>·</t>
    </r>
    <r>
      <rPr>
        <sz val="7"/>
        <color theme="1"/>
        <rFont val="Times New Roman"/>
        <family val="1"/>
      </rPr>
      <t xml:space="preserve">         </t>
    </r>
    <r>
      <rPr>
        <sz val="12"/>
        <color theme="1"/>
        <rFont val="Calibri"/>
        <family val="2"/>
      </rPr>
      <t>07/18 – City Council Meeting – Second Reader</t>
    </r>
  </si>
  <si>
    <r>
      <t>·</t>
    </r>
    <r>
      <rPr>
        <sz val="7"/>
        <color theme="1"/>
        <rFont val="Times New Roman"/>
        <family val="1"/>
      </rPr>
      <t xml:space="preserve">         </t>
    </r>
    <r>
      <rPr>
        <sz val="12"/>
        <color theme="1"/>
        <rFont val="Calibri"/>
        <family val="2"/>
      </rPr>
      <t>08/15 – City Council Meeting – Third Reader</t>
    </r>
  </si>
  <si>
    <r>
      <t>·</t>
    </r>
    <r>
      <rPr>
        <sz val="7"/>
        <color theme="1"/>
        <rFont val="Times New Roman"/>
        <family val="1"/>
      </rPr>
      <t xml:space="preserve">         </t>
    </r>
    <r>
      <rPr>
        <sz val="12"/>
        <color theme="1"/>
        <rFont val="Calibri"/>
        <family val="2"/>
      </rPr>
      <t>08/16 or After – Signature by Mayor</t>
    </r>
  </si>
  <si>
    <t xml:space="preserve">2) Printing </t>
  </si>
  <si>
    <t>youth completed on-line registration and certification for YouthWorks:</t>
  </si>
  <si>
    <t>53 youth employed by H1Y employers (wages being paid by employers)</t>
  </si>
  <si>
    <t>43 youth declined or no show for the job assignment</t>
  </si>
  <si>
    <t>Cost for 292 YouthWorks jobs charged to LIG funds at $1500/worker</t>
  </si>
  <si>
    <t>No. of positions that can be funded with remaining funds at $1500/worker</t>
  </si>
  <si>
    <t>Working</t>
  </si>
  <si>
    <t>foster care youth wages being paid by DSS (non-LIG)</t>
  </si>
  <si>
    <t>youth currently employed from CIA-resident households -- ALL funding sources</t>
  </si>
  <si>
    <t>Youth placed at public sector worksites with LIG-fund support</t>
  </si>
  <si>
    <t>Balance of funds remaining</t>
  </si>
  <si>
    <t>Summer 2016 Funds Available:</t>
  </si>
  <si>
    <t>$550,000 = $150,000 Carried Forward from FY'16 + $400,000 appropriated in FY'17</t>
  </si>
  <si>
    <t>Foster care youth wages being paid by DSS (non-LIG)</t>
  </si>
  <si>
    <t xml:space="preserve">Youth currently employed from CIA-resident households -- ALL funding sources </t>
  </si>
  <si>
    <t>Youth completed on-line registration and certification for YouthWorks during Summer 2016</t>
  </si>
  <si>
    <t>Youth employed by H1Y employers (wages being paid by employers)</t>
  </si>
  <si>
    <t>Funding Available:</t>
  </si>
  <si>
    <t>Carroll-Camden Industrial CEP</t>
  </si>
  <si>
    <t>Federal Hill CEP</t>
  </si>
  <si>
    <t>South Baltimore Neighborhood CEP</t>
  </si>
  <si>
    <t>FY'15</t>
  </si>
  <si>
    <t>Community Enhancement Projects:</t>
  </si>
  <si>
    <t>FY'16</t>
  </si>
  <si>
    <t>Additional appropriation -- Tier 2</t>
  </si>
  <si>
    <t>Direct appropriation -- Tier 1</t>
  </si>
  <si>
    <t>REMARKS</t>
  </si>
  <si>
    <t>FY'17</t>
  </si>
  <si>
    <t>Recommended</t>
  </si>
  <si>
    <t>CITY OPERATIONS &amp; COORDINATION</t>
  </si>
  <si>
    <t>Goal I. Transportation Connectivity</t>
  </si>
  <si>
    <t>Not Incl.</t>
  </si>
  <si>
    <t>MOCJ</t>
  </si>
  <si>
    <t>Goal II. Environmental Sustainability</t>
  </si>
  <si>
    <t>Long-Range Master Plan</t>
  </si>
  <si>
    <t>Appropriation:</t>
  </si>
  <si>
    <t>Carry Forward from FY'16:</t>
  </si>
  <si>
    <t>Total Avail.</t>
  </si>
  <si>
    <t>Enhanced Traffic Enforcement</t>
  </si>
  <si>
    <t xml:space="preserve">DOT </t>
  </si>
  <si>
    <t>Mayor's Office END</t>
  </si>
  <si>
    <t>BCRP-Urban Forestry</t>
  </si>
  <si>
    <t>BCRP-Operations</t>
  </si>
  <si>
    <t>Parks Upgrades and Enhanced Maintenance</t>
  </si>
  <si>
    <t>FY'15 Rev./Final</t>
  </si>
  <si>
    <t>--</t>
  </si>
  <si>
    <t xml:space="preserve">BCRP-Capital </t>
  </si>
  <si>
    <t>Middle Branch Shoreline Cleaning</t>
  </si>
  <si>
    <t>DPW-Solid Waste</t>
  </si>
  <si>
    <t xml:space="preserve">Goal III. Safety </t>
  </si>
  <si>
    <t>Upgrade Fire Stations for EMS Crews</t>
  </si>
  <si>
    <t>Goal IV. Community Development &amp; Revitalization</t>
  </si>
  <si>
    <t>Contracted Services</t>
  </si>
  <si>
    <t xml:space="preserve">Personnel Expenses </t>
  </si>
  <si>
    <t xml:space="preserve">Other </t>
  </si>
  <si>
    <t>Grants to organizations</t>
  </si>
  <si>
    <t>Goal V. Economic Growth</t>
  </si>
  <si>
    <t xml:space="preserve">Goal VI. Education </t>
  </si>
  <si>
    <t>Goal VII. Health &amp; Wellness</t>
  </si>
  <si>
    <t>Multi-year</t>
  </si>
  <si>
    <t>Goal VIII. Quality of Life</t>
  </si>
  <si>
    <t>Goal IX. Infrastructure</t>
  </si>
  <si>
    <t>7B</t>
  </si>
  <si>
    <t>MOIT</t>
  </si>
  <si>
    <t>Targeted Job Training and Adult Education</t>
  </si>
  <si>
    <t>Complete Streets Implementation &amp; Coordinator</t>
  </si>
  <si>
    <t>Expand small business support programs</t>
  </si>
  <si>
    <t>Expand Reading Partners</t>
  </si>
  <si>
    <t>Expand Environmental Education</t>
  </si>
  <si>
    <t>Expand Weinberg Foundation School Libraries</t>
  </si>
  <si>
    <t>Increase support for community events</t>
  </si>
  <si>
    <t xml:space="preserve">Increase support for Public Art projects </t>
  </si>
  <si>
    <t>Coordinate historic/cultural programming</t>
  </si>
  <si>
    <t>Expand City fiberoptic cable/broadband network</t>
  </si>
  <si>
    <t>MOHS</t>
  </si>
  <si>
    <t xml:space="preserve">Early Childhood Support: Expand Summer Head Start </t>
  </si>
  <si>
    <t>Health Department</t>
  </si>
  <si>
    <t>Food Access Strategies</t>
  </si>
  <si>
    <t>BCRP-Recreation</t>
  </si>
  <si>
    <t>Infrastructure Upgrades in Public Right of Way</t>
  </si>
  <si>
    <t>FY'16-FY'17</t>
  </si>
  <si>
    <t>FY'15-FY'18</t>
  </si>
  <si>
    <t>Fuel</t>
  </si>
  <si>
    <t>Reimburse City General Fund</t>
  </si>
  <si>
    <t>2) Computer, software, phone</t>
  </si>
  <si>
    <t>Fringe Benefits</t>
  </si>
  <si>
    <t>Vehicle Rental</t>
  </si>
  <si>
    <t>Vehicle Maintenance &amp; Fuel</t>
  </si>
  <si>
    <t>Fringe Bens/Overhead on Personnel</t>
  </si>
  <si>
    <t>Overtime Pay</t>
  </si>
  <si>
    <t>1) Creation of Pigtown Weathervane Sculpture</t>
  </si>
  <si>
    <t>Grant Administration Overhead</t>
  </si>
  <si>
    <t>Complete Casino Area Fiber Plan</t>
  </si>
  <si>
    <t>Expand Waterfront Recreation Opportunities</t>
  </si>
  <si>
    <t>Expand Community Recreation Opportunities</t>
  </si>
  <si>
    <t>Food Access Mini-Grants</t>
  </si>
  <si>
    <t>Virtual Supermarket Program</t>
  </si>
  <si>
    <t>Project Coordinator</t>
  </si>
  <si>
    <t>Stipends to Allies</t>
  </si>
  <si>
    <t>Attendance Incentives</t>
  </si>
  <si>
    <t>Fiscal Management 5% + IT</t>
  </si>
  <si>
    <t>Indirect Cost -- Admin 10%</t>
  </si>
  <si>
    <t>Books</t>
  </si>
  <si>
    <t>Technology</t>
  </si>
  <si>
    <t>Furniture</t>
  </si>
  <si>
    <t>Professional Contracted Services</t>
  </si>
  <si>
    <t>Educational Coordinator</t>
  </si>
  <si>
    <t>Summer Staffing</t>
  </si>
  <si>
    <t>Regional Site Coordinator</t>
  </si>
  <si>
    <t>Computers</t>
  </si>
  <si>
    <t>Southwest Balt Charter FFE</t>
  </si>
  <si>
    <t>Two Literacy Leads (personnel)</t>
  </si>
  <si>
    <t>Program Manager (40%) time</t>
  </si>
  <si>
    <t>Workers Compensation</t>
  </si>
  <si>
    <r>
      <rPr>
        <b/>
        <sz val="10"/>
        <color theme="1"/>
        <rFont val="Calibri"/>
        <family val="2"/>
        <scheme val="minor"/>
      </rPr>
      <t xml:space="preserve">Status/Update: </t>
    </r>
    <r>
      <rPr>
        <sz val="10"/>
        <color theme="1"/>
        <rFont val="Calibri"/>
        <family val="2"/>
        <scheme val="minor"/>
      </rPr>
      <t xml:space="preserve">On the </t>
    </r>
    <r>
      <rPr>
        <b/>
        <sz val="10"/>
        <color theme="1"/>
        <rFont val="Calibri"/>
        <family val="2"/>
        <scheme val="minor"/>
      </rPr>
      <t>service/maintenance contract for existing cameras,</t>
    </r>
    <r>
      <rPr>
        <sz val="10"/>
        <color theme="1"/>
        <rFont val="Calibri"/>
        <family val="2"/>
        <scheme val="minor"/>
      </rPr>
      <t xml:space="preserve"> costs are far below budget what was budgeted at $30,000, as this figure, proposed by CitiWatch, anticipated a replacement reserve. Since the cameras were new and under warranty for part of the year, costs have been far less. Since $30,000 is budgeted for FY'17, MOCJ/Mayor's Office redirected unspent FY'16 funds to Housing's Code Enforcement Legal Division to purchase 25 still cameras for use in locations known for illegal dumping (cost $22,627). This leaves  $7,373 for MOCJ for maintenance of CitiWatch cameras in the casino area in FY'16 (still waiting for June bill).</t>
    </r>
  </si>
  <si>
    <r>
      <t>Status/Update (10/10/15):</t>
    </r>
    <r>
      <rPr>
        <sz val="10"/>
        <color theme="1"/>
        <rFont val="Calibri"/>
        <family val="2"/>
        <scheme val="minor"/>
      </rPr>
      <t xml:space="preserve"> Task 1 meetings with neighborhoods on individual chapters will be presented mid-December and early- January. DOT will schedule special meetings to group these presentations together. Task 2  started in October when it was approved by the Board of Estimates. Where inventory is done and written-up for neighborhoods, it will be included in the presentations in Dec-Jan; where not, a status report will be provided. Expenses we will only be due as milestones are met for phase one and two; consultant does not bill until milestones are met. DOT estimates costs are 80% Task 1, 10% Task 2. DOT has requested a scope on remaining Tasks (3 &amp; 4). The budget approved requires a reduction in scope of $65,000. DOT is committed to providing a complete streets plan as originally presented to the LDC, and thus asked the consultant to provide options for a reduced budget provide for both the final analysis and parking study, based on the recommended budget.
</t>
    </r>
  </si>
  <si>
    <t>Personnel Temporary</t>
  </si>
  <si>
    <r>
      <rPr>
        <b/>
        <sz val="10"/>
        <color theme="1"/>
        <rFont val="Calibri"/>
        <family val="2"/>
        <scheme val="minor"/>
      </rPr>
      <t>Project Description:</t>
    </r>
    <r>
      <rPr>
        <sz val="10"/>
        <color theme="1"/>
        <rFont val="Calibri"/>
        <family val="2"/>
        <scheme val="minor"/>
      </rPr>
      <t xml:space="preserve"> This is an installment payment on the agreed-upon reimbursement to the City's General Fund after reimbursing the casino developer for up-front cost of relocating a city-owned steam line from the bed of Warner Street. The agreed upon obligation of LIG funds is approximately $2,433,789. Cost-sharing for the project was also borne by the Casino ($1M), the City/BDC $437,317 and Veolia ($500,000).
</t>
    </r>
  </si>
  <si>
    <t xml:space="preserve">Employment Connection Center  </t>
  </si>
  <si>
    <t xml:space="preserve">Targeted Training for Construction Careers </t>
  </si>
  <si>
    <r>
      <rPr>
        <b/>
        <sz val="9"/>
        <color theme="1"/>
        <rFont val="Calibri"/>
        <family val="2"/>
        <scheme val="minor"/>
      </rPr>
      <t>Status/Update (October 2016)</t>
    </r>
    <r>
      <rPr>
        <sz val="9"/>
        <color theme="1"/>
        <rFont val="Calibri"/>
        <family val="2"/>
        <scheme val="minor"/>
      </rPr>
      <t xml:space="preserve">:
For summer 2016, 8,046 youth throughout Baltimore City were offered YouthWorks summer jobs. In the casino impact area, a total of 444 eligible youth were offered jobs. Of those, 367 accepted their positions, with 45 declining and 32 who did not show up at their assigned worksites on day one. Had all 367 worked their full schedules, the cost would have exceed funds available ($550,500) at a rate of $1500 per worker. Therefore, given the citywide demand, surplus LIG funds resulting from youth not completing all their hours were used to support youth from other areas. </t>
    </r>
  </si>
  <si>
    <t>Tree Inventory</t>
  </si>
  <si>
    <t>New street trees</t>
  </si>
  <si>
    <t>South Baltimore, Hanover St. Gateway</t>
  </si>
  <si>
    <t>Otterbein--Cobblestones</t>
  </si>
  <si>
    <t>Labor for enhanced maintenace</t>
  </si>
  <si>
    <r>
      <t xml:space="preserve">Status/Update:  July 2016 -- </t>
    </r>
    <r>
      <rPr>
        <sz val="10"/>
        <color theme="1"/>
        <rFont val="Calibri"/>
        <family val="2"/>
        <scheme val="minor"/>
      </rPr>
      <t xml:space="preserve">Mayor's Office and LDC Public Safety Sub-Committee  discussed at an April 13, 2016 meeting CSD and Southern District leadership to propose strategies for crime prevention strategies in neighborhoods. BPD responded in May with a proposal to staff with overtime a dedicated patrol shift through the CSD that will serve the neighborhoods of Pigtown, Westport and Sharp-Leadenhall and be available for special initiatives,  Monday – Thursday from 3pm to 11pm and Friday and Saturday from 7pm to 3am. These officers would work in an overtime capacity and be in uniform in a marked police car.  They would directly to the CSD supervisor who would oversee the initiatives and track their progress. Officers would rotate between the three designated neighborhoods based on need and at the CSD's commander's direction.  
 </t>
    </r>
    <r>
      <rPr>
        <b/>
        <sz val="10"/>
        <color theme="1"/>
        <rFont val="Calibri"/>
        <family val="2"/>
        <scheme val="minor"/>
      </rPr>
      <t xml:space="preserve">
</t>
    </r>
  </si>
  <si>
    <r>
      <t>Status/Update: April 2016-</t>
    </r>
    <r>
      <rPr>
        <sz val="10"/>
        <color theme="1"/>
        <rFont val="Calibri"/>
        <family val="2"/>
        <scheme val="minor"/>
      </rPr>
      <t>-Mayor's Office of Human Services and ACC have negotiated a contract for 8-week summer term to serve 153 children and their families at 4 Head Start locations in the CIA. Program will align with Baltimore City Head Start summer program in duration and goals/metrics.</t>
    </r>
    <r>
      <rPr>
        <b/>
        <sz val="10"/>
        <color theme="1"/>
        <rFont val="Calibri"/>
        <family val="2"/>
        <scheme val="minor"/>
      </rPr>
      <t xml:space="preserve"> July 2016--</t>
    </r>
    <r>
      <rPr>
        <sz val="10"/>
        <color theme="1"/>
        <rFont val="Calibri"/>
        <family val="2"/>
        <scheme val="minor"/>
      </rPr>
      <t xml:space="preserve">Summer 2016 (FY'17) contract has been submitted to the Board of Estimates for Approval. </t>
    </r>
  </si>
  <si>
    <t xml:space="preserve">Total </t>
  </si>
  <si>
    <t>Salary Positions 1</t>
  </si>
  <si>
    <t>P</t>
  </si>
  <si>
    <r>
      <rPr>
        <b/>
        <sz val="10"/>
        <color theme="1"/>
        <rFont val="Calibri"/>
        <family val="2"/>
        <scheme val="minor"/>
      </rPr>
      <t xml:space="preserve">Status/Update June 2015:  
</t>
    </r>
    <r>
      <rPr>
        <sz val="10"/>
        <color theme="1"/>
        <rFont val="Calibri"/>
        <family val="2"/>
        <scheme val="minor"/>
      </rPr>
      <t>Since opening,  the Safety Division studied traffic patterns and customer flow and reassessed the initial recommendations; thus scaling back operations and costs, while identifying and maintaining reasonable expectations for traffic flow and safety. Also, the Mayor's Office, Horseshoe and DOT now communicate on a monthly basis to anticipate periods of heavy traffic based on scheduled events, in order to help DOT plan accordingly and avoid unexpected traffic snarls. As of March 2015, regular TEO deployment has been reduced to four (4) officers deployed 1 day per wk for six (6) hrs -- on Saturdays between the hours of 6PM-12AM. Based on current staffing, all point-control and Transportation Enforcement is performed at an overtime rate. Future plans have included the Casino asking for Point Control to be provided during their summer concert series, which occur on the 1st Thursday in the summer months. Flexible staffing with OT personnel will continue, as current needs/demands do not appear to warrant dedicated FTE positions.</t>
    </r>
  </si>
  <si>
    <r>
      <t xml:space="preserve">Status/Update (Q1 - October 2016): </t>
    </r>
    <r>
      <rPr>
        <sz val="10"/>
        <color theme="1"/>
        <rFont val="Calibri"/>
        <family val="2"/>
        <scheme val="minor"/>
      </rPr>
      <t xml:space="preserve">The contract has been drafted to the agreement of SWCOS and MOHS and is awaiting a budget/audit and BOE approval.  
</t>
    </r>
  </si>
  <si>
    <r>
      <rPr>
        <b/>
        <sz val="9"/>
        <color theme="1"/>
        <rFont val="Calibri"/>
        <family val="2"/>
        <scheme val="minor"/>
      </rPr>
      <t>October 2015:</t>
    </r>
    <r>
      <rPr>
        <sz val="9"/>
        <color theme="1"/>
        <rFont val="Calibri"/>
        <family val="2"/>
        <scheme val="minor"/>
      </rPr>
      <t xml:space="preserve"> The numbers of dedicated PEAK unit calls to the casino and calls within the broader Casino Impact Area has been requested through year end but is still being analyzed. Staffing changes were planned for 2016, with the addition of more full-time medics in BCFD. Result would be a change in coverage for the CIA, replacing PEAK units staffed with OT personnel with FTE staffing. BCFD is in the process of recruitment now, but the timeframe for replacing PEAK units staffed with OT personnel is unknown. 
</t>
    </r>
  </si>
  <si>
    <r>
      <rPr>
        <b/>
        <sz val="9"/>
        <color theme="1"/>
        <rFont val="Calibri"/>
        <family val="2"/>
        <scheme val="minor"/>
      </rPr>
      <t>January 2016</t>
    </r>
    <r>
      <rPr>
        <sz val="9"/>
        <color theme="1"/>
        <rFont val="Calibri"/>
        <family val="2"/>
        <scheme val="minor"/>
      </rPr>
      <t xml:space="preserve"> -- Based on current operations after 6 months, there appears to be a projected deficit of $25,000, which may occur if the Department is unable to fill vacant EMS positions with FTE soon. Funds may be available to cover this cost due to savings in DOT Traffic Enforcement staffing.</t>
    </r>
  </si>
  <si>
    <t>Actual Q3</t>
  </si>
  <si>
    <t>Westport Fiber</t>
  </si>
  <si>
    <t>Admin on Cultural Coordination (15%)</t>
  </si>
  <si>
    <r>
      <t xml:space="preserve">Project Description: </t>
    </r>
    <r>
      <rPr>
        <sz val="10"/>
        <color theme="1"/>
        <rFont val="Calibri"/>
        <family val="2"/>
        <scheme val="minor"/>
      </rPr>
      <t>Funding for Baltimore Office of Promotion and the Arts will support various initiatives including the preservation and  promotion of historic resources and fostering coordination and capacity-building among cultural organizations. The first step will be to organize a "cultural collaborative" of organizations and institutions within the CIA, leading to an Arts and Culture Master Plan for the area. Projects will be develop a public art and arts programming strategy for the CIA, as the first step. Fund individual projects in communities while organizing local cultural institutions to build capacity among them and develop collaborations with grass-roots organizations.</t>
    </r>
  </si>
  <si>
    <r>
      <t>Status/Update (July 2016)</t>
    </r>
    <r>
      <rPr>
        <sz val="10"/>
        <color theme="1"/>
        <rFont val="Calibri"/>
        <family val="2"/>
        <scheme val="minor"/>
      </rPr>
      <t>--BOPA</t>
    </r>
    <r>
      <rPr>
        <b/>
        <sz val="10"/>
        <color theme="1"/>
        <rFont val="Calibri"/>
        <family val="2"/>
        <scheme val="minor"/>
      </rPr>
      <t xml:space="preserve"> </t>
    </r>
    <r>
      <rPr>
        <sz val="10"/>
        <color theme="1"/>
        <rFont val="Calibri"/>
        <family val="2"/>
        <scheme val="minor"/>
      </rPr>
      <t>issued a Request for Proposals for the restoration of the interior and exterior Tom Miller Murals in Cherry Hill and received a number of qualified proposals. However, the cost estimates came in much higher than originally projected.  BOPA has provided brief report to the Mayor's Office describing its thoughts on the restoration, potential challenges, and next steps. It was determined that a budget in the range of $25-$30K may be more appropriate. BOPA staff are investigating feasibility issues such as the future of the property and relocation of utilities on the surface of the mural, and scheduling interviews with two finalist candidates for the project.  Interviews and additional information will inform the best way to approach this restoration effort.  BOPA expects to have a restoration team under contract by September 1, 2016.</t>
    </r>
  </si>
  <si>
    <t>Seasonal Employees -- boating</t>
  </si>
  <si>
    <t>Marketing &amp; Promotions</t>
  </si>
  <si>
    <t>Equipment &amp; Supplies</t>
  </si>
  <si>
    <t xml:space="preserve">Requested breakdown by budget line. </t>
  </si>
  <si>
    <t>BCHD Staff: Grant and V.S. admin</t>
  </si>
  <si>
    <t>IFIG Grant/Contracts -- Others</t>
  </si>
  <si>
    <r>
      <t xml:space="preserve">Status/Update (January 2017): </t>
    </r>
    <r>
      <rPr>
        <sz val="10"/>
        <color theme="1"/>
        <rFont val="Calibri"/>
        <family val="2"/>
        <scheme val="minor"/>
      </rPr>
      <t xml:space="preserve">Developed and released RFP for Homegrown Baltimore Food Access Mini-Grants, selected 8 awardees from 12 submissions, initiated contracts, and collected semi-annual reports. Supported 3 existing (Cherry Hill Senior Manor, Cherry Hill Library, Mt. Clare Overlook) and 1 new (Hannover Square) Virtual Supermarket Program sites in the South Baltimore Gateway. These sites have 343 unique users. Expanded program eligibility to include more potential sites in the South Baltimore Gateway. Met with developers regarding multiple sites for grocery development. Scheduling a meeting with Ethan Cohen to share more details that are not currently public. Collaborated with Central Maryland Transportation Alliance (CMTA) for analysis of BaltimoreLink; submitted comments for the first and second draft (Available upon request.)
</t>
    </r>
  </si>
  <si>
    <t>YRI/Cherry Hill Kwanzaa Celebration</t>
  </si>
  <si>
    <r>
      <t>Status/Update (October 2016):</t>
    </r>
    <r>
      <rPr>
        <sz val="10"/>
        <color theme="1"/>
        <rFont val="Calibri"/>
        <family val="2"/>
        <scheme val="minor"/>
      </rPr>
      <t xml:space="preserve"> Demolition began on the Library Project renovation at George Washington Elementary School in October 2016 (purchase orders issued in September). Before demolition could begin, City Schools had to construct a temporary wall to enclose the space during construction. This barrier will keep the site as contained as possible, and ensure construction does not disrupt the students located across the hall. Demolition work was also done at night and on the weekends to further protect students. 
&gt; Construction is anticipated to be complete by December 29, 2016. This timeline allows contractors to complete final construction components while students are on Winter Break. Following construction, vendors will be brought in to install graphics, books, IT, furniture, and window coverings. 
</t>
    </r>
  </si>
  <si>
    <t>Workers' Comp</t>
  </si>
  <si>
    <t>Personnel FT: "Casino Crew"</t>
  </si>
  <si>
    <t>Sub-Total</t>
  </si>
  <si>
    <t>S</t>
  </si>
  <si>
    <t>Personnel (Salary + FB)</t>
  </si>
  <si>
    <r>
      <rPr>
        <b/>
        <sz val="10"/>
        <color theme="1"/>
        <rFont val="Calibri"/>
        <family val="2"/>
        <scheme val="minor"/>
      </rPr>
      <t xml:space="preserve">April 2016: </t>
    </r>
    <r>
      <rPr>
        <sz val="10"/>
        <color theme="1"/>
        <rFont val="Calibri"/>
        <family val="2"/>
        <scheme val="minor"/>
      </rPr>
      <t xml:space="preserve"> DoT-Safety Division deployed Part-Time” staff, utilizing the regular rate to minimize overall cost &amp; impact to the budget. Savings appear to continue to be gained, even accounting for shifting approximately $25,000 needed for Medic Services. An additional surplus of about $20,000 could be considered for reprogramming within DOT in FY'16.  </t>
    </r>
  </si>
  <si>
    <r>
      <rPr>
        <b/>
        <sz val="9"/>
        <color theme="1"/>
        <rFont val="Calibri"/>
        <family val="2"/>
        <scheme val="minor"/>
      </rPr>
      <t>April 2016</t>
    </r>
    <r>
      <rPr>
        <sz val="9"/>
        <color theme="1"/>
        <rFont val="Calibri"/>
        <family val="2"/>
        <scheme val="minor"/>
      </rPr>
      <t xml:space="preserve"> --  Cost reported for Q3 appears to be incorrect. BCFD is investigating to ensure that personnel as being billed correctly -- there should be minimal fluctuations as staffing is consistent and may change only slightly with the differences in the salary of personnel assigned to the unit.</t>
    </r>
  </si>
  <si>
    <t>Miscellaneous</t>
  </si>
  <si>
    <r>
      <rPr>
        <b/>
        <sz val="9"/>
        <color theme="1"/>
        <rFont val="Calibri"/>
        <family val="2"/>
        <scheme val="minor"/>
      </rPr>
      <t>Status/Update (July 2016)</t>
    </r>
    <r>
      <rPr>
        <sz val="9"/>
        <color theme="1"/>
        <rFont val="Calibri"/>
        <family val="2"/>
        <scheme val="minor"/>
      </rPr>
      <t xml:space="preserve">:
In the 4th quarter FY16, aggressive efforts were made to place as many of the 9,500 YouthWorks registrants as possible. As of July 2016, 8,046 were offered employment. Within the Casino Impact Area 395 were offered summer positions; 43 declined or were no-shows; 352 are currently employed. Of these 7 are covered by DSS funds for youth in foster care, 53 are covered by HireOneYouth employers, 292 are covered by LIG funds (cost $438,000 at $1500 per youth). A portion of budgeted funds were encumbered in June, and MOED has encumbered remaining $86,427 funds for payroll expenses in July-August 2016 to complete the summer 2016 program. MOED requests approval for use of remaining funds in from FY'16 carry-forward to support youth from outside the CIA, as part of the citywide commitment to serve all eligible youth seeking jobs. An additional $400,000 was budgeted in FY'17 for summer 2016 employment. </t>
    </r>
  </si>
  <si>
    <r>
      <rPr>
        <b/>
        <sz val="9"/>
        <rFont val="Calibri"/>
        <family val="2"/>
        <scheme val="minor"/>
      </rPr>
      <t>Status/Update (April 2017):</t>
    </r>
    <r>
      <rPr>
        <sz val="9"/>
        <rFont val="Calibri"/>
        <family val="2"/>
        <scheme val="minor"/>
      </rPr>
      <t xml:space="preserve">
MOED Reports: "</t>
    </r>
    <r>
      <rPr>
        <sz val="9"/>
        <color theme="1"/>
        <rFont val="Calibri"/>
        <family val="2"/>
        <scheme val="minor"/>
      </rPr>
      <t xml:space="preserve">The Casino special fund for YouthWorks FY17 ($400,000) and carry forward funds ($150,000) were 100% spent for the summer program. Prior to posting the participant wages to  the accounting ledger, a reconciliation is prepared.  The participant database criteria is matched to the participant wages paid  to verify accuracy.   The reconciliation is complete and the  payroll journal entry will be recorded by March 29.  All Casino Youth expenditures should be reflected in the April budget to actual reports." Planning is underway for summer 2017. Citywide 14,000 youth have registered with YouthWorks Summer Jobs Program for 2017. These include 445 registered in the CIA. The South Baltimore Gateway Partnership in its FY17 budget approved $100,000 for YouthWorks in 2017. MOED is seeking an additional $450,000 in LIG funding, matching the summer 2016 commitment, which will cover the cost off 416 youth working 25 hours per week for five weeks at $9.25 per hour. Work sites include Downtown Sailing, Fishes and Loaves, Access Art, Catholic Charities' Head Start and save city-managed Recreation Centers. </t>
    </r>
  </si>
  <si>
    <t>Subtotal -- Casino Impact Area youth paid from other sources (non-LIG)</t>
  </si>
  <si>
    <t>Subtotal -- CIA youth paid with other sources (non-LIG)</t>
  </si>
  <si>
    <t>Scheduled Overtime (OT)</t>
  </si>
  <si>
    <t>total 12/31</t>
  </si>
  <si>
    <t>Task Upset Limits</t>
  </si>
  <si>
    <t>Total Billed to date</t>
  </si>
  <si>
    <t>Balance Remaining as of 3/31/17</t>
  </si>
  <si>
    <r>
      <rPr>
        <b/>
        <sz val="9"/>
        <rFont val="Calibri"/>
        <family val="2"/>
        <scheme val="minor"/>
      </rPr>
      <t>Status/Update (January 2017)</t>
    </r>
    <r>
      <rPr>
        <sz val="9"/>
        <rFont val="Calibri"/>
        <family val="2"/>
        <scheme val="minor"/>
      </rPr>
      <t>:
During 2nd quarter (10/1/16 - 12/31/16) no employment activities occurred. All funds for Summer 2016 have been previously expensed.</t>
    </r>
  </si>
  <si>
    <r>
      <rPr>
        <b/>
        <sz val="9"/>
        <color theme="1"/>
        <rFont val="Calibri"/>
        <family val="2"/>
        <scheme val="minor"/>
      </rPr>
      <t xml:space="preserve">Status/Update (October 2016) </t>
    </r>
    <r>
      <rPr>
        <sz val="9"/>
        <color theme="1"/>
        <rFont val="Calibri"/>
        <family val="2"/>
        <scheme val="minor"/>
      </rPr>
      <t xml:space="preserve">
</t>
    </r>
    <r>
      <rPr>
        <b/>
        <sz val="9"/>
        <color theme="1"/>
        <rFont val="Calibri"/>
        <family val="2"/>
        <scheme val="minor"/>
      </rPr>
      <t>Jumpstart</t>
    </r>
    <r>
      <rPr>
        <sz val="9"/>
        <color theme="1"/>
        <rFont val="Calibri"/>
        <family val="2"/>
        <scheme val="minor"/>
      </rPr>
      <t xml:space="preserve">
• 4th cohort of 2 (two) students who began on 06/14/16 completed training on 9/20/16.
• 1 (one) student was placed in employment related to training on 8/30/16 with Bellrose Glass Company at $16.00 per hour, 40 hours per week. ECC and Jumpstart are working with the second graduate on employment.
 • 1 (one) student enrolled in the 5th cohort on 9/7/16 and is expected to complete on 12/14/16.
• 15 of 15 slots funded by original grant have been filled as of Sept, 30, 2016.
• 15 additional slots have been funded for FY ’17 for which the ECC is currently recruiting.
• Graduates receive training modules in construction math, construction industry and career paths, names and common uses of construction tools, OSHA 10, First Aid, and CPR training.  
</t>
    </r>
    <r>
      <rPr>
        <b/>
        <sz val="9"/>
        <color theme="1"/>
        <rFont val="Calibri"/>
        <family val="2"/>
        <scheme val="minor"/>
      </rPr>
      <t>Customized Training and Individual Training Accounts</t>
    </r>
    <r>
      <rPr>
        <sz val="9"/>
        <color theme="1"/>
        <rFont val="Calibri"/>
        <family val="2"/>
        <scheme val="minor"/>
      </rPr>
      <t xml:space="preserve">
• Funding is allocated in FY ‘17 for 20 Individual Training Accounts (ITAs) and 14 Customized Training (CT) slots.
• Recruitment has begun to fill ITAs and CT program is in development. 
</t>
    </r>
  </si>
  <si>
    <r>
      <rPr>
        <b/>
        <sz val="9"/>
        <rFont val="Calibri"/>
        <family val="2"/>
        <scheme val="minor"/>
      </rPr>
      <t>Status/Update (January 2017)</t>
    </r>
    <r>
      <rPr>
        <sz val="9"/>
        <rFont val="Calibri"/>
        <family val="2"/>
        <scheme val="minor"/>
      </rPr>
      <t xml:space="preserve">
</t>
    </r>
    <r>
      <rPr>
        <b/>
        <sz val="9"/>
        <rFont val="Calibri"/>
        <family val="2"/>
        <scheme val="minor"/>
      </rPr>
      <t>Jumpstart</t>
    </r>
    <r>
      <rPr>
        <sz val="9"/>
        <rFont val="Calibri"/>
        <family val="2"/>
        <scheme val="minor"/>
      </rPr>
      <t xml:space="preserve">
• 5th cohort of 1 (one) student began on 09/07/16 and completed training on 12/19/16.
• 15 of 15 slots funded by original grant have been filled as of Sept, 30, 2016.
• 15 additional slots have been funded for FY ’17 for which the ECC is currently recruiting.
• 1 CIA student is expected to begin Jumpstart training on 01/7/16.
• 1 CIA student is expected to begin Jumpstart training in February 2017.
</t>
    </r>
    <r>
      <rPr>
        <b/>
        <sz val="9"/>
        <rFont val="Calibri"/>
        <family val="2"/>
        <scheme val="minor"/>
      </rPr>
      <t>Customized Training and Individual Training Accounts</t>
    </r>
    <r>
      <rPr>
        <sz val="9"/>
        <rFont val="Calibri"/>
        <family val="2"/>
        <scheme val="minor"/>
      </rPr>
      <t xml:space="preserve">
• Recruitment is ongoing to fill ITAs; Customized Training (CT) program is in development. 
</t>
    </r>
  </si>
  <si>
    <r>
      <rPr>
        <b/>
        <sz val="9"/>
        <rFont val="Calibri"/>
        <family val="2"/>
        <scheme val="minor"/>
      </rPr>
      <t>Status/Update (April 2017)</t>
    </r>
    <r>
      <rPr>
        <sz val="9"/>
        <rFont val="Calibri"/>
        <family val="2"/>
        <scheme val="minor"/>
      </rPr>
      <t xml:space="preserve">
</t>
    </r>
    <r>
      <rPr>
        <b/>
        <sz val="9"/>
        <rFont val="Calibri"/>
        <family val="2"/>
        <scheme val="minor"/>
      </rPr>
      <t>Jumpstart</t>
    </r>
    <r>
      <rPr>
        <sz val="9"/>
        <rFont val="Calibri"/>
        <family val="2"/>
        <scheme val="minor"/>
      </rPr>
      <t xml:space="preserve">
• 6th cohort of one (1) student began on 01/9/17, and 7th cohort of two (2) students began on 2/14/17.
• One (1) student from the 6th and 7th cohorts remains in training of 3/31/17. One student was dropped from classes due to excessive absenteeism. One student was sadly found deceased in March.
• 3 of 15 additional slots funded for FY ’17 have been filled as of 3/31/17. 
• ECC is recruiting for upcoming May and June classes. 3 of ECC’s referrals are currently under consideration by Jumpstart staff.
</t>
    </r>
    <r>
      <rPr>
        <b/>
        <sz val="9"/>
        <rFont val="Calibri"/>
        <family val="2"/>
        <scheme val="minor"/>
      </rPr>
      <t>Customized Training and Individual Training Accounts</t>
    </r>
    <r>
      <rPr>
        <sz val="9"/>
        <rFont val="Calibri"/>
        <family val="2"/>
        <scheme val="minor"/>
      </rPr>
      <t xml:space="preserve">
• Funding is allocated in FY ‘17 for 20 Individual Training Accounts (ITAs) and 14 Customized Training (CT) slots.
• Recruitment is ongoing to fill ITAs and CT program is in development. 
• As of 3/31/17, ECC has identified seven (7) CIA residents with interest in ITA training opportunities, including Multi-Skilled Med Tech and Pharmacy Tech at BCCC, CDL B license at Allstate, CNA training at MCAT, and Welding at JARC. 
• Ten (10) Customized training slots in Deconstruction have been developed with Second Chance with cohort dates TBA.
• Recruitment is ongoing; intensive outreach conducted in Q3 of FY ’17 is expected to continue to generate interest in CIA funded training.
</t>
    </r>
  </si>
  <si>
    <t>3 years (Contract extended through December 2017)</t>
  </si>
  <si>
    <t>Fringe/Overhead</t>
  </si>
  <si>
    <t>1) Personnel: Salary + FB</t>
  </si>
  <si>
    <r>
      <t xml:space="preserve">Status/Update:  April 2017 – </t>
    </r>
    <r>
      <rPr>
        <sz val="10"/>
        <rFont val="Calibri"/>
        <family val="2"/>
        <scheme val="minor"/>
      </rPr>
      <t xml:space="preserve">The CSD Zone Initiative began in December 2016 with a team of two Secondary Overtime officers assigned per the proposed schedule: Monday – Thursday from 3pm to 11pm and Friday and Saturday from 7pm to 3am. Expenditures require closer audit and review, as they are projected to run over budget, and secondary overtime for neighborhood patrols is not showing up in financial reports. 
&gt; Initial target areas have been in Pigtown and Westport. The initiative started with a “visibility focus” in December, but shifted to an “enforcement focus” in January after increased criminal activity.  
&gt; Regular staffing of the CSD, budget at 11 positions, shrunk to 9 during the third quarter of FY’17, increase the demand for overtime staffing. 
The Mayor's Office requests an audit and review of expenditures, as current reporting does not separate out secondary overtime for the neighborhood patrols from scheduled overtime for the baseline CSD staffing. 
</t>
    </r>
    <r>
      <rPr>
        <b/>
        <sz val="10"/>
        <rFont val="Calibri"/>
        <family val="2"/>
        <scheme val="minor"/>
      </rPr>
      <t xml:space="preserve">
</t>
    </r>
  </si>
  <si>
    <r>
      <t>Status/Update:  July-September 2017</t>
    </r>
    <r>
      <rPr>
        <sz val="10"/>
        <rFont val="Calibri"/>
        <family val="2"/>
        <scheme val="minor"/>
      </rPr>
      <t xml:space="preserve"> – Lt. Stephen Bagshaw, the commander of the CSD was removed from duty with BPD on May 17. Sgt. Alvarez was named interim commander of the CSD, replaced by Lt. Craig Hartman around June 1. Major Stephen Ward, commander for the Southern District, met with the Public Safety and Services committee on May 23 and again on June 14 after reports were made public that Lt. Bagshaw was charged with overtime theft. 
The June 14 meeting was also attended by BPD fiscal services director and staff. Maj. Ward announced that following a review of the reports from Lt. Bagshaw he had ordered a halt to the "Zone Initiative," questioning its merits. Fiscal agreed to audit the overtime reports to separate what was for the Zone initiative and what was for the regular CSD post. In July however, at a meeting with the Mayor's Office and Department of Finance BPD reported that because of poor reporting by Lt. Bagshaw, it was impossible to tell which overtime charges are related to the Zone initiative. The issue of overtime theft is part of a larger investigation that has not yet been completed. Restitution from the BPD officers found to be guilty will be sought, and the Department plans to restore stolen LIG funds once the losses have been determined. 
Lt. Bagshaw’s reports reflect $67,750 in overtime for the Zone Initiative from March 4 through April 29, yet his narrative reports state that the initiative began in December 2016. Overall the CSD was under budget for the year by $67,548, when the additional $120,000 for the Zone initiative was included. BPD Fiscal noted that the use of vehicles by the CSD was never charged to this account. 
</t>
    </r>
  </si>
  <si>
    <t>CitiWatch Cameras Installation &amp; Maintenance</t>
  </si>
  <si>
    <t>Bush St/GFTrail Cycle Track Engineering</t>
  </si>
  <si>
    <t>Russell Street/295/Bresco Gateway</t>
  </si>
  <si>
    <t>Fed.Hill/Riverside Cross St Crosswalks</t>
  </si>
  <si>
    <t>Westport Lighting</t>
  </si>
  <si>
    <t>Annapolis Rd Streetscape</t>
  </si>
  <si>
    <t xml:space="preserve">Lakeland School Crosswalk </t>
  </si>
  <si>
    <t>Cherry Hill Seabury Lane</t>
  </si>
  <si>
    <t>Projects designated for funding:</t>
  </si>
  <si>
    <t>Budget</t>
  </si>
  <si>
    <t>Carroll Park</t>
  </si>
  <si>
    <t>Purchase additional picnic benches and grills</t>
  </si>
  <si>
    <t>New entry design at Washington Blvd</t>
  </si>
  <si>
    <t xml:space="preserve">Replace Eight (8) Dugout roofs </t>
  </si>
  <si>
    <t>Florence Cummings Park</t>
  </si>
  <si>
    <t xml:space="preserve">Picnic table pad </t>
  </si>
  <si>
    <t>Add New Trees (10)</t>
  </si>
  <si>
    <t xml:space="preserve">Replace basketball court fence </t>
  </si>
  <si>
    <t>Resurface basketball court</t>
  </si>
  <si>
    <t>Remove Dead trees (2 removed, no charge)</t>
  </si>
  <si>
    <t xml:space="preserve">GF Trail South </t>
  </si>
  <si>
    <t>i) Parks: Improve and Upgrade Existing Parks:</t>
  </si>
  <si>
    <t>ii) Trails: Expand and Enhance the Trail Network</t>
  </si>
  <si>
    <t xml:space="preserve">Wayfinding/Signage Design Study </t>
  </si>
  <si>
    <t>Gateway Park</t>
  </si>
  <si>
    <t>Install lockable hosebib</t>
  </si>
  <si>
    <t>Landscape Plan for Key Highway hillside</t>
  </si>
  <si>
    <t>Install concrete footings/base for sculpture</t>
  </si>
  <si>
    <t>Lakeland Wegworth Park</t>
  </si>
  <si>
    <t>Repair backstop, replace outfield fencing and renovate baseball field</t>
  </si>
  <si>
    <t>New ball diamond mix (upper field) and seed turf</t>
  </si>
  <si>
    <t>Baseball Field Renovation: new ball diamond mix</t>
  </si>
  <si>
    <t>iii) Middle Branch: Make Improvements to MB Park &amp; Shoreline</t>
  </si>
  <si>
    <t>Renovate picnic areas: tables &amp; grills</t>
  </si>
  <si>
    <t>SBGB FY'17:</t>
  </si>
  <si>
    <t>Other Revenue:</t>
  </si>
  <si>
    <r>
      <t xml:space="preserve">Refurbish Boat Ramp &amp; Attached Pier </t>
    </r>
    <r>
      <rPr>
        <b/>
        <sz val="10"/>
        <color theme="1"/>
        <rFont val="Calibri"/>
        <family val="2"/>
        <scheme val="minor"/>
      </rPr>
      <t>($90,212 cost-share SBGB)</t>
    </r>
  </si>
  <si>
    <r>
      <t xml:space="preserve">Structural repairs to Boat House ramp &amp; stairs </t>
    </r>
    <r>
      <rPr>
        <b/>
        <sz val="10"/>
        <rFont val="Calibri"/>
        <family val="2"/>
        <scheme val="minor"/>
      </rPr>
      <t>($9,788 total cost committed by SBGB)</t>
    </r>
  </si>
  <si>
    <t>Gwynns Falls Trail Bridges (Cost-share)</t>
  </si>
  <si>
    <t>Middle Branch Park Improvements (Cost-Share)</t>
  </si>
  <si>
    <t>Penn &amp; Melvin</t>
  </si>
  <si>
    <t xml:space="preserve">Concrete slab replacement </t>
  </si>
  <si>
    <t>Paint perimeter fencing and gates</t>
  </si>
  <si>
    <t>Repair gate</t>
  </si>
  <si>
    <t>New exercise equipment (Cost-share; $8,422 total)</t>
  </si>
  <si>
    <t>Install 2 hist. light poles (NC-$4K City contribution)</t>
  </si>
  <si>
    <t>Replace remain.benches (NC-$8K City contribution)</t>
  </si>
  <si>
    <t>Riverside Park</t>
  </si>
  <si>
    <t>Paint Pavilion (on hold for assessment)</t>
  </si>
  <si>
    <t>Roof repairs to pavilion (on hold for assessment)</t>
  </si>
  <si>
    <t xml:space="preserve">Install picnic tables </t>
  </si>
  <si>
    <t>Solo Gibbs Park</t>
  </si>
  <si>
    <t>Baseball Field Renovation: $32K--Hold</t>
  </si>
  <si>
    <t>Baseball field fence: $20K--Hold</t>
  </si>
  <si>
    <t>Swann Park</t>
  </si>
  <si>
    <t>Re-seed football field</t>
  </si>
  <si>
    <t xml:space="preserve">Middle Branch Park  </t>
  </si>
  <si>
    <r>
      <t xml:space="preserve">New decking at Warner St. ped bridges </t>
    </r>
    <r>
      <rPr>
        <b/>
        <sz val="10"/>
        <color theme="1"/>
        <rFont val="Calibri"/>
        <family val="2"/>
        <scheme val="minor"/>
      </rPr>
      <t>(Total cost $93,457 match to $50K cost share by SBGP)</t>
    </r>
  </si>
  <si>
    <t>Short-term improvements, various (est. $35K)</t>
  </si>
  <si>
    <r>
      <rPr>
        <b/>
        <sz val="9"/>
        <color theme="1"/>
        <rFont val="Calibri"/>
        <family val="2"/>
        <scheme val="minor"/>
      </rPr>
      <t>Carroll/Archer</t>
    </r>
    <r>
      <rPr>
        <b/>
        <sz val="10"/>
        <color theme="1"/>
        <rFont val="Calibri"/>
        <family val="2"/>
        <scheme val="minor"/>
      </rPr>
      <t xml:space="preserve"> Playground </t>
    </r>
  </si>
  <si>
    <t>Various site improvements</t>
  </si>
  <si>
    <t>Avail. = $150K budget +  $50K SBGP Cost-Share:</t>
  </si>
  <si>
    <t>Avail. = $100K budget + $100K SBGP Cost-Share:</t>
  </si>
  <si>
    <t>New Exercise Loop (design only)</t>
  </si>
  <si>
    <t xml:space="preserve">New Exercise Loop (design only)              </t>
  </si>
  <si>
    <t>Enlarge treepits in brick sidewalks</t>
  </si>
  <si>
    <r>
      <t xml:space="preserve">Project Description: </t>
    </r>
    <r>
      <rPr>
        <sz val="10"/>
        <color theme="1"/>
        <rFont val="Calibri"/>
        <family val="2"/>
        <scheme val="minor"/>
      </rPr>
      <t xml:space="preserve">FY’17 funding in the amount of $100,000 is budgeted for efforts to remove trash from the Middle Branch’s shoreline. The Department of Public Works (DPW) Bureau of Solid Waste engaged a contractor to remove trash and debris from hard-to-reach shoreline areas in the upper Middle Branch in spring 2016. Funding in FY’17 will be used for periodic maintenance and will be coordinated with efforts by DPW’s stormwater division, with regard to outflows emptying into the Middle Branch, and volunteer efforts coordinate by Baltimore City Recreation and Parks (BCRP). Funds for the Q1 cleaning were carried forward from FY'16 ($39,760) for payment of contractor that removed trash from shoreline that was completed in June 2016.
 </t>
    </r>
  </si>
  <si>
    <t>Project Management Fee (DGS)</t>
  </si>
  <si>
    <t>Architect/Engineer Services</t>
  </si>
  <si>
    <t>Construction</t>
  </si>
  <si>
    <t>Study</t>
  </si>
  <si>
    <t>Website &amp; Branding</t>
  </si>
  <si>
    <t>Rear ADA Doors</t>
  </si>
  <si>
    <t>Roof Repairs</t>
  </si>
  <si>
    <t>Replace Closet Doors</t>
  </si>
  <si>
    <t>Design</t>
  </si>
  <si>
    <t>In-house Design Time</t>
  </si>
  <si>
    <t>In-House Design Time</t>
  </si>
  <si>
    <r>
      <t xml:space="preserve">Status/Update (April 2017): </t>
    </r>
    <r>
      <rPr>
        <sz val="10"/>
        <color theme="1"/>
        <rFont val="Calibri"/>
        <family val="2"/>
        <scheme val="minor"/>
      </rPr>
      <t>Baltimarket staff continued to support Virtual Supermarket Program sites in Casino Impact Area and conduct compliance checks with mini-grant recipients.  Mid-term reports for mini-grants are available upon request.  Westport Farmers Market informed us they could not accept the $10,000 mini-grant because they are no longer going to operate in 2017. Funds were re-allocated to Pigtown Farmers Market ($5,000) and Consulting Services for Grocery Store recruitment ($5,000). Gather Baltimore did not meet program compliance milestones and was defunded from its $10,000 grant.  Funds are re-allocated to Consulting Services for Grocery Store recruitment.</t>
    </r>
  </si>
  <si>
    <t>Increase Coverage of Citiwatch Camera Program</t>
  </si>
  <si>
    <t>Summer Youth Jobs &amp; Yr. Round Internships</t>
  </si>
  <si>
    <t>Support Lakeland STEAM Center Renovation</t>
  </si>
  <si>
    <t>Other Sources:</t>
  </si>
  <si>
    <t>FY'17 City Capital Funds</t>
  </si>
  <si>
    <t>Cost-Share on Exterior Project</t>
  </si>
  <si>
    <r>
      <t>Status/Update (July-September 2017) -- F</t>
    </r>
    <r>
      <rPr>
        <sz val="10"/>
        <color theme="1"/>
        <rFont val="Calibri"/>
        <family val="2"/>
        <scheme val="minor"/>
      </rPr>
      <t>Y17 LIG funding enabled Baltimarket to administer and fund a Homegrown Baltimore Mini-Grant Program, expand the number of Virtual Supermarket Program sites, present toolkits and resources from the Health Corner Store Program, and collaborate with BDC and the Department of Planning on transportation analysis and attracting supermarkets to the CIA.  For the mini-grants, BCHD staff developed and reviewed mini-grant RFPs, executed MOUs, conducted site visits, and developed and collected reporting forms for grantees.  Line items were: personnel time at a cost of $30,000, mini-grants to community organizations at a cost $60,000, BDC studies at $20,000 and Virtual Supermarket program fees at $40,000. Note: due to inability of two community-based organizations to administer their mini-grant awards, $15,000 was re-allocated to Baltimore Development Corporation for food studies in Cherry Hill, with an additional $5,000 being allocated to the initiative from LIF funds. 
With these programs, BCHD has built an infrastructure for supporting community organizations in reaching their food access goals in the South Baltimore Gateway.  Going forward, more small grants should be available, in addition to a small number of larger grants.  This will allow for quicker response to community-identified needs.  The Health Department has submitted a request to the South Baltimore Gateway Partnership, which is currently under review.</t>
    </r>
    <r>
      <rPr>
        <i/>
        <sz val="10"/>
        <color theme="1"/>
        <rFont val="Calibri"/>
        <family val="2"/>
        <scheme val="minor"/>
      </rPr>
      <t xml:space="preserve"> Progress in each strategy is detailed below.</t>
    </r>
    <r>
      <rPr>
        <sz val="10"/>
        <color theme="1"/>
        <rFont val="Calibri"/>
        <family val="2"/>
        <scheme val="minor"/>
      </rPr>
      <t xml:space="preserve">
</t>
    </r>
  </si>
  <si>
    <r>
      <rPr>
        <b/>
        <sz val="9"/>
        <color theme="1"/>
        <rFont val="Calibri"/>
        <family val="2"/>
        <scheme val="minor"/>
      </rPr>
      <t xml:space="preserve">Status/Update (July 2016) -- </t>
    </r>
    <r>
      <rPr>
        <sz val="9"/>
        <color theme="1"/>
        <rFont val="Calibri"/>
        <family val="2"/>
        <scheme val="minor"/>
      </rPr>
      <t>Sector meetings in April were well attended. Valbridge issued it's final report June 30, and presentation of the draft final report on June 23. A major milestone was drafting and introducing the City's enabling ordinance to create the SBG-CID District and Authority on June 13; Planning Commission hearing was June 23; City Council committee/public hearing was July 14. With some amendments the bill advances to second and third "reader" at the Council, for a vote scheduled August 15. It is expected to pass and become law when signed by the Mayor. Administration and LDC are considering a proposal by consultant team member Brad Rogers (Advanced Placemaking) to assist with implementation of the plan and start-up.</t>
    </r>
  </si>
  <si>
    <r>
      <rPr>
        <b/>
        <sz val="9"/>
        <color theme="1"/>
        <rFont val="Calibri"/>
        <family val="2"/>
        <scheme val="minor"/>
      </rPr>
      <t xml:space="preserve">Status/Update (April 2016) -- </t>
    </r>
    <r>
      <rPr>
        <sz val="9"/>
        <color theme="1"/>
        <rFont val="Calibri"/>
        <family val="2"/>
        <scheme val="minor"/>
      </rPr>
      <t xml:space="preserve">Significant progress was made on the study from Jan. 1 through March 31, 2016. Consultant held monthly meetings with the steering committee, examined precedents, and reported on issues needed for enabling legislation at a state and city levels. Law was introduced and passed in General Assembly establishing a South Baltimore Gateway Community Impact Districts (SBG-CID). Work through March included planning for three "Sector" outreach meetings in April and research on a City enabling ordinance and baseline services/management agreement. </t>
    </r>
    <r>
      <rPr>
        <b/>
        <sz val="10"/>
        <color theme="1"/>
        <rFont val="Calibri"/>
        <family val="2"/>
        <scheme val="minor"/>
      </rPr>
      <t/>
    </r>
  </si>
  <si>
    <t>Purchase Orders Issued by MOCJ</t>
  </si>
  <si>
    <t>Purchase Orders to be Issued by MOIT:</t>
  </si>
  <si>
    <t>Ridgely's Delight Conduit Survey (Complete)</t>
  </si>
  <si>
    <t>Funds Available:</t>
  </si>
  <si>
    <t>Pigtown Phase 1 Cameras (5) -- PO Issued</t>
  </si>
  <si>
    <t>Southern District Fiber -- PO Issued</t>
  </si>
  <si>
    <t>Total Committed/Encumbered</t>
  </si>
  <si>
    <t>Cost-Share of Revenue Shortfall</t>
  </si>
  <si>
    <t>Budget Reducton:</t>
  </si>
  <si>
    <t>50% of FY'17 LIG Shortfall</t>
  </si>
  <si>
    <t>RECREATION PROGRAMS July 1, 2016 - June 30, 2017</t>
  </si>
  <si>
    <t>Carroll Park Farmers Market Entertainment</t>
  </si>
  <si>
    <t xml:space="preserve">Vehicle Rental - Art In the Park      </t>
  </si>
  <si>
    <t xml:space="preserve">Salaries Art In the Park (June) </t>
  </si>
  <si>
    <t>Balance from FY'17</t>
  </si>
  <si>
    <t>Carroll Park Farm Mkt Entertainment</t>
  </si>
  <si>
    <t>Vehicle Rental-Art in the Park</t>
  </si>
  <si>
    <t>Salaries-Art in the Park</t>
  </si>
  <si>
    <t>Programs thru June 30, 2017:</t>
  </si>
  <si>
    <t>Programs July - Oct 2017:</t>
  </si>
  <si>
    <t>Movie Licenses (12)</t>
  </si>
  <si>
    <t>Live Bands (7)</t>
  </si>
  <si>
    <t>Supplies-Art in the Park</t>
  </si>
  <si>
    <t>Implementation of Projects Identified Through Planning Process</t>
  </si>
  <si>
    <t>Sharp-Leadenhall--SoloGibbs Master Plan</t>
  </si>
  <si>
    <t>Westport--School Open Space</t>
  </si>
  <si>
    <t>Pigtown--Public Art</t>
  </si>
  <si>
    <t>Pigtown--West Ostend Street-End Park</t>
  </si>
  <si>
    <t>Carroll-Camden Indust. Area--Trees (Balance)</t>
  </si>
  <si>
    <t>Ridgely's Delight--Penn Melvin Park (Balance)</t>
  </si>
  <si>
    <t>Federal Hill--FH Park &amp; Street Trees (Balance)</t>
  </si>
  <si>
    <t>Westport--F. Cummings Park Improvements</t>
  </si>
  <si>
    <t>Lakeland--Park Exercise Equipment; Rec Center Basketball Rims/Backboards (Balance)</t>
  </si>
  <si>
    <t>Barre Circle--MLK Blvd. Enclosure Wall</t>
  </si>
  <si>
    <t>Barre Circle--Green space maintenance</t>
  </si>
  <si>
    <t xml:space="preserve">Cherry Hill--2017 Arts Festival </t>
  </si>
  <si>
    <t>Cherry Hill--Cooling Fans</t>
  </si>
  <si>
    <t>Cherry Hill--Seabury Lane (Cost Share)</t>
  </si>
  <si>
    <r>
      <rPr>
        <b/>
        <sz val="9"/>
        <color rgb="FF000000"/>
        <rFont val="Calibri"/>
        <family val="2"/>
        <scheme val="minor"/>
      </rPr>
      <t>Status/Update (July 2017)</t>
    </r>
    <r>
      <rPr>
        <sz val="9"/>
        <color rgb="FF000000"/>
        <rFont val="Calibri"/>
        <family val="2"/>
        <scheme val="minor"/>
      </rPr>
      <t xml:space="preserve">
Jumpstart
• 8th Cohort of two (2) students began on 5/8/17.
• One (1) student from the 8th cohorts remains in training of 8/09/17. One student was dropped from classes due to excessive absenteeism.
• 5 of 15 additional slots funded for FY ’17 have been filled as of 6/30/17. 
</t>
    </r>
    <r>
      <rPr>
        <b/>
        <sz val="9"/>
        <color rgb="FF000000"/>
        <rFont val="Calibri"/>
        <family val="2"/>
        <scheme val="minor"/>
      </rPr>
      <t>Customized Training and Individual Training Accounts</t>
    </r>
    <r>
      <rPr>
        <sz val="9"/>
        <color rgb="FF000000"/>
        <rFont val="Calibri"/>
        <family val="2"/>
        <scheme val="minor"/>
      </rPr>
      <t xml:space="preserve">
• As of 6/30/17, ECC enrolled 4 students in Multi-Skilled Medical Technician Training at Baltimore City Community College on 6/8/17.
• Ten (10) Customized training slots in Deconstruction were developed with Second Chance, and five (5) slots were filled as 6/30/17.
• One (1) student was approved to begin training for A+/Net+/Security+ Training at Towson University on 7/24/17.              
• Recruitment in ongoing for all training opportunities for FY ’18.  
</t>
    </r>
    <r>
      <rPr>
        <b/>
        <sz val="9"/>
        <color rgb="FF000000"/>
        <rFont val="Calibri"/>
        <family val="2"/>
        <scheme val="minor"/>
      </rPr>
      <t>Due to lower than expected utilization, a portion of surplus funds will de-programmed; however, $65,000 will be carried forward adding to $60,000 budgeted in FY18, for a total budget of $125,000. This is in anticipation of completing the Jumpstart contract and having funding available for ITA's (approximately 50% to each program)</t>
    </r>
    <r>
      <rPr>
        <sz val="9"/>
        <color rgb="FF000000"/>
        <rFont val="Calibri"/>
        <family val="2"/>
        <scheme val="minor"/>
      </rPr>
      <t xml:space="preserve">
</t>
    </r>
  </si>
  <si>
    <t>FY'18 Budgeted</t>
  </si>
  <si>
    <t>FY'16 Rev./Final</t>
  </si>
  <si>
    <t>FY'17 Rev./Final</t>
  </si>
  <si>
    <t>FY'17  Expended</t>
  </si>
  <si>
    <t>FY'18</t>
  </si>
  <si>
    <t>2) Other</t>
  </si>
  <si>
    <t>Spending through FY17</t>
  </si>
  <si>
    <t xml:space="preserve">CONFIRM SPENDING </t>
  </si>
  <si>
    <t>$15,000 in FY'17</t>
  </si>
  <si>
    <t>FY17:</t>
  </si>
  <si>
    <t>Homeownership Counseling and Incentive Program</t>
  </si>
  <si>
    <t>Housing/HCD</t>
  </si>
  <si>
    <t>FY'18 Modification</t>
  </si>
  <si>
    <t>1) Personnel (Youth Wages &amp; FICA) from CIA</t>
  </si>
  <si>
    <t>2) Personnel (Youth Wage &amp; FICA) from outside CIA</t>
  </si>
  <si>
    <t>Other programming</t>
  </si>
  <si>
    <t>Addressing Homelessness Strategies</t>
  </si>
  <si>
    <t>Steam Line Relocation</t>
  </si>
  <si>
    <t>Installment 3 (Year 3)</t>
  </si>
  <si>
    <t>Budget here:</t>
  </si>
  <si>
    <t>a) Cherry Hill Arts Fesival</t>
  </si>
  <si>
    <t>b) Gateway/Robert Baker Park</t>
  </si>
  <si>
    <t>See Below</t>
  </si>
  <si>
    <t>3) South Baltimore Transformative Art Prize grants:</t>
  </si>
  <si>
    <t>Admin on Public Art Projects (13%)</t>
  </si>
  <si>
    <t>Billed FY17</t>
  </si>
  <si>
    <t>Balance to Bill in FY18</t>
  </si>
  <si>
    <t>South Baltimore MECU Neighborhood Events Grants: Balance to Parks for Events</t>
  </si>
  <si>
    <t>Develop SBG Area Arts &amp; Culture Master Plan (Part-time Project Coordinator)</t>
  </si>
  <si>
    <t>Billed on 7/31/17</t>
  </si>
  <si>
    <t>Billed on 11/27/17</t>
  </si>
  <si>
    <t>Revised</t>
  </si>
  <si>
    <t>Community Enhancement Project Funds</t>
  </si>
  <si>
    <t xml:space="preserve">Community Association Grant </t>
  </si>
  <si>
    <t>Subtotal</t>
  </si>
  <si>
    <t>Payments in FY17</t>
  </si>
  <si>
    <t>Other Sources</t>
  </si>
  <si>
    <r>
      <t xml:space="preserve">Status/Update (July-September 2017) -- Continued 
Virtual Supermarket Program Support and Growth: </t>
    </r>
    <r>
      <rPr>
        <sz val="10"/>
        <color theme="1"/>
        <rFont val="Calibri"/>
        <family val="2"/>
        <scheme val="minor"/>
      </rPr>
      <t xml:space="preserve">
The Virtual Supermarket Program is run by the Baltimore City Health Department’s Baltimarket Program, in collaboration with ShopRite.  It enables people struggling to access healthy food to order groceries weekly at a community-based site and pick up those groceries at the same site with no delivery fee.  Through Impact funds, BCHD supported 4 existing (Cherry Hill Senior Manor, Cherry Hill Library, Mt. Clare Overlook, and Curtis Bay) and 1 new (Hannover Square) Virtual Supermarket Program sites in the South Baltimore Gateway. These sites served 210 unique users who placed 1806 orders totaling $45,059 in FY17. These customers redeemed 177, $10 healthy food discounts for being new customers or on holidays.  Baltimarket expanded program eligibility to include more potential sites in the South Baltimore Gateway and initiated a partnership with the American Heart Association’s mobile teaching kitchen, which provided hands-on cooking classes.
</t>
    </r>
    <r>
      <rPr>
        <b/>
        <sz val="10"/>
        <color theme="1"/>
        <rFont val="Calibri"/>
        <family val="2"/>
        <scheme val="minor"/>
      </rPr>
      <t>Baltimore Development Corporation Food Studies</t>
    </r>
    <r>
      <rPr>
        <sz val="10"/>
        <color theme="1"/>
        <rFont val="Calibri"/>
        <family val="2"/>
        <scheme val="minor"/>
      </rPr>
      <t xml:space="preserve">
</t>
    </r>
    <r>
      <rPr>
        <i/>
        <sz val="10"/>
        <color theme="1"/>
        <rFont val="Calibri"/>
        <family val="2"/>
        <scheme val="minor"/>
      </rPr>
      <t>Food Co-op Feasibility Pilot Study &amp; Pilot - $10,000</t>
    </r>
    <r>
      <rPr>
        <sz val="10"/>
        <color theme="1"/>
        <rFont val="Calibri"/>
        <family val="2"/>
        <scheme val="minor"/>
      </rPr>
      <t xml:space="preserve">
The Baltimore Development Corporation is awarding Black Yield Institute $10,000 to conduct a feasibility study, including a buying club pilot, in Cherry Hill to address healthy food access among residents of the community.  The project began on July 1, 2017 and will conclude by June 30, 2018.
</t>
    </r>
    <r>
      <rPr>
        <i/>
        <sz val="10"/>
        <color theme="1"/>
        <rFont val="Calibri"/>
        <family val="2"/>
        <scheme val="minor"/>
      </rPr>
      <t>Market Study and Site Selection for Cherry Hill Grocery - $10,000</t>
    </r>
    <r>
      <rPr>
        <sz val="10"/>
        <color theme="1"/>
        <rFont val="Calibri"/>
        <family val="2"/>
        <scheme val="minor"/>
      </rPr>
      <t xml:space="preserve">
The Baltimore Development Corporation is seeking proposals to award $10,000 to conduct a market study and site selection for grocery store in Cherry Hill.  Five proposals have been solicited and work will be concluded by June 30, 2018.
</t>
    </r>
    <r>
      <rPr>
        <b/>
        <sz val="10"/>
        <color theme="1"/>
        <rFont val="Calibri"/>
        <family val="2"/>
        <scheme val="minor"/>
      </rPr>
      <t>Transportation Analysis</t>
    </r>
    <r>
      <rPr>
        <sz val="10"/>
        <color theme="1"/>
        <rFont val="Calibri"/>
        <family val="2"/>
        <scheme val="minor"/>
      </rPr>
      <t xml:space="preserve">
The Baltimore Office of Sustainability’s Baltimore Food Policy Initiative collaborated with Central Maryland Transportation Alliance (CMTA) for analysis of BaltimoreLink that looked specifically at the impact on food access. The Baltimore Food Policy Initiative submitted comments for the first and second draft of BaltimoreLink.  Both are available upon request.
</t>
    </r>
    <r>
      <rPr>
        <b/>
        <sz val="10"/>
        <color theme="1"/>
        <rFont val="Calibri"/>
        <family val="2"/>
        <scheme val="minor"/>
      </rPr>
      <t>Healthy Stores Outreach</t>
    </r>
    <r>
      <rPr>
        <sz val="10"/>
        <color theme="1"/>
        <rFont val="Calibri"/>
        <family val="2"/>
        <scheme val="minor"/>
      </rPr>
      <t xml:space="preserve">
The Baltimarket Healthy Stores Program enrolled one corner store into its program, providing training, technical assistance, youth programming, incentives, and promotion to Pigtown’s Shop n Go in order to promote increased sales of healthy foods.  This included a semester-long afterschool program at Paul’s Place that taught Kidz in the Kitchen participants leadership development, healthy eating, and more.
Program staff met with Pigtown Main Streets, Historic Pigtown, Paul’s Place, the Cherry Hill Community Development Corporation, and the Cherry Hill WIC clinic to discuss store recruitment.  13 corner stores in the Impact Area were approached to assess interest in the program.</t>
    </r>
  </si>
  <si>
    <t>Budget LIG Funds</t>
  </si>
  <si>
    <t>Printing</t>
  </si>
  <si>
    <t>$15,377 in FY'17</t>
  </si>
  <si>
    <t xml:space="preserve">Rent </t>
  </si>
  <si>
    <t xml:space="preserve">Utilities, other misc. </t>
  </si>
  <si>
    <t xml:space="preserve"> FY17 $24,799</t>
  </si>
  <si>
    <t>FY17 $59</t>
  </si>
  <si>
    <t>FY'17 $2,404</t>
  </si>
  <si>
    <t>FY'17 $15,451</t>
  </si>
  <si>
    <t>FY'17 $12,804</t>
  </si>
  <si>
    <t>FFE Payments</t>
  </si>
  <si>
    <t>Balance</t>
  </si>
  <si>
    <t>$9,919 in FY17</t>
  </si>
  <si>
    <t>August</t>
  </si>
  <si>
    <t xml:space="preserve">Consultant/Technical services </t>
  </si>
  <si>
    <t xml:space="preserve">Contracted Services </t>
  </si>
  <si>
    <t>Design Master Plan and Civil Engineering Survey</t>
  </si>
  <si>
    <t>Budget Account Code#</t>
  </si>
  <si>
    <t>2026-000000-4783-783300-603026</t>
  </si>
  <si>
    <t>Requisitions</t>
  </si>
  <si>
    <t>R757574</t>
  </si>
  <si>
    <t>Tree Survey</t>
  </si>
  <si>
    <t>R761078</t>
  </si>
  <si>
    <t>Tree Planting</t>
  </si>
  <si>
    <t>Lorenz</t>
  </si>
  <si>
    <t>Davey</t>
  </si>
  <si>
    <t>R781977</t>
  </si>
  <si>
    <t>Brick Sidewalks</t>
  </si>
  <si>
    <t>2nd Nature</t>
  </si>
  <si>
    <t>Payments</t>
  </si>
  <si>
    <t>None</t>
  </si>
  <si>
    <t>Find backup</t>
  </si>
  <si>
    <t xml:space="preserve">Find backup </t>
  </si>
  <si>
    <t>Due</t>
  </si>
  <si>
    <t>Planning Number</t>
  </si>
  <si>
    <t>Carroll Camden Trees</t>
  </si>
  <si>
    <t>Fed Hill Trees Proactive Pruning</t>
  </si>
  <si>
    <t>SBG Outreach Worker (4 months)</t>
  </si>
  <si>
    <t>Transportation</t>
  </si>
  <si>
    <t>Staff cell phones</t>
  </si>
  <si>
    <t>Outreach Team Leader (20%, 4 mos.)</t>
  </si>
  <si>
    <t xml:space="preserve">Client Support Needs -- </t>
  </si>
  <si>
    <t>Supplies/Admin.</t>
  </si>
  <si>
    <t>Not Budgeted</t>
  </si>
  <si>
    <t>Not Charged</t>
  </si>
  <si>
    <t>Rent due to HCB</t>
  </si>
  <si>
    <t>per year</t>
  </si>
  <si>
    <t>Prorated for FY18</t>
  </si>
  <si>
    <t>Per BOE approval March 14, 2018</t>
  </si>
  <si>
    <t>3.5 months</t>
  </si>
  <si>
    <t>Plus other expenses</t>
  </si>
  <si>
    <t>Total expenses</t>
  </si>
  <si>
    <t>Actual expenses:</t>
  </si>
  <si>
    <t>Carry forward needed</t>
  </si>
  <si>
    <t>Casino Sub-District (CSD) Headquarters</t>
  </si>
  <si>
    <t>Overtime Personnel</t>
  </si>
  <si>
    <t>$5000 encumbered</t>
  </si>
  <si>
    <t>$5K for rent 3/18-3/19</t>
  </si>
  <si>
    <t>Still Cameras (Dumping) + supplies</t>
  </si>
  <si>
    <t>CCTV Contracted Repairs &amp; Servicing</t>
  </si>
  <si>
    <t>FY'18 Rev./Final</t>
  </si>
  <si>
    <t>Feb 2018             </t>
  </si>
  <si>
    <t>July 2017        </t>
  </si>
  <si>
    <t>Aug 2017        </t>
  </si>
  <si>
    <t>Sept 2017           </t>
  </si>
  <si>
    <t>Oct 2017           </t>
  </si>
  <si>
    <t>Nov 2017 </t>
  </si>
  <si>
    <t>Dec 2017       </t>
  </si>
  <si>
    <t>Jan 2018            </t>
  </si>
  <si>
    <t>Mar 2018           </t>
  </si>
  <si>
    <t xml:space="preserve">June </t>
  </si>
  <si>
    <t>3) Other: Consultants, etc.</t>
  </si>
  <si>
    <t>5E</t>
  </si>
  <si>
    <t xml:space="preserve">  LDC Ranking FY15</t>
  </si>
  <si>
    <t>7A</t>
  </si>
  <si>
    <t>14C</t>
  </si>
  <si>
    <t>Est. $6,000 total</t>
  </si>
  <si>
    <t>I-1</t>
  </si>
  <si>
    <t>I-2</t>
  </si>
  <si>
    <t>I-3</t>
  </si>
  <si>
    <t>Appropriation</t>
  </si>
  <si>
    <t>Encumbered $6,000</t>
  </si>
  <si>
    <t xml:space="preserve">Community Impact District Programming </t>
  </si>
  <si>
    <t>PUBLIC INFRASTRUCTURE AND FACILITIES</t>
  </si>
  <si>
    <t>FY18</t>
  </si>
  <si>
    <t xml:space="preserve">Workforce Development Needs Assessment </t>
  </si>
  <si>
    <t xml:space="preserve"> </t>
  </si>
  <si>
    <r>
      <rPr>
        <b/>
        <sz val="10"/>
        <color theme="1"/>
        <rFont val="Calibri"/>
        <family val="2"/>
        <scheme val="minor"/>
      </rPr>
      <t>Project Description:</t>
    </r>
    <r>
      <rPr>
        <sz val="10"/>
        <color theme="1"/>
        <rFont val="Calibri"/>
        <family val="2"/>
        <scheme val="minor"/>
      </rPr>
      <t xml:space="preserve"> Conduct an Environmental Scan and Needs Assessment of the Casino Planning Area to identify two key factors: 1) the existing skill sets and educational attainment of employment-aged residents, and 2) the prevailing employment and skills training needs of the major employers in the area.  Information will identify critical skills gaps between job seekers and employers to cultivate relevant training opportunities to bridge the gaps.</t>
    </r>
  </si>
  <si>
    <r>
      <rPr>
        <b/>
        <sz val="9"/>
        <color theme="1"/>
        <rFont val="Calibri"/>
        <family val="2"/>
        <scheme val="minor"/>
      </rPr>
      <t>Status/Update:</t>
    </r>
    <r>
      <rPr>
        <sz val="9"/>
        <color theme="1"/>
        <rFont val="Calibri"/>
        <family val="2"/>
        <scheme val="minor"/>
      </rPr>
      <t xml:space="preserve"> During 4rd quarter (4/1/15 through 6/30/15), actions to date:
• Final study was sent to the LDC for comment in April, no responses.
• The study has been instrumental in the development and implementation of outreach strategies for the Employment Connection Center (ECC) and determining the types of services that should be offered in the ECC.
</t>
    </r>
    <r>
      <rPr>
        <b/>
        <sz val="9"/>
        <color theme="1"/>
        <rFont val="Calibri"/>
        <family val="2"/>
        <scheme val="minor"/>
      </rPr>
      <t xml:space="preserve">Next Steps:  </t>
    </r>
    <r>
      <rPr>
        <sz val="9"/>
        <color theme="1"/>
        <rFont val="Calibri"/>
        <family val="2"/>
        <scheme val="minor"/>
      </rPr>
      <t xml:space="preserve">
• MOED will  continue to utilize recommendations from the study to coordinate services with local providers, prepare area residents for employment, and focus on collaboratively working with employers to prepare workers for jobs.
</t>
    </r>
  </si>
  <si>
    <r>
      <rPr>
        <b/>
        <sz val="9"/>
        <color theme="1"/>
        <rFont val="Calibri"/>
        <family val="2"/>
        <scheme val="minor"/>
      </rPr>
      <t>Status/Update:</t>
    </r>
    <r>
      <rPr>
        <sz val="9"/>
        <color theme="1"/>
        <rFont val="Calibri"/>
        <family val="2"/>
        <scheme val="minor"/>
      </rPr>
      <t xml:space="preserve"> During 3rd quarter (1/1/15 through 3/31/15), actions to date:
• The consultant completed the study and provided a draft for review in February.
• Consultant provided a presentation of study results to the LDC members on March 24th.
• Final study was received on March 31st.
• Begin to strategize services to be delivered at the new center based on Workforce Needs Assessment Study. 
</t>
    </r>
    <r>
      <rPr>
        <sz val="9"/>
        <color theme="1"/>
        <rFont val="Calibri"/>
        <family val="2"/>
        <scheme val="minor"/>
      </rPr>
      <t xml:space="preserve">
</t>
    </r>
  </si>
  <si>
    <r>
      <rPr>
        <b/>
        <sz val="9"/>
        <color theme="1"/>
        <rFont val="Calibri"/>
        <family val="2"/>
        <scheme val="minor"/>
      </rPr>
      <t>Status/Update:</t>
    </r>
    <r>
      <rPr>
        <sz val="9"/>
        <color theme="1"/>
        <rFont val="Calibri"/>
        <family val="2"/>
        <scheme val="minor"/>
      </rPr>
      <t xml:space="preserve"> During 2nd quarter (10/1/14 through 12/30/14), actions to date:
• Read, rated, selected and awarded contract to Christopher Seals &amp; Associates.
• Kick-off meeting held with consultant in late October with the CIA Project Director, representatives from Planning and MOED to discuss project details.  
• In November, the consultant confirmed survey questions for the in person interviews and finalized the survey communities.
• In December, the consultant completed interviews with CIA employers, job skills analysis, resident surveys, and analysis of the survey responses.
</t>
    </r>
  </si>
  <si>
    <r>
      <t xml:space="preserve">Project Description: </t>
    </r>
    <r>
      <rPr>
        <sz val="11"/>
        <color theme="1"/>
        <rFont val="Calibri"/>
        <family val="2"/>
        <scheme val="minor"/>
      </rPr>
      <t xml:space="preserve">The Baltimore City Department of Planning requested to hire a consultant that would create an overarching master plan to guide the allocation of LIG funds in the CIA. The planning process began in fall 2013, resulting in the South Baltimore Gateway Master Plan, which was issued and adopted by the City Planning Commission in fall of 2015. The plan involved research into relevant best practices, evaluation of data on CIA communities, analysis of current initiatives and services compiled by City agencies, and review of existing master plans. Extensive community input was garnered through public visioning sessions and committees working to articulate concerns and develop recommendations in specific topic areas. The result is an extensive yet cohesive document comprised of interrelated goals, strategies and recommendations, providing guideposts for allocating LIG funds and leveraging outside resources, such as state and federal grants, foundations grants and private investment. The planning process and the final Master Plan have served as the framework for creating annual Spending Plans as part of a multi-year approach. </t>
    </r>
  </si>
  <si>
    <r>
      <t xml:space="preserve">Project Description: </t>
    </r>
    <r>
      <rPr>
        <sz val="10"/>
        <color theme="1"/>
        <rFont val="Calibri"/>
        <family val="2"/>
        <scheme val="minor"/>
      </rPr>
      <t xml:space="preserve">Baltimore Police Department (BPD) recommended staffing of a dedicated Casino Sub-District (CSD) that was created in preparation for the Horseshoe’s opening in August 2015. The original FY’15 Spending Plan budgeted $1.5 million in Tier 1 for police operations, with an additional $300,000 allocated in Tier 2. Tier 1 was based on a staff of 11: one lieutenant, three sergeants and seven officers. BPD requested funding for a staff of 17 (one lieutenant, three sergeants, 12 officers and one detective), which has never been fully funded. 
The CSD is currently staffed with nine filled, full-time positions: one lieutenant, one sergeant and seven patrol officers. The budgets for the district in FY’17 and ‘18 allowed for 11 full-time positions. However, given personnel shortages across the Department, the empty positions have not been filled. Empty positions are back-filled with overtime on a routine basis. The current operation deploys three shifts of two officers per day, seven days per week -- a schedule that relies on overtime, as the number of person-shifts per week (42) exceeds what can be covered by seven personnel, working five days per week (35). 
</t>
    </r>
  </si>
  <si>
    <r>
      <rPr>
        <b/>
        <sz val="10"/>
        <color theme="1"/>
        <rFont val="Calibri"/>
        <family val="2"/>
        <scheme val="minor"/>
      </rPr>
      <t xml:space="preserve">Project Description: </t>
    </r>
    <r>
      <rPr>
        <sz val="10"/>
        <color theme="1"/>
        <rFont val="Calibri"/>
        <family val="2"/>
        <scheme val="minor"/>
      </rPr>
      <t xml:space="preserve">A goal was identified to create a Public Safety Sub-Station in the vicinity of the casino to stage fire, EMS, and police resources and to respond to 911 calls for service. A construction trailer was provided for use by the CSD during construction and for the casino’s opening, sited on City-owned Lot J north of the garage on Warner Street. The CSD remained there through January 2016. 
From February 2016 to August 2017 the CSD occupied a rented storefront space in the 700 Block of Washington Boulevard in the Pigtown Main Street district. While the initial impression in the community was positive, it was later deemed less successful. Residents’ perception of the CSD was as a sub-station for the community; hence, they grew frustrated that the office was often locked while officers were out on patrol. It was later determined that it would be more cost effective and have greater security benefit to locate the CSD in a space nearby or within the property of the Horseshoe Casino Baltimore (HCB). 
</t>
    </r>
  </si>
  <si>
    <r>
      <rPr>
        <b/>
        <sz val="10"/>
        <color theme="1"/>
        <rFont val="Calibri"/>
        <family val="2"/>
        <scheme val="minor"/>
      </rPr>
      <t xml:space="preserve">Status/Update (July 2018): </t>
    </r>
    <r>
      <rPr>
        <sz val="10"/>
        <color theme="1"/>
        <rFont val="Calibri"/>
        <family val="2"/>
        <scheme val="minor"/>
      </rPr>
      <t>The CSD relocated to HCB in September 2017, first sharing space with the security division inside the casino and then being provided space in the valet office within the garage. The valet space was subdivided to provide an office for the commander and a room for patrol officers. Valet personnel still had access the suite through June 2018, despite the lease being executed in March. Valet personnel have now vacated and full access was granted to BPD on July 1. BPD plans to finish renovations and install IT connections for body-camera downloads and access to Citiwatch cameras this summer. The lease between the City and HCB provides for a rental at $5,000 per year for the first three years, followed by annual renewals of one dollar for the following two years and a possible extension for an additional two years at one dollar per year. The first-year payment of $5,000 was encumbered in FY’18, covering year one of the lease through March 14, 2019.</t>
    </r>
  </si>
  <si>
    <r>
      <rPr>
        <b/>
        <sz val="9"/>
        <color theme="1"/>
        <rFont val="Calibri"/>
        <family val="2"/>
        <scheme val="minor"/>
      </rPr>
      <t xml:space="preserve">Project Description: </t>
    </r>
    <r>
      <rPr>
        <sz val="9"/>
        <color theme="1"/>
        <rFont val="Calibri"/>
        <family val="2"/>
        <scheme val="minor"/>
      </rPr>
      <t xml:space="preserve">The goal for this activity – providing a dedicated "PEAK" medic unit, operating 9AM to 9PM and staffed with overtime personnel – was to have an EMS team available to respond to emergencies at the casino without draining existing resources, and to improve service to surrounding communities in the CIA. As part of the plan, Medic 22 was redeployed from downtown to Engine 55 on Washington Boulevard, serving as backup. This change was made at no cost additional cost and occurred prior to the deployment of the PEAK unit in November 2014. Previously, the CIA was only served by EMS units in nearby neighborhoods. The PEAK Unit is stationed at Engine 58 on Annapolis Road in Westport, pending renovations at Old Truck 6 fire station at Hanover and West Ostend Street expected in early 2019. Together, the PEAK unit and Medic 22 have provided faster response times to the casino and surrounding communities, which are geographically isolated due to highways, railroad tracks and the Middle Branch shoreline. </t>
    </r>
  </si>
  <si>
    <r>
      <t xml:space="preserve">Status/Update (July 2018): </t>
    </r>
    <r>
      <rPr>
        <sz val="9"/>
        <color theme="1"/>
        <rFont val="Calibri"/>
        <family val="2"/>
        <scheme val="minor"/>
      </rPr>
      <t xml:space="preserve"> Status/Update (July 2018): The PEAK Medic Unit operation ended FY’17 with a deficit of $36,418. Not charged to LIG funds are the vehicle, equipment and fuel costs or supplies used by the unit. The deficit of $36,418 was offset by savings in DOT Traffic Safety operations. The PEAK operation ran a deficit of $24,375 in FY’18.
In November 2017, BCFD provided data on call volume by number of incidents within the CIA for FY’15-‘17 showing marked increases each year: 
• FY’15 – 9,506 calls
• FY’16 – 10,092 calls: 6.2% increase over FY’15
• FY’17 – 10,407 CALLS: 3.1% increase over FY’16; 9.5% increase over FY’15.
As the demand for EMS services has increased within the CIA and the City overall, BCD recommended replacing the operation of the PEAK service’s one advanced life-support (ALS) unit with two basic life-support (BLS) units. The result will be a cost savings of $40,000 in FY’19, and the community will benefit by having an additional unit on the street serving the CIA. This recommendation was adopted for the FY’19 spending plans.
</t>
    </r>
  </si>
  <si>
    <r>
      <rPr>
        <b/>
        <sz val="10"/>
        <color theme="1"/>
        <rFont val="Calibri"/>
        <family val="2"/>
        <scheme val="minor"/>
      </rPr>
      <t>Project Description:</t>
    </r>
    <r>
      <rPr>
        <sz val="10"/>
        <color theme="1"/>
        <rFont val="Calibri"/>
        <family val="2"/>
        <scheme val="minor"/>
      </rPr>
      <t xml:space="preserve"> Prior to Horseshoe Casino Baltimore (HCB) opening, the Department of Transportation (DOT) Safety Division met with representatives from the casino to discuss expectations and deliverables. Walk-throughs prior to the soft and grand openings identified personnel needs, deployment locations and times, and potential conflicts during events such as football and baseball games or the marathon. Initial deployment plans called for four traffic enforcement officers (TEO’s) deployed from 4PM to 8PM, Wednesday through Sunday at locations on Russell Street and Warner Street. During Ravens games, eight TEO’s in addition to the normal football deployment of 17 TEO’s would be assigned for 10 hours. Deployment during baseball games would be eight TEO’s in addition to normal baseball deployment of 12 TEO’s for eight hours.
The anticipated peak traffic volumes did not materialize as expected. DOT delayed filling full-time positions and instead staffed shifts with overtime personnel in order to monitor patterns before committing to new positions. During FY’16, staffing was reduced to assign overtime personnel only during Friday and Saturday evenings and special events, with coordination provided between HCB and the City should greater coverage be required. 
</t>
    </r>
  </si>
  <si>
    <r>
      <rPr>
        <b/>
        <sz val="10"/>
        <color theme="1"/>
        <rFont val="Calibri"/>
        <family val="2"/>
        <scheme val="minor"/>
      </rPr>
      <t xml:space="preserve">Status/Update (July 2018): </t>
    </r>
    <r>
      <rPr>
        <sz val="10"/>
        <color theme="1"/>
        <rFont val="Calibri"/>
        <family val="2"/>
        <scheme val="minor"/>
      </rPr>
      <t>Costs through the end of FY'17 remained well below budget. A portion of the surplus offset a deficit in the operation of the dedicated PEAK Medic Unit. In September 2017, per HCB’s recommendation, DOT halted the Friday and Saturday evening TEO deployments, as they were deemed to be unnecessary. Arrangements were made between HCB and the City for TEO deployments to occur only during home football games at M&amp;T Bank Stadium and on an as-needed basis.</t>
    </r>
  </si>
  <si>
    <r>
      <rPr>
        <b/>
        <sz val="10"/>
        <color theme="1"/>
        <rFont val="Calibri"/>
        <family val="2"/>
        <scheme val="minor"/>
      </rPr>
      <t>Project Description:</t>
    </r>
    <r>
      <rPr>
        <sz val="10"/>
        <color theme="1"/>
        <rFont val="Calibri"/>
        <family val="2"/>
        <scheme val="minor"/>
      </rPr>
      <t xml:space="preserve"> This initiative began with the installation of ten (10) Citiwatch CCTV security cameras along with fiberoptic cabling and conduit needed to support the cameras in the vicinity of the Horseshoe Casino Baltimore (HCB), ahead of the casino's opening in 2014. Citiwatch is a joint initiative of the Mayor’s Office on Criminal Justice (MOCJ), Baltimore Police Department and Baltimore City Information Technology (BCIT). Cameras were installed along Russell Street from Bush Street to West Ostend Street, on Stockholm Street from Russell Street to Sharp Street, and on Warner Street. The original installation cost over $900,000, with the majority of the costs related to installing new conduit and fiber “backbone” that provide the opportunity for future expansions of the CCTV network. Included in the FY’15 budget were funds for the City’s IT department to analyze and make recommendations on needed fiberoptic resources throughout the CIA. In planning for FY’16 and later years, the Spending Plan has included $30,000 per year to cover service contracts on installed equipment and to fund a replacement reserve, as cameras have generally a five-year lifespan. 
At the end of FY’16, $22,626 from unspent funds originally targeted for maintenance of Citiwatch cameras was used for the Baltimore City Housing and Community Development (HCD) Permits and Code Enforcement Special Investigation Unit (SIU) to acquire 25 “Hyperfire” license plate cameras and accessories. Cameras were purchased in late May, with the first cameras installed in June 2016. SIU deployed cameras in known dumping areas of the CIA, and investigators began processing incidents of dumping caught on camera. The cameras are secured to light poles, guardrails and similar objects in areas where SIU knows dumping occurs. In some cases these cameras are used in conjunction with solar-powered cameras to ensure sufficient evidence is captured and dumpers can be identified. SIU conducts an investigation into every dumping case caught on camera and will issue $500 and $1000 citations, or refer the matter to one of the Assistant State’s Attorneys in the Permits and Code Enforcement Legal Section for criminal charges. As of July 2017, 36 citations issued; 28 criminal cases were brought. 
</t>
    </r>
    <r>
      <rPr>
        <b/>
        <sz val="10"/>
        <color theme="1"/>
        <rFont val="Calibri"/>
        <family val="2"/>
        <scheme val="minor"/>
      </rPr>
      <t xml:space="preserve">
</t>
    </r>
  </si>
  <si>
    <r>
      <t xml:space="preserve">Status/Update (July 2018): </t>
    </r>
    <r>
      <rPr>
        <sz val="10"/>
        <color theme="1"/>
        <rFont val="Calibri"/>
        <family val="2"/>
        <scheme val="minor"/>
      </rPr>
      <t xml:space="preserve">MOCJ reports that approximately $6,000 in maintenance has been contracted in FY’18; however, final billing for the year has not yet been reconciled, and only $3,994 has been charged to date. Installation and planning for 19 new cameras is either complete or underway. These are in three expansion areas: three cameras along Waterview Avenue and in Middle Branch Park (complete); 13 cameras in Pigtown (installed and in testing mode); and three cameras on Annapolis Road in Westport (installation planned this summer). A portion of the unused reserve funds may support the effort of purchasing new cameras. However, with the aging of cameras installed in 2014 and this addition of new cameras, remaining funds in the future must be retained for replacement reserves.
HCD has not reported on the number of new cases brought or citations issued based on data collected via the dumping cameras in FY’18. 
</t>
    </r>
  </si>
  <si>
    <r>
      <t xml:space="preserve">Status/Update (July 2018): </t>
    </r>
    <r>
      <rPr>
        <sz val="11"/>
        <color theme="1"/>
        <rFont val="Calibri"/>
        <family val="2"/>
        <scheme val="minor"/>
      </rPr>
      <t xml:space="preserve">Status/Update (July 2018): With the creation of the South Baltimore Gateway Partnership (SBGP) in late 2016, the Coordinator has served as the liaison between the City and the SBGP, both providing support to collaborative initiatives that involve joint funding, such as the Middle Branch Fitness and Wellness Center, and assisting with statutory and contractual issues. The Coordinator continues to staff the LDC and manage initiatives funded directly by the City, while advocating for community development initiatives that advance the South Baltimore Gateway Master Plan. The FY’18 Spending Plan provided additional funding for consultants or contractors that would aid in documenting and publicizing the accomplishments to date. Given the budget shortfall, this activity was put on hold. </t>
    </r>
  </si>
  <si>
    <r>
      <t xml:space="preserve">Project Description: </t>
    </r>
    <r>
      <rPr>
        <sz val="11"/>
        <color theme="1"/>
        <rFont val="Calibri"/>
        <family val="2"/>
        <scheme val="minor"/>
      </rPr>
      <t>The Department of Planning and Mayor’s Office recommended creation of a new position to provide administrative support to the LDC and coordinate and monitor implementation of the Spending Plan and other initiatives resulting from the South Baltimore Gateway Master Plan. This position was created for approximately nine (9) months in FY’15 and has been extended through FY’19.</t>
    </r>
  </si>
  <si>
    <r>
      <rPr>
        <b/>
        <sz val="10"/>
        <color theme="1"/>
        <rFont val="Calibri"/>
        <family val="2"/>
        <scheme val="minor"/>
      </rPr>
      <t xml:space="preserve">Status/Update (July 2018): </t>
    </r>
    <r>
      <rPr>
        <sz val="10"/>
        <color theme="1"/>
        <rFont val="Calibri"/>
        <family val="2"/>
        <scheme val="minor"/>
      </rPr>
      <t xml:space="preserve">The Complete Streets Plan was issued in spring of 2017. DOT provided electronic and hard copies of the plan to community associations in affected neighborhoods and posted the plan to the Department’s website. The Parking Study’s draft findings and recommendations were received by the Parking Authority and presented to the LDC’s Sanitation, Transportation and Infrastructure Committee in February and July of 2017. Comments were provided to the consultants for consideration in the final draft, which was presented at a public meeting in November 2018. The study has been issued as “final” along with PABC’s comments and public feedback. The PABC must now consider the recommendations and issue a “parking plan” that incorporates changes in policies such as the Residential Parking Program, angled parking, flexible parking or expansion of municipal facilities. No timetable has yet been given for creation of the plan. 
</t>
    </r>
  </si>
  <si>
    <r>
      <rPr>
        <b/>
        <sz val="10"/>
        <color theme="1"/>
        <rFont val="Calibri"/>
        <family val="2"/>
        <scheme val="minor"/>
      </rPr>
      <t>Project Description:</t>
    </r>
    <r>
      <rPr>
        <sz val="10"/>
        <color theme="1"/>
        <rFont val="Calibri"/>
        <family val="2"/>
        <scheme val="minor"/>
      </rPr>
      <t xml:space="preserve"> The Department of Transportation (DOT) proposed the Complete Streets Plan as a model for engaging each neighborhood and the larger CIA community in considering all aspects of street design within the right of way: open space features, storm water management, transit, walking, bicycling, alleys, main streets, neighborhood streets, transit and major arterials. The plan includes four tasks led by the consultant team headed by Whitman Requardt and Associates working under DOT’s Planning Division. These are Public Outreach and Assessment; Inventory of Existing Conditions; Analysis and Final Report; and the South Baltimore Peninsula Parking Study, which was managed as a standalone project by the Parking Authority of Baltimore City. The Complete Streets Plan includes a chapter for each neighborhood and an overall “framework plan” for increasing connectivity among neighborhoods. It provides cost estimates and makes “official” proposals and priorities for improvements in the roadway network for each neighborhood, allowing for projects to be green-lighted as funding becomes available. </t>
    </r>
  </si>
  <si>
    <t>Solar/Smart-Can Purchase</t>
  </si>
  <si>
    <t>Proactive Pruning in Fed Hill</t>
  </si>
  <si>
    <t>Pruning in Federal Hill charge to CEP</t>
  </si>
  <si>
    <t xml:space="preserve">Est. </t>
  </si>
  <si>
    <t>Actual FY18</t>
  </si>
  <si>
    <t>Advanced Payment to SBGP</t>
  </si>
  <si>
    <t>Final Payout to SBGP Scheduled</t>
  </si>
  <si>
    <t>Contracted Svcs -- B. Rogers</t>
  </si>
  <si>
    <t>Contract Svcs--Catering, Printing FY16</t>
  </si>
  <si>
    <t>Contract Svcs--Feasibility Study FY16</t>
  </si>
  <si>
    <t>Contract Svcs--Catering, Printing FY17</t>
  </si>
  <si>
    <t>Contracted Svcs -- Web/Branding</t>
  </si>
  <si>
    <t xml:space="preserve">Total To Date </t>
  </si>
  <si>
    <t>$68,338 Paid in FY16</t>
  </si>
  <si>
    <t>Total reserved for CID FY'15-FY-17</t>
  </si>
  <si>
    <t>$72,789 Paid in FY17</t>
  </si>
  <si>
    <t>Deducted from total due</t>
  </si>
  <si>
    <t>Total due based on appropriations</t>
  </si>
  <si>
    <t>Paid July 2017</t>
  </si>
  <si>
    <t>Paid Sept 2017</t>
  </si>
  <si>
    <t>Sharp-Leadenhall--Football Uniforms</t>
  </si>
  <si>
    <t>BAE Contract amount</t>
  </si>
  <si>
    <t xml:space="preserve">Invoice 2 requested </t>
  </si>
  <si>
    <t>IFIG Grant/Contract 2 (Completed) 1645 Ridgely Street</t>
  </si>
  <si>
    <t>IFIG Grant/Contract 1 (Completed) 1625 Ridgely Street</t>
  </si>
  <si>
    <t>IFIG Grant/Contract 3 (Estimate) 1100 Russell Street</t>
  </si>
  <si>
    <t>Middle Branch Fitness and Wellness Center</t>
  </si>
  <si>
    <t>Add CF to FY19 $400K</t>
  </si>
  <si>
    <t>Matched by $86K SBGP</t>
  </si>
  <si>
    <t>Misc Expenses</t>
  </si>
  <si>
    <t>Geon Floyd -contract</t>
  </si>
  <si>
    <t>Item/Description</t>
  </si>
  <si>
    <t>Cost</t>
  </si>
  <si>
    <t>Unit</t>
  </si>
  <si>
    <t>Per 12 months</t>
  </si>
  <si>
    <t>Qty</t>
  </si>
  <si>
    <t>Contract closed in FY17</t>
  </si>
  <si>
    <t>Contract closed in FY5</t>
  </si>
  <si>
    <t>BBMR Report</t>
  </si>
  <si>
    <t xml:space="preserve">Funds available </t>
  </si>
  <si>
    <t>Less FY18 Actual</t>
  </si>
  <si>
    <t>BDC: Consulting--Grocery Recruitment</t>
  </si>
  <si>
    <t xml:space="preserve">$15K encumbered </t>
  </si>
  <si>
    <t>Pigtown Conduit Survey -- Complete</t>
  </si>
  <si>
    <t>Pigtown Phase 2 Cameras (8) -- Installed</t>
  </si>
  <si>
    <t>Pigtown Fiber (Phases 1 and 2) -- Installed</t>
  </si>
  <si>
    <t>Waterview Cameras (3) and Fiber -- Complete</t>
  </si>
  <si>
    <t>FY'17  Appropn w/ Carry Fwd</t>
  </si>
  <si>
    <t>Actual Revenue</t>
  </si>
  <si>
    <t>Actual Savings</t>
  </si>
  <si>
    <t>Surplus Savings</t>
  </si>
  <si>
    <t>Savings Required -- Adjustment for Reduced Revenue</t>
  </si>
  <si>
    <t>Savings Required</t>
  </si>
  <si>
    <t>Savings</t>
  </si>
  <si>
    <t>Svgs Reqd</t>
  </si>
  <si>
    <t>Savings Achieved Total FY17-FY18</t>
  </si>
  <si>
    <t>"Surplus Savings" Total FY17-FY18</t>
  </si>
  <si>
    <t>BCRP-Capital &amp; Plan</t>
  </si>
  <si>
    <t>Less Savings Required Total FY17-FY18</t>
  </si>
  <si>
    <t>Expand K-12 Support: UMB Public Allies, other</t>
  </si>
  <si>
    <t xml:space="preserve">Early Childhood Support: Summer Head Start </t>
  </si>
  <si>
    <t>Assessment of Carroll-Camden/Other Indust Areas</t>
  </si>
  <si>
    <t xml:space="preserve">Redevelopment Opportunities--Studies &amp; TA </t>
  </si>
  <si>
    <t>Complete Streets Plan &amp; So. Balt. Parking Study</t>
  </si>
  <si>
    <t>Project Management/Coordination, LDC Support</t>
  </si>
  <si>
    <t xml:space="preserve">Community-Police Partnerships: Organizer </t>
  </si>
  <si>
    <t>FY'17 Budgeted</t>
  </si>
  <si>
    <t>FY'16 (Tier 1) Budgeted</t>
  </si>
  <si>
    <t>FY'17 Carry-Fwd</t>
  </si>
  <si>
    <t>FY'16 Carry-Fwd (+Tier2)</t>
  </si>
  <si>
    <t>FY'18 Appropn w/ Carry Fwd</t>
  </si>
  <si>
    <t>Actual Revenue (Closeout for FY17; Est. for FY18)</t>
  </si>
  <si>
    <t>Total Spending:</t>
  </si>
  <si>
    <t>Bal. Remaining:</t>
  </si>
  <si>
    <t>$300,000 for Smart Cans</t>
  </si>
  <si>
    <t>Charge deficit to CEP</t>
  </si>
  <si>
    <t>$150K SBGP grant due</t>
  </si>
  <si>
    <r>
      <rPr>
        <b/>
        <sz val="10"/>
        <color theme="1"/>
        <rFont val="Calibri"/>
        <family val="2"/>
        <scheme val="minor"/>
      </rPr>
      <t>Project Description:</t>
    </r>
    <r>
      <rPr>
        <sz val="10"/>
        <color theme="1"/>
        <rFont val="Calibri"/>
        <family val="2"/>
        <scheme val="minor"/>
      </rPr>
      <t xml:space="preserve"> DOT began working on implementing sample “complete streets” projects that emerged from community outreach during the creation of the South Baltimore Gateway Master Plan and the Complete Streets Plan before the final version was issued. The list of projects was vetted in consultation with the LDC’s Transportation, Sanitation and Infrastructure Committee. Projects were programmed for FY’17 capital funding. In some cases Complete Streets funding are being used to match/leverage other sources, such as Community Enhancement Project budgets and LIG funds appropriated through the Department of Recreation and Parks for work on the Gwynns Falls Trail. Complete Streets funding is also envisioned to complement funding through the South Baltimore Gateway Partnership as well as for local match in seeking state or federal transportation grants. </t>
    </r>
  </si>
  <si>
    <t>DOT Staffing/Coordination $50K</t>
  </si>
  <si>
    <t>Consultants</t>
  </si>
  <si>
    <t>Advertising</t>
  </si>
  <si>
    <t xml:space="preserve">Materials </t>
  </si>
  <si>
    <t>$36,000 billed in FY17</t>
  </si>
  <si>
    <t>Pigtown Garden-West Ostend St Park</t>
  </si>
  <si>
    <t>Garden fence, ADA ramps, paving, bollards, landscape design</t>
  </si>
  <si>
    <t>Cost Est.</t>
  </si>
  <si>
    <t>Description</t>
  </si>
  <si>
    <t>Cost to Date</t>
  </si>
  <si>
    <t>Gwynns Falls/Middle Branch Trail</t>
  </si>
  <si>
    <t>Improvemnt plan for on-street &amp; park route Hamburg to Hanover St Br</t>
  </si>
  <si>
    <t>Scoping requested</t>
  </si>
  <si>
    <t>Trees/landscape screening of open spaces at 295/95/Annapolis Rd</t>
  </si>
  <si>
    <t>MLK Blvd Various Componenets</t>
  </si>
  <si>
    <t>Wash. Blvd. gateway plan, bicycle path, master plan, garden walls</t>
  </si>
  <si>
    <t>Decorative/embossed paving at three crosswalks on Cross Street</t>
  </si>
  <si>
    <t xml:space="preserve">Otterbein Cobblestones </t>
  </si>
  <si>
    <t>Repair/grout cobblestone paving in three one block-long alleys</t>
  </si>
  <si>
    <t>Estimate to upgrade city owned street lights to LED</t>
  </si>
  <si>
    <t>Scoping for development of traffic calming/streetscape plans</t>
  </si>
  <si>
    <t>Propose decorative/embossed crosswalk Stranden Rd near school</t>
  </si>
  <si>
    <t>Cost-sharing for pedestrian lane/pocket park related to INSPIRE Plan</t>
  </si>
  <si>
    <t>$75K: charge to CEP</t>
  </si>
  <si>
    <r>
      <rPr>
        <b/>
        <sz val="10"/>
        <color theme="1"/>
        <rFont val="Calibri"/>
        <family val="2"/>
        <scheme val="minor"/>
      </rPr>
      <t xml:space="preserve">Status/Update (July 2018): </t>
    </r>
    <r>
      <rPr>
        <sz val="10"/>
        <color theme="1"/>
        <rFont val="Calibri"/>
        <family val="2"/>
        <scheme val="minor"/>
      </rPr>
      <t>Of the Complete Streets projects programmed, to date ADA ramps were constructed for the West Ostend Street community garden/street-end, and fencing for the Pigtown Community Garden; milling and overlay of the street right-of-way is planned along with bollards to prevent illegal dumping and create a safe play space ($25K cost-share is due from CEP funds). The plan for decorative crosswalks on West Cross Street at William, Battery and Riverside Streets is proceeding for installation this summer. The regrouting of cobblestone alleyways in Otterbein was complete in 2017 (Note: $50K cost-share is due from CEP funds). DOT received the scope and budget for 100% design/engineering MLK/Washington Boulevard gateway project ($400,000). DOT and BCRP will begin testing installation of new graphics/wayfinding signage for the Gwynns Falls Trail this year. Other projects are various states of scoping and planning.</t>
    </r>
  </si>
  <si>
    <t>Staffing/Personnel for Enhanced Svcs</t>
  </si>
  <si>
    <r>
      <t>Project Description:</t>
    </r>
    <r>
      <rPr>
        <sz val="9"/>
        <color theme="1"/>
        <rFont val="Calibri"/>
        <family val="2"/>
        <scheme val="minor"/>
      </rPr>
      <t xml:space="preserve"> The Bureau of Solid Waste developed a short-term plan to address the additional sanitation demands expected with the casino operating 24 hours per day, seven days per week. FY15 funding provided for one “crew” (three personnel), one vehicle (an eight-cubic yard load-packer), and eight “smart,” solar-compacting trash receptacles in blocks surrounding the Casino. For FY'16 Solid Waste requested funding to continue this level of service from FY’15, with continuation of one crew hired/funded in FY'15 and the creation of an additional crew dedicated to the CIA. DPW requested to purchase a second “load-packer” vehicle for the second crew. 
The second crew was never hired. Rather, in FY17 a plan was created to continue the dedicated crew and charge percentages of other crews providing enhanced service to gateway corridors in the CIA on nights and weekends: one dedicated crew that empties gateway/corner cans and responds to dirty street and alley calls in the SBG area only daily six days per week; additional emptying of gateway cans evenings and on Sundays. 
Regular cleaning the homeless encampment under MD-295 and mechanical street-sweeping of the I-95/Monroe Street interchange, Carroll-Camden Industrial Area and the Russell Street corridor were also negotiated, with costs covered by City general funds. 
</t>
    </r>
  </si>
  <si>
    <r>
      <rPr>
        <b/>
        <sz val="9"/>
        <color theme="1"/>
        <rFont val="Calibri"/>
        <family val="2"/>
        <scheme val="minor"/>
      </rPr>
      <t>Status/Update (July 2018): I</t>
    </r>
    <r>
      <rPr>
        <sz val="9"/>
        <color theme="1"/>
        <rFont val="Calibri"/>
        <family val="2"/>
        <scheme val="minor"/>
      </rPr>
      <t xml:space="preserve">n FY17, funds originally set aside for the second vehicle were been reprogrammed for two purposes: 1) to support contractor services for removing trash from the shoreline and shallow-water areas of the Middle Branch and Ridgely’s Cove; and 2) for purchase of an additional 64 smart/solar-compacting trash to cover major gateway and commercial corridors within the CIA, for a total cost of $300,000. Through research of multiple options, the City issued a request for bids for smart-can technology for business districts around the City, starting with the SBG as a “Phase 1” pilot. The City is under contract with the vendor Ecube to provide smart-cans citywide as funding allows. The Phase 1 roll-out will begin later this summer in the CIA, with locations being reviewed and confirmed by the LDC’s Sanitation, Transportation and Infrastructure Committee. </t>
    </r>
    <r>
      <rPr>
        <b/>
        <sz val="9"/>
        <color theme="1"/>
        <rFont val="Calibri"/>
        <family val="2"/>
        <scheme val="minor"/>
      </rPr>
      <t xml:space="preserve">
</t>
    </r>
  </si>
  <si>
    <t>Enhanced Solid Waste Services</t>
  </si>
  <si>
    <t>Combined Total w/ Enhanced Solid Waste Services</t>
  </si>
  <si>
    <r>
      <rPr>
        <b/>
        <sz val="10"/>
        <color theme="1"/>
        <rFont val="Calibri"/>
        <family val="2"/>
        <scheme val="minor"/>
      </rPr>
      <t xml:space="preserve">Status/Update (July 2018): </t>
    </r>
    <r>
      <rPr>
        <sz val="10"/>
        <color theme="1"/>
        <rFont val="Calibri"/>
        <family val="2"/>
        <scheme val="minor"/>
      </rPr>
      <t>The City engaged a new environmental contractor, Demo-USA, undertook shoreline cleaning starting in June 2017 and completed the project in August. Supplemental tasks were added as change order: a second cleaning of areas that receive heavy flows of debris along the eastern shoreline of Ridgely's Cove (due to wind and tides) and the Alluvion Street outfall; shoreline cleaning was added along the south side of the Gwynns Falls up to I-95 and alongside the Middle Branch Trail and Harbor Hospital between the two Hanover Street bridges; the installation of new booms at outfalls to lessen the amount of debris entering the waterway was completed in August. Demo-USA submitted a maintenance plan, developed with DPW Solid Waste and Compliance and Laboratories Divisions, for activation in September through December 2017. The contractor halted operations in the first quarter of 2017 and is currently engaged in regular maintenance.</t>
    </r>
  </si>
  <si>
    <r>
      <t xml:space="preserve">Status/Update (July 2018): </t>
    </r>
    <r>
      <rPr>
        <sz val="10"/>
        <color theme="1"/>
        <rFont val="Calibri"/>
        <family val="2"/>
        <scheme val="minor"/>
      </rPr>
      <t xml:space="preserve">Forestry launched the tree citywide survey in spring 2017, starting with testing methods in Northwest Baltimore, followed by the CIA as the first area to receive a complete survey. This work was completed in September 2017, with the survey now available to guide planning, project management and the allocation of resources going forward. The inventory of the CIA located 9,918 trees, 284 stumps, 1643 vacant potential planting sites, 819 vacant sites ready to plant, and 319 vacant sites not suitable for planting. This data will greatly aid in prioritizing maintenance and tree planting and the City’s ability to coordinate outside funding and volunteer efforts as part of an overall plan. The total cost of the inventory in the casino district was $30,128. 
An additional $30,000 from FY’16 carry-forward LIG funds supported the enlargement of tree pits in brick sidewalks in Federal Hill. The work started in December 2017 and was completed in the third quarter. </t>
    </r>
    <r>
      <rPr>
        <b/>
        <sz val="10"/>
        <color theme="1"/>
        <rFont val="Calibri"/>
        <family val="2"/>
        <scheme val="minor"/>
      </rPr>
      <t xml:space="preserve">
</t>
    </r>
  </si>
  <si>
    <r>
      <rPr>
        <b/>
        <sz val="10"/>
        <color theme="1"/>
        <rFont val="Calibri"/>
        <family val="2"/>
        <scheme val="minor"/>
      </rPr>
      <t xml:space="preserve">Project Description: </t>
    </r>
    <r>
      <rPr>
        <sz val="10"/>
        <color theme="1"/>
        <rFont val="Calibri"/>
        <family val="2"/>
        <scheme val="minor"/>
      </rPr>
      <t xml:space="preserve">The Division of Urban Forestry and its outreach arm “Tree Baltimore” proposed to develop a plan, methodology and cost estimates for multi-year tree-planting in the CIA with the goal of achieving 40% tree canopy. As LIG funds and other resources become available, the plan will be realized.  By coordinating with volunteer and non-profit driven efforts, City resources can be leveraged for preparatory work -- pruning, removals, tree pit expansion, grinding stumps -- which allows outside groups to focus on planting new trees. These coordinated efforts at ground preparation, pruning and maintenance provide young trees with a better chance of thriving, while reducing the impact of damage to mature trees during violent storms. 
The FY17 Spending Plan allocated $200,000 towards this effort. However, Forestry indicated the need to first complete a planned citywide tree survey before undertaking a comprehensive plan for tree planting in the CIA. Due to this and the availability of $500,000 in State grant funds for tree planting in an area of South Baltimore that includes the CIA plus Curtis Bay and Brooklyn, the Mayor's Office withdrew these funds, while agreeing to contribute $50,000 towards the survey and $30,000 towards expanding tree pits in brick sidewalks in Federal. Also in FY'17, Forestry completed “proactive pruning” -- a recommended best-practice that is currently not standard in Baltimore -- in Federal Hill and Carroll-Camden, using Community Enhancement Project/LIG funds designated by the Federal Hill Neighborhood Association and Carroll-Camden Business Association.
</t>
    </r>
  </si>
  <si>
    <t xml:space="preserve">Planting/Pruning Carroll-Camdn (CEP) </t>
  </si>
  <si>
    <t>Other</t>
  </si>
  <si>
    <t>Carroll Park District Operations</t>
  </si>
  <si>
    <t xml:space="preserve">Budget Est. </t>
  </si>
  <si>
    <t>Actual  To Date</t>
  </si>
  <si>
    <t>LIG/SBGP</t>
  </si>
  <si>
    <t>Sources:</t>
  </si>
  <si>
    <t>Master Plan: $40K Cost-Share CEP (Sharp-Ldenhall)</t>
  </si>
  <si>
    <t>TBD</t>
  </si>
  <si>
    <t>TOTAL COMMITMENTS (Estimate)</t>
  </si>
  <si>
    <t>TOTAL BUDGET AVAIL. (INCLUDES SBGP &amp; CEP GRANTS)</t>
  </si>
  <si>
    <r>
      <rPr>
        <b/>
        <sz val="10"/>
        <color theme="1"/>
        <rFont val="Calibri"/>
        <family val="2"/>
        <scheme val="minor"/>
      </rPr>
      <t>Status/Update (July 2018):</t>
    </r>
    <r>
      <rPr>
        <sz val="10"/>
        <color theme="1"/>
        <rFont val="Calibri"/>
        <family val="2"/>
        <scheme val="minor"/>
      </rPr>
      <t xml:space="preserve"> BCRP Operations and Maintenance Division and Capital and Planning divisions have been working with the LDC Sanitation, Transportation Infrastructure Committee to implement a portfolio of projects based on the $500,000 allocated for improvements in parks in FY’17. 
The City sought to leverage this funding with other sources that include Community Enhancement Project appropriations of LIG funds for Penn and Melvin Park ($50,000), designated by the Ridgely’s Delight Association, and $40,000 in CEP funds for the Solo-Gibbs Park Master Plan designated by the Sharp-Leadenhall Improvement Association. BCRP obtained a commitment of $150,000 in FY’17 funds from the South Baltimore Gateway Partnership (SBGP) to support the refurbishing the footbridges on GF Trail in Ridgely’s Cove and for structural repairs to the boat launch/fishing pier and the exterior decks of the Boathouse in Middle Branch Park. This work is complete; BCRP executed a grant agreement with SBGP and the funds have been invoiced.  
Other improvements are in varying stages of planning and execution. Some improvements or upgrades have occurred include refurbishing baseball diamonds and fencing at Carroll and Lakeland/Wegworth Parks, reseeding the football field at Swann Park, and replacing the basketball court fencing at Florence Cummings Park. BCRP allocated $20,000 to supplement towards a total of $125,000 used to revitalize Penn &amp; Melvin Park, made up of the $50,000 in CEP funding from Ridgely’s Delight Association, the association’s own contributions and major support from Parks and People foundation. 
The process of creating a master plan for Solo Gibbs Park began in fall with creation of a steering committee and outreach to the wider community. The plan is expected to be presented in September 2018. The plan is being coordinated with the design study for wayfinding signage for the entire Gwynns Falls Trail to the City/County line, which was completed in 2017. Implementation in the SBG area could occur this fall, with support from the SBGP. 
</t>
    </r>
  </si>
  <si>
    <r>
      <rPr>
        <b/>
        <sz val="10"/>
        <color theme="1"/>
        <rFont val="Calibri"/>
        <family val="2"/>
        <scheme val="minor"/>
      </rPr>
      <t xml:space="preserve">Project Description: </t>
    </r>
    <r>
      <rPr>
        <sz val="10"/>
        <color theme="1"/>
        <rFont val="Calibri"/>
        <family val="2"/>
        <scheme val="minor"/>
      </rPr>
      <t xml:space="preserve">The FY17 Spending Plan provided $500,000 in operating funds for upgrading parks and trails, with a mix of projects to be administered by the Baltimore City Department of Recreation and Parks (BCRP) Operations Division in coordination with the Division of Capital and Planning. These include a mix of contracted and in-house services to improve and better maintain the physical environment of parks and trails in the Casino Impact Area. Where needed, funding may be used for planning and design for the purpose of directing future implementation projects. The $500,000 appropriation was further apportioned as follows by the LDC’s recommendations: $250,000 for projects in parks, $150,000 for projects that improve trails and $100,000 for projects in Middle Branch Park or affecting the shoreline of the Middle Branch. Note: an additional $100,000 included in the budget to support the Middle Branch planning effort as part of a total of $600,000 programmed in the BCRP Operations budget. </t>
    </r>
  </si>
  <si>
    <r>
      <t xml:space="preserve">Status/Update (July 2018): </t>
    </r>
    <r>
      <rPr>
        <sz val="10"/>
        <color theme="1"/>
        <rFont val="Calibri"/>
        <family val="2"/>
        <scheme val="minor"/>
      </rPr>
      <t xml:space="preserve">In March 2017 BCRP received the geotechnical report and cost estimate from RK&amp;K Engineers, calling for unclogging and repair of storm drains, slope regrading, drainage, fill and compaction. Proposal for design services was requested. The cost of the initial study was $69,000. The projected construction cost estimate provided was $650,000. This exceeds the funds currently available ($381,000 remaining. Additional funding from the FY’19 or FY’20 CIP will be needed. 
In spring 2018, BCRP met with community representatives who expressed concern that the engineering recommendations did not account for all potential sub-grade conditions, including the possibility of subterranean structures under the hill. BCRP obtained a scope of work and cost proposal for a geophysical pilot study. The Mayor’s office authorized proceeding with this work at a cost of $30,400 using FY’18 LIG funds. The study will occur in summer 2018. </t>
    </r>
    <r>
      <rPr>
        <b/>
        <sz val="10"/>
        <color theme="1"/>
        <rFont val="Calibri"/>
        <family val="2"/>
        <scheme val="minor"/>
      </rPr>
      <t xml:space="preserve">
</t>
    </r>
  </si>
  <si>
    <r>
      <t xml:space="preserve">Project Description: </t>
    </r>
    <r>
      <rPr>
        <sz val="10"/>
        <color theme="1"/>
        <rFont val="Calibri"/>
        <family val="2"/>
        <scheme val="minor"/>
      </rPr>
      <t xml:space="preserve">This project addresses erosion and subsidence on the east-facing slope of Federal Hill Park. Baltimore City Recreation and Parks (BCRP) requested $150,000 in LIG funds to match $300,000 in FY’18 City general funds through the Capital Improvement Program (CIP).    
 </t>
    </r>
  </si>
  <si>
    <t>Consultant services: geophysical (sub-grade) pilot study</t>
  </si>
  <si>
    <t xml:space="preserve">Balance available for design &amp; construction </t>
  </si>
  <si>
    <r>
      <t xml:space="preserve">Project Description: </t>
    </r>
    <r>
      <rPr>
        <sz val="10"/>
        <color theme="1"/>
        <rFont val="Calibri"/>
        <family val="2"/>
        <scheme val="minor"/>
      </rPr>
      <t xml:space="preserve">The LDC requested that the Mayor’s Office on Criminal Justice create a position of Community Organizer for the South Baltimore neighborhoods included in the Casino Impact Area to improve community engagement and public safety. The Organizer would develop neighborhood-based public safety strategies and programs, working directly with community organizations, faith-based institutions, social and service providers, government agencies, and residents to promote collaboration and cooperation.     
 </t>
    </r>
  </si>
  <si>
    <r>
      <t xml:space="preserve">Status/Update (July 2018): </t>
    </r>
    <r>
      <rPr>
        <sz val="10"/>
        <color theme="1"/>
        <rFont val="Calibri"/>
        <family val="2"/>
        <scheme val="minor"/>
      </rPr>
      <t xml:space="preserve">Due to a number of factors, including the lack of ensured funding after one year, the Administration applied to Baltimore Corps for a fellow who could fill the role of Community Organizer with MOCJ for one year, serving the CIA neighborhoods. Six candidates were selected and interviewed, and two finalists received second interviews with Del. Antonio Hayes, chair of the Public Safety and Services Committee of the LDC. The final candidate was selected at the end of August, and started in the position September 2018. 
Over the course of the next six months, MOCJ underwent considerable change and transition with new leadership and programs. Ultimately, it was determined that the organizer position was not an appropriate fit in MOCJ’s current operation, as the office could not provide appropriate supervision. The fellow’s assignment was therefore transferred to the South Baltimore Gateway Partnership, with duties related to creating a youth advisory council and assisting with outreach and capacity-building for the SBGP’s community grants program. </t>
    </r>
    <r>
      <rPr>
        <b/>
        <sz val="10"/>
        <color theme="1"/>
        <rFont val="Calibri"/>
        <family val="2"/>
        <scheme val="minor"/>
      </rPr>
      <t xml:space="preserve">
</t>
    </r>
  </si>
  <si>
    <r>
      <t xml:space="preserve">Project Description: </t>
    </r>
    <r>
      <rPr>
        <sz val="9"/>
        <color theme="1"/>
        <rFont val="Calibri"/>
        <family val="2"/>
        <scheme val="minor"/>
      </rPr>
      <t xml:space="preserve">The FY’17 Spending Plan included $155,000 for further build-out of the CitiWatch surveillance camera network as an aid in deterring and reducing crime, and to fund upgrades to street-lighting in areas with problems of routine crime or a perceived lack of safety. Priority locations identified are along Annapolis Road in Westport and Washington Boulevard in Pigtown. Other locations will be explored by CitiWatch and the Mayor’s Office of Criminal Justice (MOCJ), as part of a multi-year plan to expand the surveillance camera network in the CIA.
 </t>
    </r>
  </si>
  <si>
    <r>
      <t xml:space="preserve">Project Description: </t>
    </r>
    <r>
      <rPr>
        <sz val="10"/>
        <color theme="1"/>
        <rFont val="Calibri"/>
        <family val="2"/>
        <scheme val="minor"/>
      </rPr>
      <t xml:space="preserve">The Spending Plan provides $625,000 of LIG funds towards renovations to two fire stations: Old Truck 6 at Hanover and Ostend Street and Old Engine 26 at Fort and Riverside Avenues. These renovations will enable the Baltimore City Fire Department (BCFD) to relocate and appropriately house two Medic units serving the Casino Impact Area. Prior to FY’15, BCFD had no Medic units in the CIA. With the opening of the casino, BCFD relocated Medic 22 to a makeshift space in Engine 55 in Pigtown and stationed a PEAK unit (Medic 44) outdoors at Engine 58 in Westport. The renovations proposed here for FY’17 will allow these deployments to be made permanent and sustainable. 
 </t>
    </r>
  </si>
  <si>
    <r>
      <rPr>
        <b/>
        <sz val="9"/>
        <color theme="1"/>
        <rFont val="Calibri"/>
        <family val="2"/>
        <scheme val="minor"/>
      </rPr>
      <t>Project Description:</t>
    </r>
    <r>
      <rPr>
        <sz val="9"/>
        <color theme="1"/>
        <rFont val="Calibri"/>
        <family val="2"/>
        <scheme val="minor"/>
      </rPr>
      <t xml:space="preserve"> A “Community Benefits District” was envisioned as a citizen-run entity authorized by City Charter to provide enhanced security and sanitation services along with promotional activities for the neighborhoods in the CIA. The organization would be run by its own board of directors, with an executive director and staff. Many of the priorities for sanitation, workforce development, and other services would be managed by this entity once it is in operation.
This concept resulted in a feasibility study initiated by the Mayor’s Office and operational plan for establishing the benefits district and management entity. In April 2016, the Maryland General Assembly established the “South Baltimore Gateway Community Impact District and Management Authority,” later dubbed the South Baltimore Gateway Partnership. The Mayor’s office introduced an enabling ordinance in the City Council creating the District, which passed in August 2016. 
Work continued with the launch and start-up of the CID Board in FY’17. The Board voted to rebrand/rename the CID Management Authority as the South Baltimore Gateway Partnership; held a retreat on the Strategic Plan; voted to adopt the Strategic Plan and FY'17 interim budget; drafted an FY'18 budget, engaged consultants for logo/branding and web design services, developed funding program guidelines and evaluation rubrics; and hired an executive director. The Mayor's Office provided administrative support and coordination with City policies; assisted with procuring consulting services via an informal bid process administered by the City's Department of Purchases, introducing the budget, bylaws and strategic plan for passage by the Board of Estimates, as well as help with outreach to communities and providing general feedback on emerging programs and policies.
</t>
    </r>
  </si>
  <si>
    <r>
      <t xml:space="preserve">Status/Update (July 2018): </t>
    </r>
    <r>
      <rPr>
        <sz val="9"/>
        <color theme="1"/>
        <rFont val="Calibri"/>
        <family val="2"/>
        <scheme val="minor"/>
      </rPr>
      <t xml:space="preserve">Starting with FY'18, the SBGP receives a direct allocation of LIF funds from the State. The City facilitated the final accounting and payout of funds from FY'17 and prior years budgeted for the District. An initial advance of $100,000 was made in July 2017, and the final disbursement reflecting the balance of the amount was processed in September. These payments were charged retroactively to FY'17, totaling $568,486 for the year after deducting the costs of for consultants and miscellaneous costs absorbed by the City. The Administration and Department of Finance requested a supplemental budget appropriation in order to enable the City to receive these funds as a pass-through to the city. Disbursements of LIG funds dedicated for the SBGP were made quarterly, with the final payment due in July 2018. </t>
    </r>
  </si>
  <si>
    <r>
      <rPr>
        <b/>
        <sz val="10"/>
        <color theme="1"/>
        <rFont val="Calibri"/>
        <family val="2"/>
        <scheme val="minor"/>
      </rPr>
      <t xml:space="preserve">Status/Update (July 2018) -- Continued:
</t>
    </r>
    <r>
      <rPr>
        <sz val="10"/>
        <color theme="1"/>
        <rFont val="Calibri"/>
        <family val="2"/>
        <scheme val="minor"/>
      </rPr>
      <t>• Carroll-Camden--Urban Forestry project now largely completed, this project involved proactive pruning of over 200 trees, removal of 52 dead or unhealthy trees, which will be replanted in fall 2016. It also leveraged $88,000 in tree planting by Parks and People foundation (DNR funding). The total CEP budget is $50,000, which will be spent down with fall 2017 planting of 52 trees. Some additional funds, approximately $6-10K may be needed from FY’16 LIG funds for planting new trees when the tree pit enlargement can occur. 
• Westport -- Project development (scoping and costing out) is needed for work in Florence Cummings Park and streetscape elements on Annapolis Road. In Q1, Westport Community Association contributed $25,000 to match funding from Under Armour, BCPS and others for a beautification effort at Westport Academy. CEP funds went towards renovating the play area with a new colorful surface, removal of areas of asphalt paving and new landscape plantings. 
• Lakeland -- Improvements at Lakeland Park were completed in spring 2016 with a dedication in late June. CEP funds covered adult exercise equipment ($45,000), and scraping and painting the picnic pavilion and purchasing new basketball rims and backboards at the Lakeland EMS and Recreation Center a block away ($2,800 combined). BCRP has added to the park with new fencing and ongoing support, in addition to a $1.3M partial renovation in summer 2016. The community needs to determine a use for $2,200 remaining. 
• Barre Circle -- Project development (scoping and costing out) is underway for addressing perimeter brick walls at green spaces adjacent to Martin Luther King, Jr. Boulevard ($40,000 budgeted). Remaining funds are reserved for one year of maintenance and landscaping. 
• Otterbein -- Otterbein Community Association restored cobblestone paving in two block-long alleyways. DOT procured the work by a change order on an existing City contract at a cost of $91,000. Funding beyond the $50,000 available from CEP funds was approved from Complete Streets funding, and the project was completed in July 2017.</t>
    </r>
    <r>
      <rPr>
        <b/>
        <sz val="10"/>
        <color theme="1"/>
        <rFont val="Calibri"/>
        <family val="2"/>
        <scheme val="minor"/>
      </rPr>
      <t xml:space="preserve">
</t>
    </r>
    <r>
      <rPr>
        <sz val="10"/>
        <color theme="1"/>
        <rFont val="Calibri"/>
        <family val="2"/>
        <scheme val="minor"/>
      </rPr>
      <t xml:space="preserve">
</t>
    </r>
  </si>
  <si>
    <r>
      <t>Status/Update (July 2018):</t>
    </r>
    <r>
      <rPr>
        <sz val="10"/>
        <color theme="1"/>
        <rFont val="Calibri"/>
        <family val="2"/>
        <scheme val="minor"/>
      </rPr>
      <t xml:space="preserve"> In FY’17 the Mayor's Office and Department of Planning began examining available census data (American Community Survey) combined with City housing and vacancy data for areas of lower investment/higher crime and distress in the SBG area. These include the two (2) census tracts that comprise Pigtown (East and West), and six (6) census tracts that comprise Westport/Mt. Winans, Lakeland and Cherry Hill (north, south and east sub-areas). The data reveals areas of increased distress, foreclosure and vacancy in recent years, which tracks with increases in crime. These data will be used for targeting planning and programs that support community revitalization through home ownership support, code enforcement and homebuyer counseling, as well as crime prevention efforts.   
Funds for this activity were carried forward from FY’17 into FY'18 and reserved as match for housing/homeownership strategies in Westport, currently being scoped out with the local community-based organizations, their technical assistance providers and Baltimore Housing. Over the course of FY’18, groups in Westport and the adjacent neighborhoods of Lakeland, Mount Winans and Saint Paul conducted discussions, strategic planning and commitments around creating a multi-neighborhood community development. The funding will be carried forward in to FY’19 as resources available to support this effort.
</t>
    </r>
  </si>
  <si>
    <r>
      <t xml:space="preserve">Status/Update (July 2018): </t>
    </r>
    <r>
      <rPr>
        <sz val="10"/>
        <color theme="1"/>
        <rFont val="Calibri"/>
        <family val="2"/>
        <scheme val="minor"/>
      </rPr>
      <t xml:space="preserve">The funding will be carried forward in to FY’19 and may provide resources to support the effort of capacity building and growth of a multi-neighborhood CDC serving Westport, Lakeland, Mount Winans and Saint Paul. In addition, the Mayor’s office and Housing are considering issuing a request for proposals for contractors to provide housing counseling services. An identified need in the SBG is to provide bilingual services for Hispanic residents in Lakeland and elsewhere. </t>
    </r>
    <r>
      <rPr>
        <b/>
        <sz val="10"/>
        <color theme="1"/>
        <rFont val="Calibri"/>
        <family val="2"/>
        <scheme val="minor"/>
      </rPr>
      <t xml:space="preserve">
</t>
    </r>
  </si>
  <si>
    <r>
      <rPr>
        <b/>
        <sz val="10"/>
        <color theme="1"/>
        <rFont val="Calibri"/>
        <family val="2"/>
        <scheme val="minor"/>
      </rPr>
      <t>Project Description:</t>
    </r>
    <r>
      <rPr>
        <sz val="10"/>
        <color theme="1"/>
        <rFont val="Calibri"/>
        <family val="2"/>
        <scheme val="minor"/>
      </rPr>
      <t xml:space="preserve"> The FY’18 Spending Plan included $140,000 to support a plan for developing housing counseling services, with a focus on homeownership, and providing small homebuyer incentives in the CIA. 
As noted above, in FY’17 the Mayor's Office and Department of Planning began examining available census data (American Community Survey) combined with City housing and vacancy data for areas of lower investment/higher crime and distress in the SBG area. These include the two (2) census tracts that comprise Pigtown (East and West), and six (6) census tracts that comprise Westport/Mt. Winans, Lakeland and Cherry Hill (north, south and east sub-areas). The data reveals areas of increased distress, foreclosure and vacancy in recent years, which tracks with increases in crime. These data could be used for targeting programs that support community revitalization through home ownership support, code enforcement and homebuyer counseling, as well as crime prevention efforts.   
</t>
    </r>
  </si>
  <si>
    <r>
      <t xml:space="preserve">Status/Update (July 2018): </t>
    </r>
    <r>
      <rPr>
        <sz val="9"/>
        <rFont val="Calibri"/>
        <family val="2"/>
        <scheme val="minor"/>
      </rPr>
      <t>After fully spending down funds from the Carroll-Camden Industrial FIG pilot program, BDC closed out its first SBG-IFIG grant in Q2 of FY’18 and the second in Q3. Just over $26,000 in grant funds have now been expended, and a third grant for $8,000 is under contract. BDC is negotiating with two other property owners expecting larger projects and grants nearer the limit of $25,000. BDC believes that the remaining funds will be obligated if not spent down by the end of 2018.</t>
    </r>
  </si>
  <si>
    <r>
      <t xml:space="preserve">Project Description: </t>
    </r>
    <r>
      <rPr>
        <sz val="10"/>
        <rFont val="Calibri"/>
        <family val="2"/>
        <scheme val="minor"/>
      </rPr>
      <t>The Spending Plan includes funds for Baltimore Development Corp. (BDC) to expand on existing programs that support small businesses. For FY'17, BDC will offer a matching grant for façade/exterior improvements to properties in industrially-zoned areas: the South Baltimore Gateway Industrial Facade Improvement Grant (SBG-IFIG). This program builds on a pilot offered by BDC with its own funds for properties in Carroll-Camden.  The program provides up to $10,000 per business with no match required, and up to an additional $15,000 as a dollar-for-dollar match.  This grant can be used for signage, fencing/security upgrades, awnings, paint, lighting and other urban design improvements.</t>
    </r>
  </si>
  <si>
    <r>
      <t xml:space="preserve">Status/Update (July 2018): </t>
    </r>
    <r>
      <rPr>
        <sz val="10"/>
        <color rgb="FF000000"/>
        <rFont val="Calibri"/>
        <family val="2"/>
        <scheme val="minor"/>
      </rPr>
      <t>Throughout the summer and fall of 2017, BDC and Planning held meetings with the Carroll-Camden Land Use Committee to discuss the committee's vision for manufacturing in the area and analyze the current Urban Renewal Plan. Based on these conversations, the Office of Sustainability identified a real estate analysis that will review current uses in Carroll-Camden, ideal future usage, and national best practices for urban industrial areas. BDC and City staff along with committee representatives interviewed two firms and engaged the selected team in a contract to complete the study in summer 2018.</t>
    </r>
  </si>
  <si>
    <r>
      <t xml:space="preserve">Project Description: </t>
    </r>
    <r>
      <rPr>
        <sz val="10"/>
        <color theme="1"/>
        <rFont val="Calibri"/>
        <family val="2"/>
        <scheme val="minor"/>
      </rPr>
      <t xml:space="preserve">The Spending Plan includes funds for targeted survey and analysis of properties and opportunities in Carroll-Camden and other industrial areas along the 295 corridor, to be overseen by Baltimore Development Corp., (BDC) with the Department of Planning. BDC provided a grant of $11,000 to the Carroll-Camden Business Association for marketing efforts and has partnered with that group the Baltimore Office of Sustainability to conduct an industrial areas land-use and market study with remaining funds ($39,000). </t>
    </r>
  </si>
  <si>
    <t xml:space="preserve">1) Advertising </t>
  </si>
  <si>
    <t>2) Computers &amp; Software</t>
  </si>
  <si>
    <t xml:space="preserve">Data Wordprocessing </t>
  </si>
  <si>
    <t>3)Office Supplies</t>
  </si>
  <si>
    <t>4) Printing</t>
  </si>
  <si>
    <t>5) Personnel</t>
  </si>
  <si>
    <t>6) Real Property Rental (per month)</t>
  </si>
  <si>
    <t>7) Mileage</t>
  </si>
  <si>
    <t>8)Maintenance &amp; Repair Real Property</t>
  </si>
  <si>
    <t>9)Municipal Phones</t>
  </si>
  <si>
    <t>10) Rental Business Machines</t>
  </si>
  <si>
    <t>11) Testing Materials</t>
  </si>
  <si>
    <t>12) Educ/Rec. Supplies -One line Courses</t>
  </si>
  <si>
    <t>13) Office Furniture</t>
  </si>
  <si>
    <t>14) Security Alarm Sys-Monitoring</t>
  </si>
  <si>
    <t>15) Workers Comp</t>
  </si>
  <si>
    <t>16) Indirect Costs</t>
  </si>
  <si>
    <t>17) Unprogrammed</t>
  </si>
  <si>
    <t>Fundware</t>
  </si>
  <si>
    <r>
      <rPr>
        <b/>
        <sz val="9"/>
        <color theme="1"/>
        <rFont val="Calibri"/>
        <family val="2"/>
        <scheme val="minor"/>
      </rPr>
      <t xml:space="preserve">Project Description: </t>
    </r>
    <r>
      <rPr>
        <sz val="9"/>
        <color theme="1"/>
        <rFont val="Calibri"/>
        <family val="2"/>
        <scheme val="minor"/>
      </rPr>
      <t xml:space="preserve">The ECC is modeled on the Mayor’s Community Job Hub Initiative, offering job seekers opportunities to upgrade basic computer skills, gain computer certifications, explore careers, prepare for interviews and connect to employers. Employers in the CIA receive a full suite of business services that ensure they have access to qualified workers. Staffing for FY'18 includes 6.5 staff: 2 full-time intake specialist, 1 full-time business services representative (BSR), 1 program manager, 1 career development facilitator, 1 part-time technology trainer and 1 career navigator shared between the Southwest Partnership and MOED.
</t>
    </r>
  </si>
  <si>
    <r>
      <rPr>
        <b/>
        <sz val="9"/>
        <color theme="1"/>
        <rFont val="Calibri"/>
        <family val="2"/>
        <scheme val="minor"/>
      </rPr>
      <t xml:space="preserve">Status/Update (July 2018): </t>
    </r>
    <r>
      <rPr>
        <sz val="9"/>
        <color theme="1"/>
        <rFont val="Calibri"/>
        <family val="2"/>
        <scheme val="minor"/>
      </rPr>
      <t xml:space="preserve">Center staff have met with or conducted community outreach with Community Organizations including: South Baltimore Learning Center, Cherry Hill Housing Authority, Westport Housing Authority, Ceasefire 1st Annual Block Party in Beechfield, Housing Authority of Baltimore City Community Power Day Event, U.S. Probation and Pre-Trial Services Meet and Greet, the MD Center for Adult Training, University of Maryland Hiring Events, and the Mayor’s Violence Reduction Street Outreach. 
The ECC held a partner provider meet and greet in June 2018 attended by representatives from the United Way Homeless Prevention Project, and Benjamin Franklin High School Student Parent Program, Healthcare for the Homeless, South Baltimore Learning Center, Cherry Hill Safe Streets, Lakeland Community Association, Brooklyn Homes Housing Authority, and Cherry Hill Housing Authority.
ECC held numerous individual employer recruitments including interview sessions for Horseshoe Casino, Radisson Hotel, H &amp; S/Northeast Foods, Canada Dry, Coast Guard Yard, Southwest Airlines, Johns Hopkins, Barton Cotton, Baltimore Convention Center and others. 
ECC goals for FY ‘18: 
1. Enroll 1,200 customers -- year to date (YTD) 1045, and project to date (PTD) 2,962;  
2. Enroll 35 customers in occupational skills training-YTD-22 (16 CIA, 6 WIOA), PTD-59 (CIA and WIOA funded training); 
3. Place 228 customers in full time employment at an average wage of $11.00 per hour-YTD-228, PTD-690 with a YTD average wage of $13.01. 
Other measures -- Job-Seekers:
• Weekly Center traffic average for FY ’18, Q4, is approximately 103 visits weekly, the highest traffic of any quarter PTD and 17% higher than FY ’17 Q4. 
• A total of 189 students have been enrolled in the Digital Learning Lab program with 186 Certificates awarded to date. YTD, 49 students have enrolled in DLL classes and 53 certificates have been awarded.
• The ECC has partnered with Southwest Partnership (SWP) to increase services and outreach to the Southwest Baltimore area by facilitating a new Career Navigator position. The Career Navigator began on 1/31/17 and divides her time between the ECC, the Community Engagement Center at the University of Maryland, Clay Pots, and the Southwest Partnership office. The Career Navigator has enrolled 180 residents in the Southwest Works program, and has assisted the enrollees with job readiness activities, job search assistance, and prescreening interviews for anchor institution positions. SWW has garnered 53 placements as of June 30, 2018.
• No students were enrolled or completed Jumpstart training in Q4.  A total of 21 slots were filled PTD. 
• Recruitment efforts shifted to filling ITA slots during the remainder of the fiscal year. Three residents of the South Baltimore Gateway enrolled in training with ITAs in Q4 of FY18; 15 “SBG” residents enrolled in training with ITA’s  in all of FY’18.
Business Outreach Update: 
During this quarter the BSR continued to establish and cultivate relationships with businesses including Pleasant Housing Supportive Services, We Care Private Duty Services, CSL Plasma, Radisson Hotel, Top Golf, Barton Cotton, WSI Inc., Hirsch Electric, AKAL Security, Utiliquest, Stark Truss Baltimore, Martin’s Caterers, Martz Group Transportation, Pinehurst Landscape Company, H&amp;S/Northeast Foods, and others.
</t>
    </r>
  </si>
  <si>
    <r>
      <rPr>
        <b/>
        <sz val="10"/>
        <color theme="1"/>
        <rFont val="Calibri"/>
        <family val="2"/>
        <scheme val="minor"/>
      </rPr>
      <t xml:space="preserve">Project Description: </t>
    </r>
    <r>
      <rPr>
        <sz val="10"/>
        <color theme="1"/>
        <rFont val="Calibri"/>
        <family val="2"/>
        <scheme val="minor"/>
      </rPr>
      <t xml:space="preserve">The goal is to support credentialed, pre-apprenticeship training programs that are designed for hard-to-serve, low-skill, unemployed and under employed residents of South Baltimore communities. The Mayor's Office of Employment Development agreed to engage and supervise an approved contractor to administer a 15-week program that integrates a hands-on, project-based construction-related occupational training, job readiness and life skills training, comprehensive case management services and employment services.
The JumpStart Program of Job Opportunities Task Force (JOTF) was selected staring in FY’15 and contracted through FY’17. Unused funds have been reallocated for Individual Training Accounts (ITA's), managed by the Employment Connection Center, available for customized training to suit individuals' employment goals. 
</t>
    </r>
  </si>
  <si>
    <t>YTD Reported</t>
  </si>
  <si>
    <t>2) Indirect Admin Costs</t>
  </si>
  <si>
    <t>4) Unprogrammed Training</t>
  </si>
  <si>
    <t>3) Individual Training Accts (ITAs)</t>
  </si>
  <si>
    <r>
      <t xml:space="preserve">Status/Update (July 2018):                                                                                                                                                                                                           
</t>
    </r>
    <r>
      <rPr>
        <sz val="10"/>
        <color rgb="FF000000"/>
        <rFont val="Calibri"/>
        <family val="2"/>
        <scheme val="minor"/>
      </rPr>
      <t xml:space="preserve">Jumpstart:
• 10th training cohort began on 9/7/17 with one (1) student, who completed training in December 2017. Student was placed in employment on February 2018. 
• Three (3) students completed Jumpstart training in Q1 of FY ’18. One student, who was reenrolled in 9th cohort class starting on 6/6/17, completed on 9/19/17, but was not counted as a new enrollment. 
• One (1) student from the 8th cohort completed on 8/9/17 and was placed in full time employment prior to completing the training. The one 10th cohort student completed 12/20/18 and was placed in full time employment in February 2018.
• 15 of 15 slots funded by original grant were been filled as of Sept, 30, 2016. 
• 6 of 15 additional slots funded for FY ’17 have been filled as of 3/31/18, for a total of 21 slots filled PTD. There have been no further enrollments at this time. 
• Graduates received training modules in construction math, construction industry and career paths, names and common uses of construction tools, OSHA 10, First Aid, and CPR training.  
Customized Training and Individual Training Accounts (ITA’s):
• Funding was allocated in FY ‘18 for 20 individuals to be enrolled in training, including Individual Training Accounts (ITAs) and Customized Training (CT), contingent on carry over of funds from FY ‘17.
• As of June 30, 2018, 15 individuals have enrolled in training in FY ’18 utilizing CIA grant funds for ITAs.
• One (1) student was enrolled in A+/Net+/Security+ Training at Towson University on 7/24/17, and completed training on of 12/12/17. Participant has a tentative job offer with an IT company with pending contract as of 6/30/18.
• One (1) student was enrolled in JARC Welding Fast Track Training on 12/18/17 but was unable to complete due to attendance issues.
• One (1) student completed Customized Training at Second Chance on 1/26/18 and was placed in full time employment on 1/29/18. As of last contact in June 2018, participant is still employed at Second Chance.
• Three (3) students were enrolled in CNA training at MCAT on 2/12/18 and three (3) enrolled on 3/19/18. All six (6) students graduated on 5/25/18. Three graduates are employed in jobs related to training, one has a job offer pending drug test results, and two have job offers in private duty and are awaiting assignments. 
• One (1) student was enrolled in Bookkeeping and Accounting Training at Towson University on 3/7/18 and completed on 5/5/18. Participant is expecting a child and plans to seek in employment in August after her birth.
• Three (3) students were enrolled in Multi-skilled Med-Tech training at BCCC on 3/8/18 and remain in enrolled in training as of 6/30/18.
• One (1) student enrolled in JARC for CNC Training on 5/28/18 and remains enrolled in training as of 6/30/18.
• Two (2) students enrolled in Multi-Skilled Med Tech training at BCCC on 6/8/18 and remain enrolled in training as of 6/7/18.
• Recruitment for training opportunities in FY ‘19 is ongoing, and several CIA residents are in the qualification process.  
</t>
    </r>
  </si>
  <si>
    <t>1) Contract: Construction Training</t>
  </si>
  <si>
    <r>
      <rPr>
        <b/>
        <sz val="9"/>
        <rFont val="Calibri"/>
        <family val="2"/>
        <scheme val="minor"/>
      </rPr>
      <t xml:space="preserve">Status/Update (July 2018): </t>
    </r>
    <r>
      <rPr>
        <sz val="9"/>
        <rFont val="Calibri"/>
        <family val="2"/>
        <scheme val="minor"/>
      </rPr>
      <t xml:space="preserve">For summer 2017 (FY’18), over 13,000 youth completed the online application process for YouthWorks summer jobs; 11,000 completed the certification process; 8,800 youth were offered a summer job and 8,000 positions were accepted. In the casino impact area, a total of 480 eligible youth completed certification and 365 accepted summer positions. Youth were paid $9.25 per hour and financial literacy training was offered to all participants. The Boys &amp; Girls Club Westport, Fishes &amp; Loaves Pantry and New Era Academy JROTC were a few of the worksites. Youth participants gained work readiness skills and made valuable contributions to their neighborhoods.
For summer 2018 YouthWorks staff worked through Q3 and Q4 to register and verify eligible youth between the ages of 14 and 21 and match them with worksites within the CIA. As of the end of the online registration process, 461 youth living in the Casino Impact Zone (Census Tracts) are eligible for YouthWorks 2018 summer jobs program; 428 youth completed the verification process and were offered summer employment. Staff are working to match casino youth to worksites that meet their skills and interests. No employment activities occurred during Q4 of FY’18. All funds were previously expensed for summer 2017 program employment.
</t>
    </r>
  </si>
  <si>
    <r>
      <t xml:space="preserve">Project Description: </t>
    </r>
    <r>
      <rPr>
        <sz val="9"/>
        <color theme="1"/>
        <rFont val="Calibri"/>
        <family val="2"/>
        <scheme val="minor"/>
      </rPr>
      <t xml:space="preserve">Catholic Charities Head Start (CCHS) summer program utilizes the Frog Street curriculum for its summer programming. Frog Street Pre-K is a comprehensive, research-based and MSDE approved curriculum that integrates instruction across developmental domains. This curriculum is engaging for children as well as teachers.
The eight week curriculum consists of four thematic units; Things That Kids Do, Games Kids Play, Places Kids Go and Investigations. Units focus on key literacy and math skills needed for kindergarten.  The curriculum integrates science, social studies and physical development.  The Conscious Discipline approach, which includes strategies to support social-emotional development, is incorporated into daily routine within a welcoming, inclusive setting.
</t>
    </r>
  </si>
  <si>
    <t>$114K shift to Head Start</t>
  </si>
  <si>
    <t>Negotiated fee (LS) as cost-share on $200,000 program budget</t>
  </si>
  <si>
    <r>
      <t xml:space="preserve">Status/Update (July 2018): </t>
    </r>
    <r>
      <rPr>
        <sz val="10"/>
        <color theme="1"/>
        <rFont val="Calibri"/>
        <family val="2"/>
        <scheme val="minor"/>
      </rPr>
      <t xml:space="preserve">CCHS began planning for summer programming for 2017 (FY’18) in spring, with the intention of returning to past sites and adding a new classroom at Westport Academy. CCHS served 170 children in the CIA with an eight week summer program. CCHS requested a 50/50 cost-share from the City and the South Baltimore Gateway Partnership to fund the program with $200,000 in LIG funds. In the end, the City provided $114,00 and SBGP $86,000 to cover the costs of the expanded program serving 177 children and their families at four sites: Westport Academy, two in Head Start centers in Cherry Hill and one in Pigtown. Note: costs to cover City share were reallocated from two sources: 1) unspent FY'16 Tier 2 funds that were carried forward in the FY'17 budget for "educational partnerships"--programs that did not matieralize; and 2) approximately $24,000 in funds leftover from the summer 2016 Head Start budget. 
In planning for summer 2018, CCHS is programming $100,000 in LIG funds and the program is fully with 136 children in eight classrooms. Programming started on June 25th, and continues through August 10th. CCHS is again using the research-based and MSDE approved Frog Street early childhood curriculum, with many recreational and cultural enhancements that include family engagement opportunities.
</t>
    </r>
  </si>
  <si>
    <r>
      <t>Project Description:</t>
    </r>
    <r>
      <rPr>
        <sz val="10"/>
        <color theme="1"/>
        <rFont val="Calibri"/>
        <family val="2"/>
        <scheme val="minor"/>
      </rPr>
      <t xml:space="preserve"> In FY'17 $50,000 was allocated support Reading Partners in implementing summer programming at Westport Academy, plus hire 2 literacy leads and a regional site coordinator to support four (4) schools in the CIA "region" over the 2016-17 school year.  These positions are in addition to the site coordinators at each reading center. Since the initial proposal, RP added an additional program at Lakeland Elementary School, meaning they now serve five (5) schools within the region. With the growth and additional support in that region, we are also allocating 80% of a program manager's time.  This is a full-time, non-AmeriCorps position that ensures program quality and manages site based positions.  A portion of the additional $25,000 in FY'16 carry-forward funds ($20,000) will be used to directly support this program manager's position, which equates to about 40% of the manager's salary. The $5,000 will support Southwest Baltimore Charter School's fee-for-service contribution. 
Note, this funding represents nearly 40% of the additional programmatic investments Reading Partners has made in the LIG community for 2016-17. Reading Partners overall investment in the LIG community totals more than $600,000 this current school.  About 40% of that investment is funded by revenue from Maryland Governor’s Office of Service and Volunteerism (AmeriCorps) and contributions from partnering schools and Baltimore City Public Schools district office. The remaining 60% comes from private revenue, including LIG, community foundations, corporations, and individuals. The investment from LIG is helping support sustainability of programming in this high-need area of Baltimore, in addition to leveraging support from other community stakeholders</t>
    </r>
    <r>
      <rPr>
        <b/>
        <sz val="10"/>
        <color theme="1"/>
        <rFont val="Calibri"/>
        <family val="2"/>
        <scheme val="minor"/>
      </rPr>
      <t xml:space="preserve">
</t>
    </r>
    <r>
      <rPr>
        <sz val="10"/>
        <color theme="1"/>
        <rFont val="Calibri"/>
        <family val="2"/>
        <scheme val="minor"/>
      </rPr>
      <t xml:space="preserve">
</t>
    </r>
  </si>
  <si>
    <r>
      <t xml:space="preserve">Status/Update (July 2018): </t>
    </r>
    <r>
      <rPr>
        <sz val="10"/>
        <color theme="1"/>
        <rFont val="Calibri"/>
        <family val="2"/>
        <scheme val="minor"/>
      </rPr>
      <t>All funds were absorbed in FY'17 and covered only the 2016-17 school year. Reading Partners requested LIG-funding support for continuing programs at the five schools in the CIA from the South Baltimore Gateway Partnership. To date RP has not received dedicated funding to support programming in South Baltimore/CIA schools from the SBGP or other sources.</t>
    </r>
  </si>
  <si>
    <r>
      <t xml:space="preserve">Project Description: </t>
    </r>
    <r>
      <rPr>
        <sz val="10"/>
        <color theme="1"/>
        <rFont val="Calibri"/>
        <family val="2"/>
        <scheme val="minor"/>
      </rPr>
      <t xml:space="preserve">The Harry &amp; Jeanette Weinberg Foundation’s Baltimore Elementary and Middle School Library Project (Library Project), now involving more than 40 community and government partners, works with Baltimore City Public schools to design, build, equip, and staff new or renovated libraries in selected schools where existing public funds can be leveraged. The Foundation has committed $10 million to create up to 24 new libraries through this initiative. To date, 13 spaces have been transformed, with one project planned for summer 2017. 
The Foundation supports up to 30% of the actual costs of each library. Through a separate contract, the Foundation also provides an operating grant for at least four years to increase staff support in the library and provide additional professional development opportunities for each librarian. 
The Foundation in partnership with Baltimore City Public Schools, selected George Washington Elementary as one of two schools for Year 5 of the Project (school year 2016-17). Casino Local Impact Grant funds of $150,000 are critical in closing a funding gap for technology, furniture, and books. 
 </t>
    </r>
  </si>
  <si>
    <r>
      <t xml:space="preserve">Status/Update (July 2018): </t>
    </r>
    <r>
      <rPr>
        <sz val="10"/>
        <color rgb="FF000000"/>
        <rFont val="Calibri"/>
        <family val="2"/>
        <scheme val="minor"/>
      </rPr>
      <t>The contract for this project is between the City, through the Mayor’s Office of Human Services (MOHS) and the Fund for Educational Excellence, the project manager for the Weinberg Foundation and other funders. This work was completed and cost incurred by the Fund for Educational excellence before the end of FY'17. The final payment of $11,707 was requested after the start of FY18 but is booked against FY'17. As of year-end FY’18 it is still outstanding. An inquiry has been made with MOHS.</t>
    </r>
  </si>
  <si>
    <r>
      <t xml:space="preserve">Project Description: </t>
    </r>
    <r>
      <rPr>
        <sz val="10"/>
        <color theme="1"/>
        <rFont val="Calibri"/>
        <family val="2"/>
        <scheme val="minor"/>
      </rPr>
      <t xml:space="preserve">The FY'17 Spending Plan provided $100,000 as provided as match to $200,000 in City capital funds and nearly $1 million from outside partners for transforming the Lakeland Recreation Center into a new Science, Technology, Engineering, Arts and Math (“STEAM”) Center. The project is a collaboration of UMBC, Northrup Grumman and Lakeland Elementary and Middle School. Baltimore City Recreation and Parks (BCRP) is administering the project and will oversee renovations to the exterior of the center which adjoins Lakeland Elementary and Middle School (LEMS). BCRP entered into a joint use agreement with Baltimore City Public Schools (BCPS) to facilitate the project and future shared use of spaces in both the recreation center and the school during and after school hours.
 </t>
    </r>
  </si>
  <si>
    <r>
      <t xml:space="preserve">Status/Update (July 2018): </t>
    </r>
    <r>
      <rPr>
        <sz val="10"/>
        <color theme="1"/>
        <rFont val="Calibri"/>
        <family val="2"/>
        <scheme val="minor"/>
      </rPr>
      <t xml:space="preserve">BCRP, the Mayor’s office and City Law Department provided extensive project support and coordination and facilitated three-party agreements between the City, Baltimore City Public Schools and the private funders operating through the UMBC Foundation (the intermediary for contributions by Northrop Grumman and others). The City supported UMBC in its application for additional funding from the Harry &amp; Jeannette Weinberg Foundation, contributing towards the total cost/contributions for the interior project of approximately $1 million.
UMBC/Northrop Grumman finalized the plans for the interior work in Q4 of FY’17, secured the building permit and executed a “donation agreement” with the City. Construction mobilization is underway with an expected started Q2 of FY’18.
The City’s financial contribution thus far has covered retrofit of rear doors to achieve ADA accessibility; repairs to the roof; replacing interior closet doors and hardware as part of the new building program/layout; and architectural plans for exterior window replacement, masonry/waterproofing repairs, lighting, signage and concrete site work. The estimate for the exterior work is approximately $500,000. Despite the budget shortfall of approximately $250,000, after the $250,000 that remains in LIG funds and City Capital funding, BCRP issued the window project for bid but garnered no responses. 
Through extensive collaboration among the outside donors, BCRP and the South Baltimore Gateway Partnership, the STEAM Center was able to open for use in spring 2018 and held an official opening in May. BCRP will seek to recruit contractors for the window project and rebid the project in FY’19, with funding to cover the gap in costs expected to come from leftover LIG funds appropriated for BCRP operations and maintenance projects. </t>
    </r>
    <r>
      <rPr>
        <b/>
        <sz val="10"/>
        <color theme="1"/>
        <rFont val="Calibri"/>
        <family val="2"/>
        <scheme val="minor"/>
      </rPr>
      <t xml:space="preserve">
</t>
    </r>
  </si>
  <si>
    <t xml:space="preserve">Architect/Engineer Fees </t>
  </si>
  <si>
    <r>
      <t xml:space="preserve">Project Description: </t>
    </r>
    <r>
      <rPr>
        <sz val="10"/>
        <color theme="1"/>
        <rFont val="Calibri"/>
        <family val="2"/>
        <scheme val="minor"/>
      </rPr>
      <t xml:space="preserve">The Public Allies Attendance Monitor Program is an effort to reduce chronic absenteeism and increase daily attendance in Southwest Partnership area schools by providing a full time Public Ally to serve as an attendance monitor at each of three Baltimore City Public schools. The Public Allies will be local residents recruited from their own school communities. 
The University of Maryland, Baltimore’s School of Social Work requested $53,500 to support the program in three schools in the Casino Impact Area: Southwest Baltimore Charter School, Charles Carroll Barrister Elementary School, and George Washington Elementary School. This funding will cover the cost of a full time attendance monitor for each of the three schools as well as program supplies for community service projects. The project is being contracted through the Mayor's Office of Human Services. Public Allies of Maryland: is a program of the University of Maryland School of Social Work’s Social Work Community Outreach Service (SWCOS) and member of the AmeriCorps national service network. Public Allies’ mission is to build a more just and equitable society and the diverse leadership to sustain it.
</t>
    </r>
  </si>
  <si>
    <r>
      <t xml:space="preserve">Status/Update (July 2018): </t>
    </r>
    <r>
      <rPr>
        <sz val="10"/>
        <color theme="1"/>
        <rFont val="Calibri"/>
        <family val="2"/>
        <scheme val="minor"/>
      </rPr>
      <t xml:space="preserve">The three projects were completed in fall of the 2017-18 school year, as follows.
Charles Carroll Barrister -- The ally tracked chronically absent students from the main office, communicating with parents directly through home visits and formal letters  and bridging communication between parents and teachers of these students to figure out what factors were causing their absence. The ally supported teachers in developing and distributing summer work packets for students to stay engaged in school over summer; oriented new families to the school by speaking about the importance of attendance and having families sign a pledge to bring their children to school on time.
George Washington Elementary -- The ally worked on improving the incentives for the "Attendance Stars" program, which recognizes students who attend school regularly. She also planned year-end celebration for students who improved attendance throughout the school year. The ally focused on helping families in crisis and recognized that many times attendance declines when a family is suffering from a short-term roadblock. She obtained certificates from the Mayor's Office for students with perfect attendance as well as improved the school's system for identifying and contacting late students.
Southwest Baltimore Charter School -- The ally created monthly perfect attendance certificates for students, announced award winners during morning announcement and planned an end of year celebration for all students who demonstrated consistent school attendance. She also hosted a school-wide meeting about attendance and contributed to the morning announcements about why attendance is important, and compiled data for the 2016-2017 school year in order to demonstrate the impact of her work around attendance. In the last quarter, the Ally attended various school events to build rapport with families and engage discussions about attendance as needed. She also worked to ensure the data around attendance is recorded both electronically and in paper form.
As of year-end FY’18 the entire contract amount fee is still outstanding. An adjustment to the budget was approved by the Board of Estimates in spring 2018. An inquiry has been made with MOHS as to why the payment is still outstanding. </t>
    </r>
    <r>
      <rPr>
        <b/>
        <sz val="10"/>
        <color theme="1"/>
        <rFont val="Calibri"/>
        <family val="2"/>
        <scheme val="minor"/>
      </rPr>
      <t xml:space="preserve">
</t>
    </r>
  </si>
  <si>
    <r>
      <t xml:space="preserve">Project Description: </t>
    </r>
    <r>
      <rPr>
        <sz val="10"/>
        <color theme="1"/>
        <rFont val="Calibri"/>
        <family val="2"/>
        <scheme val="minor"/>
      </rPr>
      <t xml:space="preserve">Funding is provided to BCRP for increasing community recreational programs in the South Baltimore Gateway/Casino Impact Area at $50,000. BCRP's work plan involved attending community association meetings in fall 2016 to discuss program options and garner feedback on the types of outdoor programs  area residents would be interested in having at their local parks. Friends of Carroll Park provided its own set of recommendations. The goal is to create a full calendar of programs/activities through FY17 (June 30, 2017), continuing through summer and into fall 2017. Programs that could be easily implemented in fall 2016 would also considered.
</t>
    </r>
  </si>
  <si>
    <t xml:space="preserve">Credit owed BCRP/DOT </t>
  </si>
  <si>
    <r>
      <t xml:space="preserve">Status/Update (July 2018): </t>
    </r>
    <r>
      <rPr>
        <sz val="10"/>
        <rFont val="Calibri"/>
        <family val="2"/>
        <scheme val="minor"/>
      </rPr>
      <t xml:space="preserve">Given the revenue shortfall against what was budgeted (following the opening of MGM Grand Casino), the Mayor’s Office asked BPD to consider ways to trim the scale of the operation and reduce the use of LIG funds by approximately 20% in FY’18 and 30% in FY’19. Final expenses for FY’18 are projected at $1.65M, for a savings of 8.4%. BPD will need to reduce operations or make up the gap in operational costs from other sources in FY’19, for which the CSD budget has only $1.25 million in LIG funds.
In May 2017, Lt. Stephen Bagshaw, the commander of the CSD was removed from duty with BPD and ultimately convicted of overtime theft. Sgt. Alvarez was named interim commander of the CSD, replaced by Lt. Hartman around June 1. Major Stephen Ward, commander for the Southern District, met with the LDC’s Public Safety and Services committee on May 23, 2017 and again on June 14, 2017 after reports were made public that Lt. Bagshaw was removed for cause. The inquiry into overtime theft is part of a larger internal investigation. 
Despite these challenges, both the CSD and the CIA overall experienced reductions in crime in 2017, as compared to both 2016 and 2015.
</t>
    </r>
  </si>
  <si>
    <r>
      <rPr>
        <b/>
        <sz val="10"/>
        <color theme="1"/>
        <rFont val="Calibri"/>
        <family val="2"/>
        <scheme val="minor"/>
      </rPr>
      <t xml:space="preserve">Status/Update (July 2018): </t>
    </r>
    <r>
      <rPr>
        <sz val="10"/>
        <color theme="1"/>
        <rFont val="Calibri"/>
        <family val="2"/>
        <scheme val="minor"/>
      </rPr>
      <t>After the plan was issued in 2015, a summary document was created and published in early 2016. Remaining funds have been reserved for additional printings and other incidental costs related to LDC meetings, and for future updates to the Master Plan.</t>
    </r>
  </si>
  <si>
    <t>Parks Capital: Stabilize Fed Hill Park East slope</t>
  </si>
  <si>
    <r>
      <t>Status/Update (July 2018):</t>
    </r>
    <r>
      <rPr>
        <sz val="9"/>
        <color theme="1"/>
        <rFont val="Calibri"/>
        <family val="2"/>
        <scheme val="minor"/>
      </rPr>
      <t xml:space="preserve"> The Mayor's Office with input from the Departments of Planning and Recreation and Parks has engaged Parks and People Foundation (PPF) as project manager to help lead in consultant selection and stakeholder engagement for a comprehensive Middle Branch Waterfront Vision and Implementation Plan. Over the course of 2017, PPF met with property owners to seek buy in and support for this collaborative effort to proceed, developed a scope of work and assembled a team of sub-consultants expert in legal/ownership and environmental issues related to the Chesapeake Bay Critical Area, and in facilitating design processes for large-scale, public open space projects around the U.S. In June 2018, PPF launched “Phase 1” of the project by announcing this initiative in a series of focus groups with key stakeholders and a public input session.   </t>
    </r>
  </si>
  <si>
    <r>
      <t xml:space="preserve">Project Description: </t>
    </r>
    <r>
      <rPr>
        <sz val="9"/>
        <color theme="1"/>
        <rFont val="Calibri"/>
        <family val="2"/>
        <scheme val="minor"/>
      </rPr>
      <t>This project involves creation of a long-range “Vision and Implementation Plan” for the shoreline of the entire Middle Branch of the Patapsco, from Masonville Cove to Ridgely’s Cove and including the waterfront parks that are part of the Port Covington redevelopment. The work involves technical surveys and assessments of the shoreline, documentation and analysis of existing and potential land uses, parks, other recreation facilities, waterfront access points, and connections to trails, street networks and transit routes. Consultants will present findings of existing conditions analysis to and solicit feedback on preferences in meetings with stakeholder groups and the public; they will inventory and analyze prior documents and current stakeholder views on existing and potential programming, uses and preferences envisioned for park lands, shoreline and waterway of the Middle Branch. 
Building on these findings, the Plan will be a blueprint for capital development of a new, expanded Middle Branch Park and waterfront. The product will be a set of advanced schematic design plans and details locating existing, newly proposed and relocated facilities; usable open spaces, circulation paths, entrances and waterfront access points. It will include rough cost estimates and recommendations for phasing. The Vision and Implementation plan is the essential step towards capital budgeting and construction, as it will identify specific improvements, their locations and cost ranges.</t>
    </r>
    <r>
      <rPr>
        <b/>
        <sz val="9"/>
        <color theme="1"/>
        <rFont val="Calibri"/>
        <family val="2"/>
        <scheme val="minor"/>
      </rPr>
      <t xml:space="preserve">
</t>
    </r>
    <r>
      <rPr>
        <sz val="9"/>
        <color theme="1"/>
        <rFont val="Calibri"/>
        <family val="2"/>
        <scheme val="minor"/>
      </rPr>
      <t xml:space="preserve">
 </t>
    </r>
  </si>
  <si>
    <r>
      <rPr>
        <b/>
        <sz val="9"/>
        <color theme="1"/>
        <rFont val="Calibri"/>
        <family val="2"/>
        <scheme val="minor"/>
      </rPr>
      <t>Status/Update (July 2018):</t>
    </r>
    <r>
      <rPr>
        <sz val="9"/>
        <color theme="1"/>
        <rFont val="Calibri"/>
        <family val="2"/>
        <scheme val="minor"/>
      </rPr>
      <t xml:space="preserve"> Engineering, scoping and value-engineering was undertaken identifying six projects currently in the pipeline: the first three of which are able to proceed with FY'17 and FY’18 LIG funds appropriated under MOCJ/Citiwatch and MOIT. These are a new fiber connection and server for the Southern District to which new cameras will be routed (complete); Pigtown combined “Phases 1 and 2” consisting of 13 cameras (installed and in testing mode); Waterview Avenue fiber and three cameras (complete); three cameras on Annapolis Road in Westport (installation planned for August or September 2018). Cameras for the western side of Westport (west of 295) and Ridgely's Delight will follow, and planning for a “stadium district” plan covering parts of Otterbein, Sharp-Leadenhall and Federal Hill Main Street district is in progress. </t>
    </r>
  </si>
  <si>
    <r>
      <t xml:space="preserve">Status/Update (July 2018): </t>
    </r>
    <r>
      <rPr>
        <sz val="9"/>
        <color theme="1"/>
        <rFont val="Calibri"/>
        <family val="2"/>
        <scheme val="minor"/>
      </rPr>
      <t xml:space="preserve">The project is being overseen by the City’s Department of General Services (DGS) on the behalf of the Baltimore City Fire Department (BCFD). The intent is to create a new, centrally located station serving the Peninsula, where currently the area has only Engine 2 at 800 Light Street. “Fire 26” will reopen as a maintenance shop and “Truck 6” will be renovated as an active station housing both fire and medic equipment and crews. Renovations will include general modernization plus upgrades to accommodate dual gender restrooms. The projects will be performed sequentially; once Firehouse 26 nears completion, then Truck 6 will be issued for bid. 
The renovation for Fire 26 has a budget of $450,000, using all City-capital funding (no Casino LIG funds). DGS completed 100% design documents and secured building department approvals. The bid request was issued in November 2017, with a response coming in within budget. Construction began in April 2018 with anticipated completion in August. 
The renovation of Truck 6 has a budget of $875,000, of which $625,000 is appropriated from Casino LIG funds. Funding to cover the gap was identified for FY’18, which will allow for the project’s bid request to be issued this summer. With a planned construction period of six months, following bid selection and award, completion and occupancy is expected by July 1, 2019. 
</t>
    </r>
  </si>
  <si>
    <r>
      <rPr>
        <b/>
        <sz val="10"/>
        <color theme="1"/>
        <rFont val="Calibri"/>
        <family val="2"/>
        <scheme val="minor"/>
      </rPr>
      <t>Project Description:</t>
    </r>
    <r>
      <rPr>
        <sz val="10"/>
        <color theme="1"/>
        <rFont val="Calibri"/>
        <family val="2"/>
        <scheme val="minor"/>
      </rPr>
      <t xml:space="preserve"> In FY’15, the LDC recommended a preliminary funding allocation for “Community Enhancement Projects” to be identified by recognized community groups as projects that can be accomplished with city services or through agencies' normal procurement processes. Agencies involved are the Departments of Parks &amp; Recreation and Transportation, BOPA (Public Art), and CitiWatch (security cameras). Allocations of funding are up to $50,000 per neighborhood, and projects must be approved by the local community association and LDC as a whole.</t>
    </r>
  </si>
  <si>
    <r>
      <rPr>
        <b/>
        <sz val="10"/>
        <color theme="1"/>
        <rFont val="Calibri"/>
        <family val="2"/>
        <scheme val="minor"/>
      </rPr>
      <t>Status/Update (July 2018):</t>
    </r>
    <r>
      <rPr>
        <sz val="10"/>
        <color theme="1"/>
        <rFont val="Calibri"/>
        <family val="2"/>
        <scheme val="minor"/>
      </rPr>
      <t xml:space="preserve"> Projects are in various states of scoping and completion. Funds have been expended by Baltimore City Recreation and Parks, Baltimore City Public Schools and Waterfront Partnership for Carroll-Camden (Forestry), Pigtown (GW Elementary School), Federal Hill (park improvements), but have not all been charged to the account. 
• Pigtown -- Various projects: New playground surface at George Washington ES was installed in Nov. 2015 ($11,000); Funds are being held for public art/sculpture at Wash./MLK Blvd. gateway ($15,000); costs are being explored for increased-output street lighting and upgrades for the community garden and a potential street-end “park” on W. Ostend Street, with matching funds through DOT Complete Streets implementation.
• Ridgely’s Delight -- Improvements to Penn &amp; Melvin Park are complete using all $50,000. Funds leveraged investments from Parks &amp; People Foundation and the community of approx. $40,000. Approximately $12,000 of FY’17 Parks funding and $12,000 of in-kind materials from BCRP matched this effort. Adult exercise equipment was installed in June. Total Project cost exceeded $120,000. 
• Federal Hill -- Various landscape and hardscape improvements were completed in Federal Hill Park fall 2015 at $35,000, overseen by Waterfront Partnership and South Harbor Renaissance. Proactive pruning work was completed in fall 2016 as part of a coordinated street tree effort. This utilized the remaining $15,000 of CEP funds, leveraging community surveys and stewardship and approximately $7,000 FY’16 LIG funding for trees. Work on enlarging and adding tree pits will begin fall 2017 for new trees added in fall as part of the SBG-wide effort. 
• South Baltimore -- Hanover Street Gateway: DOT has met with SBNA on implementing concepts for a community welcome sign and landscaping in public right of way spaces at South Hanover and Wells Streets, plus banners and other measures to facilitate visual connection along S. Hanover to McComas Street and Port Covington project area. SBNA has received design concepts and is awaiting prices from the sign fabricator. 
• Sharp-Leadenhall: BCRP requested a scope and cost proposal from Mahan Rykiel for a community master plan of Solo Gibbs Park. Short-term measures can be identified by the community groups for improvements in Solo-Gibbs Park using BCRP Operations-LIG funding. Sharp-Leadenhall Improvement Association approved $40,000 in CEP funds for the study, which will have its kick-off September 2017; $10,000 is reserved for other improvements.  
</t>
    </r>
    <r>
      <rPr>
        <i/>
        <sz val="10"/>
        <color theme="1"/>
        <rFont val="Calibri"/>
        <family val="2"/>
        <scheme val="minor"/>
      </rPr>
      <t>(Continued)</t>
    </r>
  </si>
  <si>
    <r>
      <rPr>
        <b/>
        <sz val="10"/>
        <color theme="1"/>
        <rFont val="Calibri"/>
        <family val="2"/>
        <scheme val="minor"/>
      </rPr>
      <t xml:space="preserve">Project Description: </t>
    </r>
    <r>
      <rPr>
        <sz val="10"/>
        <color theme="1"/>
        <rFont val="Calibri"/>
        <family val="2"/>
        <scheme val="minor"/>
      </rPr>
      <t xml:space="preserve">The Spending Plan includes $50,000 for targeted surveys and analyses of opportunity-sites for creating new housing and commercial uses in soft-market areas. This effort was intended to be led by the Department of Planning in coordination with the Department of Housing and Community Development and/or Baltimore Development Corporation, which would help identify sites and areas for study. </t>
    </r>
  </si>
  <si>
    <r>
      <rPr>
        <b/>
        <sz val="9"/>
        <color theme="1"/>
        <rFont val="Calibri"/>
        <family val="2"/>
        <scheme val="minor"/>
      </rPr>
      <t xml:space="preserve">Status/Update (July 2018): </t>
    </r>
    <r>
      <rPr>
        <sz val="9"/>
        <color theme="1"/>
        <rFont val="Calibri"/>
        <family val="2"/>
        <scheme val="minor"/>
      </rPr>
      <t xml:space="preserve">The study was completed in spring 2015. It would be worthwhile to revisit its findings for an assessment of progress in workforce development by the City and in planning or sponsoring new initiatives by the South Baltimore Gateway Partnership. </t>
    </r>
  </si>
  <si>
    <r>
      <rPr>
        <b/>
        <sz val="9"/>
        <color theme="1"/>
        <rFont val="Calibri"/>
        <family val="2"/>
        <scheme val="minor"/>
      </rPr>
      <t>Project Description:</t>
    </r>
    <r>
      <rPr>
        <sz val="9"/>
        <color theme="1"/>
        <rFont val="Calibri"/>
        <family val="2"/>
        <scheme val="minor"/>
      </rPr>
      <t xml:space="preserve"> YouthWorks is Baltimore City’s summer jobs program, which annually places thousands of City residents between the ages of 14-21 in jobs with public-sector worksites, where they receive minimum wage for 25 hours per week for five weeks. YouthWorks gives Baltimore City teens and young adults real-world work experiences that develop essential workplace skills, expose them to career options and pathways, and prepare them to successfully enter the labor market.</t>
    </r>
  </si>
  <si>
    <r>
      <t xml:space="preserve">Project Description: </t>
    </r>
    <r>
      <rPr>
        <sz val="10"/>
        <color theme="1"/>
        <rFont val="Calibri"/>
        <family val="2"/>
        <scheme val="minor"/>
      </rPr>
      <t>This initiative involves the Baltimore Office of Sustainability (BOS) increasing student environmental awareness and access to programming by 1) providing staff assistance to schools that are engaging students in environmental education projects; 2) providing increased grant funding directly to schools for student-led environmental projects; and 3) holding a youth-focused environmental summit in the spring to connect students and their supporters from multiple area schools. The original (FY’17) budget included $25,000 for a part-time staff person, $19,500 for grants, $5,500 for producing the summit.</t>
    </r>
  </si>
  <si>
    <r>
      <rPr>
        <b/>
        <sz val="10"/>
        <color theme="1"/>
        <rFont val="Calibri"/>
        <family val="2"/>
        <scheme val="minor"/>
      </rPr>
      <t xml:space="preserve">Status/Update (July 2018): </t>
    </r>
    <r>
      <rPr>
        <sz val="10"/>
        <color theme="1"/>
        <rFont val="Calibri"/>
        <family val="2"/>
        <scheme val="minor"/>
      </rPr>
      <t xml:space="preserve">For FY'17 the budget was reduced to $25,000 due to an overall shortfall in LIG funding, eliminating funds for supplementing grants already available through BOS. Remaining funds are fully allocated to an education-support coordinator, whose tasks will include developing plans for leveraging other grant sources, such as those available through the South Baltimore Gateway Partnership (SBGP). 
Over the course of the 2107-18 school year, BOS finalized a scope of work for the National Aquarium in Baltimore (NAIB) to provide the support-educator, who begain working in classrooms in January. The contract has not yet been executed but has been submitted for Board of Estimates approval and is retroactive to January. 
In FY’18, the Mayor’s Office agreed to allocate an additional $10,000 for expenses related to this work, with a portion earmarked towards student and staff enrichment with Avalanche Arts, a Rotterdam-based environmental arts and education program, whose work focuses on theater, visual arts, and cross-cultural exchange around anti-litter and clean water issues. Avalanche Arts provided half-day workshops at Federal Hill Prep, Arundel Elementary/Middle, and Lakeland Elementary/Middle, ran a longer international exchange program (with students in Rotterdam) at Lakeland EMS.
The following south Baltimore schools applied for Green, Healthy, Smart Challenge grants, with which they are receiving support from the NAIB educator:
• Cherry Hill Elementary -- $600 for the “Eat, Sleep, Recycle, Repeat!” project to implement a school-wide recycling program.
• Digital Harbor High -- $2,500 for the “Inspiring Connections Outdoors-DHHS Bike Club, Green Team and Green School Renewal” project to encourage students to use green/sustainable transportation, eat locally grown food, exercise, and participate in a community clean-up.
• Federal Hill Preparatory -- $1,000 for the “Pick Me Up” project to purchase trash cans and recycling bins, implement composting at the school, repaint storm drains, and take students on trips to local farms.
• George Washington Elementary -- $1,000 for the “Greening in Pigtown” project to expand school recycling, clean up a nearby vacant lot, and host a neighborhood cleanup event.
• Sharp-Leadenhall Elementary -- $600 for the “Responsible Recycling” project to implement a school-wide recycling program.
• Southwest Baltimore Charter -- $1,460 for the “Water, Water Everywhere” project to take students on an educational trip to the Chesapeake Bay. </t>
    </r>
    <r>
      <rPr>
        <b/>
        <sz val="10"/>
        <color theme="1"/>
        <rFont val="Calibri"/>
        <family val="2"/>
        <scheme val="minor"/>
      </rPr>
      <t xml:space="preserve">
</t>
    </r>
  </si>
  <si>
    <t>Actual Recd</t>
  </si>
  <si>
    <r>
      <t xml:space="preserve">Project Description: </t>
    </r>
    <r>
      <rPr>
        <sz val="10"/>
        <color theme="1"/>
        <rFont val="Calibri"/>
        <family val="2"/>
        <scheme val="minor"/>
      </rPr>
      <t xml:space="preserve">The FY’17 Spending Plan provided funds through the BCHD to implement aspects of the City’s “Food Access Strategy,” based on the 2015 Report “Mapping Baltimore City’s Food Environment” by the Baltimore Food Policy Initiative. The purpose of this activity was to apply LIG towards addressing food access challenges among communities and populations in need within the CIA. The Baltimore City Health Department (BCHD) was the lead for these community-based food access programs through its Baltimarket initiative, which employs a place-based approach to food access by helping communities implement strategies unique to their local challenges. BCHD coordinated input from the Baltimore City Department of Planning and the Baltimore Development Corporation. 
Elements of the plan for FY’17 LIG are: 1) creation of a “Homegrown Baltimore Mini-Grant Program;” 2) expanding the number of “Virtual Supermarket” program sites in South Baltimore; 3) presenting toolkits and resources from the “Healthy Corner Stores Program” to retailers in the CIA; and 4) collaborating with Baltimore Development Corporation (BDC) and the Department of Planning on transportation analysis and attracting supermarkets to the CIA. LIG funds supported a portion of BCHD grant-funded personnel time at a cost of $30,000, provide mini-grants to community organizations at a cost $75,000, and underwrote expanded Virtual Supermarket grants to individuals ($40,000). Included in the work supported by mini-grants were two studies sponsored by BDC, which focused on recruiting a full-size grocery store and creating food coop to the CIA.
</t>
    </r>
    <r>
      <rPr>
        <b/>
        <sz val="10"/>
        <color theme="1"/>
        <rFont val="Calibri"/>
        <family val="2"/>
        <scheme val="minor"/>
      </rPr>
      <t xml:space="preserve">
</t>
    </r>
    <r>
      <rPr>
        <sz val="10"/>
        <color theme="1"/>
        <rFont val="Calibri"/>
        <family val="2"/>
        <scheme val="minor"/>
      </rPr>
      <t xml:space="preserve">
 </t>
    </r>
  </si>
  <si>
    <r>
      <t xml:space="preserve">Status/Update (July 2018): 
</t>
    </r>
    <r>
      <rPr>
        <u/>
        <sz val="10"/>
        <color rgb="FF000000"/>
        <rFont val="Calibri"/>
        <family val="2"/>
        <scheme val="minor"/>
      </rPr>
      <t>Food Access Mini-Grants</t>
    </r>
    <r>
      <rPr>
        <sz val="10"/>
        <color rgb="FF000000"/>
        <rFont val="Calibri"/>
        <family val="2"/>
        <scheme val="minor"/>
      </rPr>
      <t xml:space="preserve"> -- All projects are now complete including those with extensions through December 2017. Final reports were received in January 2018. An inquiry has been made with BHCD to determine if final payments have been made. Projects include the following:
a. Creation of a new rooftop vegetable garden by Baltimore Station;
b. Establishing weekly Mobile Farmers Market stops in Cherry Hill, Pigtown, and Carroll Park and three new weekly farmers markets created in Southwest Baltimore new weekly farmer’s market by Civic Works;         
c. Expansion of Maryland Food Bank’s School Pantry Program into five schools in the CIA.
d. Paul’s Place ran the “Kids in the Kitchen” program that delivered nutrition education and hands-on cooking experience and take-home food for school children and their families and increased the size of the Pigtown Community Farmers Market. 
e. MedStar Harbor Hospital partnered with the American Heart Association to deliver cooking demonstrations and workshops to over 450 residents of the Cherry Hill community. 
f. Cherry Hill Community Development Corporation and the Cherry Hill Urban Garden hosted a series of youth/young adult cooking classes and increased production of the garden for available for community residents. 
g. Pigtown Main Street conducted outreach to food retailers encouraging healthier products. </t>
    </r>
    <r>
      <rPr>
        <b/>
        <sz val="10"/>
        <color rgb="FF000000"/>
        <rFont val="Calibri"/>
        <family val="2"/>
        <scheme val="minor"/>
      </rPr>
      <t xml:space="preserve">
</t>
    </r>
  </si>
  <si>
    <r>
      <rPr>
        <u/>
        <sz val="10"/>
        <color rgb="FF000000"/>
        <rFont val="Calibri"/>
        <family val="2"/>
        <scheme val="minor"/>
      </rPr>
      <t>Virtual Supermarket Program</t>
    </r>
    <r>
      <rPr>
        <sz val="10"/>
        <color rgb="FF000000"/>
        <rFont val="Calibri"/>
        <family val="2"/>
        <scheme val="minor"/>
      </rPr>
      <t xml:space="preserve"> -- BCHD runs the Virtual Supermarket program where grant funding allows in collaboration with ShopRite. It enables city residents struggling with access healthy food -- whether by income or lack of transportation -- to order and pick up groceries weekly at a community-based site with no delivery fee. LIG funds enabled BCHD to support three pre-existing sites in the CIA where funding had lapsted (Cherry Hill Senior Manor, Cherry Hill Library, Mount Clare Overlook) and one new site (Hannover Square Senior Apartments). These sites served 210 customers who placed 1,806 orders totaling $45,059 in FY’17. Participants redeemed 177 ten-dollar healthy food discounts offered to first-time customers and on holidays. Funding allowed Baltimarket to expanded program eligibility to include residents of Hanover Square senior apartment building, which does not meet the technical definition of a food desert due to incomes in the surrounding area. It also allowed for a new partnership with the American Heart Association’s mobile teaching kitchen, which provided hands-on cooking classes.
</t>
    </r>
  </si>
  <si>
    <r>
      <rPr>
        <u/>
        <sz val="10"/>
        <color rgb="FF000000"/>
        <rFont val="Calibri"/>
        <family val="2"/>
        <scheme val="minor"/>
      </rPr>
      <t>Healthy Corner Store Program</t>
    </r>
    <r>
      <rPr>
        <sz val="10"/>
        <color rgb="FF000000"/>
        <rFont val="Calibri"/>
        <family val="2"/>
        <scheme val="minor"/>
      </rPr>
      <t xml:space="preserve"> -- Through Baltimarket’s Healthy Corner Store Program, staff met with Pigtown Main Street, Paul’s Place, Cherry Hill Community Development Corporation, and the Cherry Hill WIC clinic to discuss store recruitment. BCHD staff approached 13 corner stores in CIA to assess interest in the program. BCHD successfully recruited one corner store, Pigtown’s Shop’n’Go, which received training and technical assistance related to youth programming, customer incentives and promotions in order to promote sales of healthy foods. This included linkage to the “Kidz in the Kitchen” afterschool program at Paul’s Place, which taught leadership development, healthy eating and basic cooking skills.</t>
    </r>
  </si>
  <si>
    <r>
      <t>Transportation Analysis</t>
    </r>
    <r>
      <rPr>
        <sz val="10"/>
        <color rgb="FF000000"/>
        <rFont val="Calibri"/>
        <family val="2"/>
        <scheme val="minor"/>
      </rPr>
      <t xml:space="preserve"> -- The Baltimore Office of Sustainability’s (BOS) Baltimore Food Policy Initiative collaborated with Central Maryland Transportation Alliance (CMTA) on analysis of BaltimoreLink, which looked specifically at the impact on food access. BOS submitted comments for the first and second draft of BaltimoreLink. </t>
    </r>
  </si>
  <si>
    <r>
      <t>Market Study and Site Selection for Grocery Store Attraction</t>
    </r>
    <r>
      <rPr>
        <sz val="10"/>
        <color rgb="FF000000"/>
        <rFont val="Calibri"/>
        <family val="2"/>
        <scheme val="minor"/>
      </rPr>
      <t xml:space="preserve"> -- The Baltimore Development Corporation (BDC) contracted with Larissa Ortiz &amp; Associates for a market and site-selection study for a full service grocery store in Cherry Hill to serve the surrounding area. The three-phase project began in ram frp, September through February and involved research and data collection, a site visit and stakeholder interviews, and issue of a final report and recommendations. 
BDC concurrently contracted with Black Yield Institute to conduct a feasibility study of food coop models, including a “buying club” pilot program for Cherry Hill. The goal is to increase healthy food access among residents. The project began July 2017 and the contract has been extended until October 2018. 
</t>
    </r>
  </si>
  <si>
    <r>
      <rPr>
        <b/>
        <sz val="10"/>
        <color theme="1"/>
        <rFont val="Calibri"/>
        <family val="2"/>
        <scheme val="minor"/>
      </rPr>
      <t>Project Description:</t>
    </r>
    <r>
      <rPr>
        <sz val="10"/>
        <color theme="1"/>
        <rFont val="Calibri"/>
        <family val="2"/>
        <scheme val="minor"/>
      </rPr>
      <t xml:space="preserve"> The Mayor’s Office of Human Services (MOHS) proposed to utilize $70,000 in FY’18 Casino Local Impact Grant (LIG) funds and an estimated $140,000 in FY’19 LIG funds to cover the cost of one FTE outreach worker plus support costs, in order to implement Mayor Pugh’s comprehensive street outreach program aimed at addressing homelessness in the South Baltimore Gateway (SBG) area. Activities supported with this funding will benefit from the full support of the new MOHS citywide outreach team but will be solely dedicated to addressing the SBG area. FY’18 and ’19 funds will be utilized for a 12-18 month pilot program, during which time MOHS will track results and report back to the LDC and other partners/stakeholders in this area on specific benchmarks. Issues unique to the SBG include long-term rehousing of those living in hard-to-reach encampments along the Middle Branch, as well as more visible and transient locations such as the 295/Russell Street viaduct. Nuisance activities such as panhandling on Russell Street and Martin Luther King Jr. Boulevard will be referred to the appropriate authorities. 
The new Street Outreach Team acts as navigators, mediators, constituent service agents and overall ambassadors for the Mayor’s homelessness strategy. They respond to constituent requests that may require the authority, responsiveness, and action of a City agency, such as public trespassing, frequent public nuisance offences, encampments, trash, etc. This service provides a necessary bridge to address the gap for cases when the City needs to act on behalf of the community without escalating the situation to Police. Street outreach workers also serve as liaisons to the clinical outreach teams, referring homeless individuals to needed mental health, medical or other services, and shelter, while also defusing potential conflicts.</t>
    </r>
    <r>
      <rPr>
        <b/>
        <sz val="10"/>
        <color theme="1"/>
        <rFont val="Calibri"/>
        <family val="2"/>
        <scheme val="minor"/>
      </rPr>
      <t xml:space="preserve">
</t>
    </r>
  </si>
  <si>
    <r>
      <rPr>
        <b/>
        <sz val="10"/>
        <color theme="1"/>
        <rFont val="Calibri"/>
        <family val="2"/>
        <scheme val="minor"/>
      </rPr>
      <t xml:space="preserve">Status/Update (July 2018): </t>
    </r>
    <r>
      <rPr>
        <sz val="10"/>
        <color theme="1"/>
        <rFont val="Calibri"/>
        <family val="2"/>
        <scheme val="minor"/>
      </rPr>
      <t xml:space="preserve">MOHS established the new Homeless Street Outreach team in the first half of 2018. The SBG area coordinator was hired as a contract employee and started in April 2018. The team is having success in identifying problem areas and reaching individuals with solutions targeted to their needs. Among the areas where homeless are being assisted with relocation to more permanent and durable shelter are Russell Street near Lee Street and the City-owned parking lots adjacent to Harbor Hospital. Due to the delay in hiring, expenditures for FY18 will be well below the revised budget of $70,000. As of July 1, program costs incurred (approximately $15,000) had not yet been charged to this budget line. </t>
    </r>
  </si>
  <si>
    <r>
      <t xml:space="preserve">Project Description: </t>
    </r>
    <r>
      <rPr>
        <sz val="10"/>
        <color theme="1"/>
        <rFont val="Calibri"/>
        <family val="2"/>
        <scheme val="minor"/>
      </rPr>
      <t xml:space="preserve">Following a recommendation of the Master Plan, the FY’17 Spending Plan identified funding to “support the creation of new public artworks at significant locations and restore historically significant artworks within the South Baltimore Gateway Area.” The FY1’17 budget originally included $70,000 for the Baltimore Office of Promotion and the Arts (BOPA) to oversee this initiative, to which $20,000 was added from FY’16 “Tier 2,” carry-forward funds. BOPA and the Mayor’s office proposed three components: 1) $15,000 to support Citizens of Pigtown and Pigtown Main Street in realizing the “Weather Sculpture” project; 2) $30,000 for restoration of a highly visible mural by well-known artist Tom Miller on the rear wall of the Cherry Hill Town Center; 4) $45,000 to augment existing funding for available for projects from the CIA seeking funds through the Transformative Art Prize grants program. </t>
    </r>
  </si>
  <si>
    <r>
      <t xml:space="preserve">Status/Update (July 2018): </t>
    </r>
    <r>
      <rPr>
        <sz val="10"/>
        <color rgb="FF000000"/>
        <rFont val="Calibri"/>
        <family val="2"/>
        <scheme val="minor"/>
      </rPr>
      <t>The Mayor's office and Baltimore City Recreation and Parks (BCRP) negotiated with the South Baltimore Gateway Partnership on leveraging State and City funding, including the FY’18 allocation of LIG funds, to close the gap in capital funds needed to allow the project to proceed on schedule for a 2020 opening. BCRP began working on a redesign and re-siting the project in Reedbird Park, following feedback from SBGP and discussions with community groups. The budget estimate of $18M does not include costs for building an athletic field complex adjacent to the center, an initiative to which the City has committed to raise or identify other funding.</t>
    </r>
  </si>
  <si>
    <r>
      <t xml:space="preserve">Project Description: </t>
    </r>
    <r>
      <rPr>
        <sz val="10"/>
        <color theme="1"/>
        <rFont val="Calibri"/>
        <family val="2"/>
        <scheme val="minor"/>
      </rPr>
      <t>LIG funds were allocated through the FY’18 Spending Plan as a “reserve for public infrastructure and facilities,” in the amount of $1 million, representing a commitment of multi-year funding for new public projects in the CIA. During the course of FY’18, the City obtained the LDC’s approval to allocate this reserve toward the total capital cost of $18 million for the Middle Branch Fitness and Wellness Center planned for opening in 2020.</t>
    </r>
  </si>
  <si>
    <r>
      <t xml:space="preserve">Status/Update July 2018: </t>
    </r>
    <r>
      <rPr>
        <sz val="10"/>
        <color rgb="FF000000"/>
        <rFont val="Calibri"/>
        <family val="2"/>
        <scheme val="minor"/>
      </rPr>
      <t>The entire amount of the repayment due to the developer was issued from the LIG expenditure account, creating a deficit in FY’15. LIG revenues in FY'16 and '17 were garnished to repay the fund in two installments, and all matching funds owed by BDC and Veolia were also received by the end of FY’17. There is no further obligation of LIG funds.</t>
    </r>
  </si>
  <si>
    <r>
      <rPr>
        <b/>
        <sz val="10"/>
        <color theme="1"/>
        <rFont val="Calibri"/>
        <family val="2"/>
        <scheme val="minor"/>
      </rPr>
      <t>Project Description:</t>
    </r>
    <r>
      <rPr>
        <sz val="10"/>
        <color theme="1"/>
        <rFont val="Calibri"/>
        <family val="2"/>
        <scheme val="minor"/>
      </rPr>
      <t xml:space="preserve"> The Spending Plan included three installment payments, totallign $6 million as the agreed-upon reimbursement to the developer (CBAC, LLC) for up-front infrastructure improvements in the public right-of-way. This arrangement was specified in the Land Disposition Agreement (LDA) for the casino. The improvements include upgrades to roadways, sidewalks, traffic signals, signage, lighting, utilities and landscaping along portions of Russell Street, Bayard Street, Worcester Street and Warner Streets, in order to improve traffic flow and provide a safe, modern streetscape. These improvements were necessary for the opening and the success of the Horseshoe Casino Baltimore, yet also benefit the community by improving the gateway from I-95 and MD-295 into downtown and nearby </t>
    </r>
  </si>
  <si>
    <r>
      <t xml:space="preserve">Status/Update (July 2018): </t>
    </r>
    <r>
      <rPr>
        <sz val="10"/>
        <color rgb="FF000000"/>
        <rFont val="Calibri"/>
        <family val="2"/>
        <scheme val="minor"/>
      </rPr>
      <t xml:space="preserve">LIG funds were appropriated for the reimbursement payment at a rate of $1.5 million annually in FY’15 through FY’18, with three installment payments of $2 million each made to the developer in FY’16-18. The final installment payment on the infrastructure upgrades was issued in September 2017. There is no further obligation of LIG funds. </t>
    </r>
  </si>
  <si>
    <r>
      <t xml:space="preserve">Project Description: </t>
    </r>
    <r>
      <rPr>
        <sz val="10"/>
        <color theme="1"/>
        <rFont val="Calibri"/>
        <family val="2"/>
        <scheme val="minor"/>
      </rPr>
      <t xml:space="preserve">The FY’17 Spending Plan includes $500,000 under Goal IX of the Master Plan (Infrastructure) for “expanding the City’s fiberoptic network at strategic nodes within the CIA.” This represents the first phase of a multi-year plan that leverages the City’s communications resources to provide stable, affordable broadband access for individuals, institutions and businesses within the CIA. One immediate benefit of installing City fiber is easier access to the CitiWatch CCTV surveillance network. Therefore, the initial build-outs are targeting areas where CCTV cameras have been requested in deterring and solving crime, starting with Pigtown and Westport. Wherever possible, the Baltimore City Department of Information Technology (BCIT) will coordinate the design of these projects to connect city fiber to community assets, such as schools, libraries, recreation centers and Main Street districts. </t>
    </r>
  </si>
  <si>
    <r>
      <t xml:space="preserve">Status/Update (July 2018): </t>
    </r>
    <r>
      <rPr>
        <sz val="10"/>
        <color rgb="FF000000"/>
        <rFont val="Calibri"/>
        <family val="2"/>
        <scheme val="minor"/>
      </rPr>
      <t xml:space="preserve">As this initiative evolved, the City focused on the expansion of the CitiWatch CCTV cameras network as part of fiber network upgrade. Funds from this activity were combined with item 3.2 above (Increase Coverage of Citiwatch Camera Program) as part of a single, coordinated effort between BCIT, MOCJ and Baltimore Police Department -- the partners on CitiWatch.  
During FY’17 and ’18 the City and its contractors undertook engineering, scoping and value-engineering on a pipeline of originally five, now six projects. These projects benefit from $650,000 allocated in FY’17 (combined between BCIT and MOCJ appropriations), $100,000 in FY’18 and $200,000 in FY’18. These projects include: 
• Fiber connection and server for Baltimore Police Department’s Southern District headquarters, to which new cameras will be routed (completed in FY’18); 
• Three cameras and new fiber along Waterview Avenue in Cherry Hill and Middle Branch Park (completed in FY’18);
• A two-phase deployment of 13 cameras in Pigtown (completed as of July 2018). This included a fiber connection for the Washington Village Branch Library;
• Four cameras planned for Annapolis Road and Nevada Street; Annapolis Road scheduled for installation late summer or fall of 2018. 
• Scoping for deployment of five cameras in Ridgely's Delight is complete; final design and installation are scheduled for early 2019. 
• A phased deployment of between 15 and 20 cameras for Otterbein, Sharp-Leadenhall and the Federal Hill business district is scheduled to begin in 2019, depending on the availability of potential matching funds from private developers, the Maryland Stadium Authority and the South Baltimore Gateway Partnership. </t>
    </r>
    <r>
      <rPr>
        <b/>
        <sz val="10"/>
        <color rgb="FF000000"/>
        <rFont val="Calibri"/>
        <family val="2"/>
        <scheme val="minor"/>
      </rPr>
      <t xml:space="preserve">
</t>
    </r>
  </si>
  <si>
    <r>
      <t xml:space="preserve">Status/Update (July 2018): </t>
    </r>
    <r>
      <rPr>
        <sz val="10"/>
        <color rgb="FF000000"/>
        <rFont val="Calibri"/>
        <family val="2"/>
        <scheme val="minor"/>
      </rPr>
      <t xml:space="preserve">BOPA and the Mayor’s office agreed in FY’17 to help fill a funding gap for the Pigtown Weather Sculpture, a project that was first proposed by the Citizens of Pigtown Community Association for support from Community Enhancement Project funds in FY’15. The project has met delays due to cost overruns and challenges in the original location chosen for the work at the northwest corner of Martin Luther King, Jr. Boulevard and Washington Boulevard. As of year-end, the fabrication is largely complete and a location has been identified in Carroll Park close to Washington Boulevard. Pigtown Main Street took over management of the project in FY’17 and is now working with the artist and the Department of Recreation and Parks on approvals and final construction details for installation in the spring of 2019. 
Efforts to restore of the Tom Miller mural at the Cherry Hill Town Center included repairs to the exterior concrete block wall and relocation of utilities, which added time and expense. The repainting of the mural occurred during the summer and fall of 2017 with a dedication event in October. This project revived one of the largest murals by Tom Miller (1945-2000), one of Baltimore’s most beloved muralists who is known for his unique “Afro-Deco” style and for fighting racial stereotypes aimed towards African Americans though the use of iconic images in his compositions. The contractor, Shawn James of Mural Masters, also restored a smaller mural by Tom Miller in the interior stairwell of the Town Center, leading to the Cherry Hill Branch Library. 
At the end of FY’17, BOPA selected two projects two receive supplemental funding through the Transformative Art Prize application process: the Cherry Hill Arts and Music Festival, which was held in September 2017, and a new sculpture by Sam Christian Homes proposed for Robert Baker Park in Federal. Fabrication of the sculpture was delayed by the artist but is now expected in late 2018. </t>
    </r>
  </si>
  <si>
    <t>Reallocate to BCRP for Park Events</t>
  </si>
  <si>
    <t>Charge in FY18</t>
  </si>
  <si>
    <t>Totals</t>
  </si>
  <si>
    <r>
      <rPr>
        <b/>
        <sz val="10"/>
        <color theme="1"/>
        <rFont val="Calibri"/>
        <family val="2"/>
        <scheme val="minor"/>
      </rPr>
      <t xml:space="preserve">Status/Update (July 2018): </t>
    </r>
    <r>
      <rPr>
        <sz val="10"/>
        <color theme="1"/>
        <rFont val="Calibri"/>
        <family val="2"/>
        <scheme val="minor"/>
      </rPr>
      <t>In looking for ways to support community events, BOPA recommended awarding a unique grant $5,000 to the Cherry Hill Kwanzaa Celebration. This was approved, supporting a successful event in December 2016. The balance of funds ($15,000) was allocated through the MECU Neighborhood Event Grants program, an existing, annual competitive grant that awards up to $1,000 per project in FY’17. Eight (8) grants to community based organizations were awarded and completed by the end of summer 2017. The total amount of grant funds requested left a balance of $4,659, which was reallocated to the Department of Recreation and Parks to support programming of events in parks in the CIA during the summer and fall of 2017.</t>
    </r>
    <r>
      <rPr>
        <b/>
        <sz val="10"/>
        <color theme="1"/>
        <rFont val="Calibri"/>
        <family val="2"/>
        <scheme val="minor"/>
      </rPr>
      <t xml:space="preserve">
</t>
    </r>
  </si>
  <si>
    <r>
      <t xml:space="preserve">Project Description: </t>
    </r>
    <r>
      <rPr>
        <sz val="10"/>
        <color theme="1"/>
        <rFont val="Calibri"/>
        <family val="2"/>
        <scheme val="minor"/>
      </rPr>
      <t xml:space="preserve">Also deriving from the Master Plan, the intent of this initiative was to increase the number of community events in the South Baltimore Gateway Area by providing increased funding support to grassroots projects. The FY’17 Spending Plan appropriated $20,000 in LIG funds to Baltimore Office of Promotion and the Arts (BOPA) for this effort. </t>
    </r>
  </si>
  <si>
    <r>
      <rPr>
        <b/>
        <sz val="10"/>
        <color theme="1"/>
        <rFont val="Calibri"/>
        <family val="2"/>
        <scheme val="minor"/>
      </rPr>
      <t xml:space="preserve">Status/Update (July 2018): </t>
    </r>
    <r>
      <rPr>
        <sz val="10"/>
        <color theme="1"/>
        <rFont val="Calibri"/>
        <family val="2"/>
        <scheme val="minor"/>
      </rPr>
      <t xml:space="preserve">With support from the Cultural Affairs team at BOPA,  Project Coordinator David Mitchell developed the plan from April through August 2017, meeting with individuals and cultural organizations to determine the needs and wishes of residents as they pertain to the community’s cultural life. The resulting report contained an analysis of current needs and desires among communities and identified opportunities for capacity building actions and tangible projects. In FY’18, Mitchell continued working with community groups on applying these strategies and to implement sample projects, such as the “Art on the Waterfront” installation in Middle Branch Park, which opened in July 2018. </t>
    </r>
  </si>
  <si>
    <r>
      <t xml:space="preserve">Status/Update (July 2018): </t>
    </r>
    <r>
      <rPr>
        <sz val="10"/>
        <color rgb="FF000000"/>
        <rFont val="Calibri"/>
        <family val="2"/>
        <scheme val="minor"/>
      </rPr>
      <t xml:space="preserve">FY’17 funding was used primarily to support salaries for seasonal personnel and purchasing equipment, which enabled BCRP to create new programs in Middle Branch Park beginning in September 2016: Saturday afternoon kayak tours, once per month, and a Sunday afternoon “Open Row” program for beginning kayakers. 
Funding also allowed for continuation of the “Learn to Kayak” program in Cherry Hill Splash Park, Saturdays from May through August, 2017. This basic-skills and safety program was previously funded through a grant from Chesapeake Bay Trust, which lapsed in 2016. LIG funds enabled BCRP to continue the program and to add winter sessions indoors at the Cherry Hill Aquatic Center.
BCRP allocated $2,000 to help promote these programs with marketing materials and public information targeting SBG area residents through billboard advertising, program flyers placed in local business, and banners throughout the community.
Equipment purchases and supplies for the program’s operations totaled approximately $8,000. These included a new trailer and leasing a truck to transport kayaks between the Middle Branch Park and Cherry Hill Splash Park; paddles; two larger kayaks that accommodate heavier participants; sun screen, first aid kits and other supplies.  
Other water-based programming launched from Middle Branch Park included a “Canoe &amp; Scoop” program, engaging volunteers in shoreline clean-ups on Saturdays from 9AM  to noon, April through October, and 10 special “paddle” events: full moon paddles, Fourth of July and vernal equinox paddles.
Due to most of the programming starting in late summer/early fall of 2016, only a portion of FY’17 funds were absorbed by the end of the fiscal year. Funds were carried forward and additional funding was sought to continue the program into FY’18 through October 2017. Funding for continuing these programs through summer and fall 2018 has been committed by the South Baltimore Gateway Partnership. </t>
    </r>
    <r>
      <rPr>
        <b/>
        <sz val="10"/>
        <color rgb="FF000000"/>
        <rFont val="Calibri"/>
        <family val="2"/>
        <scheme val="minor"/>
      </rPr>
      <t xml:space="preserve">
</t>
    </r>
  </si>
  <si>
    <r>
      <t xml:space="preserve">Project Description: </t>
    </r>
    <r>
      <rPr>
        <sz val="10"/>
        <color theme="1"/>
        <rFont val="Calibri"/>
        <family val="2"/>
        <scheme val="minor"/>
      </rPr>
      <t xml:space="preserve">The FY’17 Spending Plan provided $50,000 in LIG funds to the Baltimore City Department of Recreation and Parks (BCRP) for increasing waterfront recreational programs on the Middle Branch. Funding supported salaries for seasonal employees, which enabled the expansion of boating programs with new activities and hours, marketing materials and publicity to promote these programs, and equipment purchases.  
 </t>
    </r>
  </si>
  <si>
    <r>
      <t>Status/Update (July 2018):</t>
    </r>
    <r>
      <rPr>
        <sz val="10"/>
        <color rgb="FF000000"/>
        <rFont val="Calibri"/>
        <family val="2"/>
        <scheme val="minor"/>
      </rPr>
      <t xml:space="preserve"> BCRP and SBGP are currently negotiating terms of program for the balance of FY'18.  The movie at Florence Cummings was not able to go on during the summer and was rescheduled for November 3, "Queen of Katwe" was successfully shown at the request of the community.An inquiry has been made with BCRP regarding the accounting of funds for this activity. </t>
    </r>
  </si>
  <si>
    <t>Project or Activity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</si>
</sst>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quot;$&quot;#,##0.00"/>
    <numFmt numFmtId="166" formatCode="[$-10409]#,##0.00;\(#,##0.00\);&quot;&quot;"/>
    <numFmt numFmtId="167" formatCode="[$-10409]m/d/yyyy"/>
    <numFmt numFmtId="168" formatCode="_(* #,##0_);_(* \(#,##0\);_(* &quot;-&quot;??_);_(@_)"/>
  </numFmts>
  <fonts count="62"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u/>
      <sz val="11"/>
      <color theme="11"/>
      <name val="Calibri"/>
      <family val="2"/>
      <scheme val="minor"/>
    </font>
    <font>
      <sz val="9"/>
      <color theme="1"/>
      <name val="Calibri"/>
      <family val="2"/>
      <scheme val="minor"/>
    </font>
    <font>
      <i/>
      <sz val="11"/>
      <color theme="1"/>
      <name val="Calibri"/>
      <family val="2"/>
      <scheme val="minor"/>
    </font>
    <font>
      <sz val="11"/>
      <color theme="0"/>
      <name val="Calibri"/>
      <family val="2"/>
      <scheme val="minor"/>
    </font>
    <font>
      <b/>
      <i/>
      <sz val="10"/>
      <color theme="1"/>
      <name val="Calibri"/>
      <family val="2"/>
      <scheme val="minor"/>
    </font>
    <font>
      <sz val="10"/>
      <name val="Calibri"/>
      <family val="2"/>
      <scheme val="minor"/>
    </font>
    <font>
      <sz val="10"/>
      <color rgb="FFC00000"/>
      <name val="Calibri"/>
      <family val="2"/>
      <scheme val="minor"/>
    </font>
    <font>
      <b/>
      <sz val="10"/>
      <name val="Calibri"/>
      <family val="2"/>
      <scheme val="minor"/>
    </font>
    <font>
      <b/>
      <sz val="9"/>
      <color theme="1"/>
      <name val="Calibri"/>
      <family val="2"/>
      <scheme val="minor"/>
    </font>
    <font>
      <sz val="11"/>
      <name val="Calibri"/>
      <family val="2"/>
      <scheme val="minor"/>
    </font>
    <font>
      <sz val="12"/>
      <color theme="1"/>
      <name val="Calibri"/>
      <family val="2"/>
      <scheme val="minor"/>
    </font>
    <font>
      <i/>
      <sz val="10"/>
      <color theme="1"/>
      <name val="Calibri"/>
      <family val="2"/>
      <scheme val="minor"/>
    </font>
    <font>
      <sz val="9"/>
      <name val="Calibri"/>
      <family val="2"/>
      <scheme val="minor"/>
    </font>
    <font>
      <b/>
      <sz val="9"/>
      <name val="Calibri"/>
      <family val="2"/>
      <scheme val="minor"/>
    </font>
    <font>
      <sz val="11"/>
      <color theme="1"/>
      <name val="Symbol"/>
      <family val="1"/>
      <charset val="2"/>
    </font>
    <font>
      <sz val="7"/>
      <color theme="1"/>
      <name val="Times New Roman"/>
      <family val="1"/>
    </font>
    <font>
      <sz val="12"/>
      <color theme="1"/>
      <name val="Calibri"/>
      <family val="2"/>
    </font>
    <font>
      <sz val="11"/>
      <color rgb="FF000000"/>
      <name val="Calibri"/>
      <family val="2"/>
      <scheme val="minor"/>
    </font>
    <font>
      <i/>
      <sz val="11"/>
      <name val="Calibri"/>
      <family val="2"/>
      <scheme val="minor"/>
    </font>
    <font>
      <b/>
      <u/>
      <sz val="10"/>
      <color theme="1"/>
      <name val="Calibri"/>
      <family val="2"/>
      <scheme val="minor"/>
    </font>
    <font>
      <i/>
      <sz val="10"/>
      <color rgb="FFFF0000"/>
      <name val="Calibri"/>
      <family val="2"/>
      <scheme val="minor"/>
    </font>
    <font>
      <u/>
      <sz val="10"/>
      <color theme="1"/>
      <name val="Calibri"/>
      <family val="2"/>
      <scheme val="minor"/>
    </font>
    <font>
      <sz val="9"/>
      <color rgb="FF000000"/>
      <name val="Calibri"/>
      <family val="2"/>
      <scheme val="minor"/>
    </font>
    <font>
      <b/>
      <sz val="9"/>
      <color rgb="FF000000"/>
      <name val="Calibri"/>
      <family val="2"/>
      <scheme val="minor"/>
    </font>
    <font>
      <strike/>
      <sz val="11"/>
      <color theme="1"/>
      <name val="Calibri"/>
      <family val="2"/>
      <scheme val="minor"/>
    </font>
    <font>
      <b/>
      <sz val="10"/>
      <color rgb="FFFF0000"/>
      <name val="Calibri"/>
      <family val="2"/>
      <scheme val="minor"/>
    </font>
    <font>
      <b/>
      <sz val="12"/>
      <color rgb="FF000000"/>
      <name val="Calibri"/>
      <family val="2"/>
      <scheme val="minor"/>
    </font>
    <font>
      <sz val="12"/>
      <color rgb="FF000000"/>
      <name val="Calibri"/>
      <family val="2"/>
      <scheme val="minor"/>
    </font>
    <font>
      <b/>
      <sz val="10"/>
      <color rgb="FF000000"/>
      <name val="Calibri"/>
      <family val="2"/>
      <scheme val="minor"/>
    </font>
    <font>
      <sz val="8"/>
      <name val="Calibri"/>
      <family val="2"/>
      <scheme val="minor"/>
    </font>
    <font>
      <i/>
      <sz val="11"/>
      <color rgb="FFFF0000"/>
      <name val="Calibri"/>
      <family val="2"/>
      <scheme val="minor"/>
    </font>
    <font>
      <sz val="10"/>
      <color rgb="FF000000"/>
      <name val="Calibri"/>
      <family val="2"/>
      <scheme val="minor"/>
    </font>
    <font>
      <sz val="9"/>
      <color rgb="FF000000"/>
      <name val="Tahoma"/>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8"/>
      <color theme="3"/>
      <name val="Cambria"/>
      <family val="2"/>
      <scheme val="major"/>
    </font>
    <font>
      <i/>
      <sz val="9"/>
      <color rgb="FFFF0000"/>
      <name val="Calibri"/>
      <family val="2"/>
      <scheme val="minor"/>
    </font>
    <font>
      <sz val="11"/>
      <color theme="1" tint="0.499984740745262"/>
      <name val="Calibri"/>
      <family val="2"/>
      <scheme val="minor"/>
    </font>
    <font>
      <b/>
      <i/>
      <sz val="10"/>
      <color theme="1" tint="0.499984740745262"/>
      <name val="Calibri"/>
      <family val="2"/>
      <scheme val="minor"/>
    </font>
    <font>
      <b/>
      <sz val="10"/>
      <color theme="1" tint="0.499984740745262"/>
      <name val="Calibri"/>
      <family val="2"/>
      <scheme val="minor"/>
    </font>
    <font>
      <sz val="10"/>
      <color theme="1" tint="0.499984740745262"/>
      <name val="Calibri"/>
      <family val="2"/>
      <scheme val="minor"/>
    </font>
    <font>
      <u/>
      <sz val="10"/>
      <color rgb="FF000000"/>
      <name val="Calibri"/>
      <family val="2"/>
      <scheme val="minor"/>
    </font>
    <font>
      <strike/>
      <sz val="11"/>
      <color rgb="FFFF0000"/>
      <name val="Calibri"/>
      <family val="2"/>
      <scheme val="minor"/>
    </font>
  </fonts>
  <fills count="57">
    <fill>
      <patternFill patternType="none"/>
    </fill>
    <fill>
      <patternFill patternType="gray125"/>
    </fill>
    <fill>
      <patternFill patternType="solid">
        <fgColor theme="0" tint="-4.9989318521683403E-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E593"/>
        <bgColor indexed="64"/>
      </patternFill>
    </fill>
    <fill>
      <patternFill patternType="solid">
        <fgColor rgb="FFFFFF66"/>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7C80"/>
        <bgColor indexed="64"/>
      </patternFill>
    </fill>
    <fill>
      <patternFill patternType="solid">
        <fgColor rgb="FFFFFF99"/>
        <bgColor indexed="64"/>
      </patternFill>
    </fill>
    <fill>
      <patternFill patternType="solid">
        <fgColor theme="4" tint="0.79998168889431442"/>
        <bgColor indexed="65"/>
      </patternFill>
    </fill>
    <fill>
      <patternFill patternType="solid">
        <fgColor theme="9" tint="0.79998168889431442"/>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70">
    <border>
      <left/>
      <right/>
      <top/>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499984740745262"/>
      </left>
      <right style="thin">
        <color theme="0" tint="-0.499984740745262"/>
      </right>
      <top style="medium">
        <color auto="1"/>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auto="1"/>
      </right>
      <top style="thin">
        <color theme="0" tint="-0.499984740745262"/>
      </top>
      <bottom style="thin">
        <color theme="0" tint="-0.499984740745262"/>
      </bottom>
      <diagonal/>
    </border>
    <border>
      <left/>
      <right style="medium">
        <color auto="1"/>
      </right>
      <top style="thin">
        <color theme="0" tint="-0.499984740745262"/>
      </top>
      <bottom style="medium">
        <color auto="1"/>
      </bottom>
      <diagonal/>
    </border>
    <border>
      <left style="medium">
        <color auto="1"/>
      </left>
      <right style="medium">
        <color auto="1"/>
      </right>
      <top style="medium">
        <color auto="1"/>
      </top>
      <bottom style="thin">
        <color theme="0" tint="-0.499984740745262"/>
      </bottom>
      <diagonal/>
    </border>
    <border>
      <left style="medium">
        <color auto="1"/>
      </left>
      <right style="medium">
        <color auto="1"/>
      </right>
      <top style="thin">
        <color theme="0" tint="-0.499984740745262"/>
      </top>
      <bottom style="medium">
        <color auto="1"/>
      </bottom>
      <diagonal/>
    </border>
    <border>
      <left/>
      <right style="thin">
        <color theme="0" tint="-0.499984740745262"/>
      </right>
      <top style="medium">
        <color auto="1"/>
      </top>
      <bottom style="thin">
        <color theme="0" tint="-0.499984740745262"/>
      </bottom>
      <diagonal/>
    </border>
    <border>
      <left/>
      <right style="thin">
        <color theme="0" tint="-0.499984740745262"/>
      </right>
      <top style="thin">
        <color theme="0" tint="-0.499984740745262"/>
      </top>
      <bottom/>
      <diagonal/>
    </border>
    <border>
      <left style="medium">
        <color auto="1"/>
      </left>
      <right style="medium">
        <color auto="1"/>
      </right>
      <top style="thin">
        <color theme="0" tint="-0.499984740745262"/>
      </top>
      <bottom style="thin">
        <color theme="0" tint="-0.499984740745262"/>
      </bottom>
      <diagonal/>
    </border>
    <border>
      <left style="medium">
        <color auto="1"/>
      </left>
      <right style="medium">
        <color auto="1"/>
      </right>
      <top style="thin">
        <color theme="0" tint="-0.499984740745262"/>
      </top>
      <bottom/>
      <diagonal/>
    </border>
    <border>
      <left/>
      <right style="medium">
        <color auto="1"/>
      </right>
      <top style="medium">
        <color auto="1"/>
      </top>
      <bottom style="thin">
        <color theme="0" tint="-0.499984740745262"/>
      </bottom>
      <diagonal/>
    </border>
    <border>
      <left style="thin">
        <color theme="0" tint="-0.499984740745262"/>
      </left>
      <right/>
      <top style="medium">
        <color auto="1"/>
      </top>
      <bottom style="thin">
        <color theme="0" tint="-0.499984740745262"/>
      </bottom>
      <diagonal/>
    </border>
    <border>
      <left style="thin">
        <color theme="0" tint="-0.499984740745262"/>
      </left>
      <right/>
      <top style="thin">
        <color theme="0" tint="-0.499984740745262"/>
      </top>
      <bottom/>
      <diagonal/>
    </border>
    <border>
      <left style="medium">
        <color auto="1"/>
      </left>
      <right style="thin">
        <color auto="1"/>
      </right>
      <top style="medium">
        <color auto="1"/>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theme="0" tint="-0.499984740745262"/>
      </bottom>
      <diagonal/>
    </border>
    <border>
      <left/>
      <right style="thin">
        <color auto="1"/>
      </right>
      <top style="thin">
        <color theme="0" tint="-0.499984740745262"/>
      </top>
      <bottom style="thin">
        <color theme="0" tint="-0.499984740745262"/>
      </bottom>
      <diagonal/>
    </border>
    <border>
      <left style="medium">
        <color auto="1"/>
      </left>
      <right style="thin">
        <color auto="1"/>
      </right>
      <top style="medium">
        <color auto="1"/>
      </top>
      <bottom style="thin">
        <color theme="0" tint="-0.499984740745262"/>
      </bottom>
      <diagonal/>
    </border>
    <border>
      <left style="medium">
        <color auto="1"/>
      </left>
      <right style="thin">
        <color auto="1"/>
      </right>
      <top style="thin">
        <color theme="0" tint="-0.499984740745262"/>
      </top>
      <bottom style="thin">
        <color theme="0" tint="-0.499984740745262"/>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bottom/>
      <diagonal/>
    </border>
    <border>
      <left style="medium">
        <color auto="1"/>
      </left>
      <right/>
      <top style="medium">
        <color auto="1"/>
      </top>
      <bottom style="medium">
        <color auto="1"/>
      </bottom>
      <diagonal/>
    </border>
    <border>
      <left style="medium">
        <color auto="1"/>
      </left>
      <right style="thin">
        <color auto="1"/>
      </right>
      <top style="thin">
        <color theme="0" tint="-0.499984740745262"/>
      </top>
      <bottom/>
      <diagonal/>
    </border>
    <border>
      <left/>
      <right style="thin">
        <color auto="1"/>
      </right>
      <top style="thin">
        <color theme="0" tint="-0.499984740745262"/>
      </top>
      <bottom/>
      <diagonal/>
    </border>
    <border>
      <left/>
      <right style="medium">
        <color auto="1"/>
      </right>
      <top style="thin">
        <color theme="0" tint="-0.499984740745262"/>
      </top>
      <bottom/>
      <diagonal/>
    </border>
    <border>
      <left style="medium">
        <color auto="1"/>
      </left>
      <right style="thin">
        <color auto="1"/>
      </right>
      <top style="medium">
        <color auto="1"/>
      </top>
      <bottom/>
      <diagonal/>
    </border>
    <border>
      <left/>
      <right/>
      <top style="medium">
        <color auto="1"/>
      </top>
      <bottom style="medium">
        <color auto="1"/>
      </bottom>
      <diagonal/>
    </border>
    <border>
      <left style="thin">
        <color auto="1"/>
      </left>
      <right style="medium">
        <color auto="1"/>
      </right>
      <top style="medium">
        <color auto="1"/>
      </top>
      <bottom/>
      <diagonal/>
    </border>
    <border>
      <left style="hair">
        <color auto="1"/>
      </left>
      <right style="hair">
        <color auto="1"/>
      </right>
      <top style="hair">
        <color auto="1"/>
      </top>
      <bottom/>
      <diagonal/>
    </border>
    <border>
      <left/>
      <right/>
      <top style="medium">
        <color auto="1"/>
      </top>
      <bottom style="thin">
        <color theme="0" tint="-0.499984740745262"/>
      </bottom>
      <diagonal/>
    </border>
    <border>
      <left/>
      <right/>
      <top style="thin">
        <color theme="0" tint="-0.499984740745262"/>
      </top>
      <bottom style="thin">
        <color theme="0" tint="-0.499984740745262"/>
      </bottom>
      <diagonal/>
    </border>
    <border>
      <left style="medium">
        <color auto="1"/>
      </left>
      <right/>
      <top style="thin">
        <color theme="0" tint="-0.499984740745262"/>
      </top>
      <bottom style="medium">
        <color auto="1"/>
      </bottom>
      <diagonal/>
    </border>
    <border>
      <left/>
      <right/>
      <top style="thin">
        <color theme="0" tint="-0.499984740745262"/>
      </top>
      <bottom style="medium">
        <color auto="1"/>
      </bottom>
      <diagonal/>
    </border>
    <border>
      <left style="medium">
        <color auto="1"/>
      </left>
      <right/>
      <top style="thin">
        <color theme="0" tint="-0.499984740745262"/>
      </top>
      <bottom style="thin">
        <color theme="0" tint="-0.499984740745262"/>
      </bottom>
      <diagonal/>
    </border>
    <border>
      <left style="medium">
        <color auto="1"/>
      </left>
      <right/>
      <top style="medium">
        <color auto="1"/>
      </top>
      <bottom style="thin">
        <color theme="0" tint="-0.499984740745262"/>
      </bottom>
      <diagonal/>
    </border>
    <border>
      <left style="medium">
        <color auto="1"/>
      </left>
      <right style="thin">
        <color auto="1"/>
      </right>
      <top/>
      <bottom/>
      <diagonal/>
    </border>
    <border>
      <left/>
      <right/>
      <top style="hair">
        <color auto="1"/>
      </top>
      <bottom style="hair">
        <color auto="1"/>
      </bottom>
      <diagonal/>
    </border>
    <border>
      <left/>
      <right/>
      <top style="hair">
        <color auto="1"/>
      </top>
      <bottom/>
      <diagonal/>
    </border>
    <border>
      <left style="hair">
        <color auto="1"/>
      </left>
      <right style="hair">
        <color auto="1"/>
      </right>
      <top style="medium">
        <color auto="1"/>
      </top>
      <bottom style="thin">
        <color auto="1"/>
      </bottom>
      <diagonal/>
    </border>
    <border>
      <left style="medium">
        <color auto="1"/>
      </left>
      <right/>
      <top style="thin">
        <color theme="0" tint="-0.499984740745262"/>
      </top>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theme="0" tint="-0.499984740745262"/>
      </right>
      <top style="thin">
        <color theme="0" tint="-0.499984740745262"/>
      </top>
      <bottom style="medium">
        <color auto="1"/>
      </bottom>
      <diagonal/>
    </border>
    <border>
      <left style="thin">
        <color theme="0" tint="-0.499984740745262"/>
      </left>
      <right style="thin">
        <color theme="0" tint="-0.499984740745262"/>
      </right>
      <top style="thin">
        <color theme="0" tint="-0.499984740745262"/>
      </top>
      <bottom style="medium">
        <color auto="1"/>
      </bottom>
      <diagonal/>
    </border>
    <border>
      <left style="thin">
        <color theme="0" tint="-0.499984740745262"/>
      </left>
      <right style="medium">
        <color auto="1"/>
      </right>
      <top style="thin">
        <color theme="0" tint="-0.499984740745262"/>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theme="0" tint="-0.499984740745262"/>
      </bottom>
      <diagonal/>
    </border>
    <border>
      <left/>
      <right style="thin">
        <color auto="1"/>
      </right>
      <top/>
      <bottom style="thin">
        <color theme="0" tint="-0.499984740745262"/>
      </bottom>
      <diagonal/>
    </border>
    <border>
      <left/>
      <right style="medium">
        <color auto="1"/>
      </right>
      <top/>
      <bottom style="thin">
        <color theme="0" tint="-0.499984740745262"/>
      </bottom>
      <diagonal/>
    </border>
    <border>
      <left style="hair">
        <color auto="1"/>
      </left>
      <right/>
      <top/>
      <bottom/>
      <diagonal/>
    </border>
    <border>
      <left style="medium">
        <color auto="1"/>
      </left>
      <right style="medium">
        <color auto="1"/>
      </right>
      <top/>
      <bottom style="thin">
        <color theme="0" tint="-0.499984740745262"/>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hair">
        <color auto="1"/>
      </bottom>
      <diagonal/>
    </border>
    <border>
      <left/>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top style="medium">
        <color auto="1"/>
      </top>
      <bottom style="hair">
        <color auto="1"/>
      </bottom>
      <diagonal/>
    </border>
    <border>
      <left/>
      <right style="medium">
        <color auto="1"/>
      </right>
      <top style="medium">
        <color auto="1"/>
      </top>
      <bottom style="hair">
        <color auto="1"/>
      </bottom>
      <diagonal/>
    </border>
    <border>
      <left style="hair">
        <color auto="1"/>
      </left>
      <right style="medium">
        <color auto="1"/>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style="thin">
        <color auto="1"/>
      </top>
      <bottom/>
      <diagonal/>
    </border>
    <border>
      <left/>
      <right style="hair">
        <color auto="1"/>
      </right>
      <top/>
      <bottom style="hair">
        <color auto="1"/>
      </bottom>
      <diagonal/>
    </border>
    <border>
      <left style="medium">
        <color auto="1"/>
      </left>
      <right style="hair">
        <color auto="1"/>
      </right>
      <top/>
      <bottom style="hair">
        <color auto="1"/>
      </bottom>
      <diagonal/>
    </border>
    <border>
      <left/>
      <right style="medium">
        <color auto="1"/>
      </right>
      <top style="hair">
        <color auto="1"/>
      </top>
      <bottom style="hair">
        <color auto="1"/>
      </bottom>
      <diagonal/>
    </border>
    <border>
      <left style="medium">
        <color auto="1"/>
      </left>
      <right style="hair">
        <color auto="1"/>
      </right>
      <top/>
      <bottom/>
      <diagonal/>
    </border>
    <border>
      <left style="medium">
        <color auto="1"/>
      </left>
      <right style="hair">
        <color auto="1"/>
      </right>
      <top style="hair">
        <color auto="1"/>
      </top>
      <bottom/>
      <diagonal/>
    </border>
    <border>
      <left style="hair">
        <color auto="1"/>
      </left>
      <right style="medium">
        <color auto="1"/>
      </right>
      <top style="hair">
        <color auto="1"/>
      </top>
      <bottom/>
      <diagonal/>
    </border>
    <border>
      <left style="thin">
        <color auto="1"/>
      </left>
      <right/>
      <top/>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top/>
      <bottom style="thin">
        <color theme="0" tint="-0.499984740745262"/>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double">
        <color auto="1"/>
      </bottom>
      <diagonal/>
    </border>
    <border>
      <left/>
      <right/>
      <top/>
      <bottom style="thin">
        <color theme="4" tint="0.3999755851924192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right style="thin">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hair">
        <color auto="1"/>
      </left>
      <right/>
      <top style="hair">
        <color auto="1"/>
      </top>
      <bottom style="hair">
        <color auto="1"/>
      </bottom>
      <diagonal/>
    </border>
    <border>
      <left/>
      <right style="medium">
        <color rgb="FF000000"/>
      </right>
      <top style="medium">
        <color auto="1"/>
      </top>
      <bottom style="medium">
        <color auto="1"/>
      </bottom>
      <diagonal/>
    </border>
    <border>
      <left style="thin">
        <color auto="1"/>
      </left>
      <right/>
      <top/>
      <bottom style="thin">
        <color auto="1"/>
      </bottom>
      <diagonal/>
    </border>
    <border>
      <left style="medium">
        <color auto="1"/>
      </left>
      <right/>
      <top style="thin">
        <color theme="0" tint="-0.499984740745262"/>
      </top>
      <bottom style="thin">
        <color auto="1"/>
      </bottom>
      <diagonal/>
    </border>
    <border>
      <left style="medium">
        <color auto="1"/>
      </left>
      <right style="thin">
        <color auto="1"/>
      </right>
      <top style="thin">
        <color theme="0" tint="-0.499984740745262"/>
      </top>
      <bottom style="thin">
        <color auto="1"/>
      </bottom>
      <diagonal/>
    </border>
    <border>
      <left/>
      <right style="thin">
        <color auto="1"/>
      </right>
      <top style="thin">
        <color theme="0" tint="-0.499984740745262"/>
      </top>
      <bottom style="thin">
        <color auto="1"/>
      </bottom>
      <diagonal/>
    </border>
    <border>
      <left style="thin">
        <color rgb="FFD3D3D3"/>
      </left>
      <right style="thin">
        <color rgb="FFD3D3D3"/>
      </right>
      <top style="thin">
        <color rgb="FFD3D3D3"/>
      </top>
      <bottom style="thin">
        <color rgb="FFD3D3D3"/>
      </bottom>
      <diagonal/>
    </border>
    <border>
      <left style="thin">
        <color rgb="FFD3D3D3"/>
      </left>
      <right style="thin">
        <color rgb="FFD3D3D3"/>
      </right>
      <top style="thin">
        <color rgb="FFD3D3D3"/>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theme="4" tint="-0.249977111117893"/>
      </left>
      <right style="thin">
        <color theme="4" tint="-0.249977111117893"/>
      </right>
      <top style="thin">
        <color theme="4" tint="0.79998168889431442"/>
      </top>
      <bottom style="thin">
        <color theme="4" tint="0.79998168889431442"/>
      </bottom>
      <diagonal/>
    </border>
    <border>
      <left style="medium">
        <color auto="1"/>
      </left>
      <right style="thin">
        <color auto="1"/>
      </right>
      <top style="thin">
        <color theme="0" tint="-0.499984740745262"/>
      </top>
      <bottom style="medium">
        <color auto="1"/>
      </bottom>
      <diagonal/>
    </border>
    <border>
      <left/>
      <right style="thin">
        <color auto="1"/>
      </right>
      <top style="thin">
        <color theme="0" tint="-0.499984740745262"/>
      </top>
      <bottom style="medium">
        <color auto="1"/>
      </bottom>
      <diagonal/>
    </border>
    <border>
      <left style="medium">
        <color auto="1"/>
      </left>
      <right style="medium">
        <color auto="1"/>
      </right>
      <top style="thin">
        <color theme="0" tint="-0.499984740745262"/>
      </top>
      <bottom style="thin">
        <color indexed="64"/>
      </bottom>
      <diagonal/>
    </border>
    <border>
      <left/>
      <right style="medium">
        <color auto="1"/>
      </right>
      <top style="thin">
        <color theme="0" tint="-0.499984740745262"/>
      </top>
      <bottom style="thin">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right style="hair">
        <color auto="1"/>
      </right>
      <top style="medium">
        <color auto="1"/>
      </top>
      <bottom style="medium">
        <color auto="1"/>
      </bottom>
      <diagonal/>
    </border>
    <border>
      <left style="medium">
        <color auto="1"/>
      </left>
      <right style="hair">
        <color auto="1"/>
      </right>
      <top style="hair">
        <color auto="1"/>
      </top>
      <bottom style="medium">
        <color indexed="64"/>
      </bottom>
      <diagonal/>
    </border>
    <border>
      <left/>
      <right/>
      <top style="hair">
        <color auto="1"/>
      </top>
      <bottom style="medium">
        <color indexed="64"/>
      </bottom>
      <diagonal/>
    </border>
    <border>
      <left style="hair">
        <color auto="1"/>
      </left>
      <right style="hair">
        <color auto="1"/>
      </right>
      <top/>
      <bottom style="medium">
        <color indexed="64"/>
      </bottom>
      <diagonal/>
    </border>
    <border>
      <left/>
      <right style="hair">
        <color auto="1"/>
      </right>
      <top style="hair">
        <color auto="1"/>
      </top>
      <bottom style="hair">
        <color auto="1"/>
      </bottom>
      <diagonal/>
    </border>
    <border>
      <left style="thin">
        <color auto="1"/>
      </left>
      <right/>
      <top style="medium">
        <color auto="1"/>
      </top>
      <bottom style="medium">
        <color auto="1"/>
      </bottom>
      <diagonal/>
    </border>
    <border>
      <left style="thin">
        <color auto="1"/>
      </left>
      <right style="thin">
        <color auto="1"/>
      </right>
      <top style="thin">
        <color theme="0" tint="-0.499984740745262"/>
      </top>
      <bottom style="thin">
        <color theme="0" tint="-0.499984740745262"/>
      </bottom>
      <diagonal/>
    </border>
    <border>
      <left/>
      <right/>
      <top/>
      <bottom style="thin">
        <color theme="0" tint="-0.499984740745262"/>
      </bottom>
      <diagonal/>
    </border>
  </borders>
  <cellStyleXfs count="66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0" fontId="4" fillId="23"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2" fillId="0" borderId="145" applyNumberFormat="0" applyFill="0" applyAlignment="0" applyProtection="0"/>
    <xf numFmtId="0" fontId="43" fillId="0" borderId="146" applyNumberFormat="0" applyFill="0" applyAlignment="0" applyProtection="0"/>
    <xf numFmtId="0" fontId="44" fillId="0" borderId="147" applyNumberFormat="0" applyFill="0" applyAlignment="0" applyProtection="0"/>
    <xf numFmtId="0" fontId="44" fillId="0" borderId="0" applyNumberFormat="0" applyFill="0" applyBorder="0" applyAlignment="0" applyProtection="0"/>
    <xf numFmtId="0" fontId="45" fillId="26" borderId="0" applyNumberFormat="0" applyBorder="0" applyAlignment="0" applyProtection="0"/>
    <xf numFmtId="0" fontId="46" fillId="27" borderId="0" applyNumberFormat="0" applyBorder="0" applyAlignment="0" applyProtection="0"/>
    <xf numFmtId="0" fontId="47" fillId="28" borderId="0" applyNumberFormat="0" applyBorder="0" applyAlignment="0" applyProtection="0"/>
    <xf numFmtId="0" fontId="48" fillId="29" borderId="148" applyNumberFormat="0" applyAlignment="0" applyProtection="0"/>
    <xf numFmtId="0" fontId="49" fillId="30" borderId="149" applyNumberFormat="0" applyAlignment="0" applyProtection="0"/>
    <xf numFmtId="0" fontId="50" fillId="30" borderId="148" applyNumberFormat="0" applyAlignment="0" applyProtection="0"/>
    <xf numFmtId="0" fontId="51" fillId="0" borderId="150" applyNumberFormat="0" applyFill="0" applyAlignment="0" applyProtection="0"/>
    <xf numFmtId="0" fontId="52" fillId="31" borderId="151" applyNumberFormat="0" applyAlignment="0" applyProtection="0"/>
    <xf numFmtId="0" fontId="3" fillId="0" borderId="0" applyNumberFormat="0" applyFill="0" applyBorder="0" applyAlignment="0" applyProtection="0"/>
    <xf numFmtId="0" fontId="4" fillId="32" borderId="152" applyNumberFormat="0" applyFont="0" applyAlignment="0" applyProtection="0"/>
    <xf numFmtId="0" fontId="53" fillId="0" borderId="0" applyNumberFormat="0" applyFill="0" applyBorder="0" applyAlignment="0" applyProtection="0"/>
    <xf numFmtId="0" fontId="1" fillId="0" borderId="153" applyNumberFormat="0" applyFill="0" applyAlignment="0" applyProtection="0"/>
    <xf numFmtId="0" fontId="12" fillId="33" borderId="0" applyNumberFormat="0" applyBorder="0" applyAlignment="0" applyProtection="0"/>
    <xf numFmtId="0" fontId="4" fillId="34" borderId="0" applyNumberFormat="0" applyBorder="0" applyAlignment="0" applyProtection="0"/>
    <xf numFmtId="0" fontId="12" fillId="35" borderId="0" applyNumberFormat="0" applyBorder="0" applyAlignment="0" applyProtection="0"/>
    <xf numFmtId="0" fontId="12"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12" fillId="39" borderId="0" applyNumberFormat="0" applyBorder="0" applyAlignment="0" applyProtection="0"/>
    <xf numFmtId="0" fontId="12"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12" fillId="43" borderId="0" applyNumberFormat="0" applyBorder="0" applyAlignment="0" applyProtection="0"/>
    <xf numFmtId="0" fontId="12" fillId="44"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12" fillId="47" borderId="0" applyNumberFormat="0" applyBorder="0" applyAlignment="0" applyProtection="0"/>
    <xf numFmtId="0" fontId="12" fillId="48" borderId="0" applyNumberFormat="0" applyBorder="0" applyAlignment="0" applyProtection="0"/>
    <xf numFmtId="0" fontId="4" fillId="49" borderId="0" applyNumberFormat="0" applyBorder="0" applyAlignment="0" applyProtection="0"/>
    <xf numFmtId="0" fontId="4" fillId="50" borderId="0" applyNumberFormat="0" applyBorder="0" applyAlignment="0" applyProtection="0"/>
    <xf numFmtId="0" fontId="12" fillId="51" borderId="0" applyNumberFormat="0" applyBorder="0" applyAlignment="0" applyProtection="0"/>
    <xf numFmtId="0" fontId="12" fillId="52" borderId="0" applyNumberFormat="0" applyBorder="0" applyAlignment="0" applyProtection="0"/>
    <xf numFmtId="0" fontId="4" fillId="53" borderId="0" applyNumberFormat="0" applyBorder="0" applyAlignment="0" applyProtection="0"/>
    <xf numFmtId="0" fontId="4" fillId="54" borderId="0" applyNumberFormat="0" applyBorder="0" applyAlignment="0" applyProtection="0"/>
    <xf numFmtId="0" fontId="12" fillId="55" borderId="0" applyNumberFormat="0" applyBorder="0" applyAlignment="0" applyProtection="0"/>
    <xf numFmtId="0" fontId="54"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491">
    <xf numFmtId="0" fontId="0" fillId="0" borderId="0" xfId="0"/>
    <xf numFmtId="0" fontId="0" fillId="0" borderId="0" xfId="0" applyAlignment="1">
      <alignment wrapText="1"/>
    </xf>
    <xf numFmtId="0" fontId="0" fillId="0" borderId="0" xfId="0" applyAlignment="1">
      <alignment vertical="center"/>
    </xf>
    <xf numFmtId="0" fontId="0" fillId="0" borderId="0" xfId="0" applyFill="1" applyAlignment="1">
      <alignment vertical="center"/>
    </xf>
    <xf numFmtId="0" fontId="0" fillId="0" borderId="11" xfId="0" applyBorder="1"/>
    <xf numFmtId="0" fontId="0" fillId="0" borderId="19" xfId="0" applyBorder="1"/>
    <xf numFmtId="0" fontId="0" fillId="0" borderId="20" xfId="0" applyBorder="1"/>
    <xf numFmtId="0" fontId="0" fillId="0" borderId="23" xfId="0" applyBorder="1"/>
    <xf numFmtId="0" fontId="0" fillId="0" borderId="24" xfId="0" applyBorder="1"/>
    <xf numFmtId="0" fontId="0" fillId="0" borderId="2" xfId="0" applyBorder="1"/>
    <xf numFmtId="0" fontId="2" fillId="0" borderId="19" xfId="0" applyFont="1" applyBorder="1" applyAlignment="1">
      <alignment horizontal="center" wrapText="1"/>
    </xf>
    <xf numFmtId="0" fontId="2" fillId="0" borderId="25" xfId="0" applyFont="1" applyBorder="1" applyAlignment="1">
      <alignment horizontal="center" wrapText="1"/>
    </xf>
    <xf numFmtId="0" fontId="0" fillId="0" borderId="19" xfId="0" applyBorder="1" applyAlignment="1">
      <alignment wrapText="1"/>
    </xf>
    <xf numFmtId="0" fontId="0" fillId="0" borderId="23" xfId="0" applyFill="1" applyBorder="1"/>
    <xf numFmtId="0" fontId="2" fillId="0" borderId="34" xfId="0" applyFont="1" applyBorder="1" applyAlignment="1">
      <alignment horizontal="center" wrapText="1"/>
    </xf>
    <xf numFmtId="0" fontId="2" fillId="0" borderId="36" xfId="0" applyFont="1" applyBorder="1" applyAlignment="1">
      <alignment horizontal="center" wrapText="1"/>
    </xf>
    <xf numFmtId="0" fontId="2" fillId="0" borderId="0" xfId="0" applyFont="1" applyAlignment="1">
      <alignment vertical="center" wrapText="1"/>
    </xf>
    <xf numFmtId="0" fontId="0" fillId="0" borderId="23" xfId="0" applyFill="1" applyBorder="1"/>
    <xf numFmtId="0" fontId="0" fillId="0" borderId="11" xfId="0" applyBorder="1"/>
    <xf numFmtId="0" fontId="0" fillId="0" borderId="19" xfId="0" applyBorder="1"/>
    <xf numFmtId="0" fontId="0" fillId="0" borderId="23" xfId="0" applyBorder="1"/>
    <xf numFmtId="0" fontId="0" fillId="0" borderId="24" xfId="0" applyBorder="1"/>
    <xf numFmtId="0" fontId="0" fillId="0" borderId="6" xfId="0" applyBorder="1"/>
    <xf numFmtId="0" fontId="2" fillId="0" borderId="19" xfId="0" applyFont="1" applyBorder="1" applyAlignment="1">
      <alignment horizontal="center" wrapText="1"/>
    </xf>
    <xf numFmtId="0" fontId="2" fillId="0" borderId="25" xfId="0" applyFont="1" applyBorder="1" applyAlignment="1">
      <alignment horizontal="center" wrapText="1"/>
    </xf>
    <xf numFmtId="0" fontId="0" fillId="0" borderId="19" xfId="0" applyBorder="1" applyAlignment="1">
      <alignment wrapText="1"/>
    </xf>
    <xf numFmtId="0" fontId="2" fillId="0" borderId="34" xfId="0" applyFont="1" applyBorder="1" applyAlignment="1">
      <alignment horizontal="center" wrapText="1"/>
    </xf>
    <xf numFmtId="0" fontId="2" fillId="0" borderId="36" xfId="0" applyFont="1" applyBorder="1" applyAlignment="1">
      <alignment horizontal="center" wrapText="1"/>
    </xf>
    <xf numFmtId="164" fontId="0" fillId="0" borderId="0" xfId="0" applyNumberFormat="1" applyAlignment="1">
      <alignment horizontal="center"/>
    </xf>
    <xf numFmtId="164" fontId="0" fillId="0" borderId="37" xfId="0" applyNumberFormat="1" applyBorder="1"/>
    <xf numFmtId="164" fontId="0" fillId="0" borderId="35" xfId="0" applyNumberFormat="1" applyBorder="1"/>
    <xf numFmtId="164" fontId="0" fillId="0" borderId="17" xfId="0" applyNumberFormat="1" applyBorder="1"/>
    <xf numFmtId="164" fontId="0" fillId="0" borderId="23" xfId="0" applyNumberFormat="1" applyBorder="1"/>
    <xf numFmtId="164" fontId="0" fillId="0" borderId="20" xfId="0" applyNumberFormat="1" applyBorder="1"/>
    <xf numFmtId="164" fontId="0" fillId="0" borderId="48" xfId="0" applyNumberFormat="1" applyBorder="1"/>
    <xf numFmtId="164" fontId="0" fillId="0" borderId="49" xfId="0" applyNumberFormat="1" applyBorder="1"/>
    <xf numFmtId="164" fontId="0" fillId="0" borderId="50" xfId="0" applyNumberFormat="1" applyBorder="1"/>
    <xf numFmtId="0" fontId="0" fillId="0" borderId="2" xfId="0" applyBorder="1" applyAlignment="1">
      <alignment wrapText="1"/>
    </xf>
    <xf numFmtId="164" fontId="0" fillId="0" borderId="2" xfId="0" applyNumberFormat="1" applyBorder="1" applyAlignment="1">
      <alignment vertical="center" wrapText="1"/>
    </xf>
    <xf numFmtId="164" fontId="0" fillId="0" borderId="0" xfId="0" applyNumberFormat="1"/>
    <xf numFmtId="0" fontId="0" fillId="0" borderId="44" xfId="0" applyBorder="1"/>
    <xf numFmtId="0" fontId="0" fillId="0" borderId="19" xfId="0" applyBorder="1" applyAlignment="1">
      <alignment vertical="center"/>
    </xf>
    <xf numFmtId="0" fontId="0" fillId="0" borderId="6" xfId="0" applyBorder="1" applyAlignment="1">
      <alignment vertical="center"/>
    </xf>
    <xf numFmtId="0" fontId="0" fillId="0" borderId="11" xfId="0" applyBorder="1" applyAlignment="1">
      <alignment vertical="center"/>
    </xf>
    <xf numFmtId="0" fontId="0" fillId="0" borderId="24" xfId="0" applyBorder="1" applyAlignment="1"/>
    <xf numFmtId="0" fontId="0" fillId="0" borderId="38" xfId="0" applyBorder="1" applyAlignment="1"/>
    <xf numFmtId="0" fontId="0" fillId="0" borderId="39" xfId="0" applyBorder="1" applyAlignment="1"/>
    <xf numFmtId="0" fontId="0" fillId="0" borderId="9" xfId="0" applyBorder="1"/>
    <xf numFmtId="164" fontId="0" fillId="0" borderId="51" xfId="0" applyNumberFormat="1" applyBorder="1"/>
    <xf numFmtId="164" fontId="0" fillId="0" borderId="45" xfId="0" applyNumberFormat="1" applyBorder="1"/>
    <xf numFmtId="164" fontId="0" fillId="0" borderId="53" xfId="0" applyNumberFormat="1" applyBorder="1"/>
    <xf numFmtId="164" fontId="0" fillId="0" borderId="8" xfId="0" applyNumberFormat="1" applyBorder="1"/>
    <xf numFmtId="164" fontId="0" fillId="0" borderId="29" xfId="0" applyNumberFormat="1" applyBorder="1"/>
    <xf numFmtId="164" fontId="0" fillId="0" borderId="44" xfId="0" applyNumberFormat="1" applyBorder="1"/>
    <xf numFmtId="0" fontId="0" fillId="0" borderId="0" xfId="0" applyBorder="1" applyAlignment="1">
      <alignment vertical="center"/>
    </xf>
    <xf numFmtId="0" fontId="0" fillId="0" borderId="0" xfId="0" applyBorder="1"/>
    <xf numFmtId="164" fontId="0" fillId="0" borderId="24" xfId="0" applyNumberFormat="1" applyBorder="1"/>
    <xf numFmtId="0" fontId="6" fillId="0" borderId="23" xfId="0" applyFont="1" applyFill="1" applyBorder="1" applyAlignment="1">
      <alignment vertical="center" wrapText="1"/>
    </xf>
    <xf numFmtId="164" fontId="0" fillId="0" borderId="0" xfId="0" applyNumberFormat="1" applyBorder="1"/>
    <xf numFmtId="0" fontId="6" fillId="0" borderId="23" xfId="0" applyFont="1" applyBorder="1" applyAlignment="1">
      <alignment vertical="center"/>
    </xf>
    <xf numFmtId="0" fontId="2" fillId="0" borderId="55" xfId="0" applyFont="1" applyBorder="1" applyAlignment="1">
      <alignment horizontal="center" wrapText="1"/>
    </xf>
    <xf numFmtId="164" fontId="0" fillId="0" borderId="56" xfId="0" applyNumberFormat="1" applyBorder="1"/>
    <xf numFmtId="0" fontId="0" fillId="0" borderId="0" xfId="0" applyProtection="1">
      <protection locked="0" hidden="1"/>
    </xf>
    <xf numFmtId="165" fontId="0" fillId="0" borderId="0" xfId="0" applyNumberFormat="1"/>
    <xf numFmtId="0" fontId="0" fillId="0" borderId="0" xfId="0" applyBorder="1" applyAlignment="1">
      <alignment horizontal="left" vertical="top" wrapText="1"/>
    </xf>
    <xf numFmtId="164" fontId="0" fillId="0" borderId="37" xfId="14" applyNumberFormat="1" applyFont="1" applyBorder="1"/>
    <xf numFmtId="164" fontId="0" fillId="0" borderId="35" xfId="14" applyNumberFormat="1" applyFont="1" applyBorder="1"/>
    <xf numFmtId="164" fontId="0" fillId="0" borderId="17" xfId="14" applyNumberFormat="1" applyFont="1" applyBorder="1"/>
    <xf numFmtId="164" fontId="4" fillId="0" borderId="51" xfId="14" applyNumberFormat="1" applyFont="1" applyBorder="1"/>
    <xf numFmtId="164" fontId="4" fillId="0" borderId="45" xfId="14" applyNumberFormat="1" applyFont="1" applyBorder="1"/>
    <xf numFmtId="164" fontId="4" fillId="0" borderId="53" xfId="14" applyNumberFormat="1" applyFont="1" applyBorder="1"/>
    <xf numFmtId="164" fontId="4" fillId="0" borderId="44" xfId="14" applyNumberFormat="1" applyFont="1" applyBorder="1"/>
    <xf numFmtId="164" fontId="0" fillId="0" borderId="0" xfId="0" applyNumberFormat="1" applyAlignment="1">
      <alignment horizontal="right"/>
    </xf>
    <xf numFmtId="0" fontId="0" fillId="0" borderId="38" xfId="0" applyBorder="1" applyAlignment="1">
      <alignment vertical="top"/>
    </xf>
    <xf numFmtId="0" fontId="0" fillId="0" borderId="39" xfId="0" applyBorder="1" applyAlignment="1">
      <alignment vertical="top"/>
    </xf>
    <xf numFmtId="164" fontId="0" fillId="0" borderId="2" xfId="0" applyNumberFormat="1" applyBorder="1"/>
    <xf numFmtId="0" fontId="0" fillId="0" borderId="60" xfId="0" applyBorder="1"/>
    <xf numFmtId="0" fontId="0" fillId="0" borderId="59" xfId="0" applyBorder="1"/>
    <xf numFmtId="0" fontId="0" fillId="0" borderId="65" xfId="0" applyBorder="1"/>
    <xf numFmtId="0" fontId="0" fillId="0" borderId="25" xfId="0" applyBorder="1"/>
    <xf numFmtId="0" fontId="0" fillId="0" borderId="50" xfId="0" applyBorder="1" applyAlignment="1"/>
    <xf numFmtId="0" fontId="0" fillId="0" borderId="10" xfId="0" applyBorder="1" applyAlignment="1"/>
    <xf numFmtId="0" fontId="3" fillId="0" borderId="12" xfId="0" applyFont="1" applyBorder="1" applyAlignment="1">
      <alignment horizontal="left"/>
    </xf>
    <xf numFmtId="0" fontId="3" fillId="0" borderId="13" xfId="0" applyFont="1" applyBorder="1" applyAlignment="1">
      <alignment horizontal="left"/>
    </xf>
    <xf numFmtId="0" fontId="0" fillId="0" borderId="50" xfId="0" applyBorder="1" applyAlignment="1">
      <alignment vertical="top"/>
    </xf>
    <xf numFmtId="0" fontId="0" fillId="0" borderId="10" xfId="0" applyBorder="1" applyAlignment="1">
      <alignment vertical="top"/>
    </xf>
    <xf numFmtId="0" fontId="3" fillId="0" borderId="66" xfId="0" applyFont="1" applyBorder="1" applyAlignment="1">
      <alignment horizontal="left"/>
    </xf>
    <xf numFmtId="0" fontId="3" fillId="0" borderId="67" xfId="0" applyFont="1" applyBorder="1" applyAlignment="1">
      <alignment horizontal="left"/>
    </xf>
    <xf numFmtId="0" fontId="3" fillId="0" borderId="68" xfId="0" applyFont="1" applyBorder="1" applyAlignment="1">
      <alignment horizontal="left"/>
    </xf>
    <xf numFmtId="0" fontId="3" fillId="0" borderId="69" xfId="0" applyFont="1" applyBorder="1" applyAlignment="1">
      <alignment horizontal="left"/>
    </xf>
    <xf numFmtId="0" fontId="3" fillId="0" borderId="70" xfId="0" applyFont="1" applyBorder="1" applyAlignment="1">
      <alignment horizontal="left"/>
    </xf>
    <xf numFmtId="0" fontId="3" fillId="0" borderId="71" xfId="0" applyFont="1" applyBorder="1" applyAlignment="1">
      <alignment horizontal="left"/>
    </xf>
    <xf numFmtId="0" fontId="5" fillId="10" borderId="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0" borderId="41" xfId="0" applyNumberFormat="1" applyFont="1" applyFill="1" applyBorder="1" applyAlignment="1">
      <alignment horizontal="center" vertical="center"/>
    </xf>
    <xf numFmtId="6" fontId="6" fillId="0" borderId="41" xfId="0" applyNumberFormat="1" applyFont="1" applyFill="1" applyBorder="1" applyAlignment="1">
      <alignment vertical="center"/>
    </xf>
    <xf numFmtId="164" fontId="14" fillId="0" borderId="41" xfId="0" applyNumberFormat="1" applyFont="1" applyBorder="1" applyAlignment="1">
      <alignment horizontal="right" vertical="center"/>
    </xf>
    <xf numFmtId="6" fontId="6" fillId="7" borderId="41" xfId="0" applyNumberFormat="1" applyFont="1" applyFill="1" applyBorder="1" applyAlignment="1">
      <alignment vertical="center"/>
    </xf>
    <xf numFmtId="0" fontId="5" fillId="0" borderId="41" xfId="0" applyFont="1" applyFill="1" applyBorder="1" applyAlignment="1">
      <alignment horizontal="center" vertical="center"/>
    </xf>
    <xf numFmtId="6" fontId="6" fillId="11" borderId="41" xfId="0" applyNumberFormat="1" applyFont="1" applyFill="1" applyBorder="1" applyAlignment="1">
      <alignment vertical="center"/>
    </xf>
    <xf numFmtId="6" fontId="6" fillId="8" borderId="41" xfId="0" applyNumberFormat="1" applyFont="1" applyFill="1" applyBorder="1" applyAlignment="1">
      <alignment vertical="center"/>
    </xf>
    <xf numFmtId="6" fontId="6" fillId="5" borderId="41" xfId="0" applyNumberFormat="1" applyFont="1" applyFill="1"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19" xfId="0" applyBorder="1" applyAlignment="1">
      <alignment vertical="center" wrapText="1"/>
    </xf>
    <xf numFmtId="0" fontId="2" fillId="0" borderId="36"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9" xfId="0" applyFont="1" applyBorder="1" applyAlignment="1">
      <alignment horizontal="center" vertical="center" wrapText="1"/>
    </xf>
    <xf numFmtId="0" fontId="5" fillId="10" borderId="0" xfId="0" applyFont="1" applyFill="1" applyBorder="1" applyAlignment="1">
      <alignment horizontal="right" vertical="center" wrapText="1"/>
    </xf>
    <xf numFmtId="0" fontId="0" fillId="0" borderId="0" xfId="0"/>
    <xf numFmtId="0" fontId="2" fillId="0" borderId="19" xfId="0" applyFont="1" applyBorder="1" applyAlignment="1">
      <alignment horizontal="center" wrapText="1"/>
    </xf>
    <xf numFmtId="0" fontId="2" fillId="0" borderId="25" xfId="0" applyFont="1" applyBorder="1" applyAlignment="1">
      <alignment horizontal="center" wrapText="1"/>
    </xf>
    <xf numFmtId="0" fontId="0" fillId="0" borderId="19" xfId="0" applyBorder="1" applyAlignment="1">
      <alignment wrapText="1"/>
    </xf>
    <xf numFmtId="0" fontId="2" fillId="0" borderId="34" xfId="0" applyFont="1" applyBorder="1" applyAlignment="1">
      <alignment horizontal="center" wrapText="1"/>
    </xf>
    <xf numFmtId="0" fontId="2" fillId="0" borderId="36" xfId="0" applyFont="1" applyBorder="1" applyAlignment="1">
      <alignment horizontal="center" wrapText="1"/>
    </xf>
    <xf numFmtId="164" fontId="18" fillId="0" borderId="23" xfId="0" applyNumberFormat="1" applyFont="1" applyBorder="1" applyAlignment="1" applyProtection="1">
      <alignment vertical="center"/>
      <protection hidden="1"/>
    </xf>
    <xf numFmtId="164" fontId="0" fillId="0" borderId="0" xfId="0" applyNumberFormat="1" applyProtection="1">
      <protection locked="0" hidden="1"/>
    </xf>
    <xf numFmtId="164" fontId="0" fillId="0" borderId="46" xfId="0" applyNumberFormat="1" applyBorder="1"/>
    <xf numFmtId="6" fontId="6" fillId="4" borderId="41" xfId="0" applyNumberFormat="1" applyFont="1" applyFill="1" applyBorder="1" applyAlignment="1">
      <alignment horizontal="right" vertical="center"/>
    </xf>
    <xf numFmtId="6" fontId="6" fillId="4" borderId="41" xfId="0" applyNumberFormat="1" applyFont="1" applyFill="1" applyBorder="1" applyAlignment="1">
      <alignment vertical="center"/>
    </xf>
    <xf numFmtId="6" fontId="6" fillId="13" borderId="54" xfId="0" applyNumberFormat="1" applyFont="1" applyFill="1" applyBorder="1" applyAlignment="1">
      <alignment vertical="center" wrapText="1"/>
    </xf>
    <xf numFmtId="6" fontId="6" fillId="9" borderId="41" xfId="0" applyNumberFormat="1" applyFont="1" applyFill="1" applyBorder="1" applyAlignment="1">
      <alignment vertical="center"/>
    </xf>
    <xf numFmtId="0" fontId="0" fillId="0" borderId="0" xfId="0" applyFont="1"/>
    <xf numFmtId="6" fontId="5" fillId="14" borderId="41" xfId="0" applyNumberFormat="1" applyFont="1" applyFill="1" applyBorder="1" applyAlignment="1">
      <alignment vertical="center"/>
    </xf>
    <xf numFmtId="6" fontId="5" fillId="14" borderId="40" xfId="0" applyNumberFormat="1" applyFont="1" applyFill="1" applyBorder="1" applyAlignment="1">
      <alignment vertical="center"/>
    </xf>
    <xf numFmtId="0" fontId="1" fillId="0" borderId="0" xfId="0" applyFont="1"/>
    <xf numFmtId="164" fontId="0" fillId="0" borderId="37" xfId="0" applyNumberFormat="1" applyFill="1" applyBorder="1"/>
    <xf numFmtId="0" fontId="0" fillId="0" borderId="60" xfId="0" applyBorder="1" applyAlignment="1">
      <alignment wrapText="1"/>
    </xf>
    <xf numFmtId="164" fontId="0" fillId="0" borderId="59" xfId="0" applyNumberFormat="1" applyBorder="1" applyAlignment="1">
      <alignment vertical="center" wrapText="1"/>
    </xf>
    <xf numFmtId="164" fontId="6" fillId="0" borderId="79" xfId="0" applyNumberFormat="1" applyFont="1" applyBorder="1"/>
    <xf numFmtId="164" fontId="6" fillId="0" borderId="41" xfId="0" applyNumberFormat="1" applyFont="1" applyFill="1" applyBorder="1" applyAlignment="1">
      <alignment horizontal="right" vertical="center"/>
    </xf>
    <xf numFmtId="0" fontId="2" fillId="0" borderId="81" xfId="0" applyFont="1" applyBorder="1" applyAlignment="1">
      <alignment horizontal="center" wrapText="1"/>
    </xf>
    <xf numFmtId="0" fontId="2" fillId="0" borderId="82" xfId="0" applyFont="1" applyBorder="1" applyAlignment="1">
      <alignment horizontal="center" wrapText="1"/>
    </xf>
    <xf numFmtId="0" fontId="2" fillId="0" borderId="83" xfId="0" applyFont="1" applyBorder="1" applyAlignment="1">
      <alignment horizontal="center" wrapText="1"/>
    </xf>
    <xf numFmtId="0" fontId="0" fillId="0" borderId="23" xfId="0" applyFill="1" applyBorder="1" applyAlignment="1">
      <alignment vertical="center" wrapText="1"/>
    </xf>
    <xf numFmtId="164" fontId="0" fillId="0" borderId="37" xfId="14" applyNumberFormat="1" applyFont="1" applyBorder="1" applyAlignment="1">
      <alignment vertical="center"/>
    </xf>
    <xf numFmtId="164" fontId="0" fillId="0" borderId="35" xfId="14" applyNumberFormat="1" applyFont="1" applyBorder="1" applyAlignment="1">
      <alignment vertical="center"/>
    </xf>
    <xf numFmtId="164" fontId="0" fillId="0" borderId="17" xfId="14" applyNumberFormat="1" applyFont="1" applyBorder="1" applyAlignment="1">
      <alignment vertical="center"/>
    </xf>
    <xf numFmtId="164" fontId="0" fillId="0" borderId="23" xfId="0" applyNumberFormat="1" applyFont="1" applyBorder="1" applyAlignment="1">
      <alignment vertical="center" wrapText="1"/>
    </xf>
    <xf numFmtId="0" fontId="0" fillId="0" borderId="38" xfId="0" applyBorder="1" applyAlignment="1">
      <alignment vertical="center"/>
    </xf>
    <xf numFmtId="0" fontId="0" fillId="0" borderId="39" xfId="0" applyBorder="1" applyAlignment="1">
      <alignment vertical="center"/>
    </xf>
    <xf numFmtId="164" fontId="4" fillId="0" borderId="51" xfId="14" applyNumberFormat="1" applyFont="1" applyBorder="1" applyAlignment="1">
      <alignment vertical="center"/>
    </xf>
    <xf numFmtId="164" fontId="4" fillId="0" borderId="45" xfId="14" applyNumberFormat="1" applyFont="1" applyBorder="1" applyAlignment="1">
      <alignment vertical="center"/>
    </xf>
    <xf numFmtId="164" fontId="4" fillId="0" borderId="53" xfId="14" applyNumberFormat="1" applyFont="1" applyBorder="1" applyAlignment="1">
      <alignment vertical="center"/>
    </xf>
    <xf numFmtId="164" fontId="4" fillId="0" borderId="44" xfId="14" applyNumberFormat="1" applyFont="1" applyBorder="1" applyAlignment="1">
      <alignment vertical="center"/>
    </xf>
    <xf numFmtId="6" fontId="6" fillId="4" borderId="40" xfId="0" applyNumberFormat="1" applyFont="1" applyFill="1" applyBorder="1" applyAlignment="1">
      <alignment horizontal="right" vertical="center"/>
    </xf>
    <xf numFmtId="6" fontId="6" fillId="4" borderId="40" xfId="0" applyNumberFormat="1" applyFont="1" applyFill="1" applyBorder="1" applyAlignment="1">
      <alignment vertical="center"/>
    </xf>
    <xf numFmtId="0" fontId="6" fillId="0" borderId="0" xfId="0" applyFont="1" applyBorder="1"/>
    <xf numFmtId="0" fontId="0" fillId="0" borderId="0" xfId="0"/>
    <xf numFmtId="0" fontId="0" fillId="0" borderId="11" xfId="0" applyBorder="1"/>
    <xf numFmtId="0" fontId="0" fillId="0" borderId="19" xfId="0" applyBorder="1"/>
    <xf numFmtId="0" fontId="0" fillId="0" borderId="24" xfId="0" applyBorder="1"/>
    <xf numFmtId="0" fontId="0" fillId="0" borderId="6" xfId="0" applyBorder="1"/>
    <xf numFmtId="0" fontId="2" fillId="0" borderId="25" xfId="0" applyFont="1" applyBorder="1" applyAlignment="1">
      <alignment horizontal="center" wrapText="1"/>
    </xf>
    <xf numFmtId="0" fontId="0" fillId="0" borderId="19" xfId="0" applyBorder="1" applyAlignment="1">
      <alignment wrapText="1"/>
    </xf>
    <xf numFmtId="0" fontId="2" fillId="0" borderId="34" xfId="0" applyFont="1" applyBorder="1" applyAlignment="1">
      <alignment horizontal="center" wrapText="1"/>
    </xf>
    <xf numFmtId="0" fontId="2" fillId="0" borderId="36" xfId="0" applyFont="1" applyBorder="1" applyAlignment="1">
      <alignment horizontal="center" wrapText="1"/>
    </xf>
    <xf numFmtId="164" fontId="3" fillId="0" borderId="13" xfId="0" applyNumberFormat="1" applyFont="1" applyBorder="1" applyAlignment="1">
      <alignment horizontal="center"/>
    </xf>
    <xf numFmtId="0" fontId="6" fillId="0" borderId="23" xfId="0" applyFont="1" applyBorder="1"/>
    <xf numFmtId="0" fontId="0" fillId="0" borderId="0" xfId="0" applyBorder="1"/>
    <xf numFmtId="164" fontId="0" fillId="0" borderId="0" xfId="0" applyNumberFormat="1" applyBorder="1"/>
    <xf numFmtId="0" fontId="6" fillId="0" borderId="23" xfId="0" applyFont="1" applyFill="1" applyBorder="1"/>
    <xf numFmtId="164" fontId="6" fillId="5" borderId="41" xfId="0" applyNumberFormat="1" applyFont="1" applyFill="1" applyBorder="1" applyAlignment="1">
      <alignment horizontal="right" vertical="center"/>
    </xf>
    <xf numFmtId="0" fontId="6" fillId="0" borderId="0" xfId="0" applyFont="1"/>
    <xf numFmtId="0" fontId="0" fillId="0" borderId="20" xfId="0" applyBorder="1"/>
    <xf numFmtId="0" fontId="0" fillId="0" borderId="23" xfId="0" applyBorder="1"/>
    <xf numFmtId="0" fontId="0" fillId="0" borderId="23" xfId="0" applyFill="1" applyBorder="1"/>
    <xf numFmtId="164" fontId="0" fillId="0" borderId="37" xfId="0" applyNumberFormat="1" applyBorder="1"/>
    <xf numFmtId="164" fontId="0" fillId="0" borderId="35" xfId="0" applyNumberFormat="1" applyBorder="1"/>
    <xf numFmtId="164" fontId="0" fillId="0" borderId="17" xfId="0" applyNumberFormat="1" applyBorder="1"/>
    <xf numFmtId="164" fontId="0" fillId="0" borderId="48" xfId="0" applyNumberFormat="1" applyBorder="1"/>
    <xf numFmtId="164" fontId="0" fillId="0" borderId="49" xfId="0" applyNumberFormat="1" applyBorder="1"/>
    <xf numFmtId="164" fontId="0" fillId="0" borderId="50" xfId="0" applyNumberFormat="1" applyBorder="1"/>
    <xf numFmtId="164" fontId="0" fillId="0" borderId="0" xfId="0" applyNumberFormat="1"/>
    <xf numFmtId="0" fontId="1" fillId="0" borderId="6" xfId="0" applyFont="1" applyBorder="1"/>
    <xf numFmtId="164" fontId="4" fillId="0" borderId="8" xfId="14" applyNumberFormat="1" applyFont="1" applyBorder="1"/>
    <xf numFmtId="164" fontId="18" fillId="0" borderId="23" xfId="0" applyNumberFormat="1" applyFont="1" applyBorder="1"/>
    <xf numFmtId="164" fontId="18" fillId="0" borderId="20" xfId="0" applyNumberFormat="1" applyFont="1" applyBorder="1"/>
    <xf numFmtId="164" fontId="6" fillId="0" borderId="75" xfId="0" applyNumberFormat="1" applyFont="1" applyBorder="1"/>
    <xf numFmtId="164" fontId="0" fillId="0" borderId="23" xfId="0" applyNumberFormat="1" applyFont="1" applyFill="1" applyBorder="1" applyAlignment="1" applyProtection="1">
      <alignment vertical="center"/>
      <protection hidden="1"/>
    </xf>
    <xf numFmtId="164" fontId="0" fillId="0" borderId="23" xfId="0" applyNumberFormat="1" applyFont="1" applyBorder="1" applyAlignment="1" applyProtection="1">
      <alignment vertical="center"/>
      <protection hidden="1"/>
    </xf>
    <xf numFmtId="164" fontId="0" fillId="0" borderId="23" xfId="0" applyNumberFormat="1" applyFont="1" applyBorder="1"/>
    <xf numFmtId="0" fontId="5" fillId="0" borderId="40" xfId="0" applyFont="1" applyFill="1" applyBorder="1" applyAlignment="1">
      <alignment horizontal="center" vertical="center"/>
    </xf>
    <xf numFmtId="6" fontId="6" fillId="12" borderId="40" xfId="0" applyNumberFormat="1" applyFont="1" applyFill="1" applyBorder="1" applyAlignment="1">
      <alignment vertical="center"/>
    </xf>
    <xf numFmtId="0" fontId="5" fillId="10" borderId="89" xfId="0" applyFont="1" applyFill="1" applyBorder="1" applyAlignment="1">
      <alignment horizontal="center" vertical="center" wrapText="1"/>
    </xf>
    <xf numFmtId="0" fontId="6" fillId="10" borderId="89" xfId="0" applyFont="1" applyFill="1" applyBorder="1" applyAlignment="1">
      <alignment horizontal="center" vertical="center" wrapText="1"/>
    </xf>
    <xf numFmtId="0" fontId="5" fillId="10" borderId="90" xfId="0" applyFont="1" applyFill="1" applyBorder="1" applyAlignment="1">
      <alignment horizontal="center" vertical="center" wrapText="1"/>
    </xf>
    <xf numFmtId="0" fontId="5" fillId="10" borderId="51" xfId="0" applyFont="1" applyFill="1" applyBorder="1" applyAlignment="1">
      <alignment horizontal="center" vertical="center" wrapText="1"/>
    </xf>
    <xf numFmtId="0" fontId="5" fillId="10" borderId="45" xfId="0" applyFont="1" applyFill="1" applyBorder="1" applyAlignment="1">
      <alignment horizontal="center" vertical="center" wrapText="1"/>
    </xf>
    <xf numFmtId="0" fontId="5" fillId="10" borderId="42"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10" borderId="43" xfId="0" applyFont="1" applyFill="1" applyBorder="1" applyAlignment="1">
      <alignment horizontal="center" vertical="center" wrapText="1"/>
    </xf>
    <xf numFmtId="0" fontId="13" fillId="10" borderId="6" xfId="0" applyFont="1" applyFill="1" applyBorder="1" applyAlignment="1">
      <alignment horizontal="left" vertical="center" wrapText="1"/>
    </xf>
    <xf numFmtId="0" fontId="5" fillId="10" borderId="10" xfId="0" applyFont="1" applyFill="1" applyBorder="1" applyAlignment="1">
      <alignment horizontal="center" vertical="center" wrapText="1"/>
    </xf>
    <xf numFmtId="0" fontId="6" fillId="0" borderId="91" xfId="0" applyFont="1" applyFill="1" applyBorder="1" applyAlignment="1">
      <alignment vertical="center" wrapText="1"/>
    </xf>
    <xf numFmtId="0" fontId="13" fillId="10" borderId="95" xfId="0" applyFont="1" applyFill="1" applyBorder="1" applyAlignment="1">
      <alignment horizontal="left" vertical="center" wrapText="1"/>
    </xf>
    <xf numFmtId="0" fontId="5" fillId="10" borderId="96" xfId="0" applyFont="1" applyFill="1" applyBorder="1" applyAlignment="1">
      <alignment horizontal="center" vertical="center" wrapText="1"/>
    </xf>
    <xf numFmtId="0" fontId="13" fillId="0" borderId="98" xfId="0" applyFont="1" applyBorder="1" applyAlignment="1">
      <alignment vertical="center" wrapText="1"/>
    </xf>
    <xf numFmtId="0" fontId="5" fillId="0" borderId="99" xfId="0" applyFont="1" applyBorder="1" applyAlignment="1">
      <alignment vertical="center"/>
    </xf>
    <xf numFmtId="164" fontId="5" fillId="0" borderId="99" xfId="0" applyNumberFormat="1" applyFont="1" applyBorder="1" applyAlignment="1">
      <alignment vertical="center"/>
    </xf>
    <xf numFmtId="0" fontId="6" fillId="0" borderId="44" xfId="0" applyFont="1" applyBorder="1" applyAlignment="1">
      <alignment vertical="center"/>
    </xf>
    <xf numFmtId="0" fontId="6" fillId="0" borderId="0" xfId="0" applyFont="1" applyAlignment="1">
      <alignment vertical="center"/>
    </xf>
    <xf numFmtId="164" fontId="6" fillId="0" borderId="37" xfId="13" applyNumberFormat="1" applyFont="1" applyFill="1" applyBorder="1" applyAlignment="1">
      <alignment vertical="center"/>
    </xf>
    <xf numFmtId="164" fontId="6" fillId="0" borderId="35" xfId="0" applyNumberFormat="1" applyFont="1" applyFill="1" applyBorder="1" applyAlignment="1">
      <alignment vertical="center"/>
    </xf>
    <xf numFmtId="164" fontId="6" fillId="0" borderId="17" xfId="0" applyNumberFormat="1" applyFont="1" applyFill="1" applyBorder="1" applyAlignment="1">
      <alignment vertical="center"/>
    </xf>
    <xf numFmtId="164" fontId="6" fillId="0" borderId="37" xfId="13" applyNumberFormat="1" applyFont="1" applyBorder="1" applyAlignment="1">
      <alignment vertical="center"/>
    </xf>
    <xf numFmtId="164" fontId="6" fillId="0" borderId="35" xfId="0" applyNumberFormat="1" applyFont="1" applyBorder="1" applyAlignment="1">
      <alignment vertical="center"/>
    </xf>
    <xf numFmtId="164" fontId="6" fillId="0" borderId="51" xfId="13" applyNumberFormat="1" applyFont="1" applyBorder="1" applyAlignment="1">
      <alignment vertical="center"/>
    </xf>
    <xf numFmtId="164" fontId="6" fillId="0" borderId="29" xfId="0" applyNumberFormat="1" applyFont="1" applyBorder="1" applyAlignment="1">
      <alignment vertical="center"/>
    </xf>
    <xf numFmtId="164" fontId="6" fillId="0" borderId="8" xfId="0" applyNumberFormat="1" applyFont="1" applyBorder="1" applyAlignment="1">
      <alignment vertical="center"/>
    </xf>
    <xf numFmtId="164" fontId="6" fillId="0" borderId="44" xfId="0" applyNumberFormat="1" applyFont="1" applyBorder="1" applyAlignment="1">
      <alignment vertical="center"/>
    </xf>
    <xf numFmtId="164" fontId="6" fillId="0" borderId="0" xfId="0" applyNumberFormat="1" applyFont="1" applyAlignment="1">
      <alignment vertical="center"/>
    </xf>
    <xf numFmtId="38" fontId="6" fillId="0" borderId="0" xfId="0" applyNumberFormat="1" applyFont="1"/>
    <xf numFmtId="164" fontId="18" fillId="0" borderId="24" xfId="0" applyNumberFormat="1" applyFont="1" applyBorder="1"/>
    <xf numFmtId="164" fontId="0" fillId="0" borderId="0" xfId="0" applyNumberFormat="1" applyBorder="1" applyAlignment="1">
      <alignment vertical="center"/>
    </xf>
    <xf numFmtId="0" fontId="0" fillId="0" borderId="23" xfId="0" applyBorder="1" applyAlignment="1">
      <alignment vertical="center" wrapText="1"/>
    </xf>
    <xf numFmtId="0" fontId="0" fillId="0" borderId="24" xfId="0" applyBorder="1" applyAlignment="1">
      <alignment vertical="center" wrapText="1"/>
    </xf>
    <xf numFmtId="0" fontId="0" fillId="0" borderId="6" xfId="0" applyBorder="1" applyAlignment="1">
      <alignment vertical="center" wrapText="1"/>
    </xf>
    <xf numFmtId="164" fontId="18" fillId="0" borderId="23" xfId="0" applyNumberFormat="1" applyFont="1" applyFill="1" applyBorder="1" applyAlignment="1">
      <alignment vertical="center"/>
    </xf>
    <xf numFmtId="0" fontId="0" fillId="0" borderId="0" xfId="0" applyAlignment="1">
      <alignment vertical="center" wrapText="1"/>
    </xf>
    <xf numFmtId="164" fontId="14" fillId="0" borderId="24" xfId="0" applyNumberFormat="1" applyFont="1" applyBorder="1" applyAlignment="1" applyProtection="1">
      <alignment vertical="center"/>
      <protection hidden="1"/>
    </xf>
    <xf numFmtId="164" fontId="0" fillId="0" borderId="0" xfId="0" applyNumberFormat="1" applyAlignment="1" applyProtection="1">
      <alignment horizontal="center"/>
      <protection locked="0" hidden="1"/>
    </xf>
    <xf numFmtId="164" fontId="0" fillId="0" borderId="9" xfId="0" applyNumberFormat="1" applyFill="1" applyBorder="1" applyAlignment="1" applyProtection="1">
      <alignment horizontal="center"/>
      <protection locked="0" hidden="1"/>
    </xf>
    <xf numFmtId="3" fontId="0" fillId="0" borderId="0" xfId="0" applyNumberFormat="1" applyAlignment="1">
      <alignment horizontal="center"/>
    </xf>
    <xf numFmtId="164" fontId="6" fillId="0" borderId="0" xfId="0" applyNumberFormat="1" applyFont="1" applyBorder="1" applyAlignment="1">
      <alignment horizontal="center"/>
    </xf>
    <xf numFmtId="164" fontId="0" fillId="0" borderId="0" xfId="0" applyNumberFormat="1" applyBorder="1" applyAlignment="1">
      <alignment horizontal="center"/>
    </xf>
    <xf numFmtId="164" fontId="6" fillId="0" borderId="87" xfId="0" applyNumberFormat="1" applyFont="1" applyBorder="1"/>
    <xf numFmtId="164" fontId="18" fillId="0" borderId="23" xfId="0" applyNumberFormat="1" applyFont="1" applyBorder="1" applyAlignment="1">
      <alignment horizontal="right"/>
    </xf>
    <xf numFmtId="0" fontId="14" fillId="0" borderId="79" xfId="0" applyFont="1" applyBorder="1" applyAlignment="1">
      <alignment horizontal="center" vertical="center"/>
    </xf>
    <xf numFmtId="0" fontId="16" fillId="0" borderId="79" xfId="0" applyFont="1" applyBorder="1" applyAlignment="1">
      <alignment horizontal="center" vertical="center"/>
    </xf>
    <xf numFmtId="0" fontId="16" fillId="0" borderId="79" xfId="0" applyFont="1" applyFill="1" applyBorder="1" applyAlignment="1">
      <alignment horizontal="center" vertical="center"/>
    </xf>
    <xf numFmtId="164" fontId="16" fillId="0" borderId="79" xfId="14" applyNumberFormat="1" applyFont="1" applyBorder="1" applyAlignment="1">
      <alignment horizontal="center" vertical="center"/>
    </xf>
    <xf numFmtId="164" fontId="14" fillId="0" borderId="79" xfId="0" applyNumberFormat="1" applyFont="1" applyBorder="1" applyAlignment="1">
      <alignment horizontal="center" vertical="center"/>
    </xf>
    <xf numFmtId="1" fontId="14" fillId="0" borderId="80" xfId="0" applyNumberFormat="1" applyFont="1" applyBorder="1" applyAlignment="1">
      <alignment horizontal="center" vertical="center"/>
    </xf>
    <xf numFmtId="6" fontId="0" fillId="0" borderId="0" xfId="0" applyNumberFormat="1" applyAlignment="1">
      <alignment horizontal="center"/>
    </xf>
    <xf numFmtId="0" fontId="6" fillId="0" borderId="0" xfId="0" applyFont="1" applyBorder="1" applyAlignment="1">
      <alignment horizontal="center"/>
    </xf>
    <xf numFmtId="0" fontId="6" fillId="0" borderId="0" xfId="0" applyFont="1" applyAlignment="1">
      <alignment horizontal="center"/>
    </xf>
    <xf numFmtId="6" fontId="6" fillId="0" borderId="0" xfId="0" applyNumberFormat="1" applyFont="1" applyAlignment="1">
      <alignment horizontal="center"/>
    </xf>
    <xf numFmtId="6" fontId="0" fillId="0" borderId="106" xfId="0" applyNumberFormat="1" applyBorder="1" applyAlignment="1">
      <alignment horizontal="center"/>
    </xf>
    <xf numFmtId="6" fontId="6" fillId="0" borderId="10" xfId="0" applyNumberFormat="1" applyFont="1" applyFill="1" applyBorder="1" applyAlignment="1">
      <alignment horizontal="right" vertical="center"/>
    </xf>
    <xf numFmtId="6" fontId="6" fillId="6" borderId="41" xfId="0" applyNumberFormat="1" applyFont="1" applyFill="1" applyBorder="1" applyAlignment="1">
      <alignment vertical="center"/>
    </xf>
    <xf numFmtId="0" fontId="6" fillId="2" borderId="62" xfId="0" applyNumberFormat="1" applyFont="1" applyFill="1" applyBorder="1" applyAlignment="1">
      <alignment vertical="center"/>
    </xf>
    <xf numFmtId="6" fontId="6" fillId="6" borderId="40" xfId="0" applyNumberFormat="1" applyFont="1" applyFill="1" applyBorder="1" applyAlignment="1">
      <alignment vertical="center"/>
    </xf>
    <xf numFmtId="0" fontId="6" fillId="0" borderId="62" xfId="0" applyFont="1" applyFill="1" applyBorder="1" applyAlignment="1">
      <alignment vertical="center"/>
    </xf>
    <xf numFmtId="0" fontId="14" fillId="0" borderId="12" xfId="0" applyFont="1" applyFill="1" applyBorder="1" applyAlignment="1">
      <alignment vertical="center"/>
    </xf>
    <xf numFmtId="0" fontId="6" fillId="2" borderId="62" xfId="0" applyFont="1" applyFill="1" applyBorder="1" applyAlignment="1">
      <alignment vertical="center"/>
    </xf>
    <xf numFmtId="0" fontId="6" fillId="2" borderId="63" xfId="0" applyNumberFormat="1" applyFont="1" applyFill="1" applyBorder="1" applyAlignment="1">
      <alignment vertical="center"/>
    </xf>
    <xf numFmtId="0" fontId="15" fillId="2" borderId="62" xfId="0" applyNumberFormat="1" applyFont="1" applyFill="1" applyBorder="1" applyAlignment="1">
      <alignment vertical="center"/>
    </xf>
    <xf numFmtId="0" fontId="7" fillId="0" borderId="62" xfId="0" applyFont="1" applyFill="1" applyBorder="1" applyAlignment="1">
      <alignment vertical="center"/>
    </xf>
    <xf numFmtId="0" fontId="6" fillId="2" borderId="0" xfId="0" applyFont="1" applyFill="1" applyBorder="1" applyAlignment="1">
      <alignment vertical="center"/>
    </xf>
    <xf numFmtId="0" fontId="6" fillId="2" borderId="40" xfId="0" applyFont="1" applyFill="1" applyBorder="1" applyAlignment="1">
      <alignment vertical="center"/>
    </xf>
    <xf numFmtId="164" fontId="0" fillId="0" borderId="0" xfId="0" applyNumberFormat="1" applyAlignment="1">
      <alignment vertical="center"/>
    </xf>
    <xf numFmtId="0" fontId="5" fillId="15" borderId="108" xfId="0" applyFont="1" applyFill="1" applyBorder="1" applyAlignment="1">
      <alignment vertical="center" wrapText="1"/>
    </xf>
    <xf numFmtId="6" fontId="6" fillId="15" borderId="40" xfId="0" applyNumberFormat="1" applyFont="1" applyFill="1" applyBorder="1" applyAlignment="1">
      <alignment vertical="center" wrapText="1"/>
    </xf>
    <xf numFmtId="6" fontId="6" fillId="15" borderId="40" xfId="0" applyNumberFormat="1" applyFont="1" applyFill="1" applyBorder="1" applyAlignment="1">
      <alignment vertical="center"/>
    </xf>
    <xf numFmtId="6" fontId="6" fillId="6" borderId="41" xfId="0" applyNumberFormat="1" applyFont="1" applyFill="1" applyBorder="1" applyAlignment="1">
      <alignment horizontal="right" vertical="center"/>
    </xf>
    <xf numFmtId="0" fontId="5" fillId="9" borderId="91" xfId="0" applyFont="1" applyFill="1" applyBorder="1" applyAlignment="1">
      <alignment vertical="center" wrapText="1"/>
    </xf>
    <xf numFmtId="6" fontId="6" fillId="9" borderId="40" xfId="0" applyNumberFormat="1" applyFont="1" applyFill="1" applyBorder="1" applyAlignment="1">
      <alignment vertical="center" wrapText="1"/>
    </xf>
    <xf numFmtId="6" fontId="6" fillId="9" borderId="40" xfId="0" applyNumberFormat="1" applyFont="1" applyFill="1" applyBorder="1" applyAlignment="1">
      <alignment vertical="center"/>
    </xf>
    <xf numFmtId="0" fontId="14" fillId="0" borderId="91" xfId="0" applyFont="1" applyFill="1" applyBorder="1" applyAlignment="1">
      <alignment vertical="center" wrapText="1"/>
    </xf>
    <xf numFmtId="0" fontId="16" fillId="0" borderId="41" xfId="0" applyFont="1" applyFill="1" applyBorder="1" applyAlignment="1">
      <alignment horizontal="center" vertical="center"/>
    </xf>
    <xf numFmtId="6" fontId="14" fillId="5" borderId="41" xfId="0" applyNumberFormat="1" applyFont="1" applyFill="1" applyBorder="1" applyAlignment="1">
      <alignment vertical="center"/>
    </xf>
    <xf numFmtId="6" fontId="14" fillId="6" borderId="40" xfId="0" applyNumberFormat="1" applyFont="1" applyFill="1" applyBorder="1" applyAlignment="1">
      <alignment vertical="center"/>
    </xf>
    <xf numFmtId="0" fontId="14" fillId="0" borderId="62" xfId="0" applyFont="1" applyFill="1" applyBorder="1" applyAlignment="1">
      <alignment vertical="center"/>
    </xf>
    <xf numFmtId="0" fontId="18" fillId="0" borderId="0" xfId="0" applyFont="1" applyAlignment="1">
      <alignment vertical="center"/>
    </xf>
    <xf numFmtId="164" fontId="18" fillId="0" borderId="0" xfId="0" applyNumberFormat="1" applyFont="1" applyAlignment="1">
      <alignment vertical="center"/>
    </xf>
    <xf numFmtId="0" fontId="15" fillId="2" borderId="62" xfId="0" applyNumberFormat="1" applyFont="1" applyFill="1" applyBorder="1" applyAlignment="1">
      <alignment horizontal="right" vertical="center"/>
    </xf>
    <xf numFmtId="6" fontId="3" fillId="0" borderId="70" xfId="0" applyNumberFormat="1" applyFont="1" applyBorder="1" applyAlignment="1">
      <alignment horizontal="left"/>
    </xf>
    <xf numFmtId="6" fontId="3" fillId="0" borderId="11" xfId="0" applyNumberFormat="1" applyFont="1" applyBorder="1" applyAlignment="1">
      <alignment horizontal="left"/>
    </xf>
    <xf numFmtId="6" fontId="6" fillId="12" borderId="41" xfId="0" applyNumberFormat="1" applyFont="1" applyFill="1" applyBorder="1" applyAlignment="1">
      <alignment vertical="center"/>
    </xf>
    <xf numFmtId="0" fontId="0" fillId="0" borderId="19" xfId="0" applyFont="1" applyBorder="1" applyAlignment="1">
      <alignment wrapText="1"/>
    </xf>
    <xf numFmtId="6" fontId="6" fillId="12" borderId="41" xfId="0" applyNumberFormat="1" applyFont="1" applyFill="1" applyBorder="1" applyAlignment="1">
      <alignment horizontal="right" vertical="center"/>
    </xf>
    <xf numFmtId="0" fontId="5" fillId="0" borderId="41" xfId="0" quotePrefix="1" applyFont="1" applyFill="1" applyBorder="1" applyAlignment="1">
      <alignment horizontal="center" vertical="center"/>
    </xf>
    <xf numFmtId="0" fontId="5" fillId="7" borderId="91" xfId="0" applyFont="1" applyFill="1" applyBorder="1" applyAlignment="1">
      <alignment vertical="center" wrapText="1"/>
    </xf>
    <xf numFmtId="6" fontId="6" fillId="7" borderId="41" xfId="0" applyNumberFormat="1" applyFont="1" applyFill="1" applyBorder="1" applyAlignment="1">
      <alignment vertical="center" wrapText="1"/>
    </xf>
    <xf numFmtId="164" fontId="0" fillId="0" borderId="48" xfId="14" applyNumberFormat="1" applyFont="1" applyBorder="1"/>
    <xf numFmtId="164" fontId="0" fillId="0" borderId="49" xfId="14" applyNumberFormat="1" applyFont="1" applyBorder="1"/>
    <xf numFmtId="164" fontId="18" fillId="0" borderId="24" xfId="0" applyNumberFormat="1" applyFont="1" applyBorder="1" applyAlignment="1">
      <alignment horizontal="right"/>
    </xf>
    <xf numFmtId="6" fontId="6" fillId="15" borderId="41" xfId="0" applyNumberFormat="1" applyFont="1" applyFill="1" applyBorder="1" applyAlignment="1">
      <alignment vertical="center"/>
    </xf>
    <xf numFmtId="6" fontId="6" fillId="17" borderId="41" xfId="0" applyNumberFormat="1" applyFont="1" applyFill="1" applyBorder="1" applyAlignment="1">
      <alignment vertical="center"/>
    </xf>
    <xf numFmtId="6" fontId="6" fillId="19" borderId="41" xfId="0" applyNumberFormat="1" applyFont="1" applyFill="1" applyBorder="1" applyAlignment="1">
      <alignment vertical="center"/>
    </xf>
    <xf numFmtId="6" fontId="6" fillId="20" borderId="41" xfId="0" applyNumberFormat="1" applyFont="1" applyFill="1" applyBorder="1" applyAlignment="1">
      <alignment vertical="center"/>
    </xf>
    <xf numFmtId="0" fontId="5" fillId="20" borderId="91" xfId="0" applyFont="1" applyFill="1" applyBorder="1" applyAlignment="1">
      <alignment vertical="center" wrapText="1"/>
    </xf>
    <xf numFmtId="6" fontId="6" fillId="20" borderId="41" xfId="0" applyNumberFormat="1" applyFont="1" applyFill="1" applyBorder="1" applyAlignment="1">
      <alignment vertical="center" wrapText="1"/>
    </xf>
    <xf numFmtId="6" fontId="14" fillId="0" borderId="41" xfId="0" applyNumberFormat="1" applyFont="1" applyFill="1" applyBorder="1" applyAlignment="1">
      <alignment vertical="center"/>
    </xf>
    <xf numFmtId="6" fontId="14" fillId="6" borderId="41" xfId="0" applyNumberFormat="1" applyFont="1" applyFill="1" applyBorder="1" applyAlignment="1">
      <alignment vertical="center"/>
    </xf>
    <xf numFmtId="0" fontId="14" fillId="2" borderId="62" xfId="0" applyFont="1" applyFill="1" applyBorder="1" applyAlignment="1">
      <alignment vertical="center"/>
    </xf>
    <xf numFmtId="6" fontId="16" fillId="14" borderId="41" xfId="0" applyNumberFormat="1" applyFont="1" applyFill="1" applyBorder="1" applyAlignment="1">
      <alignment vertical="center"/>
    </xf>
    <xf numFmtId="6" fontId="6" fillId="0" borderId="41" xfId="0" applyNumberFormat="1" applyFont="1" applyFill="1" applyBorder="1" applyAlignment="1">
      <alignment vertical="center" wrapText="1"/>
    </xf>
    <xf numFmtId="6" fontId="6" fillId="19" borderId="54" xfId="0" applyNumberFormat="1" applyFont="1" applyFill="1" applyBorder="1" applyAlignment="1">
      <alignment vertical="center" wrapText="1"/>
    </xf>
    <xf numFmtId="0" fontId="5" fillId="17" borderId="91" xfId="0" applyFont="1" applyFill="1" applyBorder="1" applyAlignment="1">
      <alignment vertical="center" wrapText="1"/>
    </xf>
    <xf numFmtId="6" fontId="6" fillId="17" borderId="41" xfId="0" applyNumberFormat="1" applyFont="1" applyFill="1" applyBorder="1" applyAlignment="1">
      <alignment vertical="center" wrapText="1"/>
    </xf>
    <xf numFmtId="6" fontId="14" fillId="20" borderId="41" xfId="0" applyNumberFormat="1" applyFont="1" applyFill="1" applyBorder="1" applyAlignment="1">
      <alignment vertical="center"/>
    </xf>
    <xf numFmtId="6" fontId="6" fillId="16" borderId="54" xfId="0" applyNumberFormat="1" applyFont="1" applyFill="1" applyBorder="1" applyAlignment="1">
      <alignment vertical="center" wrapText="1"/>
    </xf>
    <xf numFmtId="6" fontId="6" fillId="3" borderId="54" xfId="0" applyNumberFormat="1" applyFont="1" applyFill="1" applyBorder="1" applyAlignment="1">
      <alignment vertical="center" wrapText="1"/>
    </xf>
    <xf numFmtId="6" fontId="6" fillId="21" borderId="41" xfId="0" applyNumberFormat="1" applyFont="1" applyFill="1" applyBorder="1" applyAlignment="1">
      <alignment vertical="center"/>
    </xf>
    <xf numFmtId="6" fontId="5" fillId="19" borderId="54" xfId="0" applyNumberFormat="1" applyFont="1" applyFill="1" applyBorder="1" applyAlignment="1">
      <alignment vertical="center" wrapText="1"/>
    </xf>
    <xf numFmtId="164" fontId="5" fillId="0" borderId="99" xfId="0" applyNumberFormat="1" applyFont="1" applyFill="1" applyBorder="1" applyAlignment="1">
      <alignment vertical="center"/>
    </xf>
    <xf numFmtId="0" fontId="16" fillId="0" borderId="41" xfId="0" quotePrefix="1" applyFont="1" applyFill="1" applyBorder="1" applyAlignment="1">
      <alignment horizontal="center" vertical="center"/>
    </xf>
    <xf numFmtId="6" fontId="14" fillId="6" borderId="41" xfId="0" applyNumberFormat="1" applyFont="1" applyFill="1" applyBorder="1" applyAlignment="1">
      <alignment horizontal="right" vertical="center"/>
    </xf>
    <xf numFmtId="6" fontId="16" fillId="14" borderId="40" xfId="0" applyNumberFormat="1" applyFont="1" applyFill="1" applyBorder="1" applyAlignment="1">
      <alignment vertical="center"/>
    </xf>
    <xf numFmtId="6" fontId="0" fillId="0" borderId="0" xfId="0" applyNumberFormat="1" applyAlignment="1">
      <alignment vertical="center"/>
    </xf>
    <xf numFmtId="6" fontId="6" fillId="15" borderId="107" xfId="0" applyNumberFormat="1" applyFont="1" applyFill="1" applyBorder="1" applyAlignment="1">
      <alignment vertical="center"/>
    </xf>
    <xf numFmtId="6" fontId="13" fillId="18" borderId="109" xfId="0" applyNumberFormat="1" applyFont="1" applyFill="1" applyBorder="1" applyAlignment="1">
      <alignment vertical="center"/>
    </xf>
    <xf numFmtId="6" fontId="13" fillId="7" borderId="109" xfId="0" applyNumberFormat="1" applyFont="1" applyFill="1" applyBorder="1" applyAlignment="1">
      <alignment vertical="center"/>
    </xf>
    <xf numFmtId="6" fontId="13" fillId="16" borderId="109" xfId="0" applyNumberFormat="1" applyFont="1" applyFill="1" applyBorder="1" applyAlignment="1">
      <alignment vertical="center"/>
    </xf>
    <xf numFmtId="6" fontId="13" fillId="3" borderId="109" xfId="0" applyNumberFormat="1" applyFont="1" applyFill="1" applyBorder="1" applyAlignment="1">
      <alignment vertical="center"/>
    </xf>
    <xf numFmtId="6" fontId="13" fillId="13" borderId="109" xfId="0" applyNumberFormat="1" applyFont="1" applyFill="1" applyBorder="1" applyAlignment="1">
      <alignment vertical="center"/>
    </xf>
    <xf numFmtId="6" fontId="6" fillId="19" borderId="109" xfId="0" applyNumberFormat="1" applyFont="1" applyFill="1" applyBorder="1" applyAlignment="1">
      <alignment vertical="center"/>
    </xf>
    <xf numFmtId="6" fontId="6" fillId="0" borderId="109" xfId="0" applyNumberFormat="1" applyFont="1" applyFill="1" applyBorder="1" applyAlignment="1">
      <alignment vertical="center"/>
    </xf>
    <xf numFmtId="6" fontId="6" fillId="15" borderId="97" xfId="0" applyNumberFormat="1" applyFont="1" applyFill="1" applyBorder="1" applyAlignment="1">
      <alignment vertical="center"/>
    </xf>
    <xf numFmtId="6" fontId="6" fillId="9" borderId="97" xfId="0" applyNumberFormat="1" applyFont="1" applyFill="1" applyBorder="1" applyAlignment="1">
      <alignment vertical="center"/>
    </xf>
    <xf numFmtId="6" fontId="6" fillId="17" borderId="92" xfId="0" applyNumberFormat="1" applyFont="1" applyFill="1" applyBorder="1" applyAlignment="1">
      <alignment vertical="center" wrapText="1"/>
    </xf>
    <xf numFmtId="6" fontId="6" fillId="7" borderId="92" xfId="0" applyNumberFormat="1" applyFont="1" applyFill="1" applyBorder="1" applyAlignment="1">
      <alignment vertical="center" wrapText="1"/>
    </xf>
    <xf numFmtId="6" fontId="6" fillId="19" borderId="111" xfId="0" applyNumberFormat="1" applyFont="1" applyFill="1" applyBorder="1" applyAlignment="1">
      <alignment vertical="center" wrapText="1"/>
    </xf>
    <xf numFmtId="6" fontId="5" fillId="19" borderId="112" xfId="0" applyNumberFormat="1" applyFont="1" applyFill="1" applyBorder="1" applyAlignment="1">
      <alignment vertical="center" wrapText="1"/>
    </xf>
    <xf numFmtId="0" fontId="5" fillId="16" borderId="108" xfId="0" applyFont="1" applyFill="1" applyBorder="1" applyAlignment="1">
      <alignment vertical="center" wrapText="1"/>
    </xf>
    <xf numFmtId="6" fontId="6" fillId="16" borderId="40" xfId="0" applyNumberFormat="1" applyFont="1" applyFill="1" applyBorder="1" applyAlignment="1">
      <alignment vertical="center" wrapText="1"/>
    </xf>
    <xf numFmtId="6" fontId="6" fillId="16" borderId="97" xfId="0" applyNumberFormat="1" applyFont="1" applyFill="1" applyBorder="1" applyAlignment="1">
      <alignment vertical="center" wrapText="1"/>
    </xf>
    <xf numFmtId="0" fontId="0" fillId="0" borderId="19" xfId="0" applyFont="1" applyBorder="1" applyAlignment="1">
      <alignment vertical="center" wrapText="1"/>
    </xf>
    <xf numFmtId="0" fontId="1" fillId="0" borderId="36"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23" xfId="0" applyFont="1" applyFill="1" applyBorder="1" applyAlignment="1">
      <alignment vertical="center" wrapText="1"/>
    </xf>
    <xf numFmtId="0" fontId="1" fillId="0" borderId="6" xfId="0" applyFont="1" applyBorder="1" applyAlignment="1">
      <alignment vertical="center"/>
    </xf>
    <xf numFmtId="164" fontId="0" fillId="0" borderId="51" xfId="14" applyNumberFormat="1" applyFont="1" applyBorder="1" applyAlignment="1">
      <alignment vertical="center"/>
    </xf>
    <xf numFmtId="164" fontId="0" fillId="0" borderId="45" xfId="14" applyNumberFormat="1" applyFont="1" applyBorder="1" applyAlignment="1">
      <alignment vertical="center"/>
    </xf>
    <xf numFmtId="164" fontId="0" fillId="0" borderId="53" xfId="14" applyNumberFormat="1" applyFont="1" applyBorder="1" applyAlignment="1">
      <alignment vertical="center"/>
    </xf>
    <xf numFmtId="164" fontId="0" fillId="0" borderId="44" xfId="14" applyNumberFormat="1" applyFont="1" applyBorder="1" applyAlignment="1">
      <alignment vertical="center"/>
    </xf>
    <xf numFmtId="0" fontId="0" fillId="0" borderId="85" xfId="0" applyBorder="1" applyAlignment="1">
      <alignment wrapText="1"/>
    </xf>
    <xf numFmtId="0" fontId="16" fillId="22" borderId="91" xfId="0" applyFont="1" applyFill="1" applyBorder="1" applyAlignment="1">
      <alignment vertical="center" wrapText="1"/>
    </xf>
    <xf numFmtId="6" fontId="6" fillId="22" borderId="41" xfId="0" applyNumberFormat="1" applyFont="1" applyFill="1" applyBorder="1" applyAlignment="1">
      <alignment vertical="center" wrapText="1"/>
    </xf>
    <xf numFmtId="6" fontId="6" fillId="22" borderId="92" xfId="0" applyNumberFormat="1" applyFont="1" applyFill="1" applyBorder="1" applyAlignment="1">
      <alignment vertical="center" wrapText="1"/>
    </xf>
    <xf numFmtId="6" fontId="14" fillId="22" borderId="41" xfId="0" applyNumberFormat="1" applyFont="1" applyFill="1" applyBorder="1" applyAlignment="1">
      <alignment vertical="center"/>
    </xf>
    <xf numFmtId="0" fontId="5" fillId="15" borderId="40" xfId="0" applyFont="1" applyFill="1" applyBorder="1" applyAlignment="1">
      <alignment horizontal="center" vertical="center"/>
    </xf>
    <xf numFmtId="0" fontId="5" fillId="9" borderId="40" xfId="0" applyFont="1" applyFill="1" applyBorder="1" applyAlignment="1">
      <alignment horizontal="center" vertical="center"/>
    </xf>
    <xf numFmtId="0" fontId="5" fillId="17" borderId="41" xfId="0" applyFont="1" applyFill="1" applyBorder="1" applyAlignment="1">
      <alignment horizontal="center" vertical="center"/>
    </xf>
    <xf numFmtId="0" fontId="5" fillId="7" borderId="41" xfId="0" applyFont="1" applyFill="1" applyBorder="1" applyAlignment="1">
      <alignment horizontal="center" vertical="center"/>
    </xf>
    <xf numFmtId="0" fontId="5" fillId="20" borderId="41" xfId="0" applyFont="1" applyFill="1" applyBorder="1" applyAlignment="1">
      <alignment horizontal="center" vertical="center"/>
    </xf>
    <xf numFmtId="0" fontId="5" fillId="16" borderId="40" xfId="0" applyFont="1" applyFill="1" applyBorder="1" applyAlignment="1">
      <alignment horizontal="center" vertical="center"/>
    </xf>
    <xf numFmtId="0" fontId="5" fillId="22" borderId="41" xfId="0" applyFont="1" applyFill="1" applyBorder="1" applyAlignment="1">
      <alignment horizontal="center" vertical="center"/>
    </xf>
    <xf numFmtId="0" fontId="5" fillId="19" borderId="41" xfId="0" applyFont="1" applyFill="1" applyBorder="1" applyAlignment="1">
      <alignment horizontal="center" vertical="center"/>
    </xf>
    <xf numFmtId="6" fontId="6" fillId="0" borderId="40" xfId="0" applyNumberFormat="1" applyFont="1" applyFill="1" applyBorder="1" applyAlignment="1">
      <alignment vertical="center"/>
    </xf>
    <xf numFmtId="164" fontId="0" fillId="0" borderId="0" xfId="0" applyNumberFormat="1" applyFont="1" applyAlignment="1">
      <alignment horizontal="right"/>
    </xf>
    <xf numFmtId="6" fontId="6" fillId="4" borderId="84" xfId="0" applyNumberFormat="1" applyFont="1" applyFill="1" applyBorder="1" applyAlignment="1">
      <alignment vertical="center"/>
    </xf>
    <xf numFmtId="0" fontId="0" fillId="0" borderId="0" xfId="0" applyFont="1" applyAlignment="1">
      <alignment vertical="center"/>
    </xf>
    <xf numFmtId="164" fontId="0" fillId="0" borderId="0" xfId="0" applyNumberFormat="1" applyFont="1" applyAlignment="1">
      <alignment vertical="center"/>
    </xf>
    <xf numFmtId="6" fontId="5" fillId="14" borderId="40" xfId="0" applyNumberFormat="1" applyFont="1" applyFill="1" applyBorder="1" applyAlignment="1">
      <alignment horizontal="right" vertical="center"/>
    </xf>
    <xf numFmtId="164" fontId="3" fillId="0" borderId="10" xfId="0" applyNumberFormat="1" applyFont="1" applyBorder="1" applyAlignment="1">
      <alignment horizontal="center"/>
    </xf>
    <xf numFmtId="164" fontId="6" fillId="0" borderId="104" xfId="0" applyNumberFormat="1" applyFont="1" applyBorder="1"/>
    <xf numFmtId="164" fontId="0" fillId="0" borderId="75" xfId="0" applyNumberFormat="1" applyBorder="1"/>
    <xf numFmtId="164" fontId="4" fillId="0" borderId="76" xfId="14" applyNumberFormat="1" applyFont="1" applyBorder="1"/>
    <xf numFmtId="164" fontId="4" fillId="0" borderId="101" xfId="14" applyNumberFormat="1" applyFont="1" applyBorder="1"/>
    <xf numFmtId="164" fontId="4" fillId="0" borderId="102" xfId="14" applyNumberFormat="1" applyFont="1" applyBorder="1"/>
    <xf numFmtId="0" fontId="6" fillId="0" borderId="87" xfId="0" applyFont="1" applyBorder="1"/>
    <xf numFmtId="165" fontId="0" fillId="0" borderId="0" xfId="0" applyNumberFormat="1" applyAlignment="1">
      <alignment vertical="center"/>
    </xf>
    <xf numFmtId="164" fontId="0" fillId="0" borderId="48" xfId="14" applyNumberFormat="1" applyFont="1" applyBorder="1" applyAlignment="1">
      <alignment vertical="center"/>
    </xf>
    <xf numFmtId="164" fontId="0" fillId="0" borderId="49" xfId="14" applyNumberFormat="1" applyFont="1" applyBorder="1" applyAlignment="1">
      <alignment vertical="center"/>
    </xf>
    <xf numFmtId="164" fontId="0" fillId="0" borderId="50" xfId="14" applyNumberFormat="1" applyFont="1" applyBorder="1" applyAlignment="1">
      <alignment vertical="center"/>
    </xf>
    <xf numFmtId="164" fontId="4" fillId="0" borderId="28" xfId="14" applyNumberFormat="1" applyFont="1" applyBorder="1"/>
    <xf numFmtId="164" fontId="4" fillId="0" borderId="42" xfId="14" applyNumberFormat="1" applyFont="1" applyBorder="1"/>
    <xf numFmtId="164" fontId="4" fillId="0" borderId="43" xfId="14" applyNumberFormat="1" applyFont="1" applyBorder="1"/>
    <xf numFmtId="0" fontId="26" fillId="0" borderId="85" xfId="0" applyFont="1" applyBorder="1" applyAlignment="1">
      <alignment horizontal="left" vertical="center" wrapText="1"/>
    </xf>
    <xf numFmtId="6" fontId="0" fillId="0" borderId="0" xfId="0" applyNumberFormat="1"/>
    <xf numFmtId="164" fontId="11" fillId="0" borderId="23" xfId="0" applyNumberFormat="1" applyFont="1" applyBorder="1" applyAlignment="1">
      <alignment vertical="center" wrapText="1"/>
    </xf>
    <xf numFmtId="164" fontId="27" fillId="0" borderId="23" xfId="0" applyNumberFormat="1" applyFont="1" applyBorder="1" applyAlignment="1">
      <alignment vertical="center" wrapText="1"/>
    </xf>
    <xf numFmtId="0" fontId="2" fillId="0" borderId="29" xfId="0" applyFont="1" applyBorder="1" applyAlignment="1">
      <alignment horizontal="center" wrapText="1"/>
    </xf>
    <xf numFmtId="0" fontId="6" fillId="0" borderId="23" xfId="0" applyFont="1" applyBorder="1" applyAlignment="1">
      <alignment vertical="center" wrapText="1"/>
    </xf>
    <xf numFmtId="164" fontId="0" fillId="0" borderId="82" xfId="0" applyNumberFormat="1" applyBorder="1"/>
    <xf numFmtId="0" fontId="0" fillId="0" borderId="0" xfId="0" applyBorder="1" applyAlignment="1">
      <alignment vertical="center"/>
    </xf>
    <xf numFmtId="0" fontId="0" fillId="0" borderId="0" xfId="0"/>
    <xf numFmtId="0" fontId="0" fillId="0" borderId="23" xfId="0" applyFill="1" applyBorder="1"/>
    <xf numFmtId="164" fontId="0" fillId="0" borderId="37" xfId="0" applyNumberFormat="1" applyBorder="1"/>
    <xf numFmtId="164" fontId="0" fillId="0" borderId="35" xfId="0" applyNumberFormat="1" applyBorder="1"/>
    <xf numFmtId="164" fontId="0" fillId="0" borderId="49" xfId="0" applyNumberFormat="1" applyBorder="1"/>
    <xf numFmtId="164" fontId="0" fillId="0" borderId="0" xfId="0" applyNumberFormat="1"/>
    <xf numFmtId="164" fontId="0" fillId="0" borderId="48" xfId="0" applyNumberFormat="1" applyBorder="1" applyAlignment="1">
      <alignment vertical="center"/>
    </xf>
    <xf numFmtId="164" fontId="0" fillId="0" borderId="49" xfId="0" applyNumberFormat="1" applyBorder="1" applyAlignment="1">
      <alignment vertical="center"/>
    </xf>
    <xf numFmtId="164" fontId="19" fillId="0" borderId="82" xfId="13" applyNumberFormat="1" applyFont="1" applyBorder="1" applyAlignment="1">
      <alignment horizontal="right" wrapText="1"/>
    </xf>
    <xf numFmtId="0" fontId="11" fillId="0" borderId="0" xfId="0" applyFont="1" applyAlignment="1">
      <alignment vertical="center"/>
    </xf>
    <xf numFmtId="0" fontId="11" fillId="0" borderId="0" xfId="0" applyFont="1" applyBorder="1" applyAlignment="1">
      <alignment vertical="center"/>
    </xf>
    <xf numFmtId="164" fontId="4" fillId="0" borderId="28" xfId="14" applyNumberFormat="1" applyFont="1" applyBorder="1" applyAlignment="1">
      <alignment vertical="center"/>
    </xf>
    <xf numFmtId="164" fontId="4" fillId="0" borderId="42" xfId="14" applyNumberFormat="1" applyFont="1" applyBorder="1" applyAlignment="1">
      <alignment vertical="center"/>
    </xf>
    <xf numFmtId="164" fontId="4" fillId="0" borderId="43" xfId="14" applyNumberFormat="1" applyFont="1" applyBorder="1" applyAlignment="1">
      <alignment vertical="center"/>
    </xf>
    <xf numFmtId="164" fontId="7" fillId="0" borderId="100" xfId="0" applyNumberFormat="1" applyFont="1" applyFill="1" applyBorder="1" applyAlignment="1">
      <alignment horizontal="left" vertical="center"/>
    </xf>
    <xf numFmtId="164" fontId="0" fillId="0" borderId="75" xfId="14" applyNumberFormat="1" applyFont="1" applyBorder="1" applyAlignment="1">
      <alignment vertical="center"/>
    </xf>
    <xf numFmtId="0" fontId="2" fillId="0" borderId="77" xfId="0" applyFont="1" applyBorder="1" applyAlignment="1">
      <alignment horizontal="center" wrapText="1"/>
    </xf>
    <xf numFmtId="0" fontId="2" fillId="0" borderId="78" xfId="0" applyFont="1" applyBorder="1" applyAlignment="1">
      <alignment horizontal="center" wrapText="1"/>
    </xf>
    <xf numFmtId="164" fontId="0" fillId="0" borderId="39" xfId="0" applyNumberFormat="1" applyBorder="1" applyAlignment="1">
      <alignment vertical="center"/>
    </xf>
    <xf numFmtId="0" fontId="0" fillId="0" borderId="2" xfId="0" applyBorder="1" applyAlignment="1">
      <alignment vertical="center"/>
    </xf>
    <xf numFmtId="0" fontId="0" fillId="0" borderId="0" xfId="0" applyAlignment="1">
      <alignment vertical="center"/>
    </xf>
    <xf numFmtId="164" fontId="0" fillId="0" borderId="23" xfId="0" applyNumberFormat="1" applyFont="1" applyBorder="1" applyAlignment="1">
      <alignment vertical="center"/>
    </xf>
    <xf numFmtId="164" fontId="0" fillId="0" borderId="8" xfId="14" applyNumberFormat="1" applyFont="1" applyBorder="1" applyAlignment="1">
      <alignment vertical="center"/>
    </xf>
    <xf numFmtId="164" fontId="0" fillId="0" borderId="28" xfId="14" applyNumberFormat="1" applyFont="1" applyBorder="1" applyAlignment="1">
      <alignment vertical="center"/>
    </xf>
    <xf numFmtId="164" fontId="0" fillId="0" borderId="42" xfId="14" applyNumberFormat="1" applyFont="1" applyBorder="1" applyAlignment="1">
      <alignment horizontal="right" vertical="center"/>
    </xf>
    <xf numFmtId="164" fontId="0" fillId="0" borderId="42" xfId="14" applyNumberFormat="1" applyFont="1" applyBorder="1" applyAlignment="1">
      <alignment vertical="center"/>
    </xf>
    <xf numFmtId="164" fontId="0" fillId="0" borderId="43" xfId="14" applyNumberFormat="1" applyFont="1" applyBorder="1" applyAlignment="1">
      <alignment vertical="center"/>
    </xf>
    <xf numFmtId="164" fontId="0" fillId="0" borderId="51" xfId="14" applyNumberFormat="1" applyFont="1" applyBorder="1"/>
    <xf numFmtId="164" fontId="0" fillId="0" borderId="45" xfId="14" applyNumberFormat="1" applyFont="1" applyBorder="1"/>
    <xf numFmtId="0" fontId="26" fillId="0" borderId="123" xfId="0" applyFont="1" applyBorder="1" applyAlignment="1">
      <alignment horizontal="left" vertical="center" wrapText="1"/>
    </xf>
    <xf numFmtId="0" fontId="2" fillId="0" borderId="114" xfId="0" applyFont="1" applyBorder="1" applyAlignment="1">
      <alignment horizontal="center" wrapText="1"/>
    </xf>
    <xf numFmtId="164" fontId="0" fillId="0" borderId="80" xfId="14" applyNumberFormat="1" applyFont="1" applyBorder="1" applyAlignment="1">
      <alignment vertical="center"/>
    </xf>
    <xf numFmtId="164" fontId="0" fillId="0" borderId="1" xfId="14" applyNumberFormat="1" applyFont="1" applyBorder="1" applyAlignment="1">
      <alignment vertical="center"/>
    </xf>
    <xf numFmtId="164" fontId="0" fillId="0" borderId="105" xfId="14" applyNumberFormat="1" applyFont="1" applyBorder="1" applyAlignment="1">
      <alignment vertical="center"/>
    </xf>
    <xf numFmtId="0" fontId="6" fillId="0" borderId="123" xfId="0" applyFont="1" applyBorder="1" applyAlignment="1">
      <alignment horizontal="left" vertical="top" wrapText="1"/>
    </xf>
    <xf numFmtId="0" fontId="0" fillId="0" borderId="85" xfId="0" applyFont="1" applyBorder="1" applyAlignment="1">
      <alignment wrapText="1"/>
    </xf>
    <xf numFmtId="164" fontId="0" fillId="0" borderId="37" xfId="14" applyNumberFormat="1" applyFont="1" applyBorder="1" applyAlignment="1">
      <alignment horizontal="right" vertical="center"/>
    </xf>
    <xf numFmtId="164" fontId="0" fillId="0" borderId="82" xfId="0" applyNumberFormat="1" applyFont="1" applyBorder="1" applyAlignment="1">
      <alignment horizontal="right" wrapText="1"/>
    </xf>
    <xf numFmtId="164" fontId="0" fillId="0" borderId="17" xfId="14" applyNumberFormat="1" applyFont="1" applyBorder="1" applyAlignment="1">
      <alignment horizontal="right" vertical="center"/>
    </xf>
    <xf numFmtId="164" fontId="0" fillId="0" borderId="35" xfId="14" applyNumberFormat="1" applyFont="1" applyBorder="1" applyAlignment="1">
      <alignment horizontal="right" vertical="center"/>
    </xf>
    <xf numFmtId="164" fontId="0" fillId="0" borderId="53" xfId="14" applyNumberFormat="1" applyFont="1" applyBorder="1"/>
    <xf numFmtId="164" fontId="0" fillId="0" borderId="44" xfId="14" applyNumberFormat="1" applyFont="1" applyBorder="1"/>
    <xf numFmtId="0" fontId="6" fillId="0" borderId="85" xfId="0" applyFont="1" applyBorder="1" applyAlignment="1">
      <alignment vertical="center" wrapText="1"/>
    </xf>
    <xf numFmtId="0" fontId="6" fillId="0" borderId="19" xfId="0" applyFont="1" applyBorder="1" applyAlignment="1">
      <alignment horizontal="center"/>
    </xf>
    <xf numFmtId="0" fontId="0" fillId="0" borderId="24" xfId="0" applyBorder="1" applyAlignment="1">
      <alignment horizontal="center" vertical="top"/>
    </xf>
    <xf numFmtId="0" fontId="0" fillId="0" borderId="38" xfId="0" applyBorder="1" applyAlignment="1">
      <alignment horizontal="center" vertical="top"/>
    </xf>
    <xf numFmtId="164" fontId="6" fillId="0" borderId="71" xfId="0" applyNumberFormat="1" applyFont="1" applyBorder="1" applyAlignment="1">
      <alignment horizontal="right" vertical="center"/>
    </xf>
    <xf numFmtId="164" fontId="6" fillId="0" borderId="119" xfId="0" applyNumberFormat="1" applyFont="1" applyBorder="1" applyAlignment="1">
      <alignment horizontal="right" vertical="center"/>
    </xf>
    <xf numFmtId="0" fontId="6" fillId="0" borderId="67" xfId="0" applyFont="1" applyBorder="1" applyAlignment="1">
      <alignment vertical="center" wrapText="1"/>
    </xf>
    <xf numFmtId="0" fontId="5" fillId="0" borderId="69" xfId="0" applyFont="1" applyBorder="1" applyAlignment="1">
      <alignment horizontal="center" vertical="center" wrapText="1"/>
    </xf>
    <xf numFmtId="0" fontId="6" fillId="0" borderId="70" xfId="0" applyFont="1" applyBorder="1" applyAlignment="1">
      <alignment vertical="center"/>
    </xf>
    <xf numFmtId="0" fontId="6" fillId="0" borderId="9" xfId="0" applyFont="1" applyFill="1" applyBorder="1" applyAlignment="1">
      <alignment vertical="center"/>
    </xf>
    <xf numFmtId="0" fontId="6" fillId="0" borderId="115" xfId="0" applyFont="1" applyBorder="1" applyAlignment="1">
      <alignment vertical="center"/>
    </xf>
    <xf numFmtId="0" fontId="6" fillId="0" borderId="47" xfId="0" applyFont="1" applyBorder="1" applyAlignment="1">
      <alignment vertical="center"/>
    </xf>
    <xf numFmtId="164" fontId="6" fillId="0" borderId="75" xfId="0" applyNumberFormat="1" applyFont="1" applyBorder="1" applyAlignment="1">
      <alignment horizontal="right" vertical="center"/>
    </xf>
    <xf numFmtId="164" fontId="6" fillId="0" borderId="79" xfId="0" applyNumberFormat="1" applyFont="1" applyBorder="1" applyAlignment="1">
      <alignment horizontal="right" vertical="center"/>
    </xf>
    <xf numFmtId="164" fontId="6" fillId="0" borderId="104" xfId="0" applyNumberFormat="1" applyFont="1" applyBorder="1" applyAlignment="1">
      <alignment horizontal="right" vertical="center"/>
    </xf>
    <xf numFmtId="0" fontId="5" fillId="0" borderId="77" xfId="0" applyFont="1" applyBorder="1" applyAlignment="1">
      <alignment horizontal="center" vertical="center" wrapText="1"/>
    </xf>
    <xf numFmtId="0" fontId="5" fillId="0" borderId="78" xfId="0" applyFont="1" applyBorder="1" applyAlignment="1">
      <alignment horizontal="center" vertical="center" wrapText="1"/>
    </xf>
    <xf numFmtId="0" fontId="5" fillId="0" borderId="114" xfId="0" applyFont="1" applyBorder="1" applyAlignment="1">
      <alignment horizontal="center" vertical="center" wrapText="1"/>
    </xf>
    <xf numFmtId="164" fontId="6" fillId="0" borderId="79" xfId="0" applyNumberFormat="1" applyFont="1" applyFill="1" applyBorder="1" applyAlignment="1">
      <alignment horizontal="right" vertical="center"/>
    </xf>
    <xf numFmtId="0" fontId="5" fillId="0" borderId="47" xfId="0" applyFont="1" applyBorder="1" applyAlignment="1">
      <alignment vertical="center"/>
    </xf>
    <xf numFmtId="0" fontId="0" fillId="0" borderId="123" xfId="0" applyBorder="1" applyAlignment="1">
      <alignment wrapText="1"/>
    </xf>
    <xf numFmtId="0" fontId="0" fillId="0" borderId="59" xfId="0" applyFill="1" applyBorder="1" applyAlignment="1">
      <alignment vertical="center" wrapText="1"/>
    </xf>
    <xf numFmtId="0" fontId="2" fillId="0" borderId="51" xfId="0" applyFont="1" applyBorder="1" applyAlignment="1">
      <alignment horizontal="center" wrapText="1"/>
    </xf>
    <xf numFmtId="0" fontId="2" fillId="0" borderId="8" xfId="0" applyFont="1" applyBorder="1" applyAlignment="1">
      <alignment horizontal="center" wrapText="1"/>
    </xf>
    <xf numFmtId="164" fontId="14" fillId="0" borderId="23" xfId="0" applyNumberFormat="1" applyFont="1" applyBorder="1" applyAlignment="1" applyProtection="1">
      <alignment horizontal="right" vertical="center"/>
      <protection hidden="1"/>
    </xf>
    <xf numFmtId="0" fontId="6" fillId="0" borderId="9" xfId="0" applyFont="1" applyFill="1" applyBorder="1" applyAlignment="1">
      <alignment wrapText="1"/>
    </xf>
    <xf numFmtId="0" fontId="0" fillId="0" borderId="38" xfId="0" applyBorder="1" applyAlignment="1">
      <alignment vertical="center"/>
    </xf>
    <xf numFmtId="164" fontId="0" fillId="0" borderId="88" xfId="0" applyNumberFormat="1" applyBorder="1" applyAlignment="1">
      <alignment vertical="center"/>
    </xf>
    <xf numFmtId="0" fontId="0" fillId="10" borderId="75" xfId="0" applyFill="1" applyBorder="1" applyAlignment="1">
      <alignment horizontal="center" vertical="center" wrapText="1"/>
    </xf>
    <xf numFmtId="165" fontId="0" fillId="0" borderId="75" xfId="0" applyNumberFormat="1" applyBorder="1" applyAlignment="1">
      <alignment vertical="center"/>
    </xf>
    <xf numFmtId="165" fontId="0" fillId="0" borderId="130" xfId="0" applyNumberFormat="1" applyBorder="1" applyAlignment="1">
      <alignment vertical="center"/>
    </xf>
    <xf numFmtId="165" fontId="0" fillId="10" borderId="127" xfId="0" applyNumberFormat="1" applyFill="1" applyBorder="1" applyAlignment="1">
      <alignment vertical="center"/>
    </xf>
    <xf numFmtId="0" fontId="0" fillId="0" borderId="19" xfId="0" applyFont="1" applyBorder="1"/>
    <xf numFmtId="0" fontId="0" fillId="0" borderId="23" xfId="0" applyFont="1" applyBorder="1"/>
    <xf numFmtId="0" fontId="0" fillId="0" borderId="24" xfId="0" applyFont="1" applyBorder="1"/>
    <xf numFmtId="0" fontId="0" fillId="0" borderId="9" xfId="0" applyFont="1" applyBorder="1"/>
    <xf numFmtId="0" fontId="28" fillId="0" borderId="67" xfId="0" applyFont="1" applyFill="1" applyBorder="1" applyAlignment="1">
      <alignment horizontal="left" vertical="center" wrapText="1"/>
    </xf>
    <xf numFmtId="0" fontId="6" fillId="0" borderId="0" xfId="0" applyFont="1" applyBorder="1" applyAlignment="1">
      <alignment vertical="center"/>
    </xf>
    <xf numFmtId="164" fontId="6" fillId="0" borderId="0" xfId="0" applyNumberFormat="1" applyFont="1"/>
    <xf numFmtId="0" fontId="0" fillId="0" borderId="0" xfId="0" applyAlignment="1">
      <alignment vertical="center"/>
    </xf>
    <xf numFmtId="164" fontId="19" fillId="0" borderId="0" xfId="0" applyNumberFormat="1" applyFont="1" applyFill="1" applyBorder="1" applyAlignment="1">
      <alignment horizontal="left" wrapText="1"/>
    </xf>
    <xf numFmtId="164" fontId="0" fillId="0" borderId="0" xfId="0" applyNumberFormat="1" applyFont="1"/>
    <xf numFmtId="164" fontId="0" fillId="0" borderId="0" xfId="0" applyNumberFormat="1" applyFont="1" applyBorder="1"/>
    <xf numFmtId="164" fontId="0" fillId="0" borderId="0" xfId="0" applyNumberFormat="1" applyFont="1" applyBorder="1" applyAlignment="1">
      <alignment vertical="center"/>
    </xf>
    <xf numFmtId="164" fontId="0" fillId="0" borderId="0" xfId="0" applyNumberFormat="1" applyFont="1" applyAlignment="1">
      <alignment wrapText="1"/>
    </xf>
    <xf numFmtId="164" fontId="18" fillId="0" borderId="17" xfId="0" applyNumberFormat="1" applyFont="1" applyBorder="1" applyAlignment="1" applyProtection="1">
      <alignment vertical="center"/>
      <protection hidden="1"/>
    </xf>
    <xf numFmtId="164" fontId="0" fillId="0" borderId="30" xfId="0" applyNumberFormat="1" applyBorder="1" applyAlignment="1">
      <alignment vertical="center" wrapText="1"/>
    </xf>
    <xf numFmtId="38" fontId="0" fillId="0" borderId="79" xfId="0" applyNumberFormat="1" applyBorder="1"/>
    <xf numFmtId="164" fontId="0" fillId="0" borderId="104" xfId="0" applyNumberFormat="1" applyBorder="1" applyAlignment="1">
      <alignment horizontal="right" vertical="center" wrapText="1"/>
    </xf>
    <xf numFmtId="164" fontId="0" fillId="0" borderId="105" xfId="0" applyNumberFormat="1" applyBorder="1" applyAlignment="1">
      <alignment horizontal="right" vertical="center" wrapText="1"/>
    </xf>
    <xf numFmtId="164" fontId="14" fillId="5" borderId="41" xfId="0" applyNumberFormat="1" applyFont="1" applyFill="1" applyBorder="1" applyAlignment="1">
      <alignment horizontal="right" vertical="center"/>
    </xf>
    <xf numFmtId="0" fontId="10" fillId="0" borderId="59" xfId="0" applyFont="1" applyFill="1" applyBorder="1"/>
    <xf numFmtId="0" fontId="10" fillId="0" borderId="9" xfId="0" applyFont="1" applyFill="1" applyBorder="1"/>
    <xf numFmtId="164" fontId="0" fillId="0" borderId="80" xfId="0" applyNumberFormat="1" applyBorder="1" applyAlignment="1">
      <alignment horizontal="right" vertical="center"/>
    </xf>
    <xf numFmtId="164" fontId="0" fillId="0" borderId="1" xfId="0" applyNumberFormat="1" applyFont="1" applyBorder="1"/>
    <xf numFmtId="0" fontId="0" fillId="0" borderId="19" xfId="0" applyFont="1" applyBorder="1" applyAlignment="1"/>
    <xf numFmtId="0" fontId="6" fillId="0" borderId="44" xfId="0" applyFont="1" applyBorder="1" applyAlignment="1"/>
    <xf numFmtId="0" fontId="6" fillId="0" borderId="0" xfId="0" applyFont="1" applyAlignment="1"/>
    <xf numFmtId="0" fontId="0" fillId="0" borderId="0" xfId="0" applyAlignment="1"/>
    <xf numFmtId="0" fontId="0" fillId="0" borderId="23" xfId="0" applyFont="1" applyBorder="1" applyAlignment="1"/>
    <xf numFmtId="0" fontId="0" fillId="0" borderId="24" xfId="0" applyFont="1" applyBorder="1" applyAlignment="1"/>
    <xf numFmtId="0" fontId="6" fillId="0" borderId="11" xfId="0" applyFont="1" applyBorder="1" applyAlignment="1"/>
    <xf numFmtId="164" fontId="0" fillId="0" borderId="35" xfId="0" applyNumberFormat="1" applyFill="1" applyBorder="1"/>
    <xf numFmtId="164" fontId="0" fillId="0" borderId="24" xfId="0" applyNumberFormat="1" applyFont="1" applyBorder="1" applyAlignment="1" applyProtection="1">
      <alignment vertical="center"/>
      <protection hidden="1"/>
    </xf>
    <xf numFmtId="164" fontId="0" fillId="0" borderId="75" xfId="0" applyNumberFormat="1" applyBorder="1" applyAlignment="1">
      <alignment vertical="center"/>
    </xf>
    <xf numFmtId="164" fontId="0" fillId="0" borderId="104" xfId="0" applyNumberFormat="1" applyBorder="1" applyAlignment="1">
      <alignment vertical="center"/>
    </xf>
    <xf numFmtId="164" fontId="0" fillId="0" borderId="79" xfId="0" applyNumberFormat="1" applyBorder="1" applyAlignment="1">
      <alignment vertical="center"/>
    </xf>
    <xf numFmtId="0" fontId="0" fillId="0" borderId="0" xfId="0" applyAlignment="1">
      <alignment vertical="center"/>
    </xf>
    <xf numFmtId="0" fontId="6" fillId="10" borderId="23" xfId="0" applyFont="1" applyFill="1" applyBorder="1" applyAlignment="1">
      <alignment vertical="center"/>
    </xf>
    <xf numFmtId="164" fontId="6" fillId="10" borderId="37" xfId="13" applyNumberFormat="1" applyFont="1" applyFill="1" applyBorder="1" applyAlignment="1">
      <alignment vertical="center"/>
    </xf>
    <xf numFmtId="164" fontId="6" fillId="10" borderId="35" xfId="0" applyNumberFormat="1" applyFont="1" applyFill="1" applyBorder="1" applyAlignment="1">
      <alignment vertical="center"/>
    </xf>
    <xf numFmtId="164" fontId="6" fillId="10" borderId="17" xfId="0" applyNumberFormat="1" applyFont="1" applyFill="1" applyBorder="1" applyAlignment="1">
      <alignment vertical="center"/>
    </xf>
    <xf numFmtId="0" fontId="6" fillId="0" borderId="8" xfId="0" applyFont="1" applyBorder="1" applyAlignment="1">
      <alignment horizontal="center" vertical="center"/>
    </xf>
    <xf numFmtId="0" fontId="14" fillId="0" borderId="38" xfId="15" applyFont="1" applyFill="1" applyBorder="1" applyAlignment="1">
      <alignment vertical="center" wrapText="1"/>
    </xf>
    <xf numFmtId="0" fontId="6" fillId="0" borderId="38" xfId="15" applyFont="1" applyFill="1" applyBorder="1" applyAlignment="1">
      <alignment vertical="center" wrapText="1"/>
    </xf>
    <xf numFmtId="0" fontId="6" fillId="0" borderId="39" xfId="15" applyFont="1" applyFill="1" applyBorder="1" applyAlignment="1">
      <alignment vertical="center" wrapText="1"/>
    </xf>
    <xf numFmtId="164" fontId="18" fillId="0" borderId="44" xfId="0" applyNumberFormat="1" applyFont="1" applyBorder="1" applyAlignment="1">
      <alignment horizontal="right" vertical="center"/>
    </xf>
    <xf numFmtId="0" fontId="0" fillId="0" borderId="38" xfId="0" applyBorder="1" applyAlignment="1">
      <alignment vertical="center"/>
    </xf>
    <xf numFmtId="164" fontId="0" fillId="0" borderId="39" xfId="0" applyNumberFormat="1" applyBorder="1"/>
    <xf numFmtId="164" fontId="0" fillId="0" borderId="10" xfId="0" applyNumberFormat="1" applyBorder="1" applyAlignment="1">
      <alignment vertical="center"/>
    </xf>
    <xf numFmtId="0" fontId="5" fillId="0" borderId="2" xfId="0" applyFont="1" applyBorder="1" applyAlignment="1">
      <alignment vertical="center"/>
    </xf>
    <xf numFmtId="0" fontId="14" fillId="0" borderId="39" xfId="15" applyFont="1" applyFill="1" applyBorder="1" applyAlignment="1">
      <alignment vertical="center" wrapText="1"/>
    </xf>
    <xf numFmtId="164" fontId="0" fillId="0" borderId="8" xfId="0" applyNumberFormat="1" applyBorder="1" applyAlignment="1">
      <alignment vertical="center"/>
    </xf>
    <xf numFmtId="164" fontId="0" fillId="0" borderId="13" xfId="0" applyNumberFormat="1" applyBorder="1" applyAlignment="1">
      <alignment vertical="center"/>
    </xf>
    <xf numFmtId="164" fontId="0" fillId="0" borderId="2" xfId="0" applyNumberFormat="1" applyBorder="1" applyAlignment="1">
      <alignment vertical="center"/>
    </xf>
    <xf numFmtId="0" fontId="5" fillId="0" borderId="44" xfId="0" applyFont="1" applyFill="1" applyBorder="1" applyAlignment="1">
      <alignment vertical="center"/>
    </xf>
    <xf numFmtId="0" fontId="5" fillId="0" borderId="6" xfId="0" applyFont="1" applyFill="1" applyBorder="1" applyAlignment="1">
      <alignment vertical="center"/>
    </xf>
    <xf numFmtId="164" fontId="0" fillId="0" borderId="44" xfId="0" applyNumberFormat="1" applyBorder="1" applyAlignment="1">
      <alignment horizontal="right" vertical="center"/>
    </xf>
    <xf numFmtId="164" fontId="3" fillId="0" borderId="2" xfId="0" applyNumberFormat="1" applyFont="1" applyBorder="1" applyAlignment="1">
      <alignment vertical="center"/>
    </xf>
    <xf numFmtId="164" fontId="3" fillId="0" borderId="2" xfId="0" applyNumberFormat="1" applyFont="1" applyBorder="1" applyAlignment="1">
      <alignment horizontal="right" vertical="center"/>
    </xf>
    <xf numFmtId="0" fontId="5" fillId="0" borderId="2" xfId="0" applyFont="1" applyFill="1" applyBorder="1" applyAlignment="1">
      <alignment vertical="center"/>
    </xf>
    <xf numFmtId="164" fontId="3" fillId="0" borderId="10" xfId="0" applyNumberFormat="1" applyFont="1" applyBorder="1" applyAlignment="1">
      <alignment horizontal="center" vertical="center"/>
    </xf>
    <xf numFmtId="0" fontId="5" fillId="0" borderId="47" xfId="0" applyFont="1" applyFill="1" applyBorder="1" applyAlignment="1">
      <alignment vertical="center" wrapText="1"/>
    </xf>
    <xf numFmtId="164" fontId="0" fillId="2" borderId="126" xfId="0" applyNumberFormat="1" applyFill="1" applyBorder="1" applyAlignment="1">
      <alignment vertical="center"/>
    </xf>
    <xf numFmtId="164" fontId="0" fillId="2" borderId="127" xfId="0" applyNumberFormat="1" applyFill="1" applyBorder="1" applyAlignment="1">
      <alignment vertical="center"/>
    </xf>
    <xf numFmtId="164" fontId="0" fillId="2" borderId="132" xfId="0" applyNumberFormat="1" applyFill="1" applyBorder="1" applyAlignment="1">
      <alignment vertical="center"/>
    </xf>
    <xf numFmtId="0" fontId="0" fillId="0" borderId="59" xfId="0" applyBorder="1" applyAlignment="1">
      <alignment vertical="center" wrapText="1"/>
    </xf>
    <xf numFmtId="164" fontId="18" fillId="0" borderId="17" xfId="0" applyNumberFormat="1" applyFont="1" applyBorder="1" applyAlignment="1">
      <alignment vertical="center"/>
    </xf>
    <xf numFmtId="0" fontId="0" fillId="0" borderId="57" xfId="0" applyBorder="1" applyAlignment="1">
      <alignment vertical="center" wrapText="1"/>
    </xf>
    <xf numFmtId="164" fontId="0" fillId="0" borderId="80" xfId="0" applyNumberFormat="1" applyBorder="1" applyAlignment="1">
      <alignment vertical="center"/>
    </xf>
    <xf numFmtId="164" fontId="0" fillId="0" borderId="1" xfId="0" applyNumberFormat="1" applyBorder="1" applyAlignment="1">
      <alignment vertical="center"/>
    </xf>
    <xf numFmtId="164" fontId="0" fillId="0" borderId="105" xfId="0" applyNumberFormat="1" applyBorder="1" applyAlignment="1">
      <alignment vertical="center"/>
    </xf>
    <xf numFmtId="164" fontId="18" fillId="0" borderId="18" xfId="0" applyNumberFormat="1" applyFont="1" applyBorder="1" applyAlignment="1">
      <alignment vertical="center"/>
    </xf>
    <xf numFmtId="0" fontId="1" fillId="0" borderId="47" xfId="0" applyFont="1" applyBorder="1" applyAlignment="1">
      <alignment vertical="center"/>
    </xf>
    <xf numFmtId="164" fontId="0" fillId="0" borderId="28" xfId="0" applyNumberFormat="1" applyFont="1" applyBorder="1" applyAlignment="1">
      <alignment vertical="center"/>
    </xf>
    <xf numFmtId="164" fontId="0" fillId="0" borderId="42" xfId="0" applyNumberFormat="1" applyFont="1" applyBorder="1" applyAlignment="1">
      <alignment vertical="center"/>
    </xf>
    <xf numFmtId="164" fontId="0" fillId="0" borderId="43" xfId="0" applyNumberFormat="1" applyFont="1" applyBorder="1" applyAlignment="1">
      <alignment vertical="center"/>
    </xf>
    <xf numFmtId="164" fontId="4" fillId="0" borderId="3" xfId="14" applyNumberFormat="1" applyFont="1" applyBorder="1" applyAlignment="1">
      <alignment vertical="center"/>
    </xf>
    <xf numFmtId="0" fontId="6" fillId="2" borderId="123" xfId="0" applyFont="1" applyFill="1" applyBorder="1" applyAlignment="1">
      <alignment vertical="center" wrapText="1"/>
    </xf>
    <xf numFmtId="164" fontId="0" fillId="0" borderId="23" xfId="0" applyNumberFormat="1" applyFont="1" applyBorder="1" applyAlignment="1">
      <alignment horizontal="right" vertical="center" wrapText="1"/>
    </xf>
    <xf numFmtId="0" fontId="0" fillId="0" borderId="85" xfId="0" applyFont="1" applyBorder="1" applyAlignment="1">
      <alignment vertical="center" wrapText="1"/>
    </xf>
    <xf numFmtId="0" fontId="0" fillId="0" borderId="0" xfId="0"/>
    <xf numFmtId="0" fontId="0" fillId="0" borderId="19" xfId="0" applyBorder="1"/>
    <xf numFmtId="0" fontId="0" fillId="0" borderId="23" xfId="0" applyBorder="1"/>
    <xf numFmtId="0" fontId="0" fillId="0" borderId="24" xfId="0" applyBorder="1" applyAlignment="1"/>
    <xf numFmtId="0" fontId="0" fillId="0" borderId="38" xfId="0" applyBorder="1" applyAlignment="1"/>
    <xf numFmtId="0" fontId="0" fillId="0" borderId="24" xfId="0" applyBorder="1"/>
    <xf numFmtId="0" fontId="0" fillId="0" borderId="11" xfId="0" applyBorder="1"/>
    <xf numFmtId="0" fontId="0" fillId="0" borderId="39" xfId="0" applyBorder="1" applyAlignment="1"/>
    <xf numFmtId="0" fontId="0" fillId="0" borderId="9" xfId="0" applyFill="1" applyBorder="1" applyAlignment="1">
      <alignment vertical="center" wrapText="1"/>
    </xf>
    <xf numFmtId="164" fontId="0" fillId="0" borderId="0" xfId="0" applyNumberFormat="1"/>
    <xf numFmtId="0" fontId="0" fillId="0" borderId="0" xfId="0" applyBorder="1"/>
    <xf numFmtId="0" fontId="0" fillId="0" borderId="19" xfId="0" applyBorder="1"/>
    <xf numFmtId="0" fontId="0" fillId="0" borderId="23" xfId="0" applyBorder="1"/>
    <xf numFmtId="0" fontId="0" fillId="0" borderId="24" xfId="0" applyBorder="1" applyAlignment="1"/>
    <xf numFmtId="0" fontId="0" fillId="0" borderId="38" xfId="0" applyBorder="1" applyAlignment="1"/>
    <xf numFmtId="0" fontId="0" fillId="0" borderId="24" xfId="0" applyBorder="1"/>
    <xf numFmtId="0" fontId="0" fillId="0" borderId="6" xfId="0" applyBorder="1"/>
    <xf numFmtId="0" fontId="0" fillId="0" borderId="8" xfId="0" applyBorder="1" applyAlignment="1">
      <alignment horizontal="center" vertical="center"/>
    </xf>
    <xf numFmtId="0" fontId="0" fillId="0" borderId="11" xfId="0" applyBorder="1"/>
    <xf numFmtId="164" fontId="3" fillId="0" borderId="13" xfId="0" applyNumberFormat="1" applyFont="1" applyBorder="1" applyAlignment="1">
      <alignment horizontal="center"/>
    </xf>
    <xf numFmtId="0" fontId="0" fillId="0" borderId="39" xfId="0" applyBorder="1" applyAlignment="1"/>
    <xf numFmtId="0" fontId="0" fillId="0" borderId="19" xfId="0" applyBorder="1" applyAlignment="1">
      <alignment wrapText="1"/>
    </xf>
    <xf numFmtId="0" fontId="2" fillId="0" borderId="36" xfId="0" applyFont="1" applyBorder="1" applyAlignment="1">
      <alignment horizontal="center" wrapText="1"/>
    </xf>
    <xf numFmtId="0" fontId="2" fillId="0" borderId="34" xfId="0" applyFont="1" applyBorder="1" applyAlignment="1">
      <alignment horizontal="center" wrapText="1"/>
    </xf>
    <xf numFmtId="0" fontId="2" fillId="0" borderId="25" xfId="0" applyFont="1" applyBorder="1" applyAlignment="1">
      <alignment horizontal="center" wrapText="1"/>
    </xf>
    <xf numFmtId="0" fontId="2" fillId="0" borderId="19" xfId="0" applyFont="1" applyBorder="1" applyAlignment="1">
      <alignment horizontal="center" wrapText="1"/>
    </xf>
    <xf numFmtId="0" fontId="0" fillId="0" borderId="85" xfId="0" applyBorder="1" applyAlignment="1">
      <alignment wrapText="1"/>
    </xf>
    <xf numFmtId="164" fontId="0" fillId="0" borderId="37" xfId="14" applyNumberFormat="1" applyFont="1" applyBorder="1" applyAlignment="1">
      <alignment vertical="center"/>
    </xf>
    <xf numFmtId="164" fontId="0" fillId="0" borderId="17" xfId="14" applyNumberFormat="1" applyFont="1" applyBorder="1" applyAlignment="1">
      <alignment vertical="center"/>
    </xf>
    <xf numFmtId="0" fontId="0" fillId="0" borderId="0" xfId="0" applyAlignment="1">
      <alignment vertical="center"/>
    </xf>
    <xf numFmtId="0" fontId="1" fillId="0" borderId="6" xfId="0" applyFont="1" applyBorder="1"/>
    <xf numFmtId="164" fontId="4" fillId="0" borderId="44" xfId="14" applyNumberFormat="1" applyFont="1" applyBorder="1"/>
    <xf numFmtId="164" fontId="4" fillId="0" borderId="10" xfId="14" applyNumberFormat="1" applyFont="1" applyBorder="1" applyAlignment="1">
      <alignment vertical="center"/>
    </xf>
    <xf numFmtId="0" fontId="0" fillId="0" borderId="0" xfId="0"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1" fillId="0" borderId="9" xfId="0" applyFont="1" applyBorder="1" applyAlignment="1">
      <alignment vertical="center"/>
    </xf>
    <xf numFmtId="0" fontId="0" fillId="0" borderId="86" xfId="0" applyBorder="1" applyAlignment="1">
      <alignment vertical="center" wrapText="1"/>
    </xf>
    <xf numFmtId="0" fontId="0" fillId="0" borderId="87" xfId="0" applyBorder="1" applyAlignment="1">
      <alignment vertical="center" wrapText="1"/>
    </xf>
    <xf numFmtId="0" fontId="0" fillId="0" borderId="9" xfId="0" applyBorder="1" applyAlignment="1">
      <alignment vertical="center"/>
    </xf>
    <xf numFmtId="164" fontId="4" fillId="0" borderId="75" xfId="0" applyNumberFormat="1" applyFont="1" applyBorder="1" applyAlignment="1">
      <alignment horizontal="right" vertical="center"/>
    </xf>
    <xf numFmtId="0" fontId="2" fillId="0" borderId="78" xfId="0" applyFont="1" applyBorder="1" applyAlignment="1">
      <alignment horizontal="center" vertical="center" wrapText="1"/>
    </xf>
    <xf numFmtId="0" fontId="2" fillId="0" borderId="120" xfId="0" applyFont="1" applyBorder="1" applyAlignment="1">
      <alignment horizontal="center" vertical="center" wrapText="1"/>
    </xf>
    <xf numFmtId="0" fontId="2" fillId="0" borderId="86" xfId="0" applyFont="1" applyBorder="1" applyAlignment="1">
      <alignment horizontal="center" vertical="center" wrapText="1"/>
    </xf>
    <xf numFmtId="164" fontId="4" fillId="0" borderId="87" xfId="14" applyNumberFormat="1" applyFont="1" applyBorder="1" applyAlignment="1">
      <alignment vertical="center"/>
    </xf>
    <xf numFmtId="164" fontId="4" fillId="0" borderId="88" xfId="14" applyNumberFormat="1" applyFont="1" applyBorder="1" applyAlignment="1">
      <alignment vertical="center"/>
    </xf>
    <xf numFmtId="0" fontId="2" fillId="0" borderId="133" xfId="0" applyFont="1" applyBorder="1" applyAlignment="1">
      <alignment horizontal="center" vertical="center" wrapText="1"/>
    </xf>
    <xf numFmtId="164" fontId="4" fillId="0" borderId="103" xfId="14" applyNumberFormat="1" applyFont="1" applyBorder="1" applyAlignment="1">
      <alignment horizontal="right" vertical="center"/>
    </xf>
    <xf numFmtId="0" fontId="0" fillId="0" borderId="87" xfId="0" applyBorder="1" applyAlignment="1">
      <alignment vertical="center"/>
    </xf>
    <xf numFmtId="0" fontId="0" fillId="0" borderId="88" xfId="0" applyBorder="1" applyAlignment="1">
      <alignment vertical="center"/>
    </xf>
    <xf numFmtId="164" fontId="4" fillId="0" borderId="117" xfId="0" applyNumberFormat="1" applyFont="1" applyBorder="1" applyAlignment="1">
      <alignment horizontal="right" vertical="center"/>
    </xf>
    <xf numFmtId="164" fontId="4" fillId="0" borderId="134" xfId="14" applyNumberFormat="1" applyFont="1" applyBorder="1" applyAlignment="1">
      <alignment horizontal="right" vertical="center"/>
    </xf>
    <xf numFmtId="164" fontId="4" fillId="0" borderId="125" xfId="14" applyNumberFormat="1" applyFont="1" applyBorder="1" applyAlignment="1">
      <alignment horizontal="right" vertical="center"/>
    </xf>
    <xf numFmtId="164" fontId="19" fillId="0" borderId="82" xfId="0" applyNumberFormat="1" applyFont="1" applyBorder="1" applyAlignment="1">
      <alignment horizontal="right" wrapText="1"/>
    </xf>
    <xf numFmtId="0" fontId="0" fillId="0" borderId="39" xfId="0" applyBorder="1" applyAlignment="1">
      <alignment vertical="center"/>
    </xf>
    <xf numFmtId="0" fontId="0" fillId="0" borderId="38" xfId="0" applyBorder="1" applyAlignment="1">
      <alignment vertical="center"/>
    </xf>
    <xf numFmtId="164" fontId="18" fillId="0" borderId="0" xfId="0" applyNumberFormat="1" applyFont="1" applyFill="1" applyBorder="1" applyAlignment="1">
      <alignment horizontal="right"/>
    </xf>
    <xf numFmtId="164" fontId="0" fillId="0" borderId="83" xfId="0" applyNumberFormat="1" applyFont="1" applyBorder="1" applyAlignment="1">
      <alignment vertical="center" wrapText="1"/>
    </xf>
    <xf numFmtId="164" fontId="4" fillId="0" borderId="75" xfId="14" applyNumberFormat="1" applyFont="1" applyBorder="1" applyAlignment="1">
      <alignment vertical="center"/>
    </xf>
    <xf numFmtId="0" fontId="2" fillId="0" borderId="77" xfId="0" applyFont="1" applyBorder="1" applyAlignment="1">
      <alignment horizontal="center" vertical="center" wrapText="1"/>
    </xf>
    <xf numFmtId="0" fontId="2" fillId="0" borderId="114" xfId="0" applyFont="1" applyBorder="1" applyAlignment="1">
      <alignment horizontal="center" vertical="center" wrapText="1"/>
    </xf>
    <xf numFmtId="164" fontId="0" fillId="0" borderId="118" xfId="14" applyNumberFormat="1" applyFont="1" applyBorder="1" applyAlignment="1">
      <alignment vertical="center"/>
    </xf>
    <xf numFmtId="164" fontId="0" fillId="0" borderId="10" xfId="0" applyNumberFormat="1" applyFont="1" applyBorder="1" applyAlignment="1">
      <alignment vertical="center" wrapText="1"/>
    </xf>
    <xf numFmtId="164" fontId="0" fillId="2" borderId="83" xfId="0" applyNumberFormat="1" applyFont="1" applyFill="1" applyBorder="1" applyAlignment="1">
      <alignment vertical="center" wrapText="1"/>
    </xf>
    <xf numFmtId="164" fontId="4" fillId="2" borderId="75" xfId="14" applyNumberFormat="1" applyFont="1" applyFill="1" applyBorder="1" applyAlignment="1">
      <alignment vertical="center"/>
    </xf>
    <xf numFmtId="164" fontId="4" fillId="2" borderId="76" xfId="14" applyNumberFormat="1" applyFont="1" applyFill="1" applyBorder="1" applyAlignment="1">
      <alignment vertical="center"/>
    </xf>
    <xf numFmtId="164" fontId="4" fillId="2" borderId="101" xfId="14" applyNumberFormat="1" applyFont="1" applyFill="1" applyBorder="1" applyAlignment="1">
      <alignment vertical="center"/>
    </xf>
    <xf numFmtId="164" fontId="4" fillId="2" borderId="102" xfId="14" applyNumberFormat="1" applyFont="1" applyFill="1" applyBorder="1" applyAlignment="1">
      <alignment vertical="center"/>
    </xf>
    <xf numFmtId="164" fontId="11" fillId="2" borderId="75" xfId="14" applyNumberFormat="1" applyFont="1" applyFill="1" applyBorder="1" applyAlignment="1">
      <alignment vertical="center"/>
    </xf>
    <xf numFmtId="164" fontId="11" fillId="2" borderId="79" xfId="14" applyNumberFormat="1" applyFont="1" applyFill="1" applyBorder="1" applyAlignment="1">
      <alignment vertical="center"/>
    </xf>
    <xf numFmtId="164" fontId="4" fillId="2" borderId="104" xfId="14" applyNumberFormat="1" applyFont="1" applyFill="1" applyBorder="1" applyAlignment="1">
      <alignment vertical="center"/>
    </xf>
    <xf numFmtId="164" fontId="4" fillId="2" borderId="79" xfId="14" applyNumberFormat="1" applyFont="1" applyFill="1" applyBorder="1" applyAlignment="1">
      <alignment vertical="center"/>
    </xf>
    <xf numFmtId="164" fontId="0" fillId="2" borderId="104" xfId="14" applyNumberFormat="1" applyFont="1" applyFill="1" applyBorder="1" applyAlignment="1">
      <alignment vertical="center"/>
    </xf>
    <xf numFmtId="164" fontId="11" fillId="2" borderId="80" xfId="14" applyNumberFormat="1" applyFont="1" applyFill="1" applyBorder="1" applyAlignment="1">
      <alignment vertical="center"/>
    </xf>
    <xf numFmtId="164" fontId="11" fillId="2" borderId="1" xfId="14" applyNumberFormat="1" applyFont="1" applyFill="1" applyBorder="1" applyAlignment="1">
      <alignment vertical="center"/>
    </xf>
    <xf numFmtId="164" fontId="4" fillId="2" borderId="1" xfId="14" applyNumberFormat="1" applyFont="1" applyFill="1" applyBorder="1" applyAlignment="1">
      <alignment vertical="center"/>
    </xf>
    <xf numFmtId="164" fontId="0" fillId="2" borderId="105" xfId="14" applyNumberFormat="1" applyFont="1" applyFill="1" applyBorder="1" applyAlignment="1">
      <alignment vertical="center"/>
    </xf>
    <xf numFmtId="164" fontId="3" fillId="2" borderId="83" xfId="0" applyNumberFormat="1" applyFont="1" applyFill="1" applyBorder="1" applyAlignment="1">
      <alignment vertical="center" wrapText="1"/>
    </xf>
    <xf numFmtId="164" fontId="3" fillId="0" borderId="83" xfId="0" applyNumberFormat="1" applyFont="1" applyFill="1" applyBorder="1" applyAlignment="1">
      <alignment vertical="center" wrapText="1"/>
    </xf>
    <xf numFmtId="164" fontId="11" fillId="2" borderId="116" xfId="14" applyNumberFormat="1" applyFont="1" applyFill="1" applyBorder="1" applyAlignment="1">
      <alignment vertical="center"/>
    </xf>
    <xf numFmtId="164" fontId="11" fillId="2" borderId="117" xfId="14" applyNumberFormat="1" applyFont="1" applyFill="1" applyBorder="1" applyAlignment="1">
      <alignment vertical="center"/>
    </xf>
    <xf numFmtId="164" fontId="0" fillId="2" borderId="10" xfId="0" applyNumberFormat="1" applyFont="1" applyFill="1" applyBorder="1" applyAlignment="1">
      <alignment vertical="center" wrapText="1"/>
    </xf>
    <xf numFmtId="0" fontId="1" fillId="2" borderId="47" xfId="0" applyFont="1" applyFill="1" applyBorder="1" applyAlignment="1">
      <alignment vertical="center"/>
    </xf>
    <xf numFmtId="164" fontId="4" fillId="2" borderId="3" xfId="14" applyNumberFormat="1" applyFont="1" applyFill="1" applyBorder="1" applyAlignment="1">
      <alignment vertical="center"/>
    </xf>
    <xf numFmtId="164" fontId="4" fillId="0" borderId="104" xfId="14" applyNumberFormat="1" applyFont="1" applyFill="1" applyBorder="1" applyAlignment="1">
      <alignment vertical="center"/>
    </xf>
    <xf numFmtId="164" fontId="0" fillId="0" borderId="83" xfId="0" applyNumberFormat="1" applyFont="1" applyFill="1" applyBorder="1" applyAlignment="1">
      <alignment vertical="center" wrapText="1"/>
    </xf>
    <xf numFmtId="164" fontId="0" fillId="0" borderId="104" xfId="14" applyNumberFormat="1" applyFont="1" applyFill="1" applyBorder="1" applyAlignment="1">
      <alignment vertical="center"/>
    </xf>
    <xf numFmtId="164" fontId="4" fillId="0" borderId="1" xfId="14" applyNumberFormat="1" applyFont="1" applyFill="1" applyBorder="1" applyAlignment="1">
      <alignment vertical="center"/>
    </xf>
    <xf numFmtId="164" fontId="4" fillId="0" borderId="76" xfId="14" applyNumberFormat="1" applyFont="1" applyFill="1" applyBorder="1" applyAlignment="1">
      <alignment vertical="center"/>
    </xf>
    <xf numFmtId="164" fontId="4" fillId="0" borderId="101" xfId="14" applyNumberFormat="1" applyFont="1" applyFill="1" applyBorder="1" applyAlignment="1">
      <alignment vertical="center"/>
    </xf>
    <xf numFmtId="164" fontId="4" fillId="0" borderId="2" xfId="14" applyNumberFormat="1" applyFont="1" applyFill="1" applyBorder="1" applyAlignment="1">
      <alignment vertical="center"/>
    </xf>
    <xf numFmtId="0" fontId="0" fillId="0" borderId="44" xfId="0" applyFill="1" applyBorder="1" applyAlignment="1">
      <alignment vertical="center" wrapText="1"/>
    </xf>
    <xf numFmtId="0" fontId="30" fillId="2" borderId="67" xfId="0" applyFont="1" applyFill="1" applyBorder="1" applyAlignment="1">
      <alignment vertical="center" wrapText="1"/>
    </xf>
    <xf numFmtId="164" fontId="3" fillId="2" borderId="25" xfId="0" applyNumberFormat="1" applyFont="1" applyFill="1" applyBorder="1" applyAlignment="1">
      <alignment vertical="center" wrapText="1"/>
    </xf>
    <xf numFmtId="0" fontId="6" fillId="2" borderId="70" xfId="0" applyFont="1" applyFill="1" applyBorder="1" applyAlignment="1">
      <alignment horizontal="left" vertical="center" wrapText="1"/>
    </xf>
    <xf numFmtId="0" fontId="6" fillId="2" borderId="115" xfId="0" applyFont="1" applyFill="1" applyBorder="1" applyAlignment="1">
      <alignment horizontal="left" vertical="center" wrapText="1"/>
    </xf>
    <xf numFmtId="164" fontId="4" fillId="2" borderId="28" xfId="14" applyNumberFormat="1" applyFont="1" applyFill="1" applyBorder="1" applyAlignment="1">
      <alignment vertical="center"/>
    </xf>
    <xf numFmtId="164" fontId="4" fillId="2" borderId="42" xfId="14" applyNumberFormat="1" applyFont="1" applyFill="1" applyBorder="1" applyAlignment="1">
      <alignment vertical="center"/>
    </xf>
    <xf numFmtId="164" fontId="4" fillId="2" borderId="43" xfId="14" applyNumberFormat="1" applyFont="1" applyFill="1" applyBorder="1" applyAlignment="1">
      <alignment vertical="center"/>
    </xf>
    <xf numFmtId="0" fontId="2" fillId="0" borderId="51"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2" fillId="0" borderId="78"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44" xfId="0" applyFont="1" applyFill="1" applyBorder="1" applyAlignment="1">
      <alignment horizontal="center" vertical="center" wrapText="1"/>
    </xf>
    <xf numFmtId="164" fontId="0" fillId="0" borderId="28" xfId="14" applyNumberFormat="1" applyFont="1" applyFill="1" applyBorder="1" applyAlignment="1">
      <alignment vertical="center"/>
    </xf>
    <xf numFmtId="164" fontId="0" fillId="0" borderId="33" xfId="14" applyNumberFormat="1" applyFont="1" applyFill="1" applyBorder="1" applyAlignment="1">
      <alignment vertical="center"/>
    </xf>
    <xf numFmtId="164" fontId="0" fillId="0" borderId="3" xfId="14" applyNumberFormat="1" applyFont="1" applyFill="1" applyBorder="1" applyAlignment="1">
      <alignment vertical="center"/>
    </xf>
    <xf numFmtId="164" fontId="0" fillId="0" borderId="2" xfId="0" applyNumberFormat="1" applyFont="1" applyFill="1" applyBorder="1" applyAlignment="1">
      <alignment vertical="center" wrapText="1"/>
    </xf>
    <xf numFmtId="0" fontId="2" fillId="0" borderId="2" xfId="0" applyFont="1" applyBorder="1" applyAlignment="1">
      <alignment horizontal="center" vertical="center" wrapText="1"/>
    </xf>
    <xf numFmtId="0" fontId="11" fillId="0" borderId="0" xfId="0" applyFont="1" applyBorder="1" applyAlignment="1">
      <alignment horizontal="left" vertical="center"/>
    </xf>
    <xf numFmtId="164" fontId="0" fillId="0" borderId="0" xfId="0" applyNumberFormat="1" applyAlignment="1">
      <alignment horizontal="left" vertical="center"/>
    </xf>
    <xf numFmtId="0" fontId="0" fillId="0" borderId="67" xfId="0" applyBorder="1" applyAlignment="1">
      <alignment vertical="center" wrapText="1"/>
    </xf>
    <xf numFmtId="0" fontId="30" fillId="0" borderId="70" xfId="0" applyFont="1" applyBorder="1" applyAlignment="1">
      <alignment vertical="center" wrapText="1"/>
    </xf>
    <xf numFmtId="0" fontId="10" fillId="0" borderId="70" xfId="0" applyFont="1" applyBorder="1" applyAlignment="1">
      <alignment vertical="center" wrapText="1"/>
    </xf>
    <xf numFmtId="0" fontId="6" fillId="0" borderId="70" xfId="0" applyFont="1" applyBorder="1" applyAlignment="1">
      <alignment horizontal="left" vertical="center" wrapText="1"/>
    </xf>
    <xf numFmtId="0" fontId="6" fillId="0" borderId="115" xfId="0" applyFont="1" applyBorder="1" applyAlignment="1">
      <alignment horizontal="left" vertical="center" wrapText="1"/>
    </xf>
    <xf numFmtId="0" fontId="30" fillId="2" borderId="135" xfId="0" applyFont="1" applyFill="1" applyBorder="1" applyAlignment="1">
      <alignment horizontal="left" vertical="center" wrapText="1"/>
    </xf>
    <xf numFmtId="0" fontId="1" fillId="2" borderId="11" xfId="0" applyFont="1" applyFill="1" applyBorder="1" applyAlignment="1">
      <alignment vertical="center"/>
    </xf>
    <xf numFmtId="0" fontId="0" fillId="0" borderId="47" xfId="0" applyBorder="1" applyAlignment="1">
      <alignment vertical="center" wrapText="1"/>
    </xf>
    <xf numFmtId="0" fontId="0" fillId="0" borderId="9" xfId="0" applyBorder="1" applyAlignment="1">
      <alignment vertical="center" wrapText="1"/>
    </xf>
    <xf numFmtId="164" fontId="34" fillId="0" borderId="99" xfId="0" applyNumberFormat="1" applyFont="1" applyFill="1" applyBorder="1" applyAlignment="1">
      <alignment vertical="center"/>
    </xf>
    <xf numFmtId="164" fontId="0" fillId="0" borderId="0" xfId="0" applyNumberFormat="1" applyFill="1" applyAlignment="1">
      <alignment vertical="center"/>
    </xf>
    <xf numFmtId="0" fontId="2" fillId="0" borderId="83" xfId="0" applyFont="1" applyBorder="1" applyAlignment="1">
      <alignment horizontal="center" wrapText="1"/>
    </xf>
    <xf numFmtId="164" fontId="0" fillId="0" borderId="17" xfId="14" applyNumberFormat="1" applyFont="1" applyBorder="1" applyAlignment="1">
      <alignment vertical="center"/>
    </xf>
    <xf numFmtId="164" fontId="0" fillId="0" borderId="75" xfId="14" applyNumberFormat="1" applyFont="1" applyBorder="1" applyAlignment="1">
      <alignment vertical="center"/>
    </xf>
    <xf numFmtId="164" fontId="0" fillId="0" borderId="79" xfId="14" applyNumberFormat="1" applyFont="1" applyBorder="1" applyAlignment="1">
      <alignment vertical="center"/>
    </xf>
    <xf numFmtId="164" fontId="0" fillId="0" borderId="104" xfId="14" applyNumberFormat="1" applyFont="1" applyBorder="1" applyAlignment="1">
      <alignment vertical="center"/>
    </xf>
    <xf numFmtId="164" fontId="0" fillId="0" borderId="17" xfId="0" applyNumberFormat="1" applyFont="1" applyBorder="1" applyAlignment="1">
      <alignment vertical="center" wrapText="1"/>
    </xf>
    <xf numFmtId="6" fontId="19" fillId="0" borderId="75" xfId="0" applyNumberFormat="1" applyFont="1" applyBorder="1" applyAlignment="1">
      <alignment horizontal="right" wrapText="1"/>
    </xf>
    <xf numFmtId="0" fontId="0" fillId="0" borderId="0" xfId="0"/>
    <xf numFmtId="0" fontId="0" fillId="0" borderId="0" xfId="0" applyAlignment="1">
      <alignment vertical="center"/>
    </xf>
    <xf numFmtId="164" fontId="0" fillId="0" borderId="0" xfId="0" applyNumberFormat="1"/>
    <xf numFmtId="0" fontId="0" fillId="0" borderId="0" xfId="0" applyBorder="1"/>
    <xf numFmtId="164" fontId="14" fillId="0" borderId="41" xfId="0" applyNumberFormat="1" applyFont="1" applyFill="1" applyBorder="1" applyAlignment="1">
      <alignment horizontal="right" vertical="center"/>
    </xf>
    <xf numFmtId="164" fontId="4" fillId="0" borderId="8" xfId="14" applyNumberFormat="1" applyFont="1" applyBorder="1"/>
    <xf numFmtId="6" fontId="0" fillId="0" borderId="0" xfId="0" applyNumberFormat="1" applyAlignment="1">
      <alignment vertical="center"/>
    </xf>
    <xf numFmtId="164" fontId="4" fillId="0" borderId="28" xfId="14" applyNumberFormat="1" applyFont="1" applyBorder="1"/>
    <xf numFmtId="164" fontId="4" fillId="0" borderId="42" xfId="14" applyNumberFormat="1" applyFont="1" applyBorder="1"/>
    <xf numFmtId="164" fontId="4" fillId="0" borderId="43" xfId="14" applyNumberFormat="1" applyFont="1" applyBorder="1"/>
    <xf numFmtId="6" fontId="0" fillId="0" borderId="0" xfId="0" applyNumberFormat="1"/>
    <xf numFmtId="164" fontId="29" fillId="5" borderId="92" xfId="0" applyNumberFormat="1" applyFont="1" applyFill="1" applyBorder="1" applyAlignment="1">
      <alignment horizontal="left" vertical="center"/>
    </xf>
    <xf numFmtId="164" fontId="0" fillId="0" borderId="83" xfId="14" applyNumberFormat="1" applyFont="1" applyBorder="1" applyAlignment="1">
      <alignment vertical="center"/>
    </xf>
    <xf numFmtId="164" fontId="29" fillId="0" borderId="92" xfId="0" applyNumberFormat="1" applyFont="1" applyFill="1" applyBorder="1" applyAlignment="1">
      <alignment horizontal="left" vertical="center"/>
    </xf>
    <xf numFmtId="0" fontId="2" fillId="0" borderId="83" xfId="0" applyFont="1" applyBorder="1" applyAlignment="1">
      <alignment horizontal="center" vertical="center" wrapText="1"/>
    </xf>
    <xf numFmtId="164" fontId="0" fillId="0" borderId="75" xfId="14" applyNumberFormat="1" applyFont="1" applyBorder="1" applyAlignment="1">
      <alignment vertical="center"/>
    </xf>
    <xf numFmtId="164" fontId="0" fillId="0" borderId="79" xfId="14" applyNumberFormat="1" applyFont="1" applyBorder="1" applyAlignment="1">
      <alignment vertical="center"/>
    </xf>
    <xf numFmtId="164" fontId="0" fillId="0" borderId="104" xfId="14" applyNumberFormat="1" applyFont="1" applyBorder="1" applyAlignment="1">
      <alignment vertical="center"/>
    </xf>
    <xf numFmtId="0" fontId="0" fillId="0" borderId="123" xfId="0" applyBorder="1" applyAlignment="1">
      <alignment wrapText="1"/>
    </xf>
    <xf numFmtId="6" fontId="19" fillId="0" borderId="75" xfId="0" applyNumberFormat="1" applyFont="1" applyBorder="1" applyAlignment="1">
      <alignment horizontal="right" wrapText="1"/>
    </xf>
    <xf numFmtId="0" fontId="35" fillId="0" borderId="0" xfId="0" applyFont="1" applyAlignment="1">
      <alignment horizontal="left" readingOrder="1"/>
    </xf>
    <xf numFmtId="0" fontId="36" fillId="0" borderId="0" xfId="0" applyFont="1" applyAlignment="1">
      <alignment horizontal="left" readingOrder="1"/>
    </xf>
    <xf numFmtId="6" fontId="36" fillId="0" borderId="0" xfId="0" applyNumberFormat="1" applyFont="1" applyAlignment="1">
      <alignment horizontal="left" readingOrder="1"/>
    </xf>
    <xf numFmtId="0" fontId="36" fillId="0" borderId="0" xfId="0" applyFont="1"/>
    <xf numFmtId="6" fontId="36" fillId="0" borderId="0" xfId="0" applyNumberFormat="1" applyFont="1"/>
    <xf numFmtId="0" fontId="10" fillId="0" borderId="123" xfId="0" applyFont="1" applyBorder="1" applyAlignment="1">
      <alignment wrapText="1"/>
    </xf>
    <xf numFmtId="0" fontId="0" fillId="0" borderId="123" xfId="0" applyBorder="1" applyAlignment="1">
      <alignment vertical="center" wrapText="1"/>
    </xf>
    <xf numFmtId="0" fontId="2" fillId="0" borderId="61"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10" xfId="0" applyFont="1" applyBorder="1" applyAlignment="1">
      <alignment horizontal="center" vertical="center" wrapText="1"/>
    </xf>
    <xf numFmtId="0" fontId="35" fillId="0" borderId="0" xfId="0" applyFont="1" applyAlignment="1">
      <alignment horizontal="left" vertical="center"/>
    </xf>
    <xf numFmtId="164" fontId="4" fillId="0" borderId="79" xfId="14" applyNumberFormat="1" applyFont="1" applyBorder="1" applyAlignment="1">
      <alignment vertical="center"/>
    </xf>
    <xf numFmtId="164" fontId="0" fillId="0" borderId="116" xfId="14" applyNumberFormat="1" applyFont="1" applyBorder="1" applyAlignment="1">
      <alignment vertical="center"/>
    </xf>
    <xf numFmtId="164" fontId="0" fillId="0" borderId="117" xfId="14" applyNumberFormat="1" applyFont="1" applyBorder="1" applyAlignment="1">
      <alignment vertical="center"/>
    </xf>
    <xf numFmtId="165" fontId="0" fillId="0" borderId="35" xfId="14" applyNumberFormat="1" applyFont="1" applyBorder="1" applyAlignment="1">
      <alignment vertical="center"/>
    </xf>
    <xf numFmtId="165" fontId="0" fillId="0" borderId="35" xfId="14" applyNumberFormat="1" applyFont="1" applyFill="1" applyBorder="1" applyAlignment="1">
      <alignment vertical="center"/>
    </xf>
    <xf numFmtId="0" fontId="10" fillId="0" borderId="23" xfId="0" applyFont="1" applyFill="1" applyBorder="1" applyAlignment="1">
      <alignment vertical="center" wrapText="1"/>
    </xf>
    <xf numFmtId="0" fontId="10" fillId="0" borderId="23" xfId="0" applyFont="1" applyBorder="1" applyAlignment="1">
      <alignment vertical="center" wrapText="1"/>
    </xf>
    <xf numFmtId="164" fontId="5" fillId="6" borderId="99" xfId="0" applyNumberFormat="1" applyFont="1" applyFill="1" applyBorder="1" applyAlignment="1">
      <alignment vertical="center"/>
    </xf>
    <xf numFmtId="164" fontId="7" fillId="6" borderId="100" xfId="0" applyNumberFormat="1" applyFont="1" applyFill="1" applyBorder="1" applyAlignment="1">
      <alignment horizontal="left" vertical="center"/>
    </xf>
    <xf numFmtId="0" fontId="10" fillId="0" borderId="70" xfId="0" applyFont="1" applyFill="1" applyBorder="1" applyAlignment="1">
      <alignment vertical="center" wrapText="1"/>
    </xf>
    <xf numFmtId="164" fontId="0" fillId="0" borderId="75" xfId="14" applyNumberFormat="1" applyFont="1" applyFill="1" applyBorder="1" applyAlignment="1">
      <alignment vertical="center"/>
    </xf>
    <xf numFmtId="164" fontId="0" fillId="0" borderId="75" xfId="0" applyNumberFormat="1" applyFill="1" applyBorder="1" applyAlignment="1">
      <alignment vertical="center"/>
    </xf>
    <xf numFmtId="0" fontId="10" fillId="0" borderId="115" xfId="0" applyFont="1" applyFill="1" applyBorder="1" applyAlignment="1">
      <alignment vertical="center" wrapText="1"/>
    </xf>
    <xf numFmtId="164" fontId="18" fillId="0" borderId="17" xfId="0" applyNumberFormat="1" applyFont="1" applyFill="1" applyBorder="1" applyAlignment="1">
      <alignment vertical="center"/>
    </xf>
    <xf numFmtId="164" fontId="0" fillId="0" borderId="79" xfId="14" applyNumberFormat="1" applyFont="1" applyFill="1" applyBorder="1" applyAlignment="1">
      <alignment vertical="center"/>
    </xf>
    <xf numFmtId="164" fontId="0" fillId="0" borderId="79" xfId="0" applyNumberFormat="1" applyFill="1" applyBorder="1" applyAlignment="1">
      <alignment vertical="center"/>
    </xf>
    <xf numFmtId="164" fontId="0" fillId="0" borderId="104" xfId="0" applyNumberFormat="1" applyFill="1" applyBorder="1" applyAlignment="1">
      <alignment vertical="center"/>
    </xf>
    <xf numFmtId="0" fontId="1" fillId="0" borderId="67" xfId="0" applyFont="1" applyBorder="1" applyAlignment="1">
      <alignment vertical="center" wrapText="1"/>
    </xf>
    <xf numFmtId="164" fontId="0" fillId="0" borderId="116" xfId="0" applyNumberFormat="1" applyFill="1" applyBorder="1" applyAlignment="1">
      <alignment vertical="center"/>
    </xf>
    <xf numFmtId="164" fontId="0" fillId="0" borderId="117" xfId="0" applyNumberFormat="1" applyFill="1" applyBorder="1" applyAlignment="1">
      <alignment vertical="center"/>
    </xf>
    <xf numFmtId="164" fontId="0" fillId="0" borderId="118" xfId="0" applyNumberFormat="1" applyFill="1" applyBorder="1" applyAlignment="1">
      <alignment vertical="center"/>
    </xf>
    <xf numFmtId="164" fontId="18" fillId="0" borderId="50" xfId="0" applyNumberFormat="1" applyFont="1" applyFill="1" applyBorder="1" applyAlignment="1">
      <alignment vertical="center"/>
    </xf>
    <xf numFmtId="0" fontId="1" fillId="0" borderId="39" xfId="0" applyFont="1" applyFill="1" applyBorder="1" applyAlignment="1">
      <alignment vertical="center"/>
    </xf>
    <xf numFmtId="0" fontId="30" fillId="0" borderId="86" xfId="0" applyFont="1" applyFill="1" applyBorder="1" applyAlignment="1">
      <alignment horizontal="left" vertical="center" wrapText="1"/>
    </xf>
    <xf numFmtId="0" fontId="6" fillId="0" borderId="87" xfId="0" applyFont="1" applyFill="1" applyBorder="1" applyAlignment="1">
      <alignment horizontal="left" vertical="center" wrapText="1"/>
    </xf>
    <xf numFmtId="0" fontId="6" fillId="0" borderId="88" xfId="0" applyFont="1" applyFill="1" applyBorder="1" applyAlignment="1">
      <alignment horizontal="left" vertical="center" wrapText="1"/>
    </xf>
    <xf numFmtId="6" fontId="5" fillId="14" borderId="137" xfId="0" applyNumberFormat="1" applyFont="1" applyFill="1" applyBorder="1" applyAlignment="1">
      <alignment vertical="center"/>
    </xf>
    <xf numFmtId="164" fontId="5" fillId="6" borderId="52" xfId="0" applyNumberFormat="1" applyFont="1" applyFill="1" applyBorder="1" applyAlignment="1">
      <alignment vertical="center"/>
    </xf>
    <xf numFmtId="6" fontId="5" fillId="11" borderId="41" xfId="0" applyNumberFormat="1" applyFont="1" applyFill="1" applyBorder="1" applyAlignment="1">
      <alignment vertical="center"/>
    </xf>
    <xf numFmtId="0" fontId="2" fillId="0" borderId="0" xfId="0" applyFont="1" applyFill="1" applyBorder="1" applyAlignment="1">
      <alignment horizontal="center" wrapText="1"/>
    </xf>
    <xf numFmtId="0" fontId="0" fillId="6" borderId="0" xfId="0" applyFill="1"/>
    <xf numFmtId="165" fontId="0" fillId="6" borderId="0" xfId="0" applyNumberFormat="1" applyFill="1"/>
    <xf numFmtId="164" fontId="18" fillId="0" borderId="17" xfId="0" applyNumberFormat="1" applyFont="1" applyBorder="1" applyAlignment="1">
      <alignment horizontal="right" vertical="center"/>
    </xf>
    <xf numFmtId="164" fontId="18" fillId="2" borderId="83" xfId="0" applyNumberFormat="1" applyFont="1" applyFill="1" applyBorder="1" applyAlignment="1">
      <alignment horizontal="right" vertical="center"/>
    </xf>
    <xf numFmtId="6" fontId="6" fillId="14" borderId="40" xfId="0" applyNumberFormat="1" applyFont="1" applyFill="1" applyBorder="1" applyAlignment="1">
      <alignment horizontal="right" vertical="center"/>
    </xf>
    <xf numFmtId="6" fontId="6" fillId="14" borderId="41" xfId="0" applyNumberFormat="1" applyFont="1" applyFill="1" applyBorder="1" applyAlignment="1">
      <alignment horizontal="right" vertical="center"/>
    </xf>
    <xf numFmtId="6" fontId="5" fillId="11" borderId="137" xfId="0" applyNumberFormat="1" applyFont="1" applyFill="1" applyBorder="1" applyAlignment="1">
      <alignment vertical="center"/>
    </xf>
    <xf numFmtId="164" fontId="14" fillId="0" borderId="41" xfId="0" applyNumberFormat="1" applyFont="1" applyBorder="1" applyAlignment="1">
      <alignment vertical="center"/>
    </xf>
    <xf numFmtId="0" fontId="0" fillId="0" borderId="38" xfId="0" applyBorder="1" applyAlignment="1">
      <alignment horizontal="center" vertical="center"/>
    </xf>
    <xf numFmtId="6" fontId="6" fillId="24" borderId="41" xfId="0" applyNumberFormat="1" applyFont="1" applyFill="1" applyBorder="1" applyAlignment="1">
      <alignment vertical="center"/>
    </xf>
    <xf numFmtId="6" fontId="5" fillId="11" borderId="41" xfId="0" applyNumberFormat="1" applyFont="1" applyFill="1" applyBorder="1" applyAlignment="1">
      <alignment horizontal="right" vertical="center"/>
    </xf>
    <xf numFmtId="164" fontId="4" fillId="0" borderId="8" xfId="14" applyNumberFormat="1" applyFont="1" applyBorder="1" applyAlignment="1">
      <alignment vertical="center"/>
    </xf>
    <xf numFmtId="0" fontId="6" fillId="0" borderId="70" xfId="0" applyFont="1" applyBorder="1"/>
    <xf numFmtId="164" fontId="6" fillId="0" borderId="71" xfId="0" applyNumberFormat="1" applyFont="1" applyBorder="1" applyAlignment="1">
      <alignment horizontal="right"/>
    </xf>
    <xf numFmtId="164" fontId="5" fillId="0" borderId="28" xfId="14" applyNumberFormat="1" applyFont="1" applyBorder="1" applyAlignment="1">
      <alignment horizontal="right" vertical="center"/>
    </xf>
    <xf numFmtId="164" fontId="5" fillId="0" borderId="42" xfId="14" applyNumberFormat="1" applyFont="1" applyBorder="1" applyAlignment="1">
      <alignment horizontal="right" vertical="center"/>
    </xf>
    <xf numFmtId="164" fontId="5" fillId="0" borderId="43" xfId="14" applyNumberFormat="1" applyFont="1" applyBorder="1" applyAlignment="1">
      <alignment horizontal="right" vertical="center"/>
    </xf>
    <xf numFmtId="164" fontId="6" fillId="0" borderId="75" xfId="0" applyNumberFormat="1" applyFont="1" applyBorder="1" applyAlignment="1">
      <alignment horizontal="right"/>
    </xf>
    <xf numFmtId="164" fontId="6" fillId="0" borderId="79" xfId="0" applyNumberFormat="1" applyFont="1" applyBorder="1" applyAlignment="1">
      <alignment horizontal="right"/>
    </xf>
    <xf numFmtId="164" fontId="5" fillId="0" borderId="3" xfId="0" applyNumberFormat="1" applyFont="1" applyBorder="1" applyAlignment="1">
      <alignment horizontal="right" vertical="center"/>
    </xf>
    <xf numFmtId="0" fontId="2" fillId="0" borderId="0" xfId="0" applyFont="1" applyFill="1" applyBorder="1" applyAlignment="1">
      <alignment horizontal="center" vertical="center" wrapText="1"/>
    </xf>
    <xf numFmtId="0" fontId="0" fillId="0" borderId="140" xfId="0" applyBorder="1" applyAlignment="1">
      <alignment vertical="center" wrapText="1"/>
    </xf>
    <xf numFmtId="164" fontId="0" fillId="0" borderId="141" xfId="14" applyNumberFormat="1" applyFont="1" applyBorder="1" applyAlignment="1">
      <alignment vertical="center"/>
    </xf>
    <xf numFmtId="164" fontId="0" fillId="0" borderId="142" xfId="14" applyNumberFormat="1" applyFont="1" applyBorder="1" applyAlignment="1">
      <alignment vertical="center"/>
    </xf>
    <xf numFmtId="165" fontId="0" fillId="0" borderId="142" xfId="14" applyNumberFormat="1" applyFont="1" applyFill="1" applyBorder="1" applyAlignment="1">
      <alignment vertical="center"/>
    </xf>
    <xf numFmtId="164" fontId="0" fillId="0" borderId="81" xfId="0" applyNumberFormat="1" applyFont="1" applyBorder="1" applyAlignment="1">
      <alignment horizontal="right" vertical="center" wrapText="1"/>
    </xf>
    <xf numFmtId="164" fontId="0" fillId="0" borderId="82" xfId="0" applyNumberFormat="1" applyFont="1" applyBorder="1" applyAlignment="1">
      <alignment horizontal="right" vertical="center" wrapText="1"/>
    </xf>
    <xf numFmtId="0" fontId="11" fillId="0" borderId="23" xfId="0" applyFont="1" applyBorder="1" applyAlignment="1">
      <alignment vertical="center" wrapText="1"/>
    </xf>
    <xf numFmtId="164" fontId="11" fillId="0" borderId="37" xfId="14" applyNumberFormat="1" applyFont="1" applyBorder="1" applyAlignment="1">
      <alignment horizontal="right" vertical="center"/>
    </xf>
    <xf numFmtId="164" fontId="11" fillId="0" borderId="35" xfId="14" applyNumberFormat="1" applyFont="1" applyBorder="1" applyAlignment="1">
      <alignment horizontal="right" vertical="center"/>
    </xf>
    <xf numFmtId="165" fontId="11" fillId="0" borderId="35" xfId="14" applyNumberFormat="1" applyFont="1" applyFill="1" applyBorder="1" applyAlignment="1">
      <alignment horizontal="right" vertical="center"/>
    </xf>
    <xf numFmtId="164" fontId="11" fillId="0" borderId="17" xfId="14" applyNumberFormat="1" applyFont="1" applyBorder="1" applyAlignment="1">
      <alignment horizontal="right" vertical="center"/>
    </xf>
    <xf numFmtId="164" fontId="11" fillId="0" borderId="0" xfId="0" applyNumberFormat="1" applyFont="1" applyAlignment="1">
      <alignment horizontal="right" vertical="center"/>
    </xf>
    <xf numFmtId="0" fontId="11" fillId="0" borderId="0" xfId="0" applyFont="1"/>
    <xf numFmtId="164" fontId="0" fillId="0" borderId="115" xfId="0" applyNumberFormat="1" applyBorder="1"/>
    <xf numFmtId="164" fontId="0" fillId="0" borderId="106" xfId="0" applyNumberFormat="1" applyBorder="1"/>
    <xf numFmtId="164" fontId="0" fillId="0" borderId="115" xfId="0" applyNumberFormat="1" applyBorder="1" applyAlignment="1">
      <alignment vertical="center"/>
    </xf>
    <xf numFmtId="164" fontId="0" fillId="0" borderId="106" xfId="0" applyNumberFormat="1" applyBorder="1" applyAlignment="1">
      <alignment vertical="center"/>
    </xf>
    <xf numFmtId="164" fontId="1" fillId="0" borderId="0" xfId="0" applyNumberFormat="1" applyFont="1" applyAlignment="1">
      <alignment horizontal="center" vertical="center"/>
    </xf>
    <xf numFmtId="0" fontId="40" fillId="0" borderId="123" xfId="0" applyFont="1" applyBorder="1" applyAlignment="1">
      <alignment horizontal="left" vertical="center" wrapText="1"/>
    </xf>
    <xf numFmtId="0" fontId="2" fillId="0" borderId="28" xfId="0" applyFont="1" applyBorder="1" applyAlignment="1">
      <alignment horizontal="center" wrapText="1"/>
    </xf>
    <xf numFmtId="0" fontId="2" fillId="0" borderId="42" xfId="0" applyFont="1" applyBorder="1" applyAlignment="1">
      <alignment horizontal="center" wrapText="1"/>
    </xf>
    <xf numFmtId="0" fontId="2" fillId="0" borderId="43" xfId="0" applyFont="1" applyBorder="1" applyAlignment="1">
      <alignment horizontal="center" wrapText="1"/>
    </xf>
    <xf numFmtId="0" fontId="0" fillId="0" borderId="38" xfId="0" applyBorder="1" applyAlignment="1">
      <alignment vertical="center"/>
    </xf>
    <xf numFmtId="164" fontId="3" fillId="0" borderId="13" xfId="0" applyNumberFormat="1" applyFont="1" applyBorder="1" applyAlignment="1">
      <alignment horizontal="center" vertical="center"/>
    </xf>
    <xf numFmtId="0" fontId="6" fillId="0" borderId="24" xfId="0" applyFont="1" applyBorder="1" applyAlignment="1">
      <alignment vertical="center"/>
    </xf>
    <xf numFmtId="0" fontId="6" fillId="0" borderId="20" xfId="0" applyFont="1" applyBorder="1" applyAlignment="1">
      <alignment vertical="center"/>
    </xf>
    <xf numFmtId="0" fontId="23" fillId="0" borderId="0" xfId="0" applyFont="1" applyAlignment="1">
      <alignment horizontal="left" vertical="center"/>
    </xf>
    <xf numFmtId="0" fontId="1" fillId="0" borderId="33"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pplyProtection="1">
      <alignment vertical="center"/>
      <protection locked="0" hidden="1"/>
    </xf>
    <xf numFmtId="164" fontId="0" fillId="0" borderId="45" xfId="0" applyNumberFormat="1" applyBorder="1" applyAlignment="1">
      <alignment vertical="center"/>
    </xf>
    <xf numFmtId="164" fontId="0" fillId="0" borderId="124" xfId="14" applyNumberFormat="1" applyFont="1" applyBorder="1" applyAlignment="1">
      <alignment horizontal="right" vertical="center"/>
    </xf>
    <xf numFmtId="164" fontId="0" fillId="0" borderId="125" xfId="14" applyNumberFormat="1" applyFont="1" applyBorder="1" applyAlignment="1">
      <alignment horizontal="right" vertical="center"/>
    </xf>
    <xf numFmtId="166" fontId="41" fillId="0" borderId="143" xfId="0" applyNumberFormat="1" applyFont="1" applyFill="1" applyBorder="1" applyAlignment="1">
      <alignment vertical="top" wrapText="1" readingOrder="1"/>
    </xf>
    <xf numFmtId="39" fontId="0" fillId="0" borderId="0" xfId="0" applyNumberFormat="1"/>
    <xf numFmtId="166" fontId="41" fillId="0" borderId="144" xfId="0" applyNumberFormat="1" applyFont="1" applyFill="1" applyBorder="1" applyAlignment="1">
      <alignment vertical="top" wrapText="1" readingOrder="1"/>
    </xf>
    <xf numFmtId="166" fontId="0" fillId="0" borderId="115" xfId="0" applyNumberFormat="1" applyBorder="1"/>
    <xf numFmtId="0" fontId="0" fillId="0" borderId="0" xfId="0" applyAlignment="1">
      <alignment horizontal="left"/>
    </xf>
    <xf numFmtId="167" fontId="41" fillId="0" borderId="143" xfId="0" applyNumberFormat="1" applyFont="1" applyFill="1" applyBorder="1" applyAlignment="1">
      <alignment horizontal="left" vertical="top" wrapText="1"/>
    </xf>
    <xf numFmtId="164" fontId="11" fillId="2" borderId="104" xfId="14" applyNumberFormat="1" applyFont="1" applyFill="1" applyBorder="1" applyAlignment="1">
      <alignment vertical="center"/>
    </xf>
    <xf numFmtId="164" fontId="11" fillId="2" borderId="118" xfId="14" applyNumberFormat="1" applyFont="1" applyFill="1" applyBorder="1" applyAlignment="1">
      <alignment vertical="center"/>
    </xf>
    <xf numFmtId="164" fontId="0" fillId="2" borderId="83" xfId="0" applyNumberFormat="1" applyFont="1" applyFill="1" applyBorder="1" applyAlignment="1">
      <alignment horizontal="right" vertical="center" wrapText="1"/>
    </xf>
    <xf numFmtId="0" fontId="6" fillId="2" borderId="70" xfId="0" applyFont="1" applyFill="1" applyBorder="1" applyAlignment="1">
      <alignment vertical="center" wrapText="1"/>
    </xf>
    <xf numFmtId="164" fontId="4" fillId="0" borderId="105" xfId="14" applyNumberFormat="1" applyFont="1" applyFill="1" applyBorder="1" applyAlignment="1">
      <alignment vertical="center"/>
    </xf>
    <xf numFmtId="164" fontId="14" fillId="0" borderId="41" xfId="0" applyNumberFormat="1" applyFont="1" applyFill="1" applyBorder="1" applyAlignment="1">
      <alignment vertical="center"/>
    </xf>
    <xf numFmtId="164" fontId="14" fillId="0" borderId="137" xfId="0" applyNumberFormat="1" applyFont="1" applyFill="1" applyBorder="1" applyAlignment="1">
      <alignment vertical="center"/>
    </xf>
    <xf numFmtId="165" fontId="0" fillId="0" borderId="0" xfId="0" applyNumberFormat="1" applyBorder="1" applyAlignment="1">
      <alignment vertical="center"/>
    </xf>
    <xf numFmtId="0" fontId="5" fillId="0" borderId="39" xfId="0" applyFont="1" applyBorder="1" applyAlignment="1">
      <alignment vertical="center"/>
    </xf>
    <xf numFmtId="164" fontId="6" fillId="0" borderId="39" xfId="14" applyNumberFormat="1" applyFont="1" applyBorder="1" applyAlignment="1">
      <alignment vertical="center"/>
    </xf>
    <xf numFmtId="164" fontId="3" fillId="0" borderId="10" xfId="0" applyNumberFormat="1" applyFont="1" applyFill="1" applyBorder="1" applyAlignment="1">
      <alignment horizontal="center"/>
    </xf>
    <xf numFmtId="0" fontId="2" fillId="0" borderId="120" xfId="0" applyFont="1" applyBorder="1" applyAlignment="1">
      <alignment horizontal="center" wrapText="1"/>
    </xf>
    <xf numFmtId="164" fontId="0" fillId="0" borderId="38" xfId="0" applyNumberFormat="1" applyFont="1" applyFill="1" applyBorder="1" applyAlignment="1" applyProtection="1">
      <alignment vertical="center"/>
      <protection hidden="1"/>
    </xf>
    <xf numFmtId="164" fontId="0" fillId="0" borderId="38" xfId="0" applyNumberFormat="1" applyBorder="1" applyAlignment="1">
      <alignment horizontal="center"/>
    </xf>
    <xf numFmtId="165" fontId="0" fillId="0" borderId="38" xfId="0" applyNumberFormat="1" applyBorder="1" applyAlignment="1">
      <alignment horizontal="center"/>
    </xf>
    <xf numFmtId="0" fontId="2" fillId="0" borderId="86" xfId="0" applyFont="1" applyBorder="1" applyAlignment="1">
      <alignment horizontal="center" wrapText="1"/>
    </xf>
    <xf numFmtId="6" fontId="16" fillId="25" borderId="41" xfId="0" applyNumberFormat="1" applyFont="1" applyFill="1" applyBorder="1" applyAlignment="1">
      <alignment vertical="center"/>
    </xf>
    <xf numFmtId="14" fontId="0" fillId="0" borderId="0" xfId="0" applyNumberFormat="1"/>
    <xf numFmtId="6" fontId="5" fillId="25" borderId="41" xfId="0" applyNumberFormat="1" applyFont="1" applyFill="1" applyBorder="1" applyAlignment="1">
      <alignment vertical="center"/>
    </xf>
    <xf numFmtId="0" fontId="6" fillId="0" borderId="0" xfId="0" applyFont="1"/>
    <xf numFmtId="0" fontId="6" fillId="0" borderId="24" xfId="0" applyFont="1" applyBorder="1"/>
    <xf numFmtId="0" fontId="6" fillId="0" borderId="20" xfId="0" applyFont="1" applyBorder="1"/>
    <xf numFmtId="164" fontId="4" fillId="0" borderId="0" xfId="14" applyNumberFormat="1" applyFont="1" applyFill="1" applyBorder="1"/>
    <xf numFmtId="0" fontId="0" fillId="0" borderId="19" xfId="0" applyBorder="1" applyAlignment="1">
      <alignment vertical="center"/>
    </xf>
    <xf numFmtId="0" fontId="0" fillId="0" borderId="6" xfId="0" applyBorder="1" applyAlignment="1">
      <alignment vertical="center"/>
    </xf>
    <xf numFmtId="0" fontId="0" fillId="0" borderId="11" xfId="0" applyBorder="1" applyAlignment="1">
      <alignment vertical="center"/>
    </xf>
    <xf numFmtId="0" fontId="0" fillId="0" borderId="24" xfId="0" applyBorder="1" applyAlignment="1"/>
    <xf numFmtId="0" fontId="0" fillId="0" borderId="38" xfId="0" applyBorder="1" applyAlignment="1"/>
    <xf numFmtId="0" fontId="0" fillId="0" borderId="39" xfId="0" applyBorder="1" applyAlignment="1"/>
    <xf numFmtId="0" fontId="0" fillId="0" borderId="23" xfId="0" applyBorder="1" applyAlignment="1">
      <alignment vertical="center"/>
    </xf>
    <xf numFmtId="0" fontId="0" fillId="0" borderId="24" xfId="0" applyBorder="1" applyAlignment="1">
      <alignment vertical="center"/>
    </xf>
    <xf numFmtId="0" fontId="2" fillId="0" borderId="36"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25" xfId="0" applyFont="1" applyBorder="1" applyAlignment="1">
      <alignment horizontal="center" vertical="center" wrapText="1"/>
    </xf>
    <xf numFmtId="164" fontId="0" fillId="0" borderId="3" xfId="0" applyNumberFormat="1" applyBorder="1" applyAlignment="1">
      <alignment vertical="center"/>
    </xf>
    <xf numFmtId="0" fontId="0" fillId="0" borderId="19" xfId="0" applyBorder="1"/>
    <xf numFmtId="0" fontId="0" fillId="0" borderId="47" xfId="0" applyBorder="1" applyAlignment="1">
      <alignment vertical="center"/>
    </xf>
    <xf numFmtId="164" fontId="3" fillId="0" borderId="10" xfId="0" applyNumberFormat="1" applyFont="1" applyBorder="1" applyAlignment="1">
      <alignment horizontal="center"/>
    </xf>
    <xf numFmtId="0" fontId="0" fillId="0" borderId="8" xfId="0" applyBorder="1" applyAlignment="1">
      <alignment horizontal="center" vertical="center"/>
    </xf>
    <xf numFmtId="38" fontId="0" fillId="0" borderId="154" xfId="0" applyNumberFormat="1" applyBorder="1"/>
    <xf numFmtId="164" fontId="0" fillId="0" borderId="154" xfId="0" applyNumberFormat="1" applyFont="1" applyBorder="1"/>
    <xf numFmtId="6" fontId="5" fillId="25" borderId="137" xfId="0" applyNumberFormat="1" applyFont="1" applyFill="1" applyBorder="1" applyAlignment="1">
      <alignment vertical="center"/>
    </xf>
    <xf numFmtId="164" fontId="5" fillId="25" borderId="99" xfId="0" applyNumberFormat="1" applyFont="1" applyFill="1" applyBorder="1" applyAlignment="1">
      <alignment vertical="center"/>
    </xf>
    <xf numFmtId="6" fontId="0" fillId="0" borderId="106" xfId="0" applyNumberFormat="1" applyBorder="1"/>
    <xf numFmtId="6" fontId="5" fillId="56" borderId="41" xfId="0" applyNumberFormat="1" applyFont="1" applyFill="1" applyBorder="1" applyAlignment="1">
      <alignment vertical="center"/>
    </xf>
    <xf numFmtId="6" fontId="16" fillId="56" borderId="41" xfId="0" applyNumberFormat="1" applyFont="1" applyFill="1" applyBorder="1" applyAlignment="1">
      <alignment vertical="center"/>
    </xf>
    <xf numFmtId="164" fontId="0" fillId="0" borderId="131" xfId="0" applyNumberFormat="1" applyFont="1" applyBorder="1" applyAlignment="1">
      <alignment vertical="center"/>
    </xf>
    <xf numFmtId="17" fontId="0" fillId="0" borderId="0" xfId="0" applyNumberFormat="1" applyAlignment="1">
      <alignment horizontal="left" vertical="center"/>
    </xf>
    <xf numFmtId="164" fontId="55" fillId="5" borderId="92" xfId="0" applyNumberFormat="1" applyFont="1" applyFill="1" applyBorder="1" applyAlignment="1">
      <alignment horizontal="left" vertical="center" wrapText="1"/>
    </xf>
    <xf numFmtId="0" fontId="0" fillId="0" borderId="0" xfId="0"/>
    <xf numFmtId="168" fontId="0" fillId="0" borderId="155" xfId="0" applyNumberFormat="1" applyFont="1" applyBorder="1"/>
    <xf numFmtId="164" fontId="18" fillId="0" borderId="23" xfId="0" applyNumberFormat="1" applyFont="1" applyBorder="1" applyAlignment="1" applyProtection="1">
      <alignment vertical="center" wrapText="1"/>
      <protection hidden="1"/>
    </xf>
    <xf numFmtId="164" fontId="0" fillId="0" borderId="35" xfId="0" applyNumberFormat="1" applyFont="1" applyBorder="1" applyAlignment="1">
      <alignment vertical="center"/>
    </xf>
    <xf numFmtId="164" fontId="0" fillId="0" borderId="17" xfId="0" applyNumberFormat="1" applyFont="1" applyBorder="1" applyAlignment="1">
      <alignment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xf>
    <xf numFmtId="0" fontId="5" fillId="0" borderId="0" xfId="0" applyFont="1" applyAlignment="1">
      <alignment horizontal="center" vertical="center" wrapText="1"/>
    </xf>
    <xf numFmtId="10" fontId="0" fillId="0" borderId="0" xfId="0" applyNumberFormat="1" applyBorder="1"/>
    <xf numFmtId="165" fontId="0" fillId="0" borderId="0" xfId="0" applyNumberFormat="1" applyBorder="1"/>
    <xf numFmtId="0" fontId="0" fillId="0" borderId="60" xfId="0" applyBorder="1" applyAlignment="1">
      <alignment vertical="center" wrapText="1"/>
    </xf>
    <xf numFmtId="0" fontId="0" fillId="0" borderId="59" xfId="0" applyBorder="1" applyAlignment="1">
      <alignment vertical="center"/>
    </xf>
    <xf numFmtId="0" fontId="10" fillId="0" borderId="10" xfId="0" applyFont="1" applyBorder="1" applyAlignment="1">
      <alignment vertical="top" wrapText="1"/>
    </xf>
    <xf numFmtId="164" fontId="0" fillId="0" borderId="76" xfId="0" applyNumberFormat="1" applyBorder="1" applyAlignment="1">
      <alignment vertical="center"/>
    </xf>
    <xf numFmtId="164" fontId="0" fillId="0" borderId="101" xfId="0" applyNumberFormat="1" applyBorder="1" applyAlignment="1">
      <alignment vertical="center"/>
    </xf>
    <xf numFmtId="164" fontId="0" fillId="0" borderId="102" xfId="0" applyNumberFormat="1" applyBorder="1" applyAlignment="1">
      <alignment vertical="center"/>
    </xf>
    <xf numFmtId="164" fontId="0" fillId="0" borderId="156" xfId="0" applyNumberFormat="1" applyBorder="1" applyAlignment="1">
      <alignment vertical="center"/>
    </xf>
    <xf numFmtId="164" fontId="0" fillId="0" borderId="157" xfId="0" applyNumberFormat="1" applyBorder="1" applyAlignment="1">
      <alignment vertical="center"/>
    </xf>
    <xf numFmtId="164" fontId="0" fillId="0" borderId="18" xfId="0" applyNumberFormat="1" applyBorder="1" applyAlignment="1">
      <alignment vertical="center"/>
    </xf>
    <xf numFmtId="3" fontId="0" fillId="0" borderId="0" xfId="0" applyNumberFormat="1"/>
    <xf numFmtId="164" fontId="6" fillId="0" borderId="116" xfId="0" applyNumberFormat="1" applyFont="1" applyFill="1" applyBorder="1" applyAlignment="1">
      <alignment horizontal="right"/>
    </xf>
    <xf numFmtId="164" fontId="6" fillId="0" borderId="117" xfId="0" applyNumberFormat="1" applyFont="1" applyBorder="1" applyAlignment="1">
      <alignment horizontal="right"/>
    </xf>
    <xf numFmtId="164" fontId="6" fillId="0" borderId="118" xfId="0" applyNumberFormat="1" applyFont="1" applyBorder="1" applyAlignment="1">
      <alignment horizontal="right"/>
    </xf>
    <xf numFmtId="0" fontId="0" fillId="0" borderId="65" xfId="0" applyBorder="1" applyAlignment="1">
      <alignment vertical="center" wrapText="1"/>
    </xf>
    <xf numFmtId="164" fontId="0" fillId="0" borderId="116" xfId="0" applyNumberFormat="1" applyBorder="1" applyAlignment="1">
      <alignment vertical="center"/>
    </xf>
    <xf numFmtId="164" fontId="0" fillId="0" borderId="117" xfId="0" applyNumberFormat="1" applyBorder="1" applyAlignment="1">
      <alignment vertical="center"/>
    </xf>
    <xf numFmtId="164" fontId="18" fillId="0" borderId="50" xfId="0" applyNumberFormat="1" applyFont="1" applyBorder="1" applyAlignment="1">
      <alignment vertical="center"/>
    </xf>
    <xf numFmtId="0" fontId="6" fillId="0" borderId="0" xfId="0" applyFont="1" applyFill="1" applyBorder="1" applyAlignment="1">
      <alignment horizontal="left" vertical="top" wrapText="1"/>
    </xf>
    <xf numFmtId="0" fontId="0" fillId="0" borderId="44" xfId="0" applyBorder="1" applyAlignment="1">
      <alignment vertical="center" wrapText="1"/>
    </xf>
    <xf numFmtId="0" fontId="2" fillId="0" borderId="44" xfId="0" applyFont="1" applyBorder="1" applyAlignment="1">
      <alignment horizontal="center" vertical="center" wrapText="1"/>
    </xf>
    <xf numFmtId="0" fontId="6" fillId="0" borderId="38" xfId="0" applyFont="1" applyBorder="1" applyAlignment="1">
      <alignment vertical="center"/>
    </xf>
    <xf numFmtId="164" fontId="0" fillId="0" borderId="61" xfId="14" applyNumberFormat="1" applyFont="1" applyBorder="1" applyAlignment="1">
      <alignment vertical="center"/>
    </xf>
    <xf numFmtId="164" fontId="0" fillId="0" borderId="46" xfId="14" applyNumberFormat="1" applyFont="1" applyBorder="1" applyAlignment="1">
      <alignment vertical="center"/>
    </xf>
    <xf numFmtId="0" fontId="6" fillId="2" borderId="19" xfId="0" applyFont="1" applyFill="1" applyBorder="1" applyAlignment="1">
      <alignment vertical="center"/>
    </xf>
    <xf numFmtId="164" fontId="0" fillId="2" borderId="36" xfId="14" applyNumberFormat="1" applyFont="1" applyFill="1" applyBorder="1" applyAlignment="1">
      <alignment vertical="center"/>
    </xf>
    <xf numFmtId="164" fontId="0" fillId="2" borderId="34" xfId="14" applyNumberFormat="1" applyFont="1" applyFill="1" applyBorder="1" applyAlignment="1">
      <alignment vertical="center"/>
    </xf>
    <xf numFmtId="0" fontId="6" fillId="2" borderId="23" xfId="0" applyFont="1" applyFill="1" applyBorder="1" applyAlignment="1">
      <alignment vertical="center"/>
    </xf>
    <xf numFmtId="164" fontId="0" fillId="2" borderId="35" xfId="14" applyNumberFormat="1" applyFont="1" applyFill="1" applyBorder="1" applyAlignment="1">
      <alignment vertical="center"/>
    </xf>
    <xf numFmtId="164" fontId="0" fillId="2" borderId="17" xfId="14" applyNumberFormat="1" applyFont="1" applyFill="1" applyBorder="1" applyAlignment="1">
      <alignment vertical="center"/>
    </xf>
    <xf numFmtId="164" fontId="0" fillId="2" borderId="25" xfId="14" applyNumberFormat="1" applyFont="1" applyFill="1" applyBorder="1" applyAlignment="1">
      <alignment vertical="center"/>
    </xf>
    <xf numFmtId="0" fontId="6" fillId="2" borderId="20" xfId="0" applyFont="1" applyFill="1" applyBorder="1" applyAlignment="1">
      <alignment vertical="center"/>
    </xf>
    <xf numFmtId="164" fontId="0" fillId="2" borderId="156" xfId="14" applyNumberFormat="1" applyFont="1" applyFill="1" applyBorder="1" applyAlignment="1">
      <alignment vertical="center"/>
    </xf>
    <xf numFmtId="164" fontId="0" fillId="2" borderId="157" xfId="14" applyNumberFormat="1" applyFont="1" applyFill="1" applyBorder="1" applyAlignment="1">
      <alignment vertical="center"/>
    </xf>
    <xf numFmtId="164" fontId="0" fillId="2" borderId="18" xfId="14" applyNumberFormat="1" applyFont="1" applyFill="1" applyBorder="1" applyAlignment="1">
      <alignment vertical="center"/>
    </xf>
    <xf numFmtId="164" fontId="0" fillId="0" borderId="10" xfId="14" applyNumberFormat="1" applyFont="1" applyBorder="1" applyAlignment="1">
      <alignment vertical="center"/>
    </xf>
    <xf numFmtId="164" fontId="0" fillId="0" borderId="3" xfId="14" applyNumberFormat="1" applyFont="1" applyBorder="1" applyAlignment="1">
      <alignment vertical="center"/>
    </xf>
    <xf numFmtId="0" fontId="0" fillId="2" borderId="6" xfId="0" applyFill="1" applyBorder="1" applyAlignment="1">
      <alignment vertical="center" wrapText="1"/>
    </xf>
    <xf numFmtId="164" fontId="0" fillId="2" borderId="28" xfId="14" applyNumberFormat="1" applyFont="1" applyFill="1" applyBorder="1" applyAlignment="1">
      <alignment horizontal="right" vertical="center"/>
    </xf>
    <xf numFmtId="164" fontId="0" fillId="2" borderId="42" xfId="14" applyNumberFormat="1" applyFont="1" applyFill="1" applyBorder="1" applyAlignment="1">
      <alignment vertical="center"/>
    </xf>
    <xf numFmtId="164" fontId="0" fillId="2" borderId="13" xfId="14" applyNumberFormat="1" applyFont="1" applyFill="1" applyBorder="1" applyAlignment="1">
      <alignment vertical="center"/>
    </xf>
    <xf numFmtId="164" fontId="0" fillId="2" borderId="3" xfId="14" applyNumberFormat="1" applyFont="1" applyFill="1" applyBorder="1" applyAlignment="1">
      <alignment vertical="center"/>
    </xf>
    <xf numFmtId="0" fontId="6" fillId="2" borderId="8" xfId="0" applyFont="1" applyFill="1" applyBorder="1" applyAlignment="1">
      <alignment horizontal="left" vertical="center" wrapText="1"/>
    </xf>
    <xf numFmtId="164" fontId="14" fillId="0" borderId="20" xfId="0" applyNumberFormat="1" applyFont="1" applyBorder="1" applyAlignment="1">
      <alignment vertical="center"/>
    </xf>
    <xf numFmtId="164" fontId="14" fillId="0" borderId="38" xfId="0" applyNumberFormat="1" applyFont="1" applyBorder="1" applyAlignment="1">
      <alignment horizontal="left" vertical="center"/>
    </xf>
    <xf numFmtId="164" fontId="14" fillId="0" borderId="24" xfId="0" applyNumberFormat="1" applyFont="1" applyBorder="1" applyAlignment="1">
      <alignment horizontal="left" vertical="center"/>
    </xf>
    <xf numFmtId="164" fontId="0" fillId="0" borderId="17" xfId="0" applyNumberFormat="1" applyFill="1" applyBorder="1"/>
    <xf numFmtId="164" fontId="18" fillId="0" borderId="0" xfId="0" applyNumberFormat="1" applyFont="1" applyFill="1" applyBorder="1" applyAlignment="1">
      <alignment vertical="center"/>
    </xf>
    <xf numFmtId="0" fontId="0" fillId="0" borderId="158" xfId="0" applyFont="1" applyFill="1" applyBorder="1" applyAlignment="1">
      <alignment vertical="center" wrapText="1"/>
    </xf>
    <xf numFmtId="164" fontId="0" fillId="0" borderId="159" xfId="14" applyNumberFormat="1" applyFont="1" applyBorder="1" applyAlignment="1">
      <alignment vertical="center"/>
    </xf>
    <xf numFmtId="164" fontId="0" fillId="0" borderId="159" xfId="0" applyNumberFormat="1" applyFont="1" applyBorder="1" applyAlignment="1">
      <alignment vertical="center"/>
    </xf>
    <xf numFmtId="6" fontId="14" fillId="25" borderId="41" xfId="0" applyNumberFormat="1" applyFont="1" applyFill="1" applyBorder="1" applyAlignment="1">
      <alignment horizontal="right" vertical="center"/>
    </xf>
    <xf numFmtId="164" fontId="0" fillId="0" borderId="0" xfId="0" applyNumberFormat="1" applyFont="1" applyBorder="1" applyAlignment="1">
      <alignment horizontal="left" vertical="center"/>
    </xf>
    <xf numFmtId="8" fontId="0" fillId="0" borderId="0" xfId="0" applyNumberFormat="1"/>
    <xf numFmtId="6" fontId="6" fillId="25" borderId="41" xfId="0" applyNumberFormat="1" applyFont="1" applyFill="1" applyBorder="1" applyAlignment="1">
      <alignment horizontal="right" vertical="center"/>
    </xf>
    <xf numFmtId="0" fontId="2" fillId="0" borderId="154" xfId="0" applyFont="1" applyBorder="1" applyAlignment="1">
      <alignment horizontal="center" wrapText="1"/>
    </xf>
    <xf numFmtId="164" fontId="33" fillId="0" borderId="0" xfId="0" applyNumberFormat="1" applyFont="1"/>
    <xf numFmtId="0" fontId="33" fillId="0" borderId="0" xfId="0" applyFont="1"/>
    <xf numFmtId="164" fontId="33" fillId="0" borderId="0" xfId="14" applyNumberFormat="1" applyFont="1" applyFill="1" applyBorder="1" applyAlignment="1">
      <alignment vertical="center"/>
    </xf>
    <xf numFmtId="164" fontId="33" fillId="0" borderId="115" xfId="0" applyNumberFormat="1" applyFont="1" applyBorder="1"/>
    <xf numFmtId="164" fontId="33" fillId="0" borderId="106" xfId="0" applyNumberFormat="1" applyFont="1" applyBorder="1"/>
    <xf numFmtId="164" fontId="33" fillId="6" borderId="106" xfId="0" applyNumberFormat="1" applyFont="1" applyFill="1" applyBorder="1"/>
    <xf numFmtId="0" fontId="14" fillId="0" borderId="110" xfId="0" applyFont="1" applyFill="1" applyBorder="1" applyAlignment="1">
      <alignment vertical="center" wrapText="1"/>
    </xf>
    <xf numFmtId="0" fontId="14" fillId="0" borderId="9" xfId="0" applyFont="1" applyFill="1" applyBorder="1" applyAlignment="1">
      <alignment vertical="center" wrapText="1"/>
    </xf>
    <xf numFmtId="164" fontId="4" fillId="0" borderId="132" xfId="14" applyNumberFormat="1" applyFont="1" applyFill="1" applyBorder="1" applyAlignment="1">
      <alignment vertical="center"/>
    </xf>
    <xf numFmtId="164" fontId="4" fillId="0" borderId="79" xfId="14" applyNumberFormat="1" applyFont="1" applyFill="1" applyBorder="1" applyAlignment="1">
      <alignment vertical="center"/>
    </xf>
    <xf numFmtId="164" fontId="4" fillId="0" borderId="154" xfId="14" applyNumberFormat="1" applyFont="1" applyFill="1" applyBorder="1" applyAlignment="1">
      <alignment vertical="center"/>
    </xf>
    <xf numFmtId="164" fontId="4" fillId="0" borderId="80" xfId="14" applyNumberFormat="1" applyFont="1" applyFill="1" applyBorder="1" applyAlignment="1">
      <alignment vertical="center"/>
    </xf>
    <xf numFmtId="0" fontId="56" fillId="0" borderId="0" xfId="0" applyFont="1" applyAlignment="1">
      <alignment horizontal="center" vertical="center"/>
    </xf>
    <xf numFmtId="0" fontId="57" fillId="0" borderId="93" xfId="0" applyFont="1" applyBorder="1" applyAlignment="1">
      <alignment vertical="center" wrapText="1"/>
    </xf>
    <xf numFmtId="0" fontId="58" fillId="0" borderId="64" xfId="0" applyFont="1" applyBorder="1" applyAlignment="1">
      <alignment vertical="center"/>
    </xf>
    <xf numFmtId="164" fontId="58" fillId="0" borderId="64" xfId="0" applyNumberFormat="1" applyFont="1" applyBorder="1" applyAlignment="1">
      <alignment vertical="center"/>
    </xf>
    <xf numFmtId="164" fontId="58" fillId="0" borderId="64" xfId="0" applyNumberFormat="1" applyFont="1" applyFill="1" applyBorder="1" applyAlignment="1">
      <alignment vertical="center"/>
    </xf>
    <xf numFmtId="164" fontId="59" fillId="0" borderId="94" xfId="0" applyNumberFormat="1" applyFont="1" applyFill="1" applyBorder="1" applyAlignment="1">
      <alignment horizontal="left" vertical="center"/>
    </xf>
    <xf numFmtId="0" fontId="56" fillId="0" borderId="0" xfId="0" applyFont="1" applyAlignment="1">
      <alignment vertical="center"/>
    </xf>
    <xf numFmtId="6" fontId="56" fillId="0" borderId="0" xfId="0" applyNumberFormat="1" applyFont="1" applyAlignment="1">
      <alignment vertical="center"/>
    </xf>
    <xf numFmtId="164" fontId="56" fillId="0" borderId="0" xfId="0" applyNumberFormat="1" applyFont="1" applyAlignment="1">
      <alignment vertical="center"/>
    </xf>
    <xf numFmtId="6" fontId="5" fillId="25" borderId="160" xfId="0" applyNumberFormat="1" applyFont="1" applyFill="1" applyBorder="1" applyAlignment="1">
      <alignment vertical="center"/>
    </xf>
    <xf numFmtId="164" fontId="58" fillId="0" borderId="99" xfId="0" applyNumberFormat="1" applyFont="1" applyFill="1" applyBorder="1" applyAlignment="1">
      <alignment vertical="center"/>
    </xf>
    <xf numFmtId="0" fontId="13" fillId="6" borderId="52" xfId="0" applyFont="1" applyFill="1" applyBorder="1" applyAlignment="1">
      <alignment horizontal="right" vertical="center"/>
    </xf>
    <xf numFmtId="0" fontId="13" fillId="6" borderId="47" xfId="0" applyFont="1" applyFill="1" applyBorder="1" applyAlignment="1">
      <alignment vertical="center" wrapText="1"/>
    </xf>
    <xf numFmtId="0" fontId="1" fillId="6" borderId="52" xfId="0" applyFont="1" applyFill="1" applyBorder="1" applyAlignment="1">
      <alignment vertical="center"/>
    </xf>
    <xf numFmtId="0" fontId="0" fillId="6" borderId="52" xfId="0" applyFill="1" applyBorder="1" applyAlignment="1">
      <alignment vertical="center"/>
    </xf>
    <xf numFmtId="0" fontId="0" fillId="6" borderId="52" xfId="0" applyFont="1" applyFill="1" applyBorder="1" applyAlignment="1">
      <alignment vertical="center"/>
    </xf>
    <xf numFmtId="164" fontId="0" fillId="6" borderId="52" xfId="0" applyNumberFormat="1" applyFill="1" applyBorder="1" applyAlignment="1">
      <alignment horizontal="right" vertical="center"/>
    </xf>
    <xf numFmtId="0" fontId="34" fillId="10" borderId="42" xfId="0" applyFont="1" applyFill="1" applyBorder="1" applyAlignment="1">
      <alignment horizontal="center" vertical="center" wrapText="1"/>
    </xf>
    <xf numFmtId="164" fontId="34" fillId="25" borderId="99" xfId="0" applyNumberFormat="1" applyFont="1" applyFill="1" applyBorder="1" applyAlignment="1">
      <alignment vertical="center"/>
    </xf>
    <xf numFmtId="6" fontId="6" fillId="20" borderId="92" xfId="0" applyNumberFormat="1" applyFont="1" applyFill="1" applyBorder="1" applyAlignment="1">
      <alignment vertical="center" wrapText="1"/>
    </xf>
    <xf numFmtId="0" fontId="16" fillId="3" borderId="108" xfId="0" applyFont="1" applyFill="1" applyBorder="1" applyAlignment="1">
      <alignment vertical="center" wrapText="1"/>
    </xf>
    <xf numFmtId="0" fontId="5" fillId="3" borderId="40" xfId="0" applyFont="1" applyFill="1" applyBorder="1" applyAlignment="1">
      <alignment horizontal="center" vertical="center"/>
    </xf>
    <xf numFmtId="6" fontId="6" fillId="3" borderId="40" xfId="0" applyNumberFormat="1" applyFont="1" applyFill="1" applyBorder="1" applyAlignment="1">
      <alignment vertical="center" wrapText="1"/>
    </xf>
    <xf numFmtId="6" fontId="6" fillId="3" borderId="97" xfId="0" applyNumberFormat="1" applyFont="1" applyFill="1" applyBorder="1" applyAlignment="1">
      <alignment vertical="center" wrapText="1"/>
    </xf>
    <xf numFmtId="0" fontId="0" fillId="0" borderId="12" xfId="0" applyBorder="1" applyAlignment="1">
      <alignment horizontal="center" vertical="center"/>
    </xf>
    <xf numFmtId="0" fontId="6" fillId="0" borderId="163" xfId="0" applyFont="1" applyFill="1" applyBorder="1" applyAlignment="1">
      <alignment vertical="center" wrapText="1"/>
    </xf>
    <xf numFmtId="0" fontId="5" fillId="0" borderId="160" xfId="0" quotePrefix="1" applyFont="1" applyFill="1" applyBorder="1" applyAlignment="1">
      <alignment horizontal="center" vertical="center"/>
    </xf>
    <xf numFmtId="6" fontId="6" fillId="16" borderId="160" xfId="0" applyNumberFormat="1" applyFont="1" applyFill="1" applyBorder="1" applyAlignment="1">
      <alignment vertical="center" wrapText="1"/>
    </xf>
    <xf numFmtId="6" fontId="6" fillId="0" borderId="160" xfId="0" applyNumberFormat="1" applyFont="1" applyFill="1" applyBorder="1" applyAlignment="1">
      <alignment vertical="center"/>
    </xf>
    <xf numFmtId="6" fontId="6" fillId="4" borderId="160" xfId="0" applyNumberFormat="1" applyFont="1" applyFill="1" applyBorder="1" applyAlignment="1">
      <alignment horizontal="right" vertical="center"/>
    </xf>
    <xf numFmtId="6" fontId="6" fillId="6" borderId="160" xfId="0" applyNumberFormat="1" applyFont="1" applyFill="1" applyBorder="1" applyAlignment="1">
      <alignment horizontal="right" vertical="center"/>
    </xf>
    <xf numFmtId="0" fontId="6" fillId="2" borderId="164" xfId="0" applyFont="1" applyFill="1" applyBorder="1" applyAlignment="1">
      <alignment vertical="center"/>
    </xf>
    <xf numFmtId="6" fontId="6" fillId="12" borderId="160" xfId="0" applyNumberFormat="1" applyFont="1" applyFill="1" applyBorder="1" applyAlignment="1">
      <alignment horizontal="right" vertical="center"/>
    </xf>
    <xf numFmtId="6" fontId="5" fillId="14" borderId="165" xfId="0" applyNumberFormat="1" applyFont="1" applyFill="1" applyBorder="1" applyAlignment="1">
      <alignment vertical="center"/>
    </xf>
    <xf numFmtId="6" fontId="5" fillId="14" borderId="160" xfId="0" applyNumberFormat="1" applyFont="1" applyFill="1" applyBorder="1" applyAlignment="1">
      <alignment vertical="center"/>
    </xf>
    <xf numFmtId="6" fontId="5" fillId="11" borderId="160" xfId="0" applyNumberFormat="1" applyFont="1" applyFill="1" applyBorder="1" applyAlignment="1">
      <alignment horizontal="right" vertical="center"/>
    </xf>
    <xf numFmtId="164" fontId="14" fillId="0" borderId="160" xfId="0" applyNumberFormat="1" applyFont="1" applyFill="1" applyBorder="1" applyAlignment="1">
      <alignment horizontal="right" vertical="center"/>
    </xf>
    <xf numFmtId="164" fontId="6" fillId="0" borderId="160" xfId="0" applyNumberFormat="1" applyFont="1" applyFill="1" applyBorder="1" applyAlignment="1">
      <alignment horizontal="right" vertical="center"/>
    </xf>
    <xf numFmtId="164" fontId="29" fillId="0" borderId="161" xfId="0" applyNumberFormat="1" applyFont="1" applyFill="1" applyBorder="1" applyAlignment="1">
      <alignment horizontal="left" vertical="center"/>
    </xf>
    <xf numFmtId="164" fontId="34" fillId="6" borderId="52" xfId="0" applyNumberFormat="1" applyFont="1" applyFill="1" applyBorder="1" applyAlignment="1">
      <alignment vertical="center"/>
    </xf>
    <xf numFmtId="0" fontId="13" fillId="0" borderId="52" xfId="0" applyFont="1" applyFill="1" applyBorder="1" applyAlignment="1">
      <alignment horizontal="right" vertical="center"/>
    </xf>
    <xf numFmtId="0" fontId="13" fillId="0" borderId="0" xfId="0" applyFont="1" applyAlignment="1">
      <alignment vertical="center"/>
    </xf>
    <xf numFmtId="0" fontId="1" fillId="0" borderId="0" xfId="0" applyFont="1" applyAlignment="1">
      <alignment vertical="center"/>
    </xf>
    <xf numFmtId="164" fontId="13" fillId="0" borderId="0" xfId="0" applyNumberFormat="1" applyFont="1" applyAlignment="1">
      <alignment horizontal="right" vertical="center"/>
    </xf>
    <xf numFmtId="164" fontId="5" fillId="0" borderId="0" xfId="0" applyNumberFormat="1" applyFont="1" applyAlignment="1">
      <alignment vertical="center"/>
    </xf>
    <xf numFmtId="0" fontId="13" fillId="0" borderId="0" xfId="0" applyFont="1" applyAlignment="1">
      <alignment horizontal="right" vertical="center"/>
    </xf>
    <xf numFmtId="0" fontId="5" fillId="0" borderId="0" xfId="0" applyFont="1" applyAlignment="1">
      <alignment vertical="center"/>
    </xf>
    <xf numFmtId="164" fontId="0" fillId="0" borderId="0" xfId="0" applyNumberFormat="1" applyAlignment="1">
      <alignment horizontal="right" vertical="center"/>
    </xf>
    <xf numFmtId="164" fontId="0" fillId="0" borderId="0" xfId="0" applyNumberFormat="1" applyFont="1" applyAlignment="1">
      <alignment horizontal="right" vertical="center"/>
    </xf>
    <xf numFmtId="164" fontId="0" fillId="0" borderId="0" xfId="0" applyNumberFormat="1" applyAlignment="1">
      <alignment horizontal="center" vertical="center"/>
    </xf>
    <xf numFmtId="0" fontId="6" fillId="0" borderId="0" xfId="0" applyFont="1" applyAlignment="1">
      <alignment horizontal="center" vertical="center"/>
    </xf>
    <xf numFmtId="164" fontId="6" fillId="0" borderId="0" xfId="0" applyNumberFormat="1" applyFont="1" applyAlignment="1">
      <alignment horizontal="right" vertical="center"/>
    </xf>
    <xf numFmtId="164" fontId="6" fillId="0" borderId="0" xfId="0" applyNumberFormat="1" applyFont="1" applyAlignment="1">
      <alignment horizontal="center" vertical="center"/>
    </xf>
    <xf numFmtId="164" fontId="13" fillId="0" borderId="0" xfId="0" applyNumberFormat="1" applyFont="1" applyBorder="1" applyAlignment="1">
      <alignment horizontal="left" vertical="center"/>
    </xf>
    <xf numFmtId="164" fontId="13" fillId="0" borderId="106" xfId="0" applyNumberFormat="1" applyFont="1" applyBorder="1" applyAlignment="1">
      <alignment horizontal="right" vertical="center"/>
    </xf>
    <xf numFmtId="0" fontId="6" fillId="0" borderId="0" xfId="0" applyFont="1" applyBorder="1" applyAlignment="1">
      <alignment vertical="top" wrapText="1"/>
    </xf>
    <xf numFmtId="0" fontId="2" fillId="0" borderId="0" xfId="0" applyFont="1" applyBorder="1" applyAlignment="1">
      <alignment horizontal="center" wrapText="1"/>
    </xf>
    <xf numFmtId="164" fontId="0" fillId="0" borderId="0" xfId="0" applyNumberFormat="1" applyFont="1" applyBorder="1" applyAlignment="1" applyProtection="1">
      <alignment vertical="center"/>
      <protection hidden="1"/>
    </xf>
    <xf numFmtId="0" fontId="6" fillId="0" borderId="0" xfId="0" applyFont="1" applyBorder="1" applyAlignment="1">
      <alignment horizontal="left" vertical="top" wrapText="1"/>
    </xf>
    <xf numFmtId="0" fontId="0" fillId="0" borderId="38" xfId="0" applyFill="1" applyBorder="1"/>
    <xf numFmtId="0" fontId="0" fillId="0" borderId="9" xfId="0" applyFill="1" applyBorder="1"/>
    <xf numFmtId="164" fontId="0" fillId="0" borderId="10" xfId="0" applyNumberFormat="1" applyFont="1" applyBorder="1" applyAlignment="1" applyProtection="1">
      <alignment vertical="center"/>
      <protection hidden="1"/>
    </xf>
    <xf numFmtId="0" fontId="0" fillId="0" borderId="123" xfId="0" applyFill="1" applyBorder="1"/>
    <xf numFmtId="164" fontId="1" fillId="0" borderId="10" xfId="0" applyNumberFormat="1" applyFont="1" applyBorder="1" applyAlignment="1" applyProtection="1">
      <alignment horizontal="center" vertical="center"/>
      <protection hidden="1"/>
    </xf>
    <xf numFmtId="0" fontId="10" fillId="0" borderId="59" xfId="0" applyFont="1" applyBorder="1"/>
    <xf numFmtId="0" fontId="0" fillId="0" borderId="114" xfId="0" applyBorder="1" applyAlignment="1">
      <alignment horizontal="center"/>
    </xf>
    <xf numFmtId="164" fontId="6" fillId="0" borderId="17" xfId="0" applyNumberFormat="1" applyFont="1" applyBorder="1" applyAlignment="1" applyProtection="1">
      <alignment vertical="center"/>
      <protection hidden="1"/>
    </xf>
    <xf numFmtId="164" fontId="6" fillId="0" borderId="50" xfId="0" applyNumberFormat="1" applyFont="1" applyBorder="1" applyAlignment="1" applyProtection="1">
      <alignment vertical="center"/>
      <protection hidden="1"/>
    </xf>
    <xf numFmtId="164" fontId="6" fillId="0" borderId="50" xfId="0" applyNumberFormat="1" applyFont="1" applyBorder="1" applyAlignment="1" applyProtection="1">
      <alignment horizontal="right" vertical="center"/>
      <protection hidden="1"/>
    </xf>
    <xf numFmtId="0" fontId="10" fillId="0" borderId="65" xfId="0" applyFont="1" applyBorder="1"/>
    <xf numFmtId="164" fontId="6" fillId="0" borderId="118" xfId="0" applyNumberFormat="1" applyFont="1" applyBorder="1"/>
    <xf numFmtId="0" fontId="10" fillId="0" borderId="47" xfId="0" applyFont="1" applyBorder="1"/>
    <xf numFmtId="164" fontId="6" fillId="0" borderId="3" xfId="0" applyNumberFormat="1" applyFont="1" applyBorder="1" applyAlignment="1" applyProtection="1">
      <alignment vertical="center"/>
      <protection hidden="1"/>
    </xf>
    <xf numFmtId="164" fontId="6" fillId="0" borderId="43" xfId="0" applyNumberFormat="1" applyFont="1" applyBorder="1"/>
    <xf numFmtId="164" fontId="6" fillId="0" borderId="13" xfId="14" applyNumberFormat="1" applyFont="1" applyBorder="1" applyAlignment="1">
      <alignment vertical="center"/>
    </xf>
    <xf numFmtId="0" fontId="5" fillId="0" borderId="11" xfId="0" applyFont="1" applyBorder="1" applyAlignment="1">
      <alignment vertical="center" wrapText="1"/>
    </xf>
    <xf numFmtId="164" fontId="6" fillId="0" borderId="61" xfId="14" applyNumberFormat="1" applyFont="1" applyBorder="1" applyAlignment="1">
      <alignment vertical="center"/>
    </xf>
    <xf numFmtId="164" fontId="6" fillId="0" borderId="128" xfId="14" applyNumberFormat="1" applyFont="1" applyBorder="1" applyAlignment="1">
      <alignment vertical="center"/>
    </xf>
    <xf numFmtId="164" fontId="6" fillId="0" borderId="129" xfId="14" applyNumberFormat="1" applyFont="1" applyBorder="1" applyAlignment="1">
      <alignment vertical="center"/>
    </xf>
    <xf numFmtId="164" fontId="6" fillId="0" borderId="28" xfId="14" applyNumberFormat="1" applyFont="1" applyBorder="1" applyAlignment="1">
      <alignment vertical="center"/>
    </xf>
    <xf numFmtId="164" fontId="6" fillId="0" borderId="42" xfId="14" applyNumberFormat="1" applyFont="1" applyBorder="1" applyAlignment="1">
      <alignment vertical="center"/>
    </xf>
    <xf numFmtId="164" fontId="6" fillId="0" borderId="43" xfId="14" applyNumberFormat="1" applyFont="1" applyBorder="1" applyAlignment="1">
      <alignment vertical="center"/>
    </xf>
    <xf numFmtId="0" fontId="3" fillId="0" borderId="59" xfId="0" applyFont="1" applyBorder="1" applyAlignment="1">
      <alignment horizontal="left" vertical="center"/>
    </xf>
    <xf numFmtId="0" fontId="3" fillId="0" borderId="56" xfId="0" applyFont="1" applyBorder="1" applyAlignment="1">
      <alignment horizontal="left" vertical="center"/>
    </xf>
    <xf numFmtId="0" fontId="3" fillId="0" borderId="17" xfId="0" applyFont="1" applyBorder="1" applyAlignment="1">
      <alignment horizontal="left" vertical="center"/>
    </xf>
    <xf numFmtId="164" fontId="0" fillId="0" borderId="44" xfId="0" applyNumberFormat="1" applyBorder="1" applyAlignment="1">
      <alignment vertical="center"/>
    </xf>
    <xf numFmtId="164" fontId="0" fillId="0" borderId="38" xfId="0" applyNumberFormat="1" applyBorder="1" applyAlignment="1">
      <alignment vertical="center"/>
    </xf>
    <xf numFmtId="164" fontId="0" fillId="0" borderId="39" xfId="0" applyNumberFormat="1" applyBorder="1" applyAlignment="1">
      <alignment vertical="center"/>
    </xf>
    <xf numFmtId="6" fontId="3" fillId="0" borderId="59" xfId="0" applyNumberFormat="1" applyFont="1" applyBorder="1" applyAlignment="1">
      <alignment horizontal="left" vertical="center"/>
    </xf>
    <xf numFmtId="6" fontId="3" fillId="0" borderId="57" xfId="0" applyNumberFormat="1" applyFont="1" applyBorder="1" applyAlignment="1">
      <alignment horizontal="left" vertical="center"/>
    </xf>
    <xf numFmtId="0" fontId="10" fillId="0" borderId="38" xfId="0" applyFont="1" applyBorder="1" applyAlignment="1">
      <alignment vertical="center" wrapText="1"/>
    </xf>
    <xf numFmtId="6" fontId="3" fillId="0" borderId="56" xfId="0" applyNumberFormat="1" applyFont="1" applyBorder="1" applyAlignment="1">
      <alignment horizontal="left" vertical="center"/>
    </xf>
    <xf numFmtId="6" fontId="3" fillId="0" borderId="17" xfId="0" applyNumberFormat="1" applyFont="1" applyBorder="1" applyAlignment="1">
      <alignment horizontal="left" vertical="center"/>
    </xf>
    <xf numFmtId="6" fontId="3" fillId="0" borderId="58" xfId="0" applyNumberFormat="1" applyFont="1" applyBorder="1" applyAlignment="1">
      <alignment horizontal="left" vertical="center"/>
    </xf>
    <xf numFmtId="6" fontId="3" fillId="0" borderId="18" xfId="0" applyNumberFormat="1" applyFont="1" applyBorder="1" applyAlignment="1">
      <alignment horizontal="left" vertical="center"/>
    </xf>
    <xf numFmtId="0" fontId="6" fillId="0" borderId="8" xfId="0" applyFont="1" applyBorder="1" applyAlignment="1">
      <alignment horizontal="center" vertical="center" wrapText="1"/>
    </xf>
    <xf numFmtId="164" fontId="0" fillId="0" borderId="125" xfId="0" applyNumberFormat="1" applyBorder="1" applyAlignment="1">
      <alignment vertical="center"/>
    </xf>
    <xf numFmtId="0" fontId="5" fillId="0" borderId="38" xfId="0" applyFont="1" applyFill="1" applyBorder="1" applyAlignment="1">
      <alignment vertical="center"/>
    </xf>
    <xf numFmtId="0" fontId="5" fillId="0" borderId="9" xfId="0" applyFont="1" applyFill="1" applyBorder="1" applyAlignment="1">
      <alignment vertical="center"/>
    </xf>
    <xf numFmtId="164" fontId="3" fillId="0" borderId="39" xfId="0" applyNumberFormat="1" applyFont="1" applyBorder="1" applyAlignment="1">
      <alignment horizontal="center" vertical="center"/>
    </xf>
    <xf numFmtId="0" fontId="14" fillId="0" borderId="9" xfId="15" applyFont="1" applyFill="1" applyBorder="1" applyAlignment="1">
      <alignment vertical="center" wrapText="1"/>
    </xf>
    <xf numFmtId="0" fontId="6" fillId="0" borderId="9" xfId="15" applyFont="1" applyFill="1" applyBorder="1" applyAlignment="1">
      <alignment vertical="center" wrapText="1"/>
    </xf>
    <xf numFmtId="0" fontId="6" fillId="0" borderId="11" xfId="15" applyFont="1" applyFill="1" applyBorder="1" applyAlignment="1">
      <alignment vertical="center" wrapText="1"/>
    </xf>
    <xf numFmtId="164" fontId="18" fillId="0" borderId="8" xfId="0" applyNumberFormat="1" applyFont="1" applyBorder="1" applyAlignment="1">
      <alignment horizontal="right" vertical="center"/>
    </xf>
    <xf numFmtId="164" fontId="0" fillId="0" borderId="47" xfId="0" applyNumberFormat="1" applyBorder="1" applyAlignment="1">
      <alignment horizontal="right" vertical="center"/>
    </xf>
    <xf numFmtId="164" fontId="0" fillId="0" borderId="52" xfId="0" applyNumberFormat="1" applyBorder="1" applyAlignment="1">
      <alignment vertical="center"/>
    </xf>
    <xf numFmtId="0" fontId="6" fillId="0" borderId="6" xfId="15" applyFont="1" applyFill="1" applyBorder="1" applyAlignment="1">
      <alignment vertical="center" wrapText="1"/>
    </xf>
    <xf numFmtId="164" fontId="0" fillId="0" borderId="6" xfId="0" applyNumberFormat="1" applyBorder="1" applyAlignment="1">
      <alignment horizontal="right" vertical="center"/>
    </xf>
    <xf numFmtId="164" fontId="0" fillId="0" borderId="7" xfId="0" applyNumberFormat="1" applyBorder="1" applyAlignment="1">
      <alignment vertical="center"/>
    </xf>
    <xf numFmtId="164" fontId="0" fillId="0" borderId="7" xfId="0" applyNumberFormat="1" applyFont="1" applyBorder="1" applyAlignment="1">
      <alignment vertical="center"/>
    </xf>
    <xf numFmtId="0" fontId="0" fillId="0" borderId="0" xfId="0" applyBorder="1" applyAlignment="1">
      <alignment vertical="center" wrapText="1"/>
    </xf>
    <xf numFmtId="0" fontId="59" fillId="0" borderId="9" xfId="15" applyFont="1" applyFill="1" applyBorder="1" applyAlignment="1">
      <alignment vertical="center" wrapText="1"/>
    </xf>
    <xf numFmtId="164" fontId="56" fillId="0" borderId="10" xfId="0" applyNumberFormat="1" applyFont="1" applyBorder="1" applyAlignment="1">
      <alignment vertical="center"/>
    </xf>
    <xf numFmtId="0" fontId="0" fillId="0" borderId="65" xfId="0" applyBorder="1" applyAlignment="1">
      <alignment vertical="center"/>
    </xf>
    <xf numFmtId="164" fontId="18" fillId="0" borderId="3" xfId="0" applyNumberFormat="1" applyFont="1" applyBorder="1" applyAlignment="1">
      <alignment vertical="center"/>
    </xf>
    <xf numFmtId="0" fontId="6" fillId="0" borderId="6" xfId="0" applyFont="1" applyBorder="1" applyAlignment="1">
      <alignment vertical="center"/>
    </xf>
    <xf numFmtId="164" fontId="0" fillId="0" borderId="9" xfId="0" applyNumberFormat="1" applyBorder="1" applyAlignment="1">
      <alignment horizontal="right" vertical="center"/>
    </xf>
    <xf numFmtId="164" fontId="0" fillId="0" borderId="38" xfId="0" applyNumberFormat="1" applyFill="1" applyBorder="1" applyAlignment="1">
      <alignment vertical="center"/>
    </xf>
    <xf numFmtId="164" fontId="1" fillId="0" borderId="0" xfId="0" applyNumberFormat="1" applyFont="1" applyAlignment="1">
      <alignment vertical="center"/>
    </xf>
    <xf numFmtId="164" fontId="0" fillId="0" borderId="11" xfId="0" applyNumberFormat="1" applyBorder="1" applyAlignment="1">
      <alignment horizontal="right" vertical="center"/>
    </xf>
    <xf numFmtId="164" fontId="0" fillId="0" borderId="12" xfId="0" applyNumberFormat="1" applyBorder="1" applyAlignment="1">
      <alignment vertical="center"/>
    </xf>
    <xf numFmtId="164" fontId="56" fillId="0" borderId="9" xfId="0" applyNumberFormat="1" applyFont="1" applyBorder="1" applyAlignment="1">
      <alignment horizontal="right" vertical="center"/>
    </xf>
    <xf numFmtId="164" fontId="56" fillId="0" borderId="0" xfId="0" applyNumberFormat="1" applyFont="1" applyBorder="1" applyAlignment="1">
      <alignment vertical="center"/>
    </xf>
    <xf numFmtId="164" fontId="56" fillId="0" borderId="38" xfId="0" applyNumberFormat="1" applyFont="1" applyBorder="1" applyAlignment="1">
      <alignment vertical="center"/>
    </xf>
    <xf numFmtId="164" fontId="56" fillId="0" borderId="11" xfId="0" applyNumberFormat="1" applyFont="1" applyBorder="1" applyAlignment="1">
      <alignment horizontal="right" vertical="center"/>
    </xf>
    <xf numFmtId="164" fontId="56" fillId="0" borderId="12" xfId="0" applyNumberFormat="1" applyFont="1" applyBorder="1" applyAlignment="1">
      <alignment vertical="center"/>
    </xf>
    <xf numFmtId="164" fontId="56" fillId="0" borderId="13" xfId="0" applyNumberFormat="1" applyFont="1" applyBorder="1" applyAlignment="1">
      <alignment vertical="center"/>
    </xf>
    <xf numFmtId="164" fontId="0" fillId="0" borderId="38" xfId="0" applyNumberFormat="1" applyBorder="1" applyAlignment="1">
      <alignment horizontal="right" vertical="center"/>
    </xf>
    <xf numFmtId="0" fontId="6" fillId="0" borderId="9" xfId="0" applyFont="1" applyBorder="1" applyAlignment="1">
      <alignment vertical="center"/>
    </xf>
    <xf numFmtId="0" fontId="5" fillId="0" borderId="11" xfId="0" applyFont="1" applyBorder="1" applyAlignment="1">
      <alignment vertical="center"/>
    </xf>
    <xf numFmtId="0" fontId="6" fillId="0" borderId="0" xfId="0" applyFont="1" applyFill="1" applyBorder="1" applyAlignment="1">
      <alignment horizontal="left" vertical="center" wrapText="1"/>
    </xf>
    <xf numFmtId="0" fontId="6" fillId="0" borderId="47" xfId="15" applyFont="1" applyFill="1" applyBorder="1" applyAlignment="1">
      <alignment vertical="center" wrapText="1"/>
    </xf>
    <xf numFmtId="164" fontId="0" fillId="0" borderId="52" xfId="0" applyNumberFormat="1" applyFont="1" applyBorder="1" applyAlignment="1">
      <alignment vertical="center"/>
    </xf>
    <xf numFmtId="164" fontId="0" fillId="0" borderId="3" xfId="0" applyNumberFormat="1" applyBorder="1" applyAlignment="1">
      <alignment horizontal="right" vertical="center"/>
    </xf>
    <xf numFmtId="0" fontId="6" fillId="0" borderId="6" xfId="0" applyFont="1" applyBorder="1" applyAlignment="1">
      <alignment vertical="center" wrapText="1"/>
    </xf>
    <xf numFmtId="0" fontId="14" fillId="0" borderId="11" xfId="15" applyFont="1" applyFill="1" applyBorder="1" applyAlignment="1">
      <alignment vertical="center" wrapText="1"/>
    </xf>
    <xf numFmtId="0" fontId="6" fillId="0" borderId="9" xfId="0" applyFont="1" applyBorder="1" applyAlignment="1">
      <alignment vertical="center" wrapText="1"/>
    </xf>
    <xf numFmtId="0" fontId="59" fillId="0" borderId="11" xfId="15" applyFont="1" applyFill="1" applyBorder="1" applyAlignment="1">
      <alignment vertical="center" wrapText="1"/>
    </xf>
    <xf numFmtId="164" fontId="56" fillId="0" borderId="39" xfId="0" applyNumberFormat="1" applyFont="1" applyBorder="1" applyAlignment="1">
      <alignment vertical="center"/>
    </xf>
    <xf numFmtId="164" fontId="4" fillId="0" borderId="61" xfId="14" applyNumberFormat="1" applyFont="1" applyBorder="1" applyAlignment="1">
      <alignment vertical="center"/>
    </xf>
    <xf numFmtId="164" fontId="4" fillId="0" borderId="128" xfId="14" applyNumberFormat="1" applyFont="1" applyBorder="1" applyAlignment="1">
      <alignment vertical="center"/>
    </xf>
    <xf numFmtId="164" fontId="4" fillId="0" borderId="129" xfId="14" applyNumberFormat="1" applyFont="1" applyBorder="1" applyAlignment="1">
      <alignment vertical="center"/>
    </xf>
    <xf numFmtId="164" fontId="11" fillId="0" borderId="0" xfId="14" applyNumberFormat="1" applyFont="1" applyBorder="1" applyAlignment="1">
      <alignment vertical="center"/>
    </xf>
    <xf numFmtId="164" fontId="4" fillId="0" borderId="0" xfId="14" applyNumberFormat="1" applyFont="1" applyBorder="1" applyAlignment="1">
      <alignment vertical="center"/>
    </xf>
    <xf numFmtId="164" fontId="3" fillId="0" borderId="6" xfId="14" applyNumberFormat="1" applyFont="1" applyFill="1" applyBorder="1" applyAlignment="1">
      <alignment vertical="center"/>
    </xf>
    <xf numFmtId="0" fontId="3" fillId="0" borderId="7" xfId="0" applyFont="1" applyFill="1" applyBorder="1" applyAlignment="1">
      <alignment vertical="center"/>
    </xf>
    <xf numFmtId="0" fontId="39" fillId="0" borderId="8" xfId="0" applyFont="1" applyFill="1" applyBorder="1" applyAlignment="1">
      <alignment horizontal="right" vertical="center"/>
    </xf>
    <xf numFmtId="164" fontId="11" fillId="0" borderId="9" xfId="14" applyNumberFormat="1" applyFont="1" applyBorder="1" applyAlignment="1">
      <alignment vertical="center"/>
    </xf>
    <xf numFmtId="164" fontId="11" fillId="0" borderId="11" xfId="14" applyNumberFormat="1" applyFont="1" applyBorder="1" applyAlignment="1">
      <alignment vertical="center"/>
    </xf>
    <xf numFmtId="164" fontId="11" fillId="0" borderId="12" xfId="14" applyNumberFormat="1" applyFont="1" applyBorder="1" applyAlignment="1">
      <alignment vertical="center"/>
    </xf>
    <xf numFmtId="164" fontId="4" fillId="0" borderId="12" xfId="14" applyNumberFormat="1" applyFont="1" applyBorder="1" applyAlignment="1">
      <alignment vertical="center"/>
    </xf>
    <xf numFmtId="164" fontId="0" fillId="0" borderId="13" xfId="14" applyNumberFormat="1" applyFont="1" applyBorder="1" applyAlignment="1">
      <alignment vertical="center"/>
    </xf>
    <xf numFmtId="0" fontId="10" fillId="2" borderId="87" xfId="0" applyFont="1" applyFill="1" applyBorder="1" applyAlignment="1">
      <alignment horizontal="left" vertical="center" wrapText="1"/>
    </xf>
    <xf numFmtId="0" fontId="10" fillId="2" borderId="88" xfId="0" applyFont="1" applyFill="1" applyBorder="1" applyAlignment="1">
      <alignment horizontal="left" vertical="center" wrapText="1"/>
    </xf>
    <xf numFmtId="164" fontId="11" fillId="0" borderId="2" xfId="14" applyNumberFormat="1" applyFont="1" applyBorder="1" applyAlignment="1">
      <alignment vertical="center"/>
    </xf>
    <xf numFmtId="5" fontId="12" fillId="0" borderId="88" xfId="0" applyNumberFormat="1" applyFont="1" applyBorder="1"/>
    <xf numFmtId="5" fontId="18" fillId="0" borderId="86" xfId="0" applyNumberFormat="1" applyFont="1" applyBorder="1"/>
    <xf numFmtId="0" fontId="2" fillId="0" borderId="44" xfId="0" applyFont="1" applyBorder="1" applyAlignment="1">
      <alignment horizontal="center" wrapText="1"/>
    </xf>
    <xf numFmtId="6" fontId="18" fillId="6" borderId="10" xfId="0" applyNumberFormat="1" applyFont="1" applyFill="1" applyBorder="1"/>
    <xf numFmtId="6" fontId="18" fillId="6" borderId="136" xfId="0" applyNumberFormat="1" applyFont="1" applyFill="1" applyBorder="1"/>
    <xf numFmtId="5" fontId="0" fillId="0" borderId="56" xfId="14" applyNumberFormat="1" applyFont="1" applyBorder="1"/>
    <xf numFmtId="5" fontId="0" fillId="0" borderId="169" xfId="14" applyNumberFormat="1" applyFont="1" applyBorder="1"/>
    <xf numFmtId="0" fontId="0" fillId="0" borderId="0" xfId="0"/>
    <xf numFmtId="0" fontId="0" fillId="0" borderId="0" xfId="0" applyBorder="1"/>
    <xf numFmtId="0" fontId="6" fillId="0" borderId="23" xfId="0" applyFont="1" applyBorder="1"/>
    <xf numFmtId="0" fontId="6" fillId="0" borderId="23" xfId="0" applyFont="1" applyFill="1" applyBorder="1"/>
    <xf numFmtId="5" fontId="0" fillId="0" borderId="37" xfId="14" applyNumberFormat="1" applyFont="1" applyBorder="1"/>
    <xf numFmtId="5" fontId="0" fillId="0" borderId="35" xfId="14" applyNumberFormat="1" applyFont="1" applyBorder="1"/>
    <xf numFmtId="0" fontId="6" fillId="0" borderId="9" xfId="0" applyFont="1" applyBorder="1"/>
    <xf numFmtId="5" fontId="0" fillId="0" borderId="141" xfId="14" applyNumberFormat="1" applyFont="1" applyBorder="1"/>
    <xf numFmtId="5" fontId="0" fillId="0" borderId="142" xfId="14" applyNumberFormat="1" applyFont="1" applyBorder="1"/>
    <xf numFmtId="5" fontId="0" fillId="0" borderId="156" xfId="14" applyNumberFormat="1" applyFont="1" applyBorder="1"/>
    <xf numFmtId="5" fontId="0" fillId="0" borderId="157" xfId="14" applyNumberFormat="1" applyFont="1" applyBorder="1"/>
    <xf numFmtId="5" fontId="0" fillId="0" borderId="35" xfId="14" applyNumberFormat="1" applyFont="1" applyFill="1" applyBorder="1"/>
    <xf numFmtId="5" fontId="0" fillId="0" borderId="142" xfId="14" applyNumberFormat="1" applyFont="1" applyFill="1" applyBorder="1"/>
    <xf numFmtId="5" fontId="18" fillId="0" borderId="87" xfId="0" applyNumberFormat="1" applyFont="1" applyBorder="1"/>
    <xf numFmtId="5" fontId="0" fillId="0" borderId="48" xfId="14" applyNumberFormat="1" applyFont="1" applyBorder="1"/>
    <xf numFmtId="5" fontId="0" fillId="0" borderId="49" xfId="14" applyNumberFormat="1" applyFont="1" applyBorder="1"/>
    <xf numFmtId="6" fontId="18" fillId="6" borderId="121" xfId="0" applyNumberFormat="1" applyFont="1" applyFill="1" applyBorder="1"/>
    <xf numFmtId="6" fontId="18" fillId="6" borderId="38" xfId="0" applyNumberFormat="1" applyFont="1" applyFill="1" applyBorder="1"/>
    <xf numFmtId="6" fontId="18" fillId="17" borderId="121" xfId="0" applyNumberFormat="1" applyFont="1" applyFill="1" applyBorder="1"/>
    <xf numFmtId="5" fontId="0" fillId="0" borderId="81" xfId="14" applyNumberFormat="1" applyFont="1" applyBorder="1"/>
    <xf numFmtId="5" fontId="0" fillId="0" borderId="82" xfId="14" applyNumberFormat="1" applyFont="1" applyBorder="1"/>
    <xf numFmtId="5" fontId="0" fillId="0" borderId="168" xfId="14" applyNumberFormat="1" applyFont="1" applyBorder="1"/>
    <xf numFmtId="2" fontId="0" fillId="0" borderId="0" xfId="0" applyNumberFormat="1"/>
    <xf numFmtId="0" fontId="2" fillId="0" borderId="117" xfId="0" applyFont="1" applyBorder="1" applyAlignment="1">
      <alignment horizontal="center" wrapText="1"/>
    </xf>
    <xf numFmtId="0" fontId="2" fillId="0" borderId="117" xfId="0" applyFont="1" applyBorder="1" applyAlignment="1">
      <alignment horizontal="center" vertical="center" wrapText="1"/>
    </xf>
    <xf numFmtId="0" fontId="0" fillId="0" borderId="0" xfId="0"/>
    <xf numFmtId="0" fontId="2" fillId="6" borderId="2" xfId="0" applyFont="1" applyFill="1" applyBorder="1" applyAlignment="1">
      <alignment horizontal="center" wrapText="1"/>
    </xf>
    <xf numFmtId="164" fontId="3" fillId="0" borderId="13" xfId="0" applyNumberFormat="1" applyFont="1" applyBorder="1" applyAlignment="1">
      <alignment horizontal="center"/>
    </xf>
    <xf numFmtId="0" fontId="0" fillId="0" borderId="8" xfId="0" applyBorder="1" applyAlignment="1">
      <alignment horizontal="center" vertical="center"/>
    </xf>
    <xf numFmtId="164" fontId="0" fillId="0" borderId="43" xfId="0" applyNumberFormat="1" applyBorder="1" applyAlignment="1">
      <alignment vertical="center"/>
    </xf>
    <xf numFmtId="164" fontId="0" fillId="0" borderId="28" xfId="0" applyNumberFormat="1" applyBorder="1" applyAlignment="1">
      <alignment vertical="center"/>
    </xf>
    <xf numFmtId="164" fontId="0" fillId="0" borderId="42" xfId="0" applyNumberFormat="1" applyBorder="1" applyAlignment="1">
      <alignment vertical="center"/>
    </xf>
    <xf numFmtId="0" fontId="0" fillId="0" borderId="0" xfId="0"/>
    <xf numFmtId="164" fontId="0" fillId="0" borderId="0" xfId="0" applyNumberFormat="1"/>
    <xf numFmtId="164" fontId="18" fillId="0" borderId="23" xfId="0" applyNumberFormat="1" applyFont="1" applyBorder="1"/>
    <xf numFmtId="0" fontId="0" fillId="0" borderId="23" xfId="0" applyFill="1" applyBorder="1"/>
    <xf numFmtId="0" fontId="0" fillId="0" borderId="23" xfId="0" applyBorder="1"/>
    <xf numFmtId="0" fontId="0" fillId="0" borderId="24" xfId="0" applyBorder="1"/>
    <xf numFmtId="164" fontId="0" fillId="0" borderId="37" xfId="0" applyNumberFormat="1" applyBorder="1"/>
    <xf numFmtId="164" fontId="0" fillId="0" borderId="35" xfId="0" applyNumberFormat="1" applyBorder="1"/>
    <xf numFmtId="164" fontId="0" fillId="0" borderId="17" xfId="0" applyNumberFormat="1" applyBorder="1"/>
    <xf numFmtId="164" fontId="0" fillId="0" borderId="48" xfId="0" applyNumberFormat="1" applyBorder="1"/>
    <xf numFmtId="164" fontId="0" fillId="0" borderId="49" xfId="0" applyNumberFormat="1" applyBorder="1"/>
    <xf numFmtId="164" fontId="0" fillId="0" borderId="50" xfId="0" applyNumberFormat="1" applyBorder="1"/>
    <xf numFmtId="0" fontId="1" fillId="0" borderId="6" xfId="0" applyFont="1" applyBorder="1" applyAlignment="1">
      <alignment vertical="center"/>
    </xf>
    <xf numFmtId="164" fontId="4" fillId="0" borderId="44" xfId="14" applyNumberFormat="1" applyFont="1" applyBorder="1" applyAlignment="1">
      <alignment vertical="center"/>
    </xf>
    <xf numFmtId="0" fontId="0" fillId="0" borderId="20" xfId="0" applyBorder="1"/>
    <xf numFmtId="164" fontId="0" fillId="0" borderId="28" xfId="0" applyNumberFormat="1" applyFont="1" applyBorder="1"/>
    <xf numFmtId="164" fontId="0" fillId="0" borderId="42" xfId="0" applyNumberFormat="1" applyFont="1" applyBorder="1"/>
    <xf numFmtId="164" fontId="0" fillId="0" borderId="43" xfId="0" applyNumberFormat="1" applyFont="1" applyBorder="1"/>
    <xf numFmtId="164" fontId="0" fillId="0" borderId="53" xfId="0" applyNumberFormat="1" applyBorder="1" applyAlignment="1">
      <alignment vertical="center"/>
    </xf>
    <xf numFmtId="164" fontId="0" fillId="0" borderId="51" xfId="0" applyNumberFormat="1" applyBorder="1" applyAlignment="1">
      <alignment vertical="center"/>
    </xf>
    <xf numFmtId="0" fontId="0" fillId="0" borderId="44" xfId="0" applyBorder="1" applyAlignment="1">
      <alignment vertical="center"/>
    </xf>
    <xf numFmtId="0" fontId="0" fillId="0" borderId="0" xfId="0" applyAlignment="1">
      <alignment vertical="center"/>
    </xf>
    <xf numFmtId="0" fontId="2" fillId="0" borderId="25" xfId="0" applyFont="1" applyBorder="1" applyAlignment="1">
      <alignment horizontal="center" wrapText="1"/>
    </xf>
    <xf numFmtId="0" fontId="0" fillId="0" borderId="60" xfId="0" applyBorder="1" applyAlignment="1">
      <alignment wrapText="1"/>
    </xf>
    <xf numFmtId="164" fontId="6" fillId="0" borderId="41" xfId="0" applyNumberFormat="1" applyFont="1" applyFill="1" applyBorder="1" applyAlignment="1">
      <alignment horizontal="right" vertical="center"/>
    </xf>
    <xf numFmtId="0" fontId="2" fillId="0" borderId="83" xfId="0" applyFont="1" applyBorder="1" applyAlignment="1">
      <alignment horizontal="center" wrapText="1"/>
    </xf>
    <xf numFmtId="164" fontId="14" fillId="0" borderId="41" xfId="0" applyNumberFormat="1" applyFont="1" applyFill="1" applyBorder="1" applyAlignment="1">
      <alignment horizontal="right" vertical="center"/>
    </xf>
    <xf numFmtId="164" fontId="3" fillId="0" borderId="10" xfId="0" applyNumberFormat="1" applyFont="1" applyBorder="1" applyAlignment="1">
      <alignment horizontal="center"/>
    </xf>
    <xf numFmtId="0" fontId="2" fillId="0" borderId="77" xfId="0" applyFont="1" applyBorder="1" applyAlignment="1">
      <alignment horizontal="center" wrapText="1"/>
    </xf>
    <xf numFmtId="0" fontId="2" fillId="0" borderId="78" xfId="0" applyFont="1" applyBorder="1" applyAlignment="1">
      <alignment horizontal="center" wrapText="1"/>
    </xf>
    <xf numFmtId="0" fontId="2" fillId="0" borderId="154" xfId="0" applyFont="1" applyBorder="1" applyAlignment="1">
      <alignment horizontal="center" wrapText="1"/>
    </xf>
    <xf numFmtId="0" fontId="2" fillId="0" borderId="114" xfId="0" applyFont="1" applyBorder="1" applyAlignment="1">
      <alignment horizontal="center" wrapText="1"/>
    </xf>
    <xf numFmtId="164" fontId="0" fillId="0" borderId="79" xfId="14" applyNumberFormat="1" applyFont="1" applyBorder="1" applyAlignment="1">
      <alignment vertical="center"/>
    </xf>
    <xf numFmtId="164" fontId="0" fillId="0" borderId="104" xfId="14" applyNumberFormat="1" applyFont="1" applyBorder="1" applyAlignment="1">
      <alignment vertical="center"/>
    </xf>
    <xf numFmtId="164" fontId="0" fillId="0" borderId="80" xfId="14" applyNumberFormat="1" applyFont="1" applyBorder="1" applyAlignment="1">
      <alignment vertical="center"/>
    </xf>
    <xf numFmtId="164" fontId="0" fillId="0" borderId="1" xfId="14" applyNumberFormat="1" applyFont="1" applyBorder="1" applyAlignment="1">
      <alignment vertical="center"/>
    </xf>
    <xf numFmtId="164" fontId="0" fillId="0" borderId="105" xfId="14" applyNumberFormat="1" applyFont="1" applyBorder="1" applyAlignment="1">
      <alignment vertical="center"/>
    </xf>
    <xf numFmtId="0" fontId="0" fillId="0" borderId="123" xfId="0" applyBorder="1" applyAlignment="1">
      <alignment wrapText="1"/>
    </xf>
    <xf numFmtId="0" fontId="0" fillId="0" borderId="59" xfId="0" applyFill="1" applyBorder="1" applyAlignment="1">
      <alignment vertical="center" wrapText="1"/>
    </xf>
    <xf numFmtId="164" fontId="0" fillId="0" borderId="17" xfId="0" applyNumberFormat="1" applyFont="1" applyBorder="1" applyAlignment="1">
      <alignment vertical="center" wrapText="1"/>
    </xf>
    <xf numFmtId="164" fontId="0" fillId="0" borderId="8" xfId="0" applyNumberFormat="1" applyBorder="1" applyAlignment="1">
      <alignment vertical="center"/>
    </xf>
    <xf numFmtId="164" fontId="4" fillId="0" borderId="76" xfId="14" applyNumberFormat="1" applyFont="1" applyBorder="1" applyAlignment="1">
      <alignment vertical="center"/>
    </xf>
    <xf numFmtId="164" fontId="4" fillId="0" borderId="101" xfId="14" applyNumberFormat="1" applyFont="1" applyBorder="1" applyAlignment="1">
      <alignment vertical="center"/>
    </xf>
    <xf numFmtId="6" fontId="19" fillId="0" borderId="154" xfId="0" applyNumberFormat="1" applyFont="1" applyBorder="1" applyAlignment="1">
      <alignment horizontal="right" wrapText="1"/>
    </xf>
    <xf numFmtId="0" fontId="0" fillId="0" borderId="9" xfId="0" applyFont="1" applyBorder="1" applyAlignment="1">
      <alignment vertical="center" wrapText="1"/>
    </xf>
    <xf numFmtId="164" fontId="0" fillId="0" borderId="61" xfId="0" applyNumberFormat="1" applyFont="1" applyBorder="1" applyAlignment="1">
      <alignment horizontal="right" vertical="center" wrapText="1"/>
    </xf>
    <xf numFmtId="164" fontId="0" fillId="0" borderId="46" xfId="0" applyNumberFormat="1" applyFont="1" applyBorder="1" applyAlignment="1">
      <alignment horizontal="right" vertical="center" wrapText="1"/>
    </xf>
    <xf numFmtId="164" fontId="14" fillId="6" borderId="54" xfId="0" applyNumberFormat="1" applyFont="1" applyFill="1" applyBorder="1" applyAlignment="1">
      <alignment horizontal="right" vertical="center"/>
    </xf>
    <xf numFmtId="0" fontId="0" fillId="6" borderId="40" xfId="0" applyFill="1" applyBorder="1" applyAlignment="1">
      <alignment horizontal="right" vertical="center"/>
    </xf>
    <xf numFmtId="164" fontId="14" fillId="0" borderId="137" xfId="0" applyNumberFormat="1" applyFont="1" applyFill="1" applyBorder="1" applyAlignment="1">
      <alignment horizontal="center" vertical="center"/>
    </xf>
    <xf numFmtId="0" fontId="0" fillId="0" borderId="62" xfId="0" applyFill="1" applyBorder="1" applyAlignment="1">
      <alignment horizontal="center" vertical="center"/>
    </xf>
    <xf numFmtId="0" fontId="0" fillId="0" borderId="166" xfId="0" applyFill="1" applyBorder="1" applyAlignment="1">
      <alignment horizontal="center" vertical="center"/>
    </xf>
    <xf numFmtId="0" fontId="13" fillId="0" borderId="47" xfId="0" applyFont="1" applyBorder="1" applyAlignment="1">
      <alignment vertical="center" wrapText="1"/>
    </xf>
    <xf numFmtId="0" fontId="0" fillId="0" borderId="162" xfId="0" applyBorder="1" applyAlignment="1">
      <alignment vertical="center"/>
    </xf>
    <xf numFmtId="6" fontId="5" fillId="25" borderId="54" xfId="0" applyNumberFormat="1" applyFont="1" applyFill="1" applyBorder="1" applyAlignment="1">
      <alignment vertical="center"/>
    </xf>
    <xf numFmtId="0" fontId="0" fillId="0" borderId="40" xfId="0" applyBorder="1" applyAlignment="1">
      <alignment vertical="center"/>
    </xf>
    <xf numFmtId="6" fontId="5" fillId="11" borderId="54" xfId="0" applyNumberFormat="1" applyFont="1" applyFill="1" applyBorder="1" applyAlignment="1">
      <alignment horizontal="right" vertical="center"/>
    </xf>
    <xf numFmtId="0" fontId="0" fillId="0" borderId="40" xfId="0" applyBorder="1" applyAlignment="1">
      <alignment horizontal="right" vertical="center"/>
    </xf>
    <xf numFmtId="6" fontId="5" fillId="25" borderId="40" xfId="0" applyNumberFormat="1" applyFont="1" applyFill="1" applyBorder="1" applyAlignment="1">
      <alignment vertical="center"/>
    </xf>
    <xf numFmtId="0" fontId="6" fillId="0" borderId="47" xfId="0" applyFont="1" applyFill="1" applyBorder="1" applyAlignment="1">
      <alignment horizontal="left" vertical="top" wrapText="1"/>
    </xf>
    <xf numFmtId="0" fontId="6" fillId="0" borderId="52" xfId="0" applyFont="1" applyBorder="1" applyAlignment="1">
      <alignment horizontal="left" vertical="top" wrapText="1"/>
    </xf>
    <xf numFmtId="0" fontId="6" fillId="0" borderId="3" xfId="0" applyFont="1" applyBorder="1" applyAlignment="1">
      <alignment horizontal="left" vertical="top" wrapText="1"/>
    </xf>
    <xf numFmtId="0" fontId="3" fillId="0" borderId="60" xfId="0" applyFont="1" applyBorder="1" applyAlignment="1">
      <alignment horizontal="left"/>
    </xf>
    <xf numFmtId="0" fontId="3" fillId="0" borderId="55" xfId="0" applyFont="1" applyBorder="1" applyAlignment="1">
      <alignment horizontal="left"/>
    </xf>
    <xf numFmtId="0" fontId="3" fillId="0" borderId="25" xfId="0" applyFont="1" applyBorder="1" applyAlignment="1">
      <alignment horizontal="left"/>
    </xf>
    <xf numFmtId="0" fontId="3" fillId="0" borderId="59" xfId="0" applyFont="1" applyBorder="1" applyAlignment="1">
      <alignment horizontal="left"/>
    </xf>
    <xf numFmtId="0" fontId="3" fillId="0" borderId="56" xfId="0" applyFont="1" applyBorder="1" applyAlignment="1">
      <alignment horizontal="left"/>
    </xf>
    <xf numFmtId="0" fontId="3" fillId="0" borderId="17" xfId="0" applyFont="1" applyBorder="1" applyAlignment="1">
      <alignment horizontal="left"/>
    </xf>
    <xf numFmtId="6" fontId="3" fillId="0" borderId="59" xfId="0" applyNumberFormat="1" applyFont="1" applyBorder="1" applyAlignment="1">
      <alignment horizontal="left"/>
    </xf>
    <xf numFmtId="6" fontId="3" fillId="0" borderId="72" xfId="0" applyNumberFormat="1" applyFont="1" applyBorder="1" applyAlignment="1">
      <alignment horizontal="left"/>
    </xf>
    <xf numFmtId="0" fontId="3" fillId="0" borderId="73" xfId="0" applyFont="1" applyBorder="1" applyAlignment="1">
      <alignment horizontal="left"/>
    </xf>
    <xf numFmtId="0" fontId="3" fillId="0" borderId="74" xfId="0" applyFont="1" applyBorder="1" applyAlignment="1">
      <alignment horizontal="left"/>
    </xf>
    <xf numFmtId="0" fontId="0" fillId="0" borderId="6" xfId="0" applyBorder="1" applyAlignment="1">
      <alignment horizontal="center" vertical="center"/>
    </xf>
    <xf numFmtId="0" fontId="0" fillId="0" borderId="29" xfId="0" applyBorder="1" applyAlignment="1">
      <alignment horizontal="center" vertical="center"/>
    </xf>
    <xf numFmtId="164" fontId="3" fillId="0" borderId="11" xfId="0" applyNumberFormat="1" applyFont="1" applyBorder="1" applyAlignment="1">
      <alignment horizontal="center"/>
    </xf>
    <xf numFmtId="0" fontId="0" fillId="0" borderId="30" xfId="0" applyBorder="1" applyAlignment="1">
      <alignment horizontal="center"/>
    </xf>
    <xf numFmtId="0" fontId="0" fillId="0" borderId="31" xfId="0" applyFont="1" applyBorder="1" applyAlignment="1">
      <alignment horizontal="center" vertical="center" wrapText="1"/>
    </xf>
    <xf numFmtId="0" fontId="0" fillId="0" borderId="29" xfId="0" applyFont="1" applyBorder="1" applyAlignment="1">
      <alignment horizontal="center" vertical="center" wrapText="1"/>
    </xf>
    <xf numFmtId="164" fontId="3" fillId="0" borderId="113" xfId="0" applyNumberFormat="1" applyFont="1" applyBorder="1" applyAlignment="1">
      <alignment horizontal="center"/>
    </xf>
    <xf numFmtId="164" fontId="3" fillId="0" borderId="46" xfId="0" applyNumberFormat="1" applyFont="1" applyBorder="1" applyAlignment="1">
      <alignment horizontal="center"/>
    </xf>
    <xf numFmtId="0" fontId="1" fillId="0" borderId="47" xfId="0" applyFont="1" applyFill="1" applyBorder="1" applyAlignment="1">
      <alignment horizontal="left" vertical="top" wrapText="1"/>
    </xf>
    <xf numFmtId="0" fontId="0" fillId="0" borderId="52" xfId="0" applyBorder="1" applyAlignment="1">
      <alignment horizontal="left" vertical="top" wrapText="1"/>
    </xf>
    <xf numFmtId="0" fontId="0" fillId="0" borderId="3" xfId="0" applyBorder="1" applyAlignment="1">
      <alignment horizontal="left" vertical="top" wrapText="1"/>
    </xf>
    <xf numFmtId="0" fontId="5" fillId="0" borderId="47" xfId="0" applyFont="1" applyFill="1" applyBorder="1" applyAlignment="1">
      <alignment horizontal="left" vertical="top" wrapText="1"/>
    </xf>
    <xf numFmtId="0" fontId="5" fillId="0" borderId="52" xfId="0" applyFont="1" applyFill="1" applyBorder="1" applyAlignment="1">
      <alignment horizontal="left" vertical="top" wrapText="1"/>
    </xf>
    <xf numFmtId="0" fontId="5" fillId="0" borderId="3" xfId="0" applyFont="1" applyFill="1" applyBorder="1" applyAlignment="1">
      <alignment horizontal="left" vertical="top" wrapText="1"/>
    </xf>
    <xf numFmtId="164" fontId="0" fillId="0" borderId="79" xfId="0" applyNumberFormat="1" applyBorder="1" applyAlignment="1">
      <alignment vertical="center"/>
    </xf>
    <xf numFmtId="0" fontId="0" fillId="0" borderId="79" xfId="0" applyBorder="1" applyAlignment="1">
      <alignment vertical="center"/>
    </xf>
    <xf numFmtId="164" fontId="0" fillId="0" borderId="75" xfId="0" applyNumberFormat="1" applyBorder="1" applyAlignment="1">
      <alignment vertical="center"/>
    </xf>
    <xf numFmtId="0" fontId="0" fillId="0" borderId="75" xfId="0" applyBorder="1" applyAlignment="1">
      <alignment vertical="center"/>
    </xf>
    <xf numFmtId="164" fontId="0" fillId="0" borderId="122" xfId="0" applyNumberFormat="1" applyBorder="1" applyAlignment="1">
      <alignment horizontal="right" vertical="center"/>
    </xf>
    <xf numFmtId="164" fontId="0" fillId="0" borderId="121" xfId="0" applyNumberFormat="1" applyBorder="1" applyAlignment="1">
      <alignment horizontal="right" vertical="center"/>
    </xf>
    <xf numFmtId="0" fontId="3" fillId="0" borderId="57" xfId="0" applyFont="1" applyBorder="1" applyAlignment="1">
      <alignment horizontal="left"/>
    </xf>
    <xf numFmtId="0" fontId="3" fillId="0" borderId="58" xfId="0" applyFont="1" applyBorder="1" applyAlignment="1">
      <alignment horizontal="left"/>
    </xf>
    <xf numFmtId="0" fontId="3" fillId="0" borderId="18" xfId="0" applyFont="1" applyBorder="1" applyAlignment="1">
      <alignment horizontal="left"/>
    </xf>
    <xf numFmtId="0" fontId="16" fillId="0" borderId="47" xfId="0" applyFont="1" applyFill="1" applyBorder="1" applyAlignment="1">
      <alignment horizontal="left" vertical="top" wrapText="1"/>
    </xf>
    <xf numFmtId="0" fontId="16" fillId="0" borderId="52" xfId="0" applyFont="1" applyFill="1" applyBorder="1" applyAlignment="1">
      <alignment horizontal="left" vertical="top" wrapText="1"/>
    </xf>
    <xf numFmtId="0" fontId="16" fillId="0" borderId="3" xfId="0" applyFont="1" applyFill="1" applyBorder="1" applyAlignment="1">
      <alignment horizontal="left" vertical="top" wrapText="1"/>
    </xf>
    <xf numFmtId="164" fontId="3" fillId="0" borderId="9" xfId="0" applyNumberFormat="1" applyFont="1" applyBorder="1" applyAlignment="1">
      <alignment horizontal="center"/>
    </xf>
    <xf numFmtId="164" fontId="11" fillId="0" borderId="24" xfId="0" applyNumberFormat="1" applyFont="1" applyBorder="1" applyAlignment="1">
      <alignment vertical="top" wrapText="1"/>
    </xf>
    <xf numFmtId="164" fontId="11" fillId="0" borderId="38" xfId="0" applyNumberFormat="1" applyFont="1" applyBorder="1" applyAlignment="1">
      <alignment vertical="top" wrapText="1"/>
    </xf>
    <xf numFmtId="164" fontId="11" fillId="0" borderId="39" xfId="0" applyNumberFormat="1" applyFont="1" applyBorder="1" applyAlignment="1">
      <alignment vertical="top" wrapText="1"/>
    </xf>
    <xf numFmtId="164" fontId="0" fillId="0" borderId="124" xfId="0" applyNumberFormat="1" applyBorder="1" applyAlignment="1">
      <alignment vertical="center"/>
    </xf>
    <xf numFmtId="0" fontId="0" fillId="0" borderId="124" xfId="0" applyBorder="1" applyAlignment="1">
      <alignment vertical="center"/>
    </xf>
    <xf numFmtId="164" fontId="0" fillId="0" borderId="116" xfId="0" applyNumberFormat="1" applyBorder="1" applyAlignment="1">
      <alignment horizontal="right" vertical="center"/>
    </xf>
    <xf numFmtId="164" fontId="0" fillId="0" borderId="126" xfId="0" applyNumberFormat="1" applyBorder="1" applyAlignment="1">
      <alignment horizontal="right" vertical="center"/>
    </xf>
    <xf numFmtId="164" fontId="0" fillId="0" borderId="117" xfId="0" applyNumberFormat="1" applyBorder="1" applyAlignment="1">
      <alignment horizontal="right" vertical="center"/>
    </xf>
    <xf numFmtId="164" fontId="0" fillId="0" borderId="127" xfId="0" applyNumberFormat="1" applyBorder="1" applyAlignment="1">
      <alignment horizontal="right" vertical="center"/>
    </xf>
    <xf numFmtId="164" fontId="0" fillId="0" borderId="125" xfId="0" applyNumberFormat="1" applyBorder="1" applyAlignment="1">
      <alignment horizontal="right" vertical="center"/>
    </xf>
    <xf numFmtId="164" fontId="0" fillId="0" borderId="139" xfId="0" applyNumberFormat="1" applyBorder="1" applyAlignment="1">
      <alignment horizontal="right" vertical="center"/>
    </xf>
    <xf numFmtId="0" fontId="6" fillId="0" borderId="52" xfId="0" applyFont="1" applyFill="1" applyBorder="1" applyAlignment="1">
      <alignment horizontal="left" vertical="top" wrapText="1"/>
    </xf>
    <xf numFmtId="0" fontId="6" fillId="0" borderId="3" xfId="0" applyFont="1" applyFill="1" applyBorder="1" applyAlignment="1">
      <alignment horizontal="left" vertical="top" wrapText="1"/>
    </xf>
    <xf numFmtId="6" fontId="3" fillId="0" borderId="57" xfId="0" applyNumberFormat="1" applyFont="1" applyBorder="1" applyAlignment="1">
      <alignment horizontal="left"/>
    </xf>
    <xf numFmtId="0" fontId="17" fillId="0" borderId="47" xfId="0" applyFont="1" applyFill="1" applyBorder="1" applyAlignment="1">
      <alignment horizontal="left" vertical="top" wrapText="1"/>
    </xf>
    <xf numFmtId="0" fontId="17" fillId="0" borderId="52" xfId="0" applyFont="1" applyFill="1" applyBorder="1" applyAlignment="1">
      <alignment horizontal="left" vertical="top" wrapText="1"/>
    </xf>
    <xf numFmtId="0" fontId="17" fillId="0" borderId="3" xfId="0" applyFont="1" applyFill="1" applyBorder="1" applyAlignment="1">
      <alignment horizontal="left" vertical="top" wrapText="1"/>
    </xf>
    <xf numFmtId="0" fontId="10" fillId="0" borderId="47" xfId="0" applyFont="1" applyFill="1" applyBorder="1" applyAlignment="1">
      <alignment horizontal="left" vertical="top" wrapText="1"/>
    </xf>
    <xf numFmtId="0" fontId="10" fillId="0" borderId="52" xfId="0" applyFont="1" applyBorder="1" applyAlignment="1">
      <alignment horizontal="left" vertical="top" wrapText="1"/>
    </xf>
    <xf numFmtId="0" fontId="10" fillId="0" borderId="3" xfId="0" applyFont="1" applyBorder="1" applyAlignment="1">
      <alignment horizontal="left" vertical="top" wrapText="1"/>
    </xf>
    <xf numFmtId="0" fontId="10" fillId="0" borderId="52"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5" borderId="47" xfId="0" applyFont="1" applyFill="1" applyBorder="1" applyAlignment="1">
      <alignment horizontal="left" vertical="top" wrapText="1"/>
    </xf>
    <xf numFmtId="0" fontId="10" fillId="5" borderId="52" xfId="0" applyFont="1" applyFill="1" applyBorder="1" applyAlignment="1">
      <alignment horizontal="left" vertical="top" wrapText="1"/>
    </xf>
    <xf numFmtId="0" fontId="10" fillId="5" borderId="3" xfId="0" applyFont="1" applyFill="1" applyBorder="1" applyAlignment="1">
      <alignment horizontal="left" vertical="top" wrapText="1"/>
    </xf>
    <xf numFmtId="0" fontId="3" fillId="0" borderId="59" xfId="0" applyFont="1" applyBorder="1" applyAlignment="1">
      <alignment horizontal="left" vertical="center"/>
    </xf>
    <xf numFmtId="0" fontId="3" fillId="0" borderId="56" xfId="0" applyFont="1" applyBorder="1" applyAlignment="1">
      <alignment horizontal="left" vertical="center"/>
    </xf>
    <xf numFmtId="0" fontId="3" fillId="0" borderId="17" xfId="0" applyFont="1" applyBorder="1" applyAlignment="1">
      <alignment horizontal="left" vertical="center"/>
    </xf>
    <xf numFmtId="0" fontId="3" fillId="0" borderId="57" xfId="0" applyFont="1" applyBorder="1" applyAlignment="1">
      <alignment horizontal="left" vertical="center"/>
    </xf>
    <xf numFmtId="0" fontId="3" fillId="0" borderId="58" xfId="0" applyFont="1" applyBorder="1" applyAlignment="1">
      <alignment horizontal="left" vertical="center"/>
    </xf>
    <xf numFmtId="0" fontId="3" fillId="0" borderId="18" xfId="0" applyFont="1" applyBorder="1" applyAlignment="1">
      <alignment horizontal="left" vertical="center"/>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12" xfId="0" applyFont="1" applyFill="1" applyBorder="1" applyAlignment="1">
      <alignment horizontal="left" vertical="top" wrapText="1"/>
    </xf>
    <xf numFmtId="0" fontId="3" fillId="0" borderId="21" xfId="0" applyFont="1" applyBorder="1" applyAlignment="1">
      <alignment horizontal="left"/>
    </xf>
    <xf numFmtId="0" fontId="3" fillId="0" borderId="14" xfId="0" applyFont="1" applyBorder="1" applyAlignment="1">
      <alignment horizontal="left"/>
    </xf>
    <xf numFmtId="0" fontId="3" fillId="0" borderId="26" xfId="0" applyFont="1" applyBorder="1" applyAlignment="1">
      <alignment horizontal="left"/>
    </xf>
    <xf numFmtId="0" fontId="3" fillId="0" borderId="15" xfId="0" applyFont="1" applyBorder="1" applyAlignment="1">
      <alignment horizontal="left"/>
    </xf>
    <xf numFmtId="0" fontId="3" fillId="0" borderId="4" xfId="0" applyFont="1" applyBorder="1" applyAlignment="1">
      <alignment horizontal="left"/>
    </xf>
    <xf numFmtId="0" fontId="3" fillId="0" borderId="16" xfId="0" applyFont="1" applyBorder="1" applyAlignment="1">
      <alignment horizontal="left"/>
    </xf>
    <xf numFmtId="6" fontId="3" fillId="0" borderId="15" xfId="0" applyNumberFormat="1" applyFont="1" applyBorder="1" applyAlignment="1">
      <alignment horizontal="left"/>
    </xf>
    <xf numFmtId="0" fontId="3" fillId="0" borderId="22" xfId="0" applyFont="1" applyBorder="1" applyAlignment="1">
      <alignment horizontal="left"/>
    </xf>
    <xf numFmtId="0" fontId="3" fillId="0" borderId="5" xfId="0" applyFont="1" applyBorder="1" applyAlignment="1">
      <alignment horizontal="left"/>
    </xf>
    <xf numFmtId="0" fontId="3" fillId="0" borderId="27" xfId="0" applyFont="1" applyBorder="1" applyAlignment="1">
      <alignment horizontal="left"/>
    </xf>
    <xf numFmtId="0" fontId="6" fillId="0" borderId="51" xfId="0" applyFont="1" applyFill="1" applyBorder="1" applyAlignment="1">
      <alignment horizontal="left" vertical="top" wrapText="1"/>
    </xf>
    <xf numFmtId="0" fontId="6" fillId="0" borderId="45" xfId="0" applyFont="1" applyFill="1" applyBorder="1" applyAlignment="1">
      <alignment horizontal="left" vertical="top" wrapText="1"/>
    </xf>
    <xf numFmtId="0" fontId="6" fillId="0" borderId="53" xfId="0" applyFont="1" applyFill="1" applyBorder="1" applyAlignment="1">
      <alignment horizontal="left" vertical="top" wrapText="1"/>
    </xf>
    <xf numFmtId="0" fontId="0" fillId="0" borderId="5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52" xfId="0" applyFill="1" applyBorder="1" applyAlignment="1">
      <alignment horizontal="left" vertical="top" wrapText="1"/>
    </xf>
    <xf numFmtId="0" fontId="0" fillId="0" borderId="3" xfId="0" applyFill="1" applyBorder="1" applyAlignment="1">
      <alignment horizontal="left" vertical="top" wrapText="1"/>
    </xf>
    <xf numFmtId="0" fontId="6" fillId="0" borderId="24" xfId="0" applyFont="1" applyBorder="1" applyAlignment="1">
      <alignment vertical="top" wrapText="1"/>
    </xf>
    <xf numFmtId="0" fontId="6" fillId="0" borderId="38" xfId="0" applyFont="1" applyBorder="1" applyAlignment="1">
      <alignment vertical="top" wrapText="1"/>
    </xf>
    <xf numFmtId="0" fontId="6" fillId="0" borderId="39" xfId="0" applyFont="1" applyBorder="1" applyAlignment="1">
      <alignment vertical="top" wrapText="1"/>
    </xf>
    <xf numFmtId="6" fontId="3" fillId="0" borderId="22" xfId="0" applyNumberFormat="1" applyFont="1" applyBorder="1" applyAlignment="1">
      <alignment horizontal="left"/>
    </xf>
    <xf numFmtId="164" fontId="3" fillId="0" borderId="32" xfId="0" applyNumberFormat="1" applyFont="1" applyBorder="1" applyAlignment="1">
      <alignment horizontal="center"/>
    </xf>
    <xf numFmtId="164" fontId="3" fillId="0" borderId="30" xfId="0" applyNumberFormat="1" applyFont="1" applyBorder="1" applyAlignment="1">
      <alignment horizontal="center"/>
    </xf>
    <xf numFmtId="0" fontId="5" fillId="0" borderId="28" xfId="0" applyFont="1" applyFill="1" applyBorder="1" applyAlignment="1">
      <alignment horizontal="left" vertical="top" wrapText="1"/>
    </xf>
    <xf numFmtId="0" fontId="6" fillId="0" borderId="42" xfId="0" applyFont="1" applyFill="1" applyBorder="1" applyAlignment="1">
      <alignment horizontal="left" vertical="top" wrapText="1"/>
    </xf>
    <xf numFmtId="0" fontId="6" fillId="0" borderId="43" xfId="0" applyFont="1" applyFill="1" applyBorder="1" applyAlignment="1">
      <alignment horizontal="left" vertical="top" wrapText="1"/>
    </xf>
    <xf numFmtId="0" fontId="6" fillId="0" borderId="24"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7" xfId="0" applyNumberFormat="1" applyFont="1" applyFill="1" applyBorder="1" applyAlignment="1">
      <alignment horizontal="left" vertical="top" wrapText="1"/>
    </xf>
    <xf numFmtId="0" fontId="6" fillId="0" borderId="52" xfId="0" applyNumberFormat="1" applyFont="1" applyFill="1" applyBorder="1" applyAlignment="1">
      <alignment horizontal="left" vertical="top" wrapText="1"/>
    </xf>
    <xf numFmtId="0" fontId="6" fillId="0" borderId="3" xfId="0" applyNumberFormat="1" applyFont="1" applyFill="1" applyBorder="1" applyAlignment="1">
      <alignment horizontal="left" vertical="top" wrapText="1"/>
    </xf>
    <xf numFmtId="0" fontId="6" fillId="0" borderId="47" xfId="0" applyFont="1" applyBorder="1" applyAlignment="1">
      <alignment horizontal="left" vertical="top" wrapText="1"/>
    </xf>
    <xf numFmtId="0" fontId="6" fillId="0" borderId="28" xfId="0" applyFont="1" applyBorder="1" applyAlignment="1">
      <alignment horizontal="left" vertical="center" wrapText="1"/>
    </xf>
    <xf numFmtId="0" fontId="6" fillId="0" borderId="42" xfId="0" applyFont="1" applyBorder="1" applyAlignment="1">
      <alignment horizontal="left" vertical="center" wrapText="1"/>
    </xf>
    <xf numFmtId="0" fontId="6" fillId="0" borderId="43" xfId="0" applyFont="1" applyBorder="1" applyAlignment="1">
      <alignment horizontal="left" vertical="center" wrapText="1"/>
    </xf>
    <xf numFmtId="0" fontId="6" fillId="0" borderId="11" xfId="0" applyFont="1" applyFill="1" applyBorder="1" applyAlignment="1">
      <alignment horizontal="left"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164" fontId="61" fillId="0" borderId="11" xfId="0" applyNumberFormat="1" applyFont="1" applyBorder="1" applyAlignment="1">
      <alignment horizontal="center"/>
    </xf>
    <xf numFmtId="164" fontId="61" fillId="0" borderId="30" xfId="0" applyNumberFormat="1" applyFont="1" applyBorder="1" applyAlignment="1">
      <alignment horizontal="center"/>
    </xf>
    <xf numFmtId="164" fontId="0" fillId="0" borderId="59" xfId="0" applyNumberFormat="1" applyBorder="1" applyAlignment="1">
      <alignment horizontal="center"/>
    </xf>
    <xf numFmtId="0" fontId="0" fillId="0" borderId="56" xfId="0" applyBorder="1" applyAlignment="1">
      <alignment horizontal="center"/>
    </xf>
    <xf numFmtId="0" fontId="0" fillId="0" borderId="35" xfId="0" applyBorder="1" applyAlignment="1">
      <alignment horizontal="center"/>
    </xf>
    <xf numFmtId="164" fontId="6" fillId="0" borderId="70" xfId="0" applyNumberFormat="1" applyFont="1" applyBorder="1" applyAlignment="1"/>
    <xf numFmtId="0" fontId="0" fillId="0" borderId="66" xfId="0" applyBorder="1" applyAlignment="1"/>
    <xf numFmtId="0" fontId="0" fillId="0" borderId="103" xfId="0" applyBorder="1" applyAlignment="1"/>
    <xf numFmtId="164" fontId="0" fillId="0" borderId="6" xfId="0" applyNumberFormat="1" applyBorder="1" applyAlignment="1">
      <alignment horizontal="center" vertical="center"/>
    </xf>
    <xf numFmtId="0" fontId="0" fillId="0" borderId="7" xfId="0" applyBorder="1" applyAlignment="1">
      <alignment horizontal="center" vertical="center"/>
    </xf>
    <xf numFmtId="164" fontId="6" fillId="0" borderId="77" xfId="0" applyNumberFormat="1" applyFont="1" applyBorder="1" applyAlignment="1">
      <alignment horizontal="center"/>
    </xf>
    <xf numFmtId="0" fontId="6" fillId="0" borderId="78" xfId="0" applyFont="1" applyBorder="1" applyAlignment="1">
      <alignment horizontal="center"/>
    </xf>
    <xf numFmtId="164" fontId="10" fillId="0" borderId="70" xfId="0" applyNumberFormat="1" applyFont="1" applyBorder="1" applyAlignment="1"/>
    <xf numFmtId="164" fontId="6" fillId="0" borderId="47" xfId="0" applyNumberFormat="1" applyFont="1" applyBorder="1" applyAlignment="1"/>
    <xf numFmtId="0" fontId="0" fillId="0" borderId="52" xfId="0" applyBorder="1" applyAlignment="1"/>
    <xf numFmtId="0" fontId="0" fillId="0" borderId="33" xfId="0" applyBorder="1" applyAlignment="1"/>
    <xf numFmtId="164" fontId="6" fillId="0" borderId="115" xfId="0" applyNumberFormat="1" applyFont="1" applyBorder="1" applyAlignment="1"/>
    <xf numFmtId="0" fontId="0" fillId="0" borderId="106" xfId="0" applyBorder="1" applyAlignment="1"/>
    <xf numFmtId="0" fontId="0" fillId="0" borderId="134" xfId="0" applyBorder="1" applyAlignment="1"/>
    <xf numFmtId="0" fontId="10" fillId="0" borderId="47" xfId="0" applyFont="1" applyBorder="1" applyAlignment="1">
      <alignment vertical="top" wrapText="1"/>
    </xf>
    <xf numFmtId="0" fontId="10" fillId="0" borderId="52" xfId="0" applyFont="1" applyBorder="1" applyAlignment="1">
      <alignment vertical="top" wrapText="1"/>
    </xf>
    <xf numFmtId="0" fontId="10" fillId="0" borderId="3" xfId="0" applyFont="1" applyBorder="1" applyAlignment="1">
      <alignment vertical="top" wrapText="1"/>
    </xf>
    <xf numFmtId="0" fontId="17" fillId="5" borderId="47" xfId="0" applyFont="1" applyFill="1" applyBorder="1" applyAlignment="1">
      <alignment horizontal="left" vertical="top" wrapText="1"/>
    </xf>
    <xf numFmtId="0" fontId="17" fillId="5" borderId="12" xfId="0" applyFont="1" applyFill="1" applyBorder="1" applyAlignment="1">
      <alignment horizontal="left" vertical="top" wrapText="1"/>
    </xf>
    <xf numFmtId="0" fontId="17" fillId="5" borderId="3" xfId="0" applyFont="1" applyFill="1" applyBorder="1" applyAlignment="1">
      <alignment horizontal="left" vertical="top" wrapText="1"/>
    </xf>
    <xf numFmtId="0" fontId="6" fillId="0" borderId="52" xfId="0" applyFont="1" applyBorder="1" applyAlignment="1">
      <alignment horizontal="left" vertical="top"/>
    </xf>
    <xf numFmtId="0" fontId="6" fillId="0" borderId="3" xfId="0" applyFont="1" applyBorder="1" applyAlignment="1">
      <alignment horizontal="left" vertical="top"/>
    </xf>
    <xf numFmtId="164" fontId="3" fillId="0" borderId="11" xfId="0" applyNumberFormat="1" applyFont="1" applyFill="1" applyBorder="1" applyAlignment="1">
      <alignment horizontal="center"/>
    </xf>
    <xf numFmtId="164" fontId="3" fillId="0" borderId="30" xfId="0" applyNumberFormat="1" applyFont="1" applyFill="1" applyBorder="1" applyAlignment="1">
      <alignment horizontal="center"/>
    </xf>
    <xf numFmtId="164" fontId="3" fillId="0" borderId="32" xfId="0" applyNumberFormat="1" applyFont="1" applyFill="1" applyBorder="1" applyAlignment="1">
      <alignment horizontal="center"/>
    </xf>
    <xf numFmtId="0" fontId="6" fillId="0" borderId="12" xfId="0" applyFont="1" applyBorder="1" applyAlignment="1">
      <alignment horizontal="left" vertical="top"/>
    </xf>
    <xf numFmtId="0" fontId="0" fillId="0" borderId="24"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6" fillId="0" borderId="0" xfId="0" applyFont="1" applyFill="1" applyBorder="1" applyAlignment="1">
      <alignment horizontal="left" vertical="center" wrapText="1"/>
    </xf>
    <xf numFmtId="0" fontId="0" fillId="0" borderId="0" xfId="0" applyBorder="1" applyAlignment="1">
      <alignment vertical="center"/>
    </xf>
    <xf numFmtId="164" fontId="0" fillId="0" borderId="44" xfId="0" applyNumberFormat="1" applyBorder="1" applyAlignment="1">
      <alignment vertical="center" wrapText="1"/>
    </xf>
    <xf numFmtId="0" fontId="0" fillId="0" borderId="38" xfId="0" applyBorder="1" applyAlignment="1">
      <alignment vertical="center" wrapText="1"/>
    </xf>
    <xf numFmtId="0" fontId="0" fillId="0" borderId="39" xfId="0" applyBorder="1" applyAlignment="1">
      <alignment vertical="center" wrapText="1"/>
    </xf>
    <xf numFmtId="0" fontId="5" fillId="0" borderId="44" xfId="0" applyFont="1" applyBorder="1" applyAlignment="1">
      <alignment vertical="center" wrapText="1"/>
    </xf>
    <xf numFmtId="164" fontId="0" fillId="0" borderId="67" xfId="0" applyNumberFormat="1" applyBorder="1" applyAlignment="1">
      <alignment vertical="center"/>
    </xf>
    <xf numFmtId="0" fontId="0" fillId="0" borderId="68" xfId="0" applyBorder="1" applyAlignment="1">
      <alignment vertical="center"/>
    </xf>
    <xf numFmtId="0" fontId="0" fillId="0" borderId="69" xfId="0" applyBorder="1" applyAlignment="1">
      <alignment vertical="center"/>
    </xf>
    <xf numFmtId="164" fontId="0" fillId="0" borderId="115" xfId="0" applyNumberFormat="1" applyBorder="1" applyAlignment="1">
      <alignment vertical="center" wrapText="1"/>
    </xf>
    <xf numFmtId="0" fontId="0" fillId="0" borderId="106" xfId="0" applyBorder="1" applyAlignment="1">
      <alignment vertical="center"/>
    </xf>
    <xf numFmtId="0" fontId="0" fillId="0" borderId="119" xfId="0" applyBorder="1" applyAlignment="1">
      <alignment vertical="center"/>
    </xf>
    <xf numFmtId="0" fontId="0" fillId="0" borderId="9" xfId="0" applyBorder="1" applyAlignment="1">
      <alignment vertical="center"/>
    </xf>
    <xf numFmtId="0" fontId="0" fillId="0" borderId="0" xfId="0"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34" fillId="0" borderId="47" xfId="0" applyFont="1" applyBorder="1" applyAlignment="1">
      <alignment vertical="center"/>
    </xf>
    <xf numFmtId="0" fontId="0" fillId="0" borderId="3" xfId="0" applyBorder="1" applyAlignment="1">
      <alignment vertical="center"/>
    </xf>
    <xf numFmtId="0" fontId="16" fillId="0" borderId="47" xfId="0" applyFont="1" applyBorder="1" applyAlignment="1">
      <alignment vertical="center"/>
    </xf>
    <xf numFmtId="0" fontId="18" fillId="0" borderId="3" xfId="0" applyFont="1" applyBorder="1" applyAlignment="1">
      <alignment vertical="center"/>
    </xf>
    <xf numFmtId="0" fontId="0" fillId="0" borderId="60" xfId="0" applyBorder="1" applyAlignment="1">
      <alignment vertical="center"/>
    </xf>
    <xf numFmtId="0" fontId="0" fillId="0" borderId="25" xfId="0" applyBorder="1" applyAlignment="1">
      <alignment vertical="center"/>
    </xf>
    <xf numFmtId="0" fontId="1" fillId="0" borderId="28" xfId="0" applyFont="1" applyBorder="1" applyAlignment="1">
      <alignment vertical="center"/>
    </xf>
    <xf numFmtId="0" fontId="0" fillId="0" borderId="167" xfId="0" applyBorder="1" applyAlignment="1">
      <alignment vertical="center"/>
    </xf>
    <xf numFmtId="164" fontId="2" fillId="0" borderId="6" xfId="0" applyNumberFormat="1"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164" fontId="2" fillId="0" borderId="51" xfId="0" applyNumberFormat="1" applyFont="1" applyBorder="1" applyAlignment="1">
      <alignment horizontal="center" vertical="center" wrapText="1"/>
    </xf>
    <xf numFmtId="0" fontId="0" fillId="0" borderId="45" xfId="0" applyBorder="1" applyAlignment="1">
      <alignment horizontal="center" vertical="center" wrapText="1"/>
    </xf>
    <xf numFmtId="0" fontId="0" fillId="0" borderId="53" xfId="0" applyBorder="1" applyAlignment="1">
      <alignment horizontal="center" vertical="center" wrapText="1"/>
    </xf>
    <xf numFmtId="0" fontId="1" fillId="0" borderId="47" xfId="0" applyFont="1" applyBorder="1" applyAlignment="1">
      <alignment vertical="center"/>
    </xf>
    <xf numFmtId="0" fontId="0" fillId="0" borderId="52" xfId="0" applyBorder="1" applyAlignment="1">
      <alignment vertical="center"/>
    </xf>
    <xf numFmtId="0" fontId="5" fillId="0" borderId="38" xfId="0" applyFont="1" applyBorder="1" applyAlignment="1">
      <alignment vertical="center" wrapText="1"/>
    </xf>
    <xf numFmtId="164" fontId="0" fillId="0" borderId="44" xfId="0" applyNumberFormat="1" applyBorder="1" applyAlignment="1">
      <alignment vertical="center"/>
    </xf>
    <xf numFmtId="164" fontId="0" fillId="0" borderId="38" xfId="0" applyNumberFormat="1" applyBorder="1" applyAlignment="1">
      <alignment vertical="center"/>
    </xf>
    <xf numFmtId="0" fontId="0" fillId="0" borderId="38" xfId="0" applyBorder="1" applyAlignment="1">
      <alignment vertical="center"/>
    </xf>
    <xf numFmtId="0" fontId="0" fillId="0" borderId="39" xfId="0" applyBorder="1" applyAlignment="1">
      <alignment vertical="center"/>
    </xf>
    <xf numFmtId="164" fontId="56" fillId="0" borderId="44" xfId="0" applyNumberFormat="1" applyFont="1" applyBorder="1" applyAlignment="1">
      <alignment vertical="center"/>
    </xf>
    <xf numFmtId="0" fontId="56" fillId="0" borderId="38" xfId="0" applyFont="1" applyBorder="1" applyAlignment="1">
      <alignment vertical="center"/>
    </xf>
    <xf numFmtId="0" fontId="56" fillId="0" borderId="39" xfId="0" applyFont="1" applyBorder="1" applyAlignment="1">
      <alignment vertical="center"/>
    </xf>
    <xf numFmtId="164" fontId="3" fillId="0" borderId="47" xfId="0" applyNumberFormat="1" applyFont="1" applyBorder="1" applyAlignment="1">
      <alignment horizontal="right" vertical="center"/>
    </xf>
    <xf numFmtId="164" fontId="3" fillId="0" borderId="52" xfId="0" applyNumberFormat="1" applyFont="1" applyBorder="1" applyAlignment="1">
      <alignment horizontal="right" vertical="center"/>
    </xf>
    <xf numFmtId="164" fontId="3" fillId="0" borderId="3" xfId="0" applyNumberFormat="1" applyFont="1" applyBorder="1" applyAlignment="1">
      <alignment horizontal="right" vertical="center"/>
    </xf>
    <xf numFmtId="0" fontId="6" fillId="0" borderId="52" xfId="0" applyFont="1" applyBorder="1" applyAlignment="1">
      <alignment vertical="top"/>
    </xf>
    <xf numFmtId="0" fontId="6" fillId="0" borderId="3" xfId="0" applyFont="1" applyBorder="1" applyAlignment="1">
      <alignment vertical="top"/>
    </xf>
    <xf numFmtId="0" fontId="3" fillId="0" borderId="60" xfId="0" applyFont="1" applyBorder="1" applyAlignment="1">
      <alignment horizontal="left" vertical="center"/>
    </xf>
    <xf numFmtId="0" fontId="3" fillId="0" borderId="55" xfId="0" applyFont="1" applyBorder="1" applyAlignment="1">
      <alignment horizontal="left" vertical="center"/>
    </xf>
    <xf numFmtId="0" fontId="3" fillId="0" borderId="25" xfId="0" applyFont="1" applyBorder="1" applyAlignment="1">
      <alignment horizontal="left" vertical="center"/>
    </xf>
    <xf numFmtId="164" fontId="3" fillId="0" borderId="11" xfId="0" applyNumberFormat="1" applyFont="1" applyBorder="1" applyAlignment="1">
      <alignment horizontal="center" vertical="center"/>
    </xf>
    <xf numFmtId="164" fontId="3" fillId="0" borderId="30" xfId="0" applyNumberFormat="1" applyFont="1" applyBorder="1" applyAlignment="1">
      <alignment horizontal="center" vertical="center"/>
    </xf>
    <xf numFmtId="164" fontId="3" fillId="0" borderId="32" xfId="0" applyNumberFormat="1" applyFont="1" applyBorder="1" applyAlignment="1">
      <alignment horizontal="center" vertical="center"/>
    </xf>
    <xf numFmtId="164" fontId="3" fillId="0" borderId="9" xfId="0" applyNumberFormat="1" applyFont="1" applyBorder="1" applyAlignment="1">
      <alignment horizontal="right" vertical="center"/>
    </xf>
    <xf numFmtId="164" fontId="3" fillId="0" borderId="0" xfId="0" applyNumberFormat="1" applyFont="1" applyBorder="1" applyAlignment="1">
      <alignment horizontal="right" vertical="center"/>
    </xf>
    <xf numFmtId="164" fontId="3" fillId="0" borderId="10" xfId="0" applyNumberFormat="1" applyFont="1" applyBorder="1" applyAlignment="1">
      <alignment horizontal="right" vertical="center"/>
    </xf>
    <xf numFmtId="0" fontId="5" fillId="0" borderId="39" xfId="0" applyFont="1" applyBorder="1" applyAlignment="1">
      <alignment vertical="center" wrapText="1"/>
    </xf>
    <xf numFmtId="0" fontId="0" fillId="0" borderId="28" xfId="0" applyBorder="1" applyAlignment="1">
      <alignment vertical="center" wrapText="1"/>
    </xf>
    <xf numFmtId="0" fontId="0" fillId="0" borderId="43" xfId="0" applyBorder="1" applyAlignment="1">
      <alignment vertical="center" wrapText="1"/>
    </xf>
    <xf numFmtId="0" fontId="5" fillId="0" borderId="86" xfId="0" applyFont="1" applyFill="1" applyBorder="1" applyAlignment="1">
      <alignment vertical="center" wrapText="1"/>
    </xf>
    <xf numFmtId="0" fontId="5" fillId="0" borderId="38" xfId="0" applyFont="1" applyFill="1" applyBorder="1" applyAlignment="1">
      <alignment vertical="center" wrapText="1"/>
    </xf>
    <xf numFmtId="0" fontId="0" fillId="0" borderId="88" xfId="0" applyFill="1" applyBorder="1" applyAlignment="1">
      <alignment vertical="center" wrapText="1"/>
    </xf>
    <xf numFmtId="0" fontId="6" fillId="0" borderId="6"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164" fontId="3" fillId="0" borderId="9" xfId="0" applyNumberFormat="1" applyFont="1" applyBorder="1" applyAlignment="1">
      <alignment horizontal="center" vertical="center"/>
    </xf>
    <xf numFmtId="164" fontId="3" fillId="0" borderId="46" xfId="0" applyNumberFormat="1" applyFont="1" applyBorder="1" applyAlignment="1">
      <alignment horizontal="center" vertical="center"/>
    </xf>
    <xf numFmtId="0" fontId="5" fillId="0" borderId="51" xfId="0" applyFont="1" applyBorder="1" applyAlignment="1">
      <alignment vertical="center" wrapText="1"/>
    </xf>
    <xf numFmtId="0" fontId="5" fillId="0" borderId="61" xfId="0" applyFont="1" applyBorder="1" applyAlignment="1">
      <alignment vertical="center" wrapText="1"/>
    </xf>
    <xf numFmtId="0" fontId="0" fillId="0" borderId="61" xfId="0" applyBorder="1" applyAlignment="1">
      <alignment vertical="center" wrapText="1"/>
    </xf>
    <xf numFmtId="0" fontId="0" fillId="0" borderId="76" xfId="0" applyBorder="1" applyAlignment="1">
      <alignment vertical="center" wrapText="1"/>
    </xf>
    <xf numFmtId="164" fontId="0" fillId="0" borderId="39" xfId="0" applyNumberFormat="1" applyBorder="1" applyAlignment="1">
      <alignment vertical="center"/>
    </xf>
    <xf numFmtId="0" fontId="5" fillId="0" borderId="76" xfId="0" applyFont="1" applyBorder="1" applyAlignment="1">
      <alignment vertical="center" wrapText="1"/>
    </xf>
    <xf numFmtId="0" fontId="3" fillId="0" borderId="113" xfId="0" applyFont="1" applyBorder="1" applyAlignment="1">
      <alignment horizontal="center" vertical="center"/>
    </xf>
    <xf numFmtId="0" fontId="3" fillId="0" borderId="46" xfId="0" applyFont="1" applyBorder="1" applyAlignment="1">
      <alignment horizontal="center" vertical="center"/>
    </xf>
    <xf numFmtId="0" fontId="17" fillId="0" borderId="86" xfId="0" applyFont="1" applyBorder="1" applyAlignment="1">
      <alignment horizontal="left" vertical="center" wrapText="1"/>
    </xf>
    <xf numFmtId="0" fontId="17" fillId="0" borderId="88" xfId="0" applyFont="1" applyBorder="1" applyAlignment="1">
      <alignment horizontal="left" vertical="center" wrapText="1"/>
    </xf>
    <xf numFmtId="164" fontId="3" fillId="0" borderId="6" xfId="0" applyNumberFormat="1" applyFont="1" applyBorder="1" applyAlignment="1">
      <alignment horizontal="right" vertical="center"/>
    </xf>
    <xf numFmtId="164" fontId="3" fillId="0" borderId="7" xfId="0" applyNumberFormat="1" applyFont="1" applyBorder="1" applyAlignment="1">
      <alignment horizontal="right" vertical="center"/>
    </xf>
    <xf numFmtId="164" fontId="3" fillId="0" borderId="8" xfId="0" applyNumberFormat="1" applyFont="1" applyBorder="1" applyAlignment="1">
      <alignment horizontal="right" vertical="center"/>
    </xf>
    <xf numFmtId="0" fontId="5" fillId="0" borderId="86" xfId="0" applyFont="1" applyBorder="1" applyAlignment="1">
      <alignment vertical="center" wrapText="1"/>
    </xf>
    <xf numFmtId="0" fontId="0" fillId="0" borderId="88" xfId="0" applyBorder="1" applyAlignment="1">
      <alignment vertical="center" wrapText="1"/>
    </xf>
    <xf numFmtId="0" fontId="0" fillId="0" borderId="129" xfId="0" applyBorder="1" applyAlignment="1">
      <alignment vertical="center" wrapText="1"/>
    </xf>
    <xf numFmtId="0" fontId="10" fillId="0" borderId="52" xfId="0" applyFont="1" applyBorder="1" applyAlignment="1">
      <alignment horizontal="left" vertical="top"/>
    </xf>
    <xf numFmtId="0" fontId="10" fillId="0" borderId="3" xfId="0" applyFont="1" applyBorder="1" applyAlignment="1">
      <alignment horizontal="left" vertical="top"/>
    </xf>
    <xf numFmtId="164" fontId="3" fillId="0" borderId="6" xfId="14" applyNumberFormat="1" applyFont="1" applyFill="1" applyBorder="1" applyAlignment="1">
      <alignment vertical="center"/>
    </xf>
    <xf numFmtId="0" fontId="3" fillId="0" borderId="7" xfId="0" applyFont="1" applyFill="1" applyBorder="1" applyAlignment="1">
      <alignment vertical="center"/>
    </xf>
    <xf numFmtId="0" fontId="0" fillId="0" borderId="8" xfId="0" applyFill="1" applyBorder="1" applyAlignment="1">
      <alignment vertical="center"/>
    </xf>
    <xf numFmtId="164" fontId="3" fillId="2" borderId="67" xfId="14" applyNumberFormat="1" applyFont="1" applyFill="1" applyBorder="1" applyAlignment="1">
      <alignment vertical="center"/>
    </xf>
    <xf numFmtId="0" fontId="3" fillId="0" borderId="68" xfId="0" applyFont="1" applyBorder="1" applyAlignment="1">
      <alignment vertical="center"/>
    </xf>
    <xf numFmtId="6" fontId="3" fillId="0" borderId="59" xfId="0" applyNumberFormat="1" applyFont="1" applyBorder="1" applyAlignment="1">
      <alignment horizontal="left" vertical="center"/>
    </xf>
    <xf numFmtId="6" fontId="3" fillId="0" borderId="57" xfId="0" applyNumberFormat="1" applyFont="1" applyBorder="1" applyAlignment="1">
      <alignment horizontal="left" vertical="center"/>
    </xf>
    <xf numFmtId="0" fontId="10" fillId="0" borderId="52" xfId="0" applyFont="1" applyFill="1" applyBorder="1" applyAlignment="1">
      <alignment horizontal="left" vertical="top"/>
    </xf>
    <xf numFmtId="0" fontId="10" fillId="0" borderId="3" xfId="0" applyFont="1" applyFill="1" applyBorder="1" applyAlignment="1">
      <alignment horizontal="left" vertical="top"/>
    </xf>
    <xf numFmtId="0" fontId="0" fillId="0" borderId="31" xfId="0" applyBorder="1" applyAlignment="1">
      <alignment horizontal="center" vertical="center"/>
    </xf>
    <xf numFmtId="0" fontId="10" fillId="0" borderId="47" xfId="0" applyFont="1" applyFill="1" applyBorder="1" applyAlignment="1">
      <alignment horizontal="left" vertical="center" wrapText="1"/>
    </xf>
    <xf numFmtId="0" fontId="10" fillId="0" borderId="52" xfId="0" applyFont="1" applyBorder="1" applyAlignment="1">
      <alignment horizontal="left" vertical="center"/>
    </xf>
    <xf numFmtId="0" fontId="10" fillId="0" borderId="3" xfId="0" applyFont="1" applyBorder="1" applyAlignment="1">
      <alignment horizontal="left" vertical="center"/>
    </xf>
    <xf numFmtId="164" fontId="6" fillId="2" borderId="44" xfId="14" applyNumberFormat="1" applyFont="1" applyFill="1" applyBorder="1" applyAlignment="1">
      <alignment horizontal="left" vertical="center"/>
    </xf>
    <xf numFmtId="0" fontId="6" fillId="2" borderId="38" xfId="0" applyFont="1" applyFill="1" applyBorder="1" applyAlignment="1">
      <alignment horizontal="left" vertical="center"/>
    </xf>
    <xf numFmtId="0" fontId="6" fillId="2" borderId="39" xfId="0" applyFont="1" applyFill="1" applyBorder="1" applyAlignment="1">
      <alignment horizontal="left" vertical="center"/>
    </xf>
    <xf numFmtId="0" fontId="3" fillId="0" borderId="21" xfId="0" applyFont="1" applyBorder="1" applyAlignment="1">
      <alignment horizontal="left" vertical="center"/>
    </xf>
    <xf numFmtId="0" fontId="3" fillId="0" borderId="14" xfId="0" applyFont="1" applyBorder="1" applyAlignment="1">
      <alignment horizontal="left" vertical="center"/>
    </xf>
    <xf numFmtId="0" fontId="3" fillId="0" borderId="26" xfId="0" applyFont="1" applyBorder="1" applyAlignment="1">
      <alignment horizontal="left" vertical="center"/>
    </xf>
    <xf numFmtId="0" fontId="3" fillId="0" borderId="15" xfId="0" applyFont="1" applyBorder="1" applyAlignment="1">
      <alignment horizontal="left" vertical="center"/>
    </xf>
    <xf numFmtId="0" fontId="3" fillId="0" borderId="4" xfId="0" applyFont="1" applyBorder="1" applyAlignment="1">
      <alignment horizontal="left" vertical="center"/>
    </xf>
    <xf numFmtId="0" fontId="3" fillId="0" borderId="16" xfId="0" applyFont="1" applyBorder="1" applyAlignment="1">
      <alignment horizontal="left" vertical="center"/>
    </xf>
    <xf numFmtId="0" fontId="3" fillId="0" borderId="22" xfId="0" applyFont="1" applyBorder="1" applyAlignment="1">
      <alignment horizontal="left" vertical="center"/>
    </xf>
    <xf numFmtId="0" fontId="3" fillId="0" borderId="5" xfId="0" applyFont="1" applyBorder="1" applyAlignment="1">
      <alignment horizontal="left" vertical="center"/>
    </xf>
    <xf numFmtId="0" fontId="3" fillId="0" borderId="27" xfId="0" applyFont="1" applyBorder="1" applyAlignment="1">
      <alignment horizontal="left" vertical="center"/>
    </xf>
    <xf numFmtId="0" fontId="10" fillId="0" borderId="24" xfId="0" applyFont="1" applyBorder="1" applyAlignment="1">
      <alignment vertical="center" wrapText="1"/>
    </xf>
    <xf numFmtId="0" fontId="10" fillId="0" borderId="38" xfId="0" applyFont="1" applyBorder="1" applyAlignment="1">
      <alignment vertical="center" wrapText="1"/>
    </xf>
    <xf numFmtId="0" fontId="10" fillId="0" borderId="39" xfId="0" applyFont="1" applyBorder="1" applyAlignment="1">
      <alignment vertical="center" wrapText="1"/>
    </xf>
    <xf numFmtId="0" fontId="0" fillId="0" borderId="24" xfId="0" applyBorder="1" applyAlignment="1">
      <alignment vertical="center" wrapText="1"/>
    </xf>
    <xf numFmtId="6" fontId="3" fillId="0" borderId="15" xfId="0" applyNumberFormat="1" applyFont="1" applyBorder="1" applyAlignment="1">
      <alignment horizontal="left" vertical="center"/>
    </xf>
    <xf numFmtId="6" fontId="3" fillId="0" borderId="22" xfId="0" applyNumberFormat="1" applyFont="1" applyBorder="1" applyAlignment="1">
      <alignment horizontal="left" vertical="center"/>
    </xf>
    <xf numFmtId="0" fontId="6" fillId="0" borderId="47" xfId="0" applyFont="1" applyFill="1" applyBorder="1" applyAlignment="1">
      <alignment horizontal="left" vertical="center" wrapText="1"/>
    </xf>
    <xf numFmtId="0" fontId="6" fillId="0" borderId="12" xfId="0" applyFont="1" applyBorder="1" applyAlignment="1">
      <alignment horizontal="left" vertical="center"/>
    </xf>
    <xf numFmtId="0" fontId="6" fillId="0" borderId="3" xfId="0" applyFont="1" applyBorder="1" applyAlignment="1">
      <alignment horizontal="left" vertical="center"/>
    </xf>
    <xf numFmtId="0" fontId="10" fillId="0" borderId="24" xfId="0" applyFont="1" applyBorder="1" applyAlignment="1">
      <alignment vertical="top" wrapText="1"/>
    </xf>
    <xf numFmtId="0" fontId="10" fillId="0" borderId="38" xfId="0" applyFont="1" applyBorder="1" applyAlignment="1">
      <alignment vertical="top" wrapText="1"/>
    </xf>
    <xf numFmtId="0" fontId="10" fillId="0" borderId="39" xfId="0" applyFont="1" applyBorder="1" applyAlignment="1">
      <alignment vertical="top" wrapText="1"/>
    </xf>
    <xf numFmtId="0" fontId="22" fillId="0" borderId="47" xfId="0" applyFont="1" applyFill="1" applyBorder="1" applyAlignment="1">
      <alignment horizontal="left" vertical="top" wrapText="1"/>
    </xf>
    <xf numFmtId="0" fontId="21" fillId="0" borderId="52" xfId="0" applyFont="1" applyFill="1" applyBorder="1" applyAlignment="1">
      <alignment horizontal="left" vertical="top"/>
    </xf>
    <xf numFmtId="0" fontId="21" fillId="0" borderId="3" xfId="0" applyFont="1" applyFill="1" applyBorder="1" applyAlignment="1">
      <alignment horizontal="left" vertical="top"/>
    </xf>
    <xf numFmtId="0" fontId="14" fillId="0" borderId="12" xfId="0" applyFont="1" applyBorder="1" applyAlignment="1">
      <alignment horizontal="left" vertical="top"/>
    </xf>
    <xf numFmtId="0" fontId="14" fillId="0" borderId="3" xfId="0" applyFont="1" applyBorder="1" applyAlignment="1">
      <alignment horizontal="left" vertical="top"/>
    </xf>
    <xf numFmtId="0" fontId="37" fillId="0" borderId="47" xfId="0" applyFont="1" applyBorder="1" applyAlignment="1">
      <alignment horizontal="left" vertical="top" wrapText="1"/>
    </xf>
    <xf numFmtId="0" fontId="37" fillId="0" borderId="52" xfId="0" applyFont="1" applyBorder="1" applyAlignment="1">
      <alignment horizontal="left" vertical="top" wrapText="1"/>
    </xf>
    <xf numFmtId="0" fontId="37" fillId="0" borderId="138" xfId="0" applyFont="1" applyBorder="1" applyAlignment="1">
      <alignment horizontal="left" vertical="top" wrapText="1"/>
    </xf>
    <xf numFmtId="0" fontId="31" fillId="5" borderId="47" xfId="0" applyFont="1" applyFill="1" applyBorder="1" applyAlignment="1">
      <alignment horizontal="left" vertical="top" wrapText="1"/>
    </xf>
    <xf numFmtId="0" fontId="31" fillId="5" borderId="52" xfId="0" applyFont="1" applyFill="1" applyBorder="1" applyAlignment="1">
      <alignment horizontal="left" vertical="top" wrapText="1"/>
    </xf>
    <xf numFmtId="0" fontId="31" fillId="5" borderId="3" xfId="0" applyFont="1" applyFill="1" applyBorder="1" applyAlignment="1">
      <alignment horizontal="left" vertical="top" wrapText="1"/>
    </xf>
    <xf numFmtId="0" fontId="21" fillId="5" borderId="47" xfId="0" applyFont="1" applyFill="1" applyBorder="1" applyAlignment="1">
      <alignment horizontal="left" vertical="top" wrapText="1"/>
    </xf>
    <xf numFmtId="0" fontId="21" fillId="5" borderId="52" xfId="0" applyFont="1" applyFill="1" applyBorder="1" applyAlignment="1">
      <alignment horizontal="left" vertical="top"/>
    </xf>
    <xf numFmtId="0" fontId="21" fillId="5" borderId="3" xfId="0" applyFont="1" applyFill="1" applyBorder="1" applyAlignment="1">
      <alignment horizontal="left" vertical="top"/>
    </xf>
    <xf numFmtId="0" fontId="10" fillId="5" borderId="52" xfId="0" applyFont="1" applyFill="1" applyBorder="1" applyAlignment="1">
      <alignment horizontal="left" vertical="top"/>
    </xf>
    <xf numFmtId="0" fontId="10" fillId="5" borderId="3" xfId="0" applyFont="1" applyFill="1" applyBorder="1" applyAlignment="1">
      <alignment horizontal="left" vertical="top"/>
    </xf>
    <xf numFmtId="0" fontId="21" fillId="0" borderId="47" xfId="0" applyFont="1" applyFill="1" applyBorder="1" applyAlignment="1">
      <alignment horizontal="left" vertical="top" wrapText="1"/>
    </xf>
    <xf numFmtId="0" fontId="21" fillId="0" borderId="52" xfId="0" applyFont="1" applyBorder="1" applyAlignment="1">
      <alignment horizontal="left" vertical="top"/>
    </xf>
    <xf numFmtId="0" fontId="21" fillId="0" borderId="3" xfId="0" applyFont="1" applyBorder="1" applyAlignment="1">
      <alignment horizontal="left" vertical="top"/>
    </xf>
    <xf numFmtId="0" fontId="14" fillId="0" borderId="75" xfId="0" applyFont="1" applyBorder="1" applyAlignment="1">
      <alignment vertical="center"/>
    </xf>
    <xf numFmtId="0" fontId="6" fillId="0" borderId="75" xfId="0" applyFont="1" applyBorder="1" applyAlignment="1">
      <alignment vertical="center"/>
    </xf>
    <xf numFmtId="0" fontId="6" fillId="0" borderId="104" xfId="0" applyFont="1" applyBorder="1" applyAlignment="1">
      <alignment vertical="center"/>
    </xf>
    <xf numFmtId="0" fontId="14" fillId="0" borderId="1" xfId="0" applyFont="1" applyBorder="1" applyAlignment="1">
      <alignment vertical="center"/>
    </xf>
    <xf numFmtId="0" fontId="6" fillId="0" borderId="1" xfId="0" applyFont="1" applyBorder="1" applyAlignment="1">
      <alignment vertical="center"/>
    </xf>
    <xf numFmtId="0" fontId="6" fillId="0" borderId="105" xfId="0" applyFont="1" applyBorder="1" applyAlignment="1">
      <alignment vertical="center"/>
    </xf>
    <xf numFmtId="6" fontId="5" fillId="0" borderId="68" xfId="0" applyNumberFormat="1" applyFont="1" applyBorder="1" applyAlignment="1">
      <alignment horizontal="left" vertical="center"/>
    </xf>
    <xf numFmtId="0" fontId="6" fillId="0" borderId="68" xfId="0" applyFont="1" applyBorder="1" applyAlignment="1">
      <alignment horizontal="left" vertical="center"/>
    </xf>
    <xf numFmtId="0" fontId="6" fillId="0" borderId="69" xfId="0" applyFont="1" applyBorder="1" applyAlignment="1">
      <alignment horizontal="left" vertical="center"/>
    </xf>
    <xf numFmtId="0" fontId="16" fillId="0" borderId="75" xfId="0" applyFont="1" applyBorder="1" applyAlignment="1">
      <alignment vertical="center"/>
    </xf>
    <xf numFmtId="0" fontId="5" fillId="0" borderId="75" xfId="0" applyFont="1" applyBorder="1" applyAlignment="1">
      <alignment vertical="center"/>
    </xf>
    <xf numFmtId="0" fontId="5" fillId="0" borderId="104" xfId="0" applyFont="1" applyBorder="1" applyAlignment="1">
      <alignment vertical="center"/>
    </xf>
    <xf numFmtId="0" fontId="16" fillId="0" borderId="103" xfId="0" applyFont="1" applyBorder="1" applyAlignment="1">
      <alignment vertical="center"/>
    </xf>
    <xf numFmtId="0" fontId="14" fillId="0" borderId="103" xfId="0" applyFont="1" applyBorder="1" applyAlignment="1">
      <alignment vertical="center"/>
    </xf>
    <xf numFmtId="0" fontId="16" fillId="0" borderId="104" xfId="0" applyFont="1" applyBorder="1" applyAlignment="1">
      <alignment vertical="center"/>
    </xf>
    <xf numFmtId="6" fontId="3" fillId="0" borderId="59" xfId="0" applyNumberFormat="1" applyFont="1" applyFill="1" applyBorder="1" applyAlignment="1">
      <alignment horizontal="left"/>
    </xf>
    <xf numFmtId="0" fontId="3" fillId="0" borderId="56" xfId="0" applyFont="1" applyFill="1" applyBorder="1" applyAlignment="1">
      <alignment horizontal="left"/>
    </xf>
    <xf numFmtId="0" fontId="3" fillId="0" borderId="17" xfId="0" applyFont="1" applyFill="1" applyBorder="1" applyAlignment="1">
      <alignment horizontal="left"/>
    </xf>
    <xf numFmtId="0" fontId="5" fillId="0" borderId="47" xfId="0" applyFont="1" applyBorder="1" applyAlignment="1">
      <alignment horizontal="left" vertical="top" wrapText="1"/>
    </xf>
    <xf numFmtId="0" fontId="60" fillId="0" borderId="47" xfId="0" applyFont="1" applyBorder="1" applyAlignment="1">
      <alignment horizontal="left" vertical="top" wrapText="1"/>
    </xf>
    <xf numFmtId="0" fontId="6" fillId="0" borderId="52" xfId="0" applyFont="1" applyFill="1" applyBorder="1" applyAlignment="1">
      <alignment horizontal="left" vertical="top"/>
    </xf>
    <xf numFmtId="0" fontId="6" fillId="0" borderId="3" xfId="0" applyFont="1" applyFill="1" applyBorder="1" applyAlignment="1">
      <alignment horizontal="left" vertical="top"/>
    </xf>
    <xf numFmtId="0" fontId="40" fillId="0" borderId="47" xfId="0" applyFont="1" applyBorder="1" applyAlignment="1">
      <alignment horizontal="left" vertical="top" wrapText="1"/>
    </xf>
    <xf numFmtId="0" fontId="37" fillId="0" borderId="47" xfId="0" applyFont="1" applyFill="1" applyBorder="1" applyAlignment="1">
      <alignment horizontal="left" vertical="top" wrapText="1"/>
    </xf>
    <xf numFmtId="0" fontId="37" fillId="0" borderId="52" xfId="0" applyFont="1" applyFill="1" applyBorder="1" applyAlignment="1">
      <alignment horizontal="left" vertical="top" wrapText="1"/>
    </xf>
    <xf numFmtId="0" fontId="37" fillId="0" borderId="138" xfId="0" applyFont="1" applyFill="1" applyBorder="1" applyAlignment="1">
      <alignment horizontal="left" vertical="top" wrapText="1"/>
    </xf>
    <xf numFmtId="0" fontId="6" fillId="0" borderId="47" xfId="0" quotePrefix="1" applyFont="1" applyBorder="1" applyAlignment="1">
      <alignment vertical="top" wrapText="1"/>
    </xf>
    <xf numFmtId="0" fontId="0" fillId="0" borderId="52" xfId="0" quotePrefix="1" applyBorder="1" applyAlignment="1">
      <alignment vertical="top" wrapText="1"/>
    </xf>
    <xf numFmtId="0" fontId="0" fillId="0" borderId="3" xfId="0" quotePrefix="1" applyBorder="1" applyAlignment="1">
      <alignment vertical="top" wrapText="1"/>
    </xf>
    <xf numFmtId="6" fontId="3" fillId="0" borderId="56" xfId="0" applyNumberFormat="1" applyFont="1" applyBorder="1" applyAlignment="1">
      <alignment horizontal="left" vertical="center"/>
    </xf>
    <xf numFmtId="6" fontId="3" fillId="0" borderId="17" xfId="0" applyNumberFormat="1" applyFont="1" applyBorder="1" applyAlignment="1">
      <alignment horizontal="left" vertical="center"/>
    </xf>
    <xf numFmtId="6" fontId="3" fillId="0" borderId="58" xfId="0" applyNumberFormat="1" applyFont="1" applyBorder="1" applyAlignment="1">
      <alignment horizontal="left" vertical="center"/>
    </xf>
    <xf numFmtId="6" fontId="3" fillId="0" borderId="18" xfId="0" applyNumberFormat="1" applyFont="1" applyBorder="1" applyAlignment="1">
      <alignment horizontal="left" vertical="center"/>
    </xf>
    <xf numFmtId="0" fontId="6" fillId="0" borderId="47" xfId="0" applyFont="1" applyBorder="1" applyAlignment="1">
      <alignment vertical="top" wrapText="1"/>
    </xf>
    <xf numFmtId="0" fontId="6" fillId="0" borderId="52" xfId="0" applyFont="1" applyBorder="1" applyAlignment="1">
      <alignment vertical="top" wrapText="1"/>
    </xf>
    <xf numFmtId="0" fontId="6" fillId="0" borderId="3" xfId="0" applyFont="1" applyBorder="1" applyAlignment="1">
      <alignment vertical="top" wrapText="1"/>
    </xf>
    <xf numFmtId="0" fontId="0" fillId="0" borderId="24" xfId="0" applyFont="1" applyFill="1" applyBorder="1" applyAlignment="1">
      <alignment vertical="top" wrapText="1"/>
    </xf>
    <xf numFmtId="0" fontId="0" fillId="0" borderId="38" xfId="0" applyFont="1" applyFill="1" applyBorder="1" applyAlignment="1">
      <alignment vertical="top" wrapText="1"/>
    </xf>
    <xf numFmtId="0" fontId="0" fillId="0" borderId="39" xfId="0" applyFont="1" applyFill="1" applyBorder="1" applyAlignment="1">
      <alignment vertical="top" wrapText="1"/>
    </xf>
    <xf numFmtId="164" fontId="3" fillId="0" borderId="67" xfId="14" applyNumberFormat="1" applyFont="1" applyFill="1" applyBorder="1" applyAlignment="1">
      <alignment vertical="center"/>
    </xf>
    <xf numFmtId="0" fontId="3" fillId="0" borderId="68" xfId="0" applyFont="1" applyFill="1" applyBorder="1" applyAlignment="1">
      <alignment vertical="center"/>
    </xf>
    <xf numFmtId="0" fontId="0" fillId="0" borderId="69" xfId="0" applyFill="1" applyBorder="1" applyAlignment="1">
      <alignment vertical="center"/>
    </xf>
    <xf numFmtId="0" fontId="3" fillId="2" borderId="68" xfId="0" applyFont="1" applyFill="1" applyBorder="1" applyAlignment="1">
      <alignment vertical="center"/>
    </xf>
    <xf numFmtId="0" fontId="0" fillId="2" borderId="69" xfId="0" applyFill="1" applyBorder="1" applyAlignment="1">
      <alignment vertical="center"/>
    </xf>
    <xf numFmtId="0" fontId="5" fillId="0" borderId="47" xfId="0" applyFont="1" applyFill="1" applyBorder="1" applyAlignment="1">
      <alignment horizontal="left" vertical="center" wrapText="1"/>
    </xf>
    <xf numFmtId="0" fontId="6" fillId="0" borderId="52" xfId="0" applyFont="1" applyBorder="1" applyAlignment="1">
      <alignment horizontal="left" vertical="center"/>
    </xf>
  </cellXfs>
  <cellStyles count="664">
    <cellStyle name="20% - Accent1" xfId="15" builtinId="30" customBuiltin="1"/>
    <cellStyle name="20% - Accent2" xfId="516" builtinId="34" customBuiltin="1"/>
    <cellStyle name="20% - Accent3" xfId="520" builtinId="38" customBuiltin="1"/>
    <cellStyle name="20% - Accent4" xfId="524" builtinId="42" customBuiltin="1"/>
    <cellStyle name="20% - Accent5" xfId="528" builtinId="46" customBuiltin="1"/>
    <cellStyle name="20% - Accent6" xfId="532" builtinId="50" customBuiltin="1"/>
    <cellStyle name="40% - Accent1" xfId="513" builtinId="31" customBuiltin="1"/>
    <cellStyle name="40% - Accent2" xfId="517" builtinId="35" customBuiltin="1"/>
    <cellStyle name="40% - Accent3" xfId="521" builtinId="39" customBuiltin="1"/>
    <cellStyle name="40% - Accent4" xfId="525" builtinId="43" customBuiltin="1"/>
    <cellStyle name="40% - Accent5" xfId="529" builtinId="47" customBuiltin="1"/>
    <cellStyle name="40% - Accent6" xfId="533" builtinId="51" customBuiltin="1"/>
    <cellStyle name="60% - Accent1" xfId="514" builtinId="32" customBuiltin="1"/>
    <cellStyle name="60% - Accent2" xfId="518" builtinId="36" customBuiltin="1"/>
    <cellStyle name="60% - Accent3" xfId="522" builtinId="40" customBuiltin="1"/>
    <cellStyle name="60% - Accent4" xfId="526" builtinId="44" customBuiltin="1"/>
    <cellStyle name="60% - Accent5" xfId="530" builtinId="48" customBuiltin="1"/>
    <cellStyle name="60% - Accent6" xfId="534" builtinId="52" customBuiltin="1"/>
    <cellStyle name="Accent1" xfId="512" builtinId="29" customBuiltin="1"/>
    <cellStyle name="Accent2" xfId="515" builtinId="33" customBuiltin="1"/>
    <cellStyle name="Accent3" xfId="519" builtinId="37" customBuiltin="1"/>
    <cellStyle name="Accent4" xfId="523" builtinId="41" customBuiltin="1"/>
    <cellStyle name="Accent5" xfId="527" builtinId="45" customBuiltin="1"/>
    <cellStyle name="Accent6" xfId="531" builtinId="49" customBuiltin="1"/>
    <cellStyle name="Bad" xfId="501" builtinId="27" customBuiltin="1"/>
    <cellStyle name="Calculation" xfId="505" builtinId="22" customBuiltin="1"/>
    <cellStyle name="Check Cell" xfId="507" builtinId="23" customBuiltin="1"/>
    <cellStyle name="Comma" xfId="14" builtinId="3"/>
    <cellStyle name="Currency" xfId="13" builtinId="4"/>
    <cellStyle name="Explanatory Text" xfId="510"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Good" xfId="500" builtinId="26" customBuiltin="1"/>
    <cellStyle name="Heading 1" xfId="496" builtinId="16" customBuiltin="1"/>
    <cellStyle name="Heading 2" xfId="497" builtinId="17" customBuiltin="1"/>
    <cellStyle name="Heading 3" xfId="498" builtinId="18" customBuiltin="1"/>
    <cellStyle name="Heading 4" xfId="499"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Input" xfId="503" builtinId="20" customBuiltin="1"/>
    <cellStyle name="Linked Cell" xfId="506" builtinId="24" customBuiltin="1"/>
    <cellStyle name="Neutral" xfId="502" builtinId="28" customBuiltin="1"/>
    <cellStyle name="Normal" xfId="0" builtinId="0"/>
    <cellStyle name="Note" xfId="509" builtinId="10" customBuiltin="1"/>
    <cellStyle name="Output" xfId="504" builtinId="21" customBuiltin="1"/>
    <cellStyle name="Title 2" xfId="535"/>
    <cellStyle name="Total" xfId="511" builtinId="25" customBuiltin="1"/>
    <cellStyle name="Warning Text" xfId="508" builtinId="11" customBuiltin="1"/>
  </cellStyles>
  <dxfs count="0"/>
  <tableStyles count="0" defaultTableStyle="TableStyleMedium2" defaultPivotStyle="PivotStyleLight16"/>
  <colors>
    <mruColors>
      <color rgb="FFFFFF99"/>
      <color rgb="FFFF99CC"/>
      <color rgb="FFFFCCFF"/>
      <color rgb="FFCCFF66"/>
      <color rgb="FFFF66CC"/>
      <color rgb="FFFF7C80"/>
      <color rgb="FFFFCC00"/>
      <color rgb="FFFFE593"/>
      <color rgb="FFFFCC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externalLink" Target="externalLinks/externalLink4.xml"/><Relationship Id="rId55" Type="http://schemas.openxmlformats.org/officeDocument/2006/relationships/externalLink" Target="externalLinks/externalLink9.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8.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7.xml"/><Relationship Id="rId58"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3.xml"/><Relationship Id="rId57" Type="http://schemas.openxmlformats.org/officeDocument/2006/relationships/externalLink" Target="externalLinks/externalLink11.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6.xml"/><Relationship Id="rId60"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2.xml"/><Relationship Id="rId56" Type="http://schemas.openxmlformats.org/officeDocument/2006/relationships/externalLink" Target="externalLinks/externalLink10.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Y17_Q3_Casino-LIG_Reporting_MOCJ_complet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Neighborhood%20and%20Economic%20Development%20Team/LDC-Casino%20Impact%20Fund/QuarterlyReporting/FY18_Q1/Health/FY18_Q1_Casino-LIG_Reporting_Health_Tab_171128_EC-Mod.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Y17_Q2_Casino-LIG_Reporting_ALL_current_BCHD%20Food%20Access.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Y17_Q1_Casino-LIG_BOPA%20(version%201)MV.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ecreation_FY17_Q1_Casino-LIG_Reporting_ALL_current_edited.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161031%20FY17_Q1_Casino-LIG_Reporting_MOIT%20Carella%20v3.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Y17_Q3_Casino-LIG_Reporting_DOT_Complete%20Streets_Blan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Y17_Q3_Casino-LIG_Reporting_DPW.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arks_FY17_Q3_Casino-LIG_Reporting_ALL_current.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itiwatch_FY17_Q4_Casino-LIG_Reporting_Current_170916.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Y17_Q3_Casino-LIG_Reporting_ALL_current_BDC.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Y17_Q3_Casino-LIG_Reporting_ReadingPartners.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Y17_Q3_Casino-LIG_Reporting_ALL_current%20-%20MOHS%20Weinberg%20Libraries.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PUBLIC%20ALLIES%20FY17_Q3_Casino-LIG_Reporting_ALL_current%20-%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MOCJ-Fiber&amp;Cameras-CitiWatch"/>
      <sheetName val="MOCJ_CriminalJustice Coordina"/>
      <sheetName val="MOCJ_UpgradeLtg_InstallCameras"/>
    </sheetNames>
    <sheetDataSet>
      <sheetData sheetId="0">
        <row r="1">
          <cell r="T1" t="str">
            <v>FY'17</v>
          </cell>
        </row>
        <row r="8">
          <cell r="A8" t="str">
            <v>CitiWatch Initial Installation, Maintenance &amp; Study</v>
          </cell>
          <cell r="B8">
            <v>7</v>
          </cell>
          <cell r="C8" t="str">
            <v>MOCJ</v>
          </cell>
        </row>
      </sheetData>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4--FY'18"/>
      <sheetName val="+Planning-MasterPlan"/>
      <sheetName val="+Police-AddlCoverage"/>
      <sheetName val="+Police-CSD Headquarters"/>
      <sheetName val="+DOT_TrafficEnforcement"/>
      <sheetName val="+FIRE-Enhanced Medic Services"/>
      <sheetName val="MOCJ-InitialCameras-CitiWatch"/>
      <sheetName val="Mayoralty_Coordinator"/>
      <sheetName val="+DOT-CompleteStreets"/>
      <sheetName val="DOT-CompleteStreetsImplementn"/>
      <sheetName val="BCRP-TreePlanting"/>
      <sheetName val="BCRP-ParksUpgrades&amp;Maint"/>
      <sheetName val="BCRP_FederalHillSlope"/>
      <sheetName val="BCRP_MiddleBranchPlan"/>
      <sheetName val="DPW-SanitationSatffing"/>
      <sheetName val="DPW_MB ShorelineCleaning"/>
      <sheetName val="MOCJ_CriminalJustice Coordina"/>
      <sheetName val="MOCJ_Citiwatch_InstallCameras"/>
      <sheetName val="BCFD_UpgradeFireStations_EMS"/>
      <sheetName val="END_CommunityBenefitsDist"/>
      <sheetName val="END_CommunityEnhancemntProjects"/>
      <sheetName val="Planning_RedevOpps_Studies"/>
      <sheetName val="HCD-HomeownershipCounseling"/>
      <sheetName val="MOED-EmploymntConnectionCtr"/>
      <sheetName val="MOED-TargtdTraingforConstructn"/>
      <sheetName val="MOED-YouthJobs"/>
      <sheetName val="BDC_Assessmt-Mktg CarrollCamden"/>
      <sheetName val="BDC_SmallBusinessGrants"/>
      <sheetName val="MOHS_EarlyChildhoodEd"/>
      <sheetName val="MOHS_ReadingPartners"/>
      <sheetName val="Planning_EnvironmentalEducation"/>
      <sheetName val="MOHS_WeinbergLibraries"/>
      <sheetName val="BCRP_LakelandSTEAMCenter"/>
      <sheetName val="MOHS_PublicAllies"/>
      <sheetName val="BCHD_FoodAccess"/>
      <sheetName val="MOHS_HomelessnessStrategies"/>
      <sheetName val="BCRP_WaterfrontRecProgs"/>
      <sheetName val="BCRP_CommunityRecPrograms"/>
      <sheetName val="BOPA_SupportForCommunityEvents"/>
      <sheetName val="BOPA-Public Art"/>
      <sheetName val="BOPA-CoordinateArtsCulturalHist"/>
      <sheetName val="MOIT-ExpandCityFiber"/>
      <sheetName val="BDC_InfrastructureUpgrades"/>
      <sheetName val="DOT_SteamlineRepayment"/>
      <sheetName val="BDC_PublicInfrastructure"/>
    </sheetNames>
    <sheetDataSet>
      <sheetData sheetId="0">
        <row r="1">
          <cell r="Z1" t="str">
            <v>FY'18</v>
          </cell>
        </row>
        <row r="46">
          <cell r="P46">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Planning-MasterPlan"/>
      <sheetName val="+Police-AddlCoverage"/>
      <sheetName val="+Police-CESD Headquarters"/>
      <sheetName val="+DOT_TrafficEnforcement"/>
      <sheetName val="+FIRE-Enhanced Medic Services"/>
      <sheetName val="MOCJ-Fiber&amp;Cameras-CitiWatch"/>
      <sheetName val="Mayoralty_Coordinator"/>
      <sheetName val="+DOT-CompleteStreets"/>
      <sheetName val="DOT-CompleteStreetsImplementn"/>
      <sheetName val="BCRP-TreePlanting"/>
      <sheetName val="BCRP-ParksUpgrades&amp;Maint"/>
      <sheetName val="BCRP_MiddleBranchPlan"/>
      <sheetName val="DPW-SanitationSatffing"/>
      <sheetName val="DPW_MB ShorelineCleaning"/>
      <sheetName val="MOCJ_CriminalJustice Coordina"/>
      <sheetName val="MOCJ_UpgradeLtg_InstallCameras"/>
      <sheetName val="BCFD_UpgradeFireStations_EMS"/>
      <sheetName val="END_CommunityBenefitsDist"/>
      <sheetName val="END_CommunityEnhancemntProjects"/>
      <sheetName val="Planning_RedevOpps_Studies"/>
      <sheetName val="MOED-EmploymntConnectionCtr"/>
      <sheetName val="MOED-WorforceEnvScan"/>
      <sheetName val="MOED-TargtdTraingforConstructn"/>
      <sheetName val="MOED-YouthJobs"/>
      <sheetName val="BDC_Assessmt-Mktg CarrollCamden"/>
      <sheetName val="BDC_SmallBusinessGrants"/>
      <sheetName val="MOHS_EarlyChildhoodEd"/>
      <sheetName val="MOHS_ReadingPartners"/>
      <sheetName val="Planning_EnvironmentalEducation"/>
      <sheetName val="MOHS_WeinbergLibraries"/>
      <sheetName val="BCRP_LakelandSTEAMCenter"/>
      <sheetName val="MOHS_PublicAllies"/>
      <sheetName val="BCHD_FoodAccess"/>
      <sheetName val="BCRP_WaterfrontRecProgs"/>
      <sheetName val="BCRP_CommunityRecPrograms"/>
      <sheetName val="BOPA_SupportForCommunityEvents"/>
      <sheetName val="BOPA-Public Art"/>
      <sheetName val="BOPA-CoordinateArtsCulturalHist"/>
      <sheetName val="MOIT-ExpandCityFiber"/>
      <sheetName val="BDC_InfrastructureUpgrades"/>
      <sheetName val="DOT_SteamlineRepayment"/>
      <sheetName val="Sheet1"/>
    </sheetNames>
    <sheetDataSet>
      <sheetData sheetId="0" refreshError="1">
        <row r="1">
          <cell r="T1" t="str">
            <v>FY'17</v>
          </cell>
        </row>
        <row r="44">
          <cell r="A44" t="str">
            <v>Food Access Strategies</v>
          </cell>
          <cell r="B44">
            <v>16</v>
          </cell>
          <cell r="C44" t="str">
            <v>Health Department</v>
          </cell>
          <cell r="D44" t="str">
            <v>Multi-year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BOPA_SupportForCommunityEvents"/>
      <sheetName val="BOPA-Public Art"/>
      <sheetName val="BOPA-CoordinateArtsCulturalHist"/>
    </sheetNames>
    <sheetDataSet>
      <sheetData sheetId="0">
        <row r="1">
          <cell r="T1" t="str">
            <v>FY'17</v>
          </cell>
        </row>
        <row r="47">
          <cell r="A47" t="str">
            <v>Increase support for community events</v>
          </cell>
          <cell r="B47" t="str">
            <v>--</v>
          </cell>
          <cell r="C47" t="str">
            <v>BOPA</v>
          </cell>
          <cell r="D47" t="str">
            <v>Multi-Year</v>
          </cell>
        </row>
        <row r="48">
          <cell r="A48" t="str">
            <v xml:space="preserve">Increase support for Public Art projects </v>
          </cell>
          <cell r="B48">
            <v>18</v>
          </cell>
          <cell r="C48" t="str">
            <v>BOPA</v>
          </cell>
          <cell r="D48" t="str">
            <v>Multi-Year</v>
          </cell>
        </row>
        <row r="49">
          <cell r="A49" t="str">
            <v>Coordinate historic/cultural programming</v>
          </cell>
          <cell r="B49" t="str">
            <v>--</v>
          </cell>
          <cell r="C49" t="str">
            <v>BOPA</v>
          </cell>
          <cell r="D49" t="str">
            <v>Multi-Year</v>
          </cell>
        </row>
      </sheetData>
      <sheetData sheetId="1"/>
      <sheetData sheetId="2"/>
      <sheetData sheetId="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BCRP_WaterfrontRecProgs"/>
      <sheetName val="BCRP_CommunityRecPrograms"/>
    </sheetNames>
    <sheetDataSet>
      <sheetData sheetId="0">
        <row r="1">
          <cell r="T1" t="str">
            <v>FY'17</v>
          </cell>
        </row>
        <row r="46">
          <cell r="A46" t="str">
            <v>Expand Waterfront Recreation Opportunities</v>
          </cell>
          <cell r="B46" t="str">
            <v>--</v>
          </cell>
          <cell r="C46" t="str">
            <v>BCRP-Recreation</v>
          </cell>
          <cell r="D46" t="str">
            <v>Multi-Year</v>
          </cell>
        </row>
        <row r="47">
          <cell r="A47" t="str">
            <v>Expand Community Recreation Opportunities</v>
          </cell>
          <cell r="B47" t="str">
            <v>--</v>
          </cell>
          <cell r="C47" t="str">
            <v>BCRP-Recreation</v>
          </cell>
          <cell r="D47" t="str">
            <v>Multi-Year</v>
          </cell>
        </row>
      </sheetData>
      <sheetData sheetId="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MOIT-ExpandCityFiber"/>
      <sheetName val="Sheet1"/>
    </sheetNames>
    <sheetDataSet>
      <sheetData sheetId="0">
        <row r="1">
          <cell r="T1" t="str">
            <v>FY'17</v>
          </cell>
        </row>
        <row r="52">
          <cell r="A52" t="str">
            <v>Expand City fiberoptic cable/broadband network</v>
          </cell>
          <cell r="B52" t="str">
            <v>7B</v>
          </cell>
          <cell r="C52" t="str">
            <v>MOIT</v>
          </cell>
          <cell r="D52" t="str">
            <v>Multi-year</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DOT-CompleteStreets"/>
      <sheetName val="DOT-CompleteStreetsImplementn"/>
    </sheetNames>
    <sheetDataSet>
      <sheetData sheetId="0">
        <row r="1">
          <cell r="T1" t="str">
            <v>FY'17</v>
          </cell>
        </row>
        <row r="14">
          <cell r="A14" t="str">
            <v>Complete Streets Implementation &amp; Coordinator</v>
          </cell>
          <cell r="B14" t="str">
            <v>1B</v>
          </cell>
          <cell r="C14" t="str">
            <v>DOT</v>
          </cell>
          <cell r="D14" t="str">
            <v>Ongoing</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Planning-MasterPlan"/>
      <sheetName val="+Police-AddlCoverage"/>
      <sheetName val="+Police-CESD Headquarters"/>
      <sheetName val="+DOT_TrafficEnforcement"/>
      <sheetName val="+FIRE-Enhanced Medic Services"/>
      <sheetName val="MOCJ-Fiber&amp;Cameras-CitiWatch"/>
      <sheetName val="Mayoralty_Coordinator"/>
      <sheetName val="+DOT-CompleteStreets"/>
      <sheetName val="DOT-CompleteStreetsImplementn"/>
      <sheetName val="BCRP-TreePlanting"/>
      <sheetName val="BCRP-ParksUpgrades&amp;Maint"/>
      <sheetName val="BCRP_MiddleBranchPlan"/>
      <sheetName val="DPW-SanitationStaffing"/>
      <sheetName val="DPW_MB ShorelineCleaning"/>
      <sheetName val="MOCJ_CriminalJustice Coordina"/>
      <sheetName val="MOCJ_UpgradeLtg_InstallCameras"/>
      <sheetName val="BCFD_UpgradeFireStations_EMS"/>
      <sheetName val="END_CommunityBenefitsDist"/>
      <sheetName val="END_CommunityEnhancemntProjects"/>
      <sheetName val="Planning_RedevOpps_Studies"/>
      <sheetName val="MOED-EmploymntConnectionCtr"/>
      <sheetName val="MOED-WorforceEnvScan"/>
      <sheetName val="MOED-TargtdTraingforConstructn"/>
      <sheetName val="MOED-YouthJobs"/>
      <sheetName val="BDC_Assessmt-Mktg CarrollCamden"/>
      <sheetName val="BDC_SmallBusinessGrants"/>
      <sheetName val="MOHS_EarlyChildhoodEd"/>
      <sheetName val="MOHS_ReadingPartners"/>
      <sheetName val="Planning_EnvironmentalEducation"/>
      <sheetName val="MOHS_WeinbergLibraries"/>
      <sheetName val="BCRP_LakelandSTEAMCenter"/>
      <sheetName val="MOHS_PublicAllies"/>
      <sheetName val="BCHD_FoodAccess"/>
      <sheetName val="BCRP_WaterfrontRecProgs"/>
      <sheetName val="BCRP_CommunityRecPrograms"/>
      <sheetName val="BOPA_SupportForCommunityEvents"/>
      <sheetName val="BOPA-Public Art"/>
      <sheetName val="BOPA-CoordinateArtsCulturalHist"/>
      <sheetName val="MOIT-ExpandCityFiber"/>
      <sheetName val="BDC_InfrastructureUpgrades"/>
      <sheetName val="DOT_SteamlineRepayment"/>
      <sheetName val="Sheet1"/>
    </sheetNames>
    <sheetDataSet>
      <sheetData sheetId="0">
        <row r="1">
          <cell r="T1" t="str">
            <v>FY'17</v>
          </cell>
        </row>
        <row r="19">
          <cell r="A19" t="str">
            <v>Increased Solid Waste Services</v>
          </cell>
          <cell r="B19">
            <v>5</v>
          </cell>
          <cell r="C19" t="str">
            <v>DPW-Solid Waste</v>
          </cell>
          <cell r="D19" t="str">
            <v>Ongoing</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Planning-MasterPlan"/>
      <sheetName val="+Police-AddlCoverage"/>
      <sheetName val="+Police-CESD Headquarters"/>
      <sheetName val="+DOT_TrafficEnforcement"/>
      <sheetName val="+FIRE-Enhanced Medic Services"/>
      <sheetName val="MOCJ-Fiber&amp;Cameras-CitiWatch"/>
      <sheetName val="Mayoralty_Coordinator"/>
      <sheetName val="+DOT-CompleteStreets"/>
      <sheetName val="DOT-CompleteStreetsImplementn"/>
      <sheetName val="BCRP-TreePlanting"/>
      <sheetName val="BCRP-ParksUpgrades&amp;Maint"/>
      <sheetName val="BCRP_MiddleBranchPlan"/>
      <sheetName val="DPW-SanitationSatffing"/>
      <sheetName val="DPW_MB ShorelineCleaning"/>
      <sheetName val="MOCJ_CriminalJustice Coordina"/>
      <sheetName val="MOCJ_UpgradeLtg_InstallCameras"/>
      <sheetName val="BCFD_UpgradeFireStations_EMS"/>
      <sheetName val="END_CommunityBenefitsDist"/>
      <sheetName val="END_CommunityEnhancemntProjects"/>
      <sheetName val="Planning_RedevOpps_Studies"/>
      <sheetName val="MOED-EmploymntConnectionCtr"/>
      <sheetName val="MOED-WorforceEnvScan"/>
      <sheetName val="MOED-TargtdTraingforConstructn"/>
      <sheetName val="MOED-YouthJobs"/>
      <sheetName val="BDC_Assessmt-Mktg CarrollCamden"/>
      <sheetName val="BDC_SmallBusinessGrants"/>
      <sheetName val="MOHS_EarlyChildhoodEd"/>
      <sheetName val="MOHS_ReadingPartners"/>
      <sheetName val="Planning_EnvironmentalEducation"/>
      <sheetName val="MOHS_WeinbergLibraries"/>
      <sheetName val="BCRP_LakelandSTEAMCenter"/>
      <sheetName val="MOHS_PublicAllies"/>
      <sheetName val="BCHD_FoodAccess"/>
      <sheetName val="BCRP_WaterfrontRecProgs"/>
      <sheetName val="BCRP_CommunityRecPrograms"/>
      <sheetName val="BOPA_SupportForCommunityEvents"/>
      <sheetName val="BOPA-Public Art"/>
      <sheetName val="BOPA-CoordinateArtsCulturalHist"/>
      <sheetName val="MOIT-ExpandCityFiber"/>
      <sheetName val="BDC_InfrastructureUpgrades"/>
      <sheetName val="DOT_SteamlineRepayment"/>
      <sheetName val="Sheet1"/>
    </sheetNames>
    <sheetDataSet>
      <sheetData sheetId="0" refreshError="1">
        <row r="1">
          <cell r="T1" t="str">
            <v>FY'17</v>
          </cell>
        </row>
        <row r="16">
          <cell r="A16" t="str">
            <v>Street Tree Planting</v>
          </cell>
          <cell r="B16" t="str">
            <v>14A</v>
          </cell>
          <cell r="C16" t="str">
            <v>BCRP-Urban Forestry</v>
          </cell>
          <cell r="D16" t="str">
            <v>Multi-Year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Planning-MasterPlan"/>
      <sheetName val="+Police-AddlCoverage"/>
      <sheetName val="+Police-CSD Headquarters"/>
      <sheetName val="+DOT_TrafficEnforcement"/>
      <sheetName val="+FIRE-Enhanced Medic Services"/>
      <sheetName val="MOCJ-InitialCameras-CitiWatch"/>
      <sheetName val="Mayoralty_Coordinator"/>
      <sheetName val="+DOT-CompleteStreets"/>
      <sheetName val="DOT-CompleteStreetsImplementn"/>
      <sheetName val="BCRP-TreePlanting"/>
      <sheetName val="BCRP-ParksUpgrades&amp;Maint"/>
      <sheetName val="BCRP_MiddleBranchPlan"/>
      <sheetName val="DPW-SanitationSatffing"/>
      <sheetName val="DPW_MB ShorelineCleaning"/>
      <sheetName val="MOCJ_CriminalJustice Coordina"/>
      <sheetName val="MOCJ_Citiwatch_InstallCameras"/>
      <sheetName val="BCFD_UpgradeFireStations_EMS"/>
      <sheetName val="END_CommunityBenefitsDist"/>
      <sheetName val="END_CommunityEnhancemntProjects"/>
      <sheetName val="Planning_RedevOpps_Studies"/>
      <sheetName val="MOED-EmploymntConnectionCtr"/>
      <sheetName val="MOED-TargtdTraingforConstructn"/>
      <sheetName val="MOED-YouthJobs"/>
      <sheetName val="BDC_Assessmt-Mktg CarrollCamden"/>
      <sheetName val="BDC_SmallBusinessGrants"/>
      <sheetName val="MOHS_EarlyChildhoodEd"/>
      <sheetName val="MOHS_ReadingPartners"/>
      <sheetName val="Planning_EnvironmentalEducation"/>
      <sheetName val="MOHS_WeinbergLibraries"/>
      <sheetName val="BCRP_LakelandSTEAMCenter"/>
      <sheetName val="MOHS_PublicAllies"/>
      <sheetName val="BCHD_FoodAccess"/>
      <sheetName val="BCRP_WaterfrontRecProgs"/>
      <sheetName val="BCRP_CommunityRecPrograms"/>
      <sheetName val="BOPA_SupportForCommunityEvents"/>
      <sheetName val="BOPA-Public Art"/>
      <sheetName val="BOPA-CoordinateArtsCulturalHist"/>
      <sheetName val="MOIT-ExpandCityFiber"/>
      <sheetName val="BDC_InfrastructureUpgrades"/>
      <sheetName val="DOT_SteamlineRepayment"/>
    </sheetNames>
    <sheetDataSet>
      <sheetData sheetId="0">
        <row r="1">
          <cell r="T1" t="str">
            <v>FY'17</v>
          </cell>
        </row>
        <row r="23">
          <cell r="A23" t="str">
            <v>Increase Coverage of Citiwatch Camera Program</v>
          </cell>
          <cell r="B23" t="str">
            <v>--</v>
          </cell>
          <cell r="C23" t="str">
            <v>MOCJ</v>
          </cell>
          <cell r="D23" t="str">
            <v>Multi-Year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Planning-MasterPlan"/>
      <sheetName val="+Police-AddlCoverage"/>
      <sheetName val="+Police-CESD Headquarters"/>
      <sheetName val="+DOT_TrafficEnforcement"/>
      <sheetName val="+FIRE-Enhanced Medic Services"/>
      <sheetName val="MOCJ-Fiber&amp;Cameras-CitiWatch"/>
      <sheetName val="Mayoralty_Coordinator"/>
      <sheetName val="+DOT-CompleteStreets"/>
      <sheetName val="DOT-CompleteStreetsImplementn"/>
      <sheetName val="BCRP-TreePlanting"/>
      <sheetName val="BCRP-ParksUpgrades&amp;Maint"/>
      <sheetName val="BCRP_MiddleBranchPlan"/>
      <sheetName val="DPW-SanitationSatffing"/>
      <sheetName val="DPW_MB ShorelineCleaning"/>
      <sheetName val="MOCJ_CriminalJustice Coordina"/>
      <sheetName val="MOCJ_UpgradeLtg_InstallCameras"/>
      <sheetName val="BCFD_UpgradeFireStations_EMS"/>
      <sheetName val="END_CommunityBenefitsDist"/>
      <sheetName val="END_CommunityEnhancemntProjects"/>
      <sheetName val="Planning_RedevOpps_Studies"/>
      <sheetName val="MOED-EmploymntConnectionCtr"/>
      <sheetName val="MOED-WorforceEnvScan"/>
      <sheetName val="MOED-TargtdTraingforConstructn"/>
      <sheetName val="MOED-YouthJobs"/>
      <sheetName val="BDC_Assessmt-Mktg CarrollCamden"/>
      <sheetName val="BDC_SmallBusinessGrants"/>
      <sheetName val="MOHS_EarlyChildhoodEd"/>
      <sheetName val="MOHS_ReadingPartners"/>
      <sheetName val="Planning_EnvironmentalEducation"/>
      <sheetName val="MOHS_WeinbergLibraries"/>
      <sheetName val="BCRP_LakelandSTEAMCenter"/>
      <sheetName val="MOHS_PublicAllies"/>
      <sheetName val="BCHD_FoodAccess"/>
      <sheetName val="BCRP_WaterfrontRecProgs"/>
      <sheetName val="BCRP_CommunityRecPrograms"/>
      <sheetName val="BOPA_SupportForCommunityEvents"/>
      <sheetName val="BOPA-Public Art"/>
      <sheetName val="BOPA-CoordinateArtsCulturalHist"/>
      <sheetName val="MOIT-ExpandCityFiber"/>
      <sheetName val="BDC_InfrastructureUpgrades"/>
      <sheetName val="DOT_SteamlineRepayment"/>
      <sheetName val="Sheet1"/>
    </sheetNames>
    <sheetDataSet>
      <sheetData sheetId="0" refreshError="1">
        <row r="1">
          <cell r="T1" t="str">
            <v>FY'17</v>
          </cell>
        </row>
        <row r="34">
          <cell r="A34" t="str">
            <v>Assessment of Carroll-Camden &amp; Other Indust Areas</v>
          </cell>
          <cell r="B34" t="str">
            <v>--</v>
          </cell>
          <cell r="C34" t="str">
            <v>BDC</v>
          </cell>
          <cell r="D34" t="str">
            <v>1-Time</v>
          </cell>
        </row>
        <row r="35">
          <cell r="A35" t="str">
            <v>Expand small business support programs</v>
          </cell>
          <cell r="C35" t="str">
            <v>BDC</v>
          </cell>
          <cell r="D35" t="str">
            <v>Multi-Year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MOHS_ReadingPartners"/>
    </sheetNames>
    <sheetDataSet>
      <sheetData sheetId="0">
        <row r="1">
          <cell r="T1" t="str">
            <v>FY'17</v>
          </cell>
        </row>
        <row r="38">
          <cell r="A38" t="str">
            <v>Expand Reading Partners</v>
          </cell>
          <cell r="B38" t="str">
            <v>--</v>
          </cell>
          <cell r="C38" t="str">
            <v>MOHS</v>
          </cell>
          <cell r="D38" t="str">
            <v>Multi-Year</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MOHS_WeinbergLibraries"/>
    </sheetNames>
    <sheetDataSet>
      <sheetData sheetId="0" refreshError="1">
        <row r="1">
          <cell r="T1" t="str">
            <v>FY'17</v>
          </cell>
        </row>
        <row r="40">
          <cell r="A40" t="str">
            <v>Expand Weinberg Foundation School Libraries</v>
          </cell>
          <cell r="B40" t="str">
            <v>--</v>
          </cell>
          <cell r="C40" t="str">
            <v>MOHS</v>
          </cell>
          <cell r="D40" t="str">
            <v>Multi-Year</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 3--FY'17"/>
      <sheetName val="+Planning-MasterPlan"/>
      <sheetName val="+Police-AddlCoverage"/>
      <sheetName val="+Police-CESD Headquarters"/>
      <sheetName val="+DOT_TrafficEnforcement"/>
      <sheetName val="+FIRE-Enhanced Medic Services"/>
      <sheetName val="MOCJ-Fiber&amp;Cameras-CitiWatch"/>
      <sheetName val="Mayoralty_Coordinator"/>
      <sheetName val="+DOT-CompleteStreets"/>
      <sheetName val="DOT-CompleteStreetsImplementn"/>
      <sheetName val="BCRP-TreePlanting"/>
      <sheetName val="BCRP-ParksUpgrades&amp;Maint"/>
      <sheetName val="BCRP_MiddleBranchPlan"/>
      <sheetName val="DPW-SanitationSatffing"/>
      <sheetName val="DPW_MB ShorelineCleaning"/>
      <sheetName val="MOCJ_CriminalJustice Coordina"/>
      <sheetName val="MOCJ_UpgradeLtg_InstallCameras"/>
      <sheetName val="BCFD_UpgradeFireStations_EMS"/>
      <sheetName val="END_CommunityBenefitsDist"/>
      <sheetName val="END_CommunityEnhancemntProjects"/>
      <sheetName val="Planning_RedevOpps_Studies"/>
      <sheetName val="MOED-EmploymntConnectionCtr"/>
      <sheetName val="MOED-WorforceEnvScan"/>
      <sheetName val="MOED-TargtdTraingforConstructn"/>
      <sheetName val="MOED-YouthJobs"/>
      <sheetName val="BDC_Assessmt-Mktg CarrollCamden"/>
      <sheetName val="BDC_SmallBusinessGrants"/>
      <sheetName val="MOHS_EarlyChildhoodEd"/>
      <sheetName val="MOHS_ReadingPartners"/>
      <sheetName val="Planning_EnvironmentalEducation"/>
      <sheetName val="MOHS_WeinbergLibraries"/>
      <sheetName val="BCRP_LakelandSTEAMCenter"/>
      <sheetName val="MOHS_PublicAllies"/>
      <sheetName val="BCHD_FoodAccess"/>
      <sheetName val="BCRP_WaterfrontRecProgs"/>
      <sheetName val="BCRP_CommunityRecPrograms"/>
      <sheetName val="BOPA_SupportForCommunityEvents"/>
      <sheetName val="BOPA-Public Art"/>
      <sheetName val="BOPA-CoordinateArtsCulturalHist"/>
      <sheetName val="MOIT-ExpandCityFiber"/>
      <sheetName val="BDC_InfrastructureUpgrades"/>
      <sheetName val="DOT_SteamlineRepayment"/>
      <sheetName val="Sheet1"/>
    </sheetNames>
    <sheetDataSet>
      <sheetData sheetId="0">
        <row r="1">
          <cell r="T1" t="str">
            <v>FY'17</v>
          </cell>
        </row>
        <row r="42">
          <cell r="A42" t="str">
            <v>UMB/Public Allies -- School Support</v>
          </cell>
          <cell r="B42" t="str">
            <v>--</v>
          </cell>
          <cell r="C42" t="str">
            <v>MOHS</v>
          </cell>
          <cell r="D42" t="str">
            <v>Multi-Year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69"/>
  <sheetViews>
    <sheetView tabSelected="1" zoomScale="91" zoomScaleNormal="91" zoomScaleSheetLayoutView="106" workbookViewId="0">
      <pane ySplit="1" topLeftCell="A33" activePane="bottomLeft" state="frozen"/>
      <selection activeCell="B1" sqref="B1"/>
      <selection pane="bottomLeft" activeCell="D39" sqref="D39"/>
    </sheetView>
  </sheetViews>
  <sheetFormatPr defaultColWidth="8.85546875" defaultRowHeight="15" x14ac:dyDescent="0.25"/>
  <cols>
    <col min="1" max="1" width="5.7109375" style="832" customWidth="1"/>
    <col min="2" max="2" width="40.7109375" style="1" customWidth="1"/>
    <col min="3" max="3" width="7.7109375" style="126" customWidth="1"/>
    <col min="4" max="4" width="17" customWidth="1"/>
    <col min="5" max="5" width="10.7109375" customWidth="1"/>
    <col min="6" max="7" width="10.7109375" style="123" customWidth="1"/>
    <col min="8" max="8" width="10.7109375" style="126" customWidth="1"/>
    <col min="9" max="9" width="42.140625" style="126" hidden="1" customWidth="1"/>
    <col min="10" max="19" width="10.7109375" style="126" customWidth="1"/>
    <col min="20" max="20" width="10.7109375" customWidth="1"/>
    <col min="21" max="24" width="9.7109375" style="72" customWidth="1"/>
    <col min="25" max="26" width="10.7109375" style="345" customWidth="1"/>
    <col min="27" max="27" width="20.7109375" style="28" customWidth="1"/>
    <col min="28" max="28" width="0" hidden="1" customWidth="1"/>
    <col min="29" max="29" width="11.42578125" customWidth="1"/>
    <col min="30" max="30" width="19" customWidth="1"/>
    <col min="32" max="32" width="10.42578125" bestFit="1" customWidth="1"/>
    <col min="34" max="34" width="9" bestFit="1" customWidth="1"/>
    <col min="35" max="35" width="11" bestFit="1" customWidth="1"/>
  </cols>
  <sheetData>
    <row r="1" spans="1:34" s="16" customFormat="1" ht="39.950000000000003" customHeight="1" thickBot="1" x14ac:dyDescent="0.3">
      <c r="A1" s="829"/>
      <c r="B1" s="188" t="s">
        <v>764</v>
      </c>
      <c r="C1" s="189" t="s">
        <v>505</v>
      </c>
      <c r="D1" s="189" t="s">
        <v>0</v>
      </c>
      <c r="E1" s="189" t="s">
        <v>34</v>
      </c>
      <c r="F1" s="189" t="s">
        <v>136</v>
      </c>
      <c r="G1" s="189" t="s">
        <v>71</v>
      </c>
      <c r="H1" s="190" t="s">
        <v>604</v>
      </c>
      <c r="I1" s="191" t="s">
        <v>4</v>
      </c>
      <c r="J1" s="190" t="s">
        <v>395</v>
      </c>
      <c r="K1" s="190" t="s">
        <v>606</v>
      </c>
      <c r="L1" s="190" t="s">
        <v>603</v>
      </c>
      <c r="M1" s="190" t="s">
        <v>584</v>
      </c>
      <c r="N1" s="190" t="s">
        <v>397</v>
      </c>
      <c r="O1" s="190" t="s">
        <v>396</v>
      </c>
      <c r="P1" s="190" t="s">
        <v>605</v>
      </c>
      <c r="Q1" s="190" t="s">
        <v>394</v>
      </c>
      <c r="R1" s="190" t="s">
        <v>607</v>
      </c>
      <c r="S1" s="920" t="s">
        <v>406</v>
      </c>
      <c r="T1" s="190" t="s">
        <v>492</v>
      </c>
      <c r="U1" s="190" t="s">
        <v>38</v>
      </c>
      <c r="V1" s="190" t="s">
        <v>41</v>
      </c>
      <c r="W1" s="190" t="s">
        <v>56</v>
      </c>
      <c r="X1" s="190" t="s">
        <v>57</v>
      </c>
      <c r="Y1" s="190" t="s">
        <v>58</v>
      </c>
      <c r="Z1" s="190" t="s">
        <v>20</v>
      </c>
      <c r="AA1" s="192" t="s">
        <v>59</v>
      </c>
      <c r="AB1" s="16" t="s">
        <v>23</v>
      </c>
      <c r="AC1" s="829" t="s">
        <v>516</v>
      </c>
    </row>
    <row r="2" spans="1:34" s="16" customFormat="1" ht="15" customHeight="1" x14ac:dyDescent="0.25">
      <c r="A2" s="829"/>
      <c r="B2" s="193" t="s">
        <v>121</v>
      </c>
      <c r="C2" s="92"/>
      <c r="D2" s="92"/>
      <c r="E2" s="92"/>
      <c r="F2" s="92"/>
      <c r="G2" s="92"/>
      <c r="H2" s="92"/>
      <c r="I2" s="93"/>
      <c r="J2" s="92"/>
      <c r="K2" s="92"/>
      <c r="L2" s="92"/>
      <c r="M2" s="92"/>
      <c r="N2" s="92"/>
      <c r="O2" s="93"/>
      <c r="P2" s="93"/>
      <c r="Q2" s="93"/>
      <c r="R2" s="93"/>
      <c r="S2" s="93"/>
      <c r="T2" s="93"/>
      <c r="U2" s="109"/>
      <c r="V2" s="109"/>
      <c r="W2" s="109"/>
      <c r="X2" s="109"/>
      <c r="Y2" s="109"/>
      <c r="Z2" s="109"/>
      <c r="AA2" s="194"/>
      <c r="AC2" s="833"/>
    </row>
    <row r="3" spans="1:34" s="2" customFormat="1" ht="18" customHeight="1" x14ac:dyDescent="0.25">
      <c r="A3" s="830">
        <v>0.1</v>
      </c>
      <c r="B3" s="260" t="s">
        <v>126</v>
      </c>
      <c r="C3" s="98">
        <v>3</v>
      </c>
      <c r="D3" s="97" t="s">
        <v>27</v>
      </c>
      <c r="E3" s="101" t="s">
        <v>7</v>
      </c>
      <c r="F3" s="120">
        <v>95481</v>
      </c>
      <c r="G3" s="120">
        <v>14372</v>
      </c>
      <c r="H3" s="256" t="s">
        <v>123</v>
      </c>
      <c r="I3" s="244"/>
      <c r="J3" s="241">
        <f>G3-K3</f>
        <v>4876</v>
      </c>
      <c r="K3" s="184">
        <v>9496</v>
      </c>
      <c r="L3" s="124">
        <v>0</v>
      </c>
      <c r="M3" s="124">
        <f>SUM(K3:L3)</f>
        <v>9496</v>
      </c>
      <c r="N3" s="124">
        <f>M3-8894</f>
        <v>602</v>
      </c>
      <c r="O3" s="124">
        <f>M3</f>
        <v>9496</v>
      </c>
      <c r="P3" s="819">
        <f>O3-N3</f>
        <v>8894</v>
      </c>
      <c r="Q3" s="793">
        <v>0</v>
      </c>
      <c r="R3" s="793">
        <f>P3+Q3+S3</f>
        <v>8894</v>
      </c>
      <c r="S3" s="793">
        <v>0</v>
      </c>
      <c r="T3" s="793">
        <f t="shared" ref="T3:T9" si="0">SUM(R3:S3)</f>
        <v>8894</v>
      </c>
      <c r="U3" s="658">
        <f>'0.1 Planning-MasterPlan'!B14</f>
        <v>263</v>
      </c>
      <c r="V3" s="658">
        <f>'0.1 Planning-MasterPlan'!C14</f>
        <v>0</v>
      </c>
      <c r="W3" s="658">
        <f>'0.1 Planning-MasterPlan'!D14</f>
        <v>1108</v>
      </c>
      <c r="X3" s="658">
        <f>'0.1 Planning-MasterPlan'!E14</f>
        <v>0</v>
      </c>
      <c r="Y3" s="658">
        <f t="shared" ref="Y3:Y9" si="1">SUM(U3:X3)</f>
        <v>1371</v>
      </c>
      <c r="Z3" s="1123">
        <f t="shared" ref="Z3:Z9" si="2">T3-Y3</f>
        <v>7523</v>
      </c>
      <c r="AA3" s="667"/>
      <c r="AC3" s="660"/>
    </row>
    <row r="4" spans="1:34" s="2" customFormat="1" ht="18" customHeight="1" x14ac:dyDescent="0.25">
      <c r="A4" s="830">
        <f t="shared" ref="A4:A9" si="3">A3+0.1</f>
        <v>0.2</v>
      </c>
      <c r="B4" s="260" t="s">
        <v>54</v>
      </c>
      <c r="C4" s="94" t="s">
        <v>48</v>
      </c>
      <c r="D4" s="99" t="s">
        <v>1</v>
      </c>
      <c r="E4" s="95" t="s">
        <v>9</v>
      </c>
      <c r="F4" s="119">
        <v>1633365</v>
      </c>
      <c r="G4" s="119"/>
      <c r="H4" s="241">
        <v>1600000</v>
      </c>
      <c r="I4" s="242" t="s">
        <v>31</v>
      </c>
      <c r="J4" s="241">
        <v>1763701</v>
      </c>
      <c r="K4" s="272">
        <v>120000</v>
      </c>
      <c r="L4" s="124">
        <v>1700000</v>
      </c>
      <c r="M4" s="124">
        <f t="shared" ref="M4:M9" si="4">SUM(K4:L4)</f>
        <v>1820000</v>
      </c>
      <c r="N4" s="124">
        <f>1767259-N5</f>
        <v>1753976</v>
      </c>
      <c r="O4" s="124">
        <f>N4</f>
        <v>1753976</v>
      </c>
      <c r="P4" s="819">
        <f>O4-N4</f>
        <v>0</v>
      </c>
      <c r="Q4" s="793">
        <v>1803988</v>
      </c>
      <c r="R4" s="793">
        <f t="shared" ref="R4:R9" si="5">SUM(P4:Q4)</f>
        <v>1803988</v>
      </c>
      <c r="S4" s="793">
        <f>Y4-R4</f>
        <v>-151948</v>
      </c>
      <c r="T4" s="793">
        <f t="shared" si="0"/>
        <v>1652040</v>
      </c>
      <c r="U4" s="658">
        <f>'0.2 Police-AddlCoverage'!B15</f>
        <v>307889</v>
      </c>
      <c r="V4" s="658">
        <f>'0.2 Police-AddlCoverage'!C15</f>
        <v>299980</v>
      </c>
      <c r="W4" s="658">
        <f>'0.2 Police-AddlCoverage'!D15</f>
        <v>311019</v>
      </c>
      <c r="X4" s="658">
        <f>'0.2 Police-AddlCoverage'!E15</f>
        <v>733152</v>
      </c>
      <c r="Y4" s="658">
        <f t="shared" si="1"/>
        <v>1652040</v>
      </c>
      <c r="Z4" s="658">
        <f t="shared" si="2"/>
        <v>0</v>
      </c>
      <c r="AA4" s="665"/>
      <c r="AC4" s="302"/>
      <c r="AD4" s="302"/>
    </row>
    <row r="5" spans="1:34" s="2" customFormat="1" ht="18" customHeight="1" x14ac:dyDescent="0.25">
      <c r="A5" s="830">
        <f t="shared" si="3"/>
        <v>0.30000000000000004</v>
      </c>
      <c r="B5" s="260" t="s">
        <v>486</v>
      </c>
      <c r="C5" s="94" t="s">
        <v>47</v>
      </c>
      <c r="D5" s="99" t="s">
        <v>1</v>
      </c>
      <c r="E5" s="95" t="s">
        <v>9</v>
      </c>
      <c r="F5" s="119" t="s">
        <v>68</v>
      </c>
      <c r="G5" s="146">
        <v>3359</v>
      </c>
      <c r="H5" s="243">
        <v>15000</v>
      </c>
      <c r="I5" s="242" t="s">
        <v>32</v>
      </c>
      <c r="J5" s="243">
        <v>17682</v>
      </c>
      <c r="K5" s="184">
        <v>0</v>
      </c>
      <c r="L5" s="125">
        <v>24000</v>
      </c>
      <c r="M5" s="124">
        <f t="shared" si="4"/>
        <v>24000</v>
      </c>
      <c r="N5" s="125">
        <f>13200+83</f>
        <v>13283</v>
      </c>
      <c r="O5" s="124">
        <f>N5</f>
        <v>13283</v>
      </c>
      <c r="P5" s="819">
        <f>O5-N5</f>
        <v>0</v>
      </c>
      <c r="Q5" s="793">
        <v>25557</v>
      </c>
      <c r="R5" s="793">
        <f t="shared" si="5"/>
        <v>25557</v>
      </c>
      <c r="S5" s="793">
        <f>Y5-R5+5000</f>
        <v>-19292</v>
      </c>
      <c r="T5" s="793">
        <f t="shared" si="0"/>
        <v>6265</v>
      </c>
      <c r="U5" s="658">
        <f>'0.3 Police-CSD Headquarters'!B11</f>
        <v>1265</v>
      </c>
      <c r="V5" s="658">
        <f>'0.3 Police-CSD Headquarters'!C11</f>
        <v>0</v>
      </c>
      <c r="W5" s="658">
        <f>'0.3 Police-CSD Headquarters'!D11</f>
        <v>0</v>
      </c>
      <c r="X5" s="658">
        <f>'0.3 Police-CSD Headquarters'!E11</f>
        <v>0</v>
      </c>
      <c r="Y5" s="658">
        <f t="shared" si="1"/>
        <v>1265</v>
      </c>
      <c r="Z5" s="1123">
        <f t="shared" si="2"/>
        <v>5000</v>
      </c>
      <c r="AA5" s="665" t="s">
        <v>489</v>
      </c>
      <c r="AC5" s="660"/>
      <c r="AD5" s="302"/>
    </row>
    <row r="6" spans="1:34" s="2" customFormat="1" ht="18" customHeight="1" x14ac:dyDescent="0.25">
      <c r="A6" s="830">
        <f t="shared" si="3"/>
        <v>0.4</v>
      </c>
      <c r="B6" s="260" t="s">
        <v>29</v>
      </c>
      <c r="C6" s="98" t="s">
        <v>52</v>
      </c>
      <c r="D6" s="296" t="s">
        <v>45</v>
      </c>
      <c r="E6" s="95" t="s">
        <v>9</v>
      </c>
      <c r="F6" s="119">
        <v>215131</v>
      </c>
      <c r="G6" s="146"/>
      <c r="H6" s="243">
        <v>300000</v>
      </c>
      <c r="I6" s="242" t="s">
        <v>31</v>
      </c>
      <c r="J6" s="243">
        <v>313532</v>
      </c>
      <c r="K6" s="184">
        <v>0</v>
      </c>
      <c r="L6" s="125">
        <v>326000</v>
      </c>
      <c r="M6" s="124">
        <f t="shared" si="4"/>
        <v>326000</v>
      </c>
      <c r="N6" s="125">
        <v>362418</v>
      </c>
      <c r="O6" s="124">
        <f>N6</f>
        <v>362418</v>
      </c>
      <c r="P6" s="819">
        <v>0</v>
      </c>
      <c r="Q6" s="793">
        <v>334150</v>
      </c>
      <c r="R6" s="793">
        <f t="shared" si="5"/>
        <v>334150</v>
      </c>
      <c r="S6" s="793">
        <f>Y6-R6</f>
        <v>24375</v>
      </c>
      <c r="T6" s="793">
        <f t="shared" si="0"/>
        <v>358525</v>
      </c>
      <c r="U6" s="658">
        <f>'0.4 FIRE-Enhanced Medic Svcs'!B12</f>
        <v>89571</v>
      </c>
      <c r="V6" s="658">
        <f>'0.4 FIRE-Enhanced Medic Svcs'!C12</f>
        <v>101998</v>
      </c>
      <c r="W6" s="658">
        <f>'0.4 FIRE-Enhanced Medic Svcs'!D12</f>
        <v>105010</v>
      </c>
      <c r="X6" s="658">
        <f>'0.4 FIRE-Enhanced Medic Svcs'!E12</f>
        <v>61946</v>
      </c>
      <c r="Y6" s="658">
        <f>SUM(U6:X6)</f>
        <v>358525</v>
      </c>
      <c r="Z6" s="1123">
        <f t="shared" si="2"/>
        <v>0</v>
      </c>
      <c r="AA6" s="665"/>
      <c r="AC6" s="660"/>
    </row>
    <row r="7" spans="1:34" s="2" customFormat="1" ht="18" customHeight="1" x14ac:dyDescent="0.25">
      <c r="A7" s="830">
        <f t="shared" si="3"/>
        <v>0.5</v>
      </c>
      <c r="B7" s="260" t="s">
        <v>130</v>
      </c>
      <c r="C7" s="98" t="s">
        <v>51</v>
      </c>
      <c r="D7" s="279" t="s">
        <v>131</v>
      </c>
      <c r="E7" s="95" t="s">
        <v>9</v>
      </c>
      <c r="F7" s="120">
        <v>150637</v>
      </c>
      <c r="G7" s="147"/>
      <c r="H7" s="243">
        <v>108000</v>
      </c>
      <c r="I7" s="242" t="s">
        <v>31</v>
      </c>
      <c r="J7" s="243">
        <v>49483</v>
      </c>
      <c r="K7" s="272">
        <v>0</v>
      </c>
      <c r="L7" s="125">
        <v>84000</v>
      </c>
      <c r="M7" s="124">
        <f t="shared" si="4"/>
        <v>84000</v>
      </c>
      <c r="N7" s="125">
        <v>24070</v>
      </c>
      <c r="O7" s="124">
        <f>N7</f>
        <v>24070</v>
      </c>
      <c r="P7" s="819">
        <v>0</v>
      </c>
      <c r="Q7" s="793">
        <v>45000</v>
      </c>
      <c r="R7" s="793">
        <f t="shared" si="5"/>
        <v>45000</v>
      </c>
      <c r="S7" s="793">
        <f>Y7-R7</f>
        <v>-33995</v>
      </c>
      <c r="T7" s="793">
        <f t="shared" si="0"/>
        <v>11005</v>
      </c>
      <c r="U7" s="658">
        <f>'0.5 DOT_TrafficEnforcement'!B10</f>
        <v>3960</v>
      </c>
      <c r="V7" s="658">
        <f>'0.5 DOT_TrafficEnforcement'!C10</f>
        <v>6143</v>
      </c>
      <c r="W7" s="658">
        <f>'0.5 DOT_TrafficEnforcement'!D10</f>
        <v>0</v>
      </c>
      <c r="X7" s="658">
        <f>'0.5 DOT_TrafficEnforcement'!E10</f>
        <v>902</v>
      </c>
      <c r="Y7" s="658">
        <f t="shared" si="1"/>
        <v>11005</v>
      </c>
      <c r="Z7" s="1123">
        <f t="shared" si="2"/>
        <v>0</v>
      </c>
      <c r="AA7" s="665"/>
      <c r="AC7" s="660"/>
    </row>
    <row r="8" spans="1:34" s="2" customFormat="1" ht="18" customHeight="1" x14ac:dyDescent="0.25">
      <c r="A8" s="830">
        <f t="shared" si="3"/>
        <v>0.6</v>
      </c>
      <c r="B8" s="260" t="s">
        <v>267</v>
      </c>
      <c r="C8" s="98" t="s">
        <v>506</v>
      </c>
      <c r="D8" s="280" t="s">
        <v>124</v>
      </c>
      <c r="E8" s="95" t="s">
        <v>8</v>
      </c>
      <c r="F8" s="119">
        <f>220000+799500-45500</f>
        <v>974000</v>
      </c>
      <c r="G8" s="146"/>
      <c r="H8" s="243">
        <v>30000</v>
      </c>
      <c r="I8" s="244" t="s">
        <v>33</v>
      </c>
      <c r="J8" s="243">
        <f>72760-45500</f>
        <v>27260</v>
      </c>
      <c r="K8" s="272">
        <v>0</v>
      </c>
      <c r="L8" s="125">
        <v>30000</v>
      </c>
      <c r="M8" s="124">
        <f t="shared" si="4"/>
        <v>30000</v>
      </c>
      <c r="N8" s="125">
        <f>O8-5850</f>
        <v>24150</v>
      </c>
      <c r="O8" s="124">
        <v>30000</v>
      </c>
      <c r="P8" s="819">
        <f>O8-N8</f>
        <v>5850</v>
      </c>
      <c r="Q8" s="791">
        <v>30000</v>
      </c>
      <c r="R8" s="793">
        <f t="shared" si="5"/>
        <v>35850</v>
      </c>
      <c r="S8" s="793">
        <v>0</v>
      </c>
      <c r="T8" s="793">
        <f t="shared" si="0"/>
        <v>35850</v>
      </c>
      <c r="U8" s="658">
        <f>'0.6 MOCJ-InitialCCTV-CitiWatch'!B11</f>
        <v>1904</v>
      </c>
      <c r="V8" s="658">
        <f>'0.6 MOCJ-InitialCCTV-CitiWatch'!C11</f>
        <v>1298</v>
      </c>
      <c r="W8" s="658">
        <f>'0.6 MOCJ-InitialCCTV-CitiWatch'!D11</f>
        <v>792</v>
      </c>
      <c r="X8" s="658">
        <f>'0.6 MOCJ-InitialCCTV-CitiWatch'!E11</f>
        <v>0</v>
      </c>
      <c r="Y8" s="658">
        <f t="shared" si="1"/>
        <v>3994</v>
      </c>
      <c r="Z8" s="1123">
        <f t="shared" si="2"/>
        <v>31856</v>
      </c>
      <c r="AA8" s="823" t="s">
        <v>513</v>
      </c>
      <c r="AB8" s="453"/>
      <c r="AC8" s="660"/>
      <c r="AD8" s="302"/>
    </row>
    <row r="9" spans="1:34" s="3" customFormat="1" ht="15.75" thickBot="1" x14ac:dyDescent="0.3">
      <c r="A9" s="830">
        <f t="shared" si="3"/>
        <v>0.7</v>
      </c>
      <c r="B9" s="260" t="s">
        <v>601</v>
      </c>
      <c r="C9" s="98">
        <v>21</v>
      </c>
      <c r="D9" s="121" t="s">
        <v>132</v>
      </c>
      <c r="E9" s="95" t="s">
        <v>9</v>
      </c>
      <c r="F9" s="346">
        <v>68414</v>
      </c>
      <c r="G9" s="146"/>
      <c r="H9" s="243">
        <v>110000</v>
      </c>
      <c r="I9" s="245"/>
      <c r="J9" s="243">
        <v>109670</v>
      </c>
      <c r="K9" s="184">
        <v>0</v>
      </c>
      <c r="L9" s="125">
        <v>114000</v>
      </c>
      <c r="M9" s="124">
        <f t="shared" si="4"/>
        <v>114000</v>
      </c>
      <c r="N9" s="125">
        <v>109889</v>
      </c>
      <c r="O9" s="124">
        <f>N9</f>
        <v>109889</v>
      </c>
      <c r="P9" s="820">
        <v>0</v>
      </c>
      <c r="Q9" s="791">
        <v>152703</v>
      </c>
      <c r="R9" s="793">
        <f t="shared" si="5"/>
        <v>152703</v>
      </c>
      <c r="S9" s="793">
        <f>Y9-R9+5000</f>
        <v>-25742</v>
      </c>
      <c r="T9" s="793">
        <f t="shared" si="0"/>
        <v>126961</v>
      </c>
      <c r="U9" s="658">
        <f>'0.7 Mayoralty_Coordinator'!B13</f>
        <v>27433</v>
      </c>
      <c r="V9" s="658">
        <f>'0.7 Mayoralty_Coordinator'!C13</f>
        <v>28198</v>
      </c>
      <c r="W9" s="658">
        <f>'0.7 Mayoralty_Coordinator'!D13</f>
        <v>27036</v>
      </c>
      <c r="X9" s="658">
        <f>'0.7 Mayoralty_Coordinator'!E13</f>
        <v>39294</v>
      </c>
      <c r="Y9" s="658">
        <f t="shared" si="1"/>
        <v>121961</v>
      </c>
      <c r="Z9" s="1123">
        <f t="shared" si="2"/>
        <v>5000</v>
      </c>
      <c r="AA9" s="665"/>
      <c r="AC9" s="660"/>
      <c r="AD9" s="252"/>
    </row>
    <row r="10" spans="1:34" s="909" customFormat="1" ht="17.25" customHeight="1" thickBot="1" x14ac:dyDescent="0.3">
      <c r="A10" s="903"/>
      <c r="B10" s="904" t="s">
        <v>76</v>
      </c>
      <c r="C10" s="905"/>
      <c r="D10" s="905"/>
      <c r="E10" s="906"/>
      <c r="F10" s="907">
        <f t="shared" ref="F10:Z10" si="6">SUM(F3:F9)</f>
        <v>3137028</v>
      </c>
      <c r="G10" s="907">
        <f t="shared" si="6"/>
        <v>17731</v>
      </c>
      <c r="H10" s="907">
        <f t="shared" si="6"/>
        <v>2163000</v>
      </c>
      <c r="I10" s="907">
        <f t="shared" si="6"/>
        <v>0</v>
      </c>
      <c r="J10" s="907">
        <f t="shared" si="6"/>
        <v>2286204</v>
      </c>
      <c r="K10" s="907">
        <f t="shared" si="6"/>
        <v>129496</v>
      </c>
      <c r="L10" s="907">
        <f t="shared" si="6"/>
        <v>2278000</v>
      </c>
      <c r="M10" s="907">
        <f t="shared" si="6"/>
        <v>2407496</v>
      </c>
      <c r="N10" s="907">
        <f t="shared" si="6"/>
        <v>2288388</v>
      </c>
      <c r="O10" s="907">
        <f t="shared" si="6"/>
        <v>2303132</v>
      </c>
      <c r="P10" s="907">
        <f t="shared" si="6"/>
        <v>14744</v>
      </c>
      <c r="Q10" s="907">
        <f t="shared" si="6"/>
        <v>2391398</v>
      </c>
      <c r="R10" s="907">
        <f t="shared" si="6"/>
        <v>2406142</v>
      </c>
      <c r="S10" s="907">
        <f t="shared" si="6"/>
        <v>-206602</v>
      </c>
      <c r="T10" s="907">
        <f t="shared" si="6"/>
        <v>2199540</v>
      </c>
      <c r="U10" s="907">
        <f t="shared" si="6"/>
        <v>432285</v>
      </c>
      <c r="V10" s="907">
        <f t="shared" si="6"/>
        <v>437617</v>
      </c>
      <c r="W10" s="907">
        <f t="shared" si="6"/>
        <v>444965</v>
      </c>
      <c r="X10" s="907">
        <f t="shared" si="6"/>
        <v>835294</v>
      </c>
      <c r="Y10" s="907">
        <f t="shared" si="6"/>
        <v>2150161</v>
      </c>
      <c r="Z10" s="907">
        <f t="shared" si="6"/>
        <v>49379</v>
      </c>
      <c r="AA10" s="908"/>
      <c r="AC10" s="911"/>
      <c r="AD10" s="911"/>
    </row>
    <row r="11" spans="1:34" s="16" customFormat="1" ht="15" customHeight="1" x14ac:dyDescent="0.25">
      <c r="A11" s="829"/>
      <c r="B11" s="196" t="s">
        <v>43</v>
      </c>
      <c r="C11" s="185"/>
      <c r="D11" s="185"/>
      <c r="E11" s="185"/>
      <c r="F11" s="185"/>
      <c r="G11" s="185"/>
      <c r="H11" s="185"/>
      <c r="I11" s="187"/>
      <c r="J11" s="185"/>
      <c r="K11" s="185"/>
      <c r="L11" s="185"/>
      <c r="M11" s="185"/>
      <c r="N11" s="185"/>
      <c r="O11" s="185"/>
      <c r="P11" s="185"/>
      <c r="Q11" s="185"/>
      <c r="R11" s="185"/>
      <c r="S11" s="185"/>
      <c r="T11" s="185"/>
      <c r="U11" s="185"/>
      <c r="V11" s="185"/>
      <c r="W11" s="185"/>
      <c r="X11" s="185"/>
      <c r="Y11" s="185"/>
      <c r="Z11" s="185"/>
      <c r="AA11" s="197"/>
    </row>
    <row r="12" spans="1:34" s="2" customFormat="1" ht="27.75" customHeight="1" x14ac:dyDescent="0.25">
      <c r="A12" s="830"/>
      <c r="B12" s="253" t="s">
        <v>122</v>
      </c>
      <c r="C12" s="336"/>
      <c r="D12" s="254"/>
      <c r="E12" s="254"/>
      <c r="F12" s="255">
        <f t="shared" ref="F12:Y12" si="7">SUM(F13:F14)</f>
        <v>298112</v>
      </c>
      <c r="G12" s="255">
        <f t="shared" si="7"/>
        <v>298112</v>
      </c>
      <c r="H12" s="255">
        <f t="shared" si="7"/>
        <v>150000</v>
      </c>
      <c r="I12" s="255">
        <f t="shared" si="7"/>
        <v>0</v>
      </c>
      <c r="J12" s="255">
        <f t="shared" si="7"/>
        <v>214978</v>
      </c>
      <c r="K12" s="255">
        <f t="shared" si="7"/>
        <v>369611</v>
      </c>
      <c r="L12" s="255">
        <f t="shared" si="7"/>
        <v>600000</v>
      </c>
      <c r="M12" s="255">
        <f t="shared" si="7"/>
        <v>969611</v>
      </c>
      <c r="N12" s="255">
        <f t="shared" si="7"/>
        <v>328844</v>
      </c>
      <c r="O12" s="255">
        <f t="shared" si="7"/>
        <v>969611</v>
      </c>
      <c r="P12" s="255">
        <f t="shared" si="7"/>
        <v>640767</v>
      </c>
      <c r="Q12" s="255">
        <f t="shared" si="7"/>
        <v>575000</v>
      </c>
      <c r="R12" s="255">
        <f t="shared" si="7"/>
        <v>1215767</v>
      </c>
      <c r="S12" s="255">
        <f t="shared" si="7"/>
        <v>-607694</v>
      </c>
      <c r="T12" s="255">
        <f t="shared" si="7"/>
        <v>608073</v>
      </c>
      <c r="U12" s="255">
        <f t="shared" si="7"/>
        <v>177933.86</v>
      </c>
      <c r="V12" s="255">
        <f t="shared" si="7"/>
        <v>31250.14</v>
      </c>
      <c r="W12" s="255">
        <f t="shared" si="7"/>
        <v>0</v>
      </c>
      <c r="X12" s="255">
        <f t="shared" si="7"/>
        <v>0</v>
      </c>
      <c r="Y12" s="255">
        <f t="shared" si="7"/>
        <v>209184</v>
      </c>
      <c r="Z12" s="255">
        <f t="shared" ref="Z12" si="8">SUM(Z13:Z14)</f>
        <v>398889</v>
      </c>
      <c r="AA12" s="311"/>
      <c r="AB12" s="303"/>
      <c r="AC12" s="252"/>
      <c r="AD12" s="252"/>
      <c r="AE12" s="252"/>
      <c r="AF12" s="252"/>
      <c r="AG12" s="252"/>
      <c r="AH12" s="252"/>
    </row>
    <row r="13" spans="1:34" s="2" customFormat="1" ht="18" customHeight="1" x14ac:dyDescent="0.25">
      <c r="A13" s="830">
        <v>1.1000000000000001</v>
      </c>
      <c r="B13" s="260" t="s">
        <v>600</v>
      </c>
      <c r="C13" s="98" t="s">
        <v>61</v>
      </c>
      <c r="D13" s="279" t="s">
        <v>2</v>
      </c>
      <c r="E13" s="95" t="s">
        <v>7</v>
      </c>
      <c r="F13" s="120">
        <v>298112</v>
      </c>
      <c r="G13" s="120">
        <f>F13</f>
        <v>298112</v>
      </c>
      <c r="H13" s="241">
        <v>150000</v>
      </c>
      <c r="I13" s="248" t="s">
        <v>30</v>
      </c>
      <c r="J13" s="241">
        <v>214978</v>
      </c>
      <c r="K13" s="184">
        <f>369611</f>
        <v>369611</v>
      </c>
      <c r="L13" s="124">
        <v>0</v>
      </c>
      <c r="M13" s="124">
        <f t="shared" ref="M13:M14" si="9">SUM(K13:L13)</f>
        <v>369611</v>
      </c>
      <c r="N13" s="124">
        <v>292947</v>
      </c>
      <c r="O13" s="124">
        <f>M13</f>
        <v>369611</v>
      </c>
      <c r="P13" s="713">
        <v>76664</v>
      </c>
      <c r="Q13" s="793">
        <v>0</v>
      </c>
      <c r="R13" s="793">
        <f t="shared" ref="R13" si="10">SUM(P13:Q13)</f>
        <v>76664</v>
      </c>
      <c r="S13" s="793">
        <f>Y13-R13</f>
        <v>-32694</v>
      </c>
      <c r="T13" s="793">
        <f>SUM(R13:S13)</f>
        <v>43970</v>
      </c>
      <c r="U13" s="658">
        <f>'1.1 DOT-CompleteStreets'!B13</f>
        <v>12719.86</v>
      </c>
      <c r="V13" s="658">
        <f>'1.1 DOT-CompleteStreets'!C13</f>
        <v>31250.14</v>
      </c>
      <c r="W13" s="658">
        <f>'1.1 DOT-CompleteStreets'!D13</f>
        <v>0</v>
      </c>
      <c r="X13" s="658">
        <f>'1.1 DOT-CompleteStreets'!E13</f>
        <v>0</v>
      </c>
      <c r="Y13" s="658">
        <f>SUM(U13:X13)</f>
        <v>43970</v>
      </c>
      <c r="Z13" s="1123">
        <f>T13-Y13</f>
        <v>0</v>
      </c>
      <c r="AA13" s="665"/>
      <c r="AC13" s="660"/>
      <c r="AD13" s="252"/>
      <c r="AE13" s="252"/>
      <c r="AF13" s="252"/>
      <c r="AG13" s="252"/>
      <c r="AH13" s="252"/>
    </row>
    <row r="14" spans="1:34" s="2" customFormat="1" ht="18" customHeight="1" x14ac:dyDescent="0.25">
      <c r="A14" s="830">
        <f>A13+0.1</f>
        <v>1.2000000000000002</v>
      </c>
      <c r="B14" s="260" t="s">
        <v>157</v>
      </c>
      <c r="C14" s="98" t="s">
        <v>60</v>
      </c>
      <c r="D14" s="279" t="s">
        <v>2</v>
      </c>
      <c r="E14" s="95" t="s">
        <v>9</v>
      </c>
      <c r="F14" s="119" t="s">
        <v>37</v>
      </c>
      <c r="G14" s="119" t="s">
        <v>37</v>
      </c>
      <c r="H14" s="256" t="s">
        <v>37</v>
      </c>
      <c r="I14" s="267"/>
      <c r="J14" s="256" t="s">
        <v>37</v>
      </c>
      <c r="K14" s="272" t="s">
        <v>37</v>
      </c>
      <c r="L14" s="124">
        <v>600000</v>
      </c>
      <c r="M14" s="124">
        <f t="shared" si="9"/>
        <v>600000</v>
      </c>
      <c r="N14" s="124">
        <v>35897</v>
      </c>
      <c r="O14" s="124">
        <f>M14</f>
        <v>600000</v>
      </c>
      <c r="P14" s="713">
        <f>O14-N14</f>
        <v>564103</v>
      </c>
      <c r="Q14" s="793">
        <v>575000</v>
      </c>
      <c r="R14" s="793">
        <f>SUM(P14:Q14)</f>
        <v>1139103</v>
      </c>
      <c r="S14" s="793">
        <v>-575000</v>
      </c>
      <c r="T14" s="793">
        <f>SUM(R14:S14)</f>
        <v>564103</v>
      </c>
      <c r="U14" s="1146">
        <f>'1.2 DOT-CompleteStreetsImplmtn'!B15</f>
        <v>165214</v>
      </c>
      <c r="V14" s="1147"/>
      <c r="W14" s="1147"/>
      <c r="X14" s="1148"/>
      <c r="Y14" s="658">
        <f>SUM(U14:X14)</f>
        <v>165214</v>
      </c>
      <c r="Z14" s="1123">
        <f>T14-Y14</f>
        <v>398889</v>
      </c>
      <c r="AA14" s="665" t="s">
        <v>638</v>
      </c>
      <c r="AC14" s="660"/>
      <c r="AD14" s="252"/>
      <c r="AE14" s="252"/>
      <c r="AF14" s="252"/>
      <c r="AG14" s="252"/>
      <c r="AH14" s="252"/>
    </row>
    <row r="15" spans="1:34" s="2" customFormat="1" ht="27.75" customHeight="1" x14ac:dyDescent="0.25">
      <c r="A15" s="830"/>
      <c r="B15" s="257" t="s">
        <v>125</v>
      </c>
      <c r="C15" s="337"/>
      <c r="D15" s="258"/>
      <c r="E15" s="258"/>
      <c r="F15" s="259">
        <f t="shared" ref="F15:T15" si="11">SUM(F16:F21)</f>
        <v>274114</v>
      </c>
      <c r="G15" s="259">
        <f t="shared" si="11"/>
        <v>0</v>
      </c>
      <c r="H15" s="259">
        <f t="shared" si="11"/>
        <v>630000</v>
      </c>
      <c r="I15" s="259">
        <f t="shared" si="11"/>
        <v>0</v>
      </c>
      <c r="J15" s="259">
        <f t="shared" si="11"/>
        <v>517088</v>
      </c>
      <c r="K15" s="259">
        <f t="shared" si="11"/>
        <v>349520</v>
      </c>
      <c r="L15" s="259">
        <f t="shared" si="11"/>
        <v>1400000</v>
      </c>
      <c r="M15" s="259">
        <f t="shared" si="11"/>
        <v>1749520</v>
      </c>
      <c r="N15" s="259">
        <f t="shared" si="11"/>
        <v>616508</v>
      </c>
      <c r="O15" s="259">
        <f t="shared" si="11"/>
        <v>1549520</v>
      </c>
      <c r="P15" s="259">
        <f t="shared" si="11"/>
        <v>903306</v>
      </c>
      <c r="Q15" s="259">
        <f t="shared" si="11"/>
        <v>900000</v>
      </c>
      <c r="R15" s="259">
        <f t="shared" si="11"/>
        <v>1803306</v>
      </c>
      <c r="S15" s="259">
        <f t="shared" si="11"/>
        <v>-295806</v>
      </c>
      <c r="T15" s="259">
        <f t="shared" si="11"/>
        <v>1507500</v>
      </c>
      <c r="U15" s="259">
        <f t="shared" ref="U15" si="12">SUM(U16:U21)</f>
        <v>316806.70999999996</v>
      </c>
      <c r="V15" s="259">
        <f t="shared" ref="V15" si="13">SUM(V16:V21)</f>
        <v>151317</v>
      </c>
      <c r="W15" s="259">
        <f t="shared" ref="W15" si="14">SUM(W16:W21)</f>
        <v>154983.29</v>
      </c>
      <c r="X15" s="259">
        <f t="shared" ref="X15" si="15">SUM(X16:X21)</f>
        <v>234393</v>
      </c>
      <c r="Y15" s="259">
        <f t="shared" ref="Y15" si="16">SUM(Y16:Y21)</f>
        <v>857500</v>
      </c>
      <c r="Z15" s="259">
        <f t="shared" ref="Z15" si="17">SUM(Z16:Z21)</f>
        <v>650000</v>
      </c>
      <c r="AA15" s="312"/>
      <c r="AB15" s="303"/>
      <c r="AC15" s="252"/>
      <c r="AD15" s="252"/>
      <c r="AE15" s="252"/>
      <c r="AF15" s="252"/>
      <c r="AG15" s="252"/>
      <c r="AH15" s="252"/>
    </row>
    <row r="16" spans="1:34" s="2" customFormat="1" ht="18" customHeight="1" x14ac:dyDescent="0.25">
      <c r="A16" s="830">
        <f>A13+1</f>
        <v>2.1</v>
      </c>
      <c r="B16" s="260" t="s">
        <v>643</v>
      </c>
      <c r="C16" s="98" t="s">
        <v>504</v>
      </c>
      <c r="D16" s="281" t="s">
        <v>140</v>
      </c>
      <c r="E16" s="95" t="s">
        <v>9</v>
      </c>
      <c r="F16" s="120">
        <v>274114</v>
      </c>
      <c r="G16" s="147"/>
      <c r="H16" s="243">
        <v>500000</v>
      </c>
      <c r="I16" s="247" t="s">
        <v>31</v>
      </c>
      <c r="J16" s="243">
        <v>517088</v>
      </c>
      <c r="K16" s="184">
        <v>129760</v>
      </c>
      <c r="L16" s="125">
        <v>500000</v>
      </c>
      <c r="M16" s="125">
        <f t="shared" ref="M16:M17" si="18">SUM(K16:L16)</f>
        <v>629760</v>
      </c>
      <c r="N16" s="125">
        <v>318912</v>
      </c>
      <c r="O16" s="711">
        <f>M16</f>
        <v>629760</v>
      </c>
      <c r="P16" s="713">
        <f>O16-N16-P17</f>
        <v>160848</v>
      </c>
      <c r="Q16" s="816">
        <v>400000</v>
      </c>
      <c r="R16" s="793">
        <f t="shared" ref="R16:R21" si="19">SUM(P16:Q16)</f>
        <v>560848</v>
      </c>
      <c r="S16" s="793">
        <f>-R16+300000+Y16</f>
        <v>-25658</v>
      </c>
      <c r="T16" s="793">
        <f>SUM(R16:S16)</f>
        <v>535190</v>
      </c>
      <c r="U16" s="781">
        <f>'2.1 DPW-SanitationSatffing'!B18</f>
        <v>64839</v>
      </c>
      <c r="V16" s="781">
        <f>'2.1 DPW-SanitationSatffing'!C18</f>
        <v>53670</v>
      </c>
      <c r="W16" s="781">
        <f>'2.1 DPW-SanitationSatffing'!D18</f>
        <v>50751</v>
      </c>
      <c r="X16" s="781">
        <f>'2.1 DPW-SanitationSatffing'!E18</f>
        <v>65930</v>
      </c>
      <c r="Y16" s="96">
        <f>SUM(U16:X16)</f>
        <v>235190</v>
      </c>
      <c r="Z16" s="1123">
        <f>T16-Y16</f>
        <v>300000</v>
      </c>
      <c r="AA16" s="665" t="s">
        <v>611</v>
      </c>
      <c r="AC16" s="660"/>
    </row>
    <row r="17" spans="1:34" s="2" customFormat="1" ht="18" customHeight="1" x14ac:dyDescent="0.25">
      <c r="A17" s="830">
        <f t="shared" ref="A17:A21" si="20">A16+0.1</f>
        <v>2.2000000000000002</v>
      </c>
      <c r="B17" s="195" t="s">
        <v>139</v>
      </c>
      <c r="C17" s="273" t="s">
        <v>137</v>
      </c>
      <c r="D17" s="281" t="s">
        <v>140</v>
      </c>
      <c r="E17" s="95" t="s">
        <v>9</v>
      </c>
      <c r="F17" s="119" t="s">
        <v>37</v>
      </c>
      <c r="G17" s="119" t="s">
        <v>37</v>
      </c>
      <c r="H17" s="256" t="s">
        <v>37</v>
      </c>
      <c r="I17" s="267"/>
      <c r="J17" s="256" t="s">
        <v>37</v>
      </c>
      <c r="K17" s="272">
        <v>39760</v>
      </c>
      <c r="L17" s="125">
        <v>100000</v>
      </c>
      <c r="M17" s="125">
        <f t="shared" si="18"/>
        <v>139760</v>
      </c>
      <c r="N17" s="125">
        <v>110054</v>
      </c>
      <c r="O17" s="711">
        <f>M17</f>
        <v>139760</v>
      </c>
      <c r="P17" s="713">
        <v>150000</v>
      </c>
      <c r="Q17" s="816">
        <v>0</v>
      </c>
      <c r="R17" s="793">
        <f t="shared" si="19"/>
        <v>150000</v>
      </c>
      <c r="S17" s="793">
        <f>Y17-R17</f>
        <v>50849</v>
      </c>
      <c r="T17" s="793">
        <f>Y17</f>
        <v>200849</v>
      </c>
      <c r="U17" s="781">
        <f>'2.2 DPW_MB ShorelineCleaning'!B10</f>
        <v>123889</v>
      </c>
      <c r="V17" s="722">
        <f>'2.2 DPW_MB ShorelineCleaning'!C10</f>
        <v>43977</v>
      </c>
      <c r="W17" s="722">
        <f>'2.2 DPW_MB ShorelineCleaning'!D10</f>
        <v>32983</v>
      </c>
      <c r="X17" s="722">
        <f>'2.2 DPW_MB ShorelineCleaning'!E10</f>
        <v>0</v>
      </c>
      <c r="Y17" s="96">
        <f>SUM(U17:X17)</f>
        <v>200849</v>
      </c>
      <c r="Z17" s="1123">
        <f>T17-Y17</f>
        <v>0</v>
      </c>
      <c r="AA17" s="665"/>
      <c r="AC17" s="660"/>
    </row>
    <row r="18" spans="1:34" s="2" customFormat="1" ht="18" customHeight="1" x14ac:dyDescent="0.25">
      <c r="A18" s="830">
        <f t="shared" si="20"/>
        <v>2.3000000000000003</v>
      </c>
      <c r="B18" s="195" t="s">
        <v>69</v>
      </c>
      <c r="C18" s="98" t="s">
        <v>62</v>
      </c>
      <c r="D18" s="122" t="s">
        <v>133</v>
      </c>
      <c r="E18" s="95" t="s">
        <v>70</v>
      </c>
      <c r="F18" s="119" t="s">
        <v>37</v>
      </c>
      <c r="G18" s="119" t="s">
        <v>37</v>
      </c>
      <c r="H18" s="243">
        <v>30000</v>
      </c>
      <c r="I18" s="246"/>
      <c r="J18" s="243">
        <v>0</v>
      </c>
      <c r="K18" s="184">
        <v>80000</v>
      </c>
      <c r="L18" s="125">
        <v>200000</v>
      </c>
      <c r="M18" s="125">
        <f t="shared" ref="M18:M19" si="21">SUM(K18:L18)</f>
        <v>280000</v>
      </c>
      <c r="N18" s="125">
        <f>-P18+80000</f>
        <v>18048</v>
      </c>
      <c r="O18" s="124">
        <v>80000</v>
      </c>
      <c r="P18" s="713">
        <v>61952</v>
      </c>
      <c r="Q18" s="793">
        <v>0</v>
      </c>
      <c r="R18" s="793">
        <f t="shared" si="19"/>
        <v>61952</v>
      </c>
      <c r="S18" s="793">
        <f>Y18-R18</f>
        <v>21786</v>
      </c>
      <c r="T18" s="793">
        <f>SUM(R18:S18)</f>
        <v>83738</v>
      </c>
      <c r="U18" s="781">
        <f>'2.3 BCRP-TreePlanting'!B13</f>
        <v>63239.71</v>
      </c>
      <c r="V18" s="781">
        <f>'2.3 BCRP-TreePlanting'!C13</f>
        <v>0</v>
      </c>
      <c r="W18" s="96">
        <f>'2.3 BCRP-TreePlanting'!D13</f>
        <v>20498.29</v>
      </c>
      <c r="X18" s="96">
        <f>'2.3 BCRP-TreePlanting'!E13</f>
        <v>0</v>
      </c>
      <c r="Y18" s="96">
        <f t="shared" ref="Y18:Y21" si="22">SUM(U18:X18)</f>
        <v>83738</v>
      </c>
      <c r="Z18" s="1123">
        <f>T18-Y18</f>
        <v>0</v>
      </c>
      <c r="AA18" s="665" t="s">
        <v>612</v>
      </c>
      <c r="AC18" s="660"/>
    </row>
    <row r="19" spans="1:34" s="2" customFormat="1" ht="18" customHeight="1" x14ac:dyDescent="0.25">
      <c r="A19" s="830">
        <f t="shared" si="20"/>
        <v>2.4000000000000004</v>
      </c>
      <c r="B19" s="195" t="s">
        <v>135</v>
      </c>
      <c r="C19" s="273" t="s">
        <v>137</v>
      </c>
      <c r="D19" s="122" t="s">
        <v>134</v>
      </c>
      <c r="E19" s="95" t="s">
        <v>70</v>
      </c>
      <c r="F19" s="119" t="s">
        <v>37</v>
      </c>
      <c r="G19" s="119" t="s">
        <v>37</v>
      </c>
      <c r="H19" s="256" t="s">
        <v>37</v>
      </c>
      <c r="I19" s="267"/>
      <c r="J19" s="256" t="s">
        <v>37</v>
      </c>
      <c r="K19" s="272" t="s">
        <v>37</v>
      </c>
      <c r="L19" s="125">
        <v>500000</v>
      </c>
      <c r="M19" s="125">
        <f t="shared" si="21"/>
        <v>500000</v>
      </c>
      <c r="N19" s="124">
        <v>169494</v>
      </c>
      <c r="O19" s="124">
        <f>M19</f>
        <v>500000</v>
      </c>
      <c r="P19" s="713">
        <f>O19-N19</f>
        <v>330506</v>
      </c>
      <c r="Q19" s="793">
        <v>350000</v>
      </c>
      <c r="R19" s="793">
        <f t="shared" si="19"/>
        <v>680506</v>
      </c>
      <c r="S19" s="793">
        <f>Y19-R19</f>
        <v>-342783</v>
      </c>
      <c r="T19" s="793">
        <f>SUM(R19:S19)</f>
        <v>337723</v>
      </c>
      <c r="U19" s="781">
        <f>'2.4 BCRP-ParksUpgrades&amp;Maint'!C13</f>
        <v>64839</v>
      </c>
      <c r="V19" s="781">
        <f>'2.4 BCRP-ParksUpgrades&amp;Maint'!D13</f>
        <v>53670</v>
      </c>
      <c r="W19" s="781">
        <f>'2.4 BCRP-ParksUpgrades&amp;Maint'!E13</f>
        <v>50751</v>
      </c>
      <c r="X19" s="781">
        <f>'2.4 BCRP-ParksUpgrades&amp;Maint'!F13</f>
        <v>168463</v>
      </c>
      <c r="Y19" s="781">
        <f>'2.4 BCRP-ParksUpgrades&amp;Maint'!G13</f>
        <v>337723</v>
      </c>
      <c r="Z19" s="781">
        <f>'2.4 BCRP-ParksUpgrades&amp;Maint'!H13</f>
        <v>0</v>
      </c>
      <c r="AA19" s="665" t="s">
        <v>613</v>
      </c>
      <c r="AC19" s="660"/>
    </row>
    <row r="20" spans="1:34" s="2" customFormat="1" ht="18" customHeight="1" x14ac:dyDescent="0.25">
      <c r="A20" s="830">
        <f t="shared" si="20"/>
        <v>2.5000000000000004</v>
      </c>
      <c r="B20" s="195" t="s">
        <v>725</v>
      </c>
      <c r="C20" s="273" t="s">
        <v>137</v>
      </c>
      <c r="D20" s="122" t="s">
        <v>594</v>
      </c>
      <c r="E20" s="101" t="s">
        <v>7</v>
      </c>
      <c r="F20" s="119" t="s">
        <v>37</v>
      </c>
      <c r="G20" s="119" t="s">
        <v>37</v>
      </c>
      <c r="H20" s="256" t="s">
        <v>37</v>
      </c>
      <c r="I20" s="267"/>
      <c r="J20" s="256" t="s">
        <v>37</v>
      </c>
      <c r="K20" s="272" t="s">
        <v>37</v>
      </c>
      <c r="L20" s="719" t="s">
        <v>37</v>
      </c>
      <c r="M20" s="719" t="s">
        <v>37</v>
      </c>
      <c r="N20" s="719" t="s">
        <v>37</v>
      </c>
      <c r="O20" s="720" t="s">
        <v>37</v>
      </c>
      <c r="P20" s="725">
        <v>0</v>
      </c>
      <c r="Q20" s="793">
        <v>150000</v>
      </c>
      <c r="R20" s="793">
        <f t="shared" si="19"/>
        <v>150000</v>
      </c>
      <c r="S20" s="793">
        <v>0</v>
      </c>
      <c r="T20" s="793">
        <f>SUM(R20:S20)</f>
        <v>150000</v>
      </c>
      <c r="U20" s="658">
        <f>'2.5 BCRP_FederalHillSlope'!B11</f>
        <v>0</v>
      </c>
      <c r="V20" s="658">
        <f>'2.5 BCRP_FederalHillSlope'!C11</f>
        <v>0</v>
      </c>
      <c r="W20" s="658">
        <f>'2.5 BCRP_FederalHillSlope'!D11</f>
        <v>0</v>
      </c>
      <c r="X20" s="658">
        <f>'2.5 BCRP_FederalHillSlope'!E11</f>
        <v>0</v>
      </c>
      <c r="Y20" s="96">
        <f t="shared" si="22"/>
        <v>0</v>
      </c>
      <c r="Z20" s="1123">
        <f>T20-Y20</f>
        <v>150000</v>
      </c>
      <c r="AA20" s="665"/>
      <c r="AC20" s="660"/>
    </row>
    <row r="21" spans="1:34" s="655" customFormat="1" ht="18" customHeight="1" x14ac:dyDescent="0.25">
      <c r="A21" s="830">
        <f t="shared" si="20"/>
        <v>2.6000000000000005</v>
      </c>
      <c r="B21" s="195" t="s">
        <v>65</v>
      </c>
      <c r="C21" s="273" t="s">
        <v>137</v>
      </c>
      <c r="D21" s="122" t="s">
        <v>594</v>
      </c>
      <c r="E21" s="101" t="s">
        <v>7</v>
      </c>
      <c r="F21" s="119" t="s">
        <v>37</v>
      </c>
      <c r="G21" s="119" t="s">
        <v>37</v>
      </c>
      <c r="H21" s="243">
        <v>100000</v>
      </c>
      <c r="I21" s="250"/>
      <c r="J21" s="243">
        <v>0</v>
      </c>
      <c r="K21" s="184">
        <f>H21</f>
        <v>100000</v>
      </c>
      <c r="L21" s="125">
        <v>100000</v>
      </c>
      <c r="M21" s="125">
        <f t="shared" ref="M21" si="23">SUM(K21:L21)</f>
        <v>200000</v>
      </c>
      <c r="N21" s="125">
        <v>0</v>
      </c>
      <c r="O21" s="124">
        <f>M21</f>
        <v>200000</v>
      </c>
      <c r="P21" s="725">
        <f>O21</f>
        <v>200000</v>
      </c>
      <c r="Q21" s="793">
        <v>0</v>
      </c>
      <c r="R21" s="793">
        <f t="shared" si="19"/>
        <v>200000</v>
      </c>
      <c r="S21" s="793">
        <v>0</v>
      </c>
      <c r="T21" s="793">
        <f>SUM(R21:S21)</f>
        <v>200000</v>
      </c>
      <c r="U21" s="780">
        <f>'2.6 BCRP_MiddleBranchPlan'!B11</f>
        <v>0</v>
      </c>
      <c r="V21" s="780">
        <f>'2.6 BCRP_MiddleBranchPlan'!C11</f>
        <v>0</v>
      </c>
      <c r="W21" s="780">
        <f>'2.6 BCRP_MiddleBranchPlan'!D11</f>
        <v>0</v>
      </c>
      <c r="X21" s="780">
        <f>'2.6 BCRP_MiddleBranchPlan'!E11</f>
        <v>0</v>
      </c>
      <c r="Y21" s="96">
        <f t="shared" si="22"/>
        <v>0</v>
      </c>
      <c r="Z21" s="1123">
        <f>T21-Y21</f>
        <v>200000</v>
      </c>
      <c r="AA21" s="665"/>
      <c r="AC21" s="660"/>
    </row>
    <row r="22" spans="1:34" s="2" customFormat="1" ht="27.75" customHeight="1" x14ac:dyDescent="0.25">
      <c r="A22" s="830"/>
      <c r="B22" s="291" t="s">
        <v>141</v>
      </c>
      <c r="C22" s="338"/>
      <c r="D22" s="292"/>
      <c r="E22" s="292"/>
      <c r="F22" s="292">
        <f t="shared" ref="F22:P22" si="24">SUM(F23:F25)</f>
        <v>0</v>
      </c>
      <c r="G22" s="292">
        <f t="shared" si="24"/>
        <v>0</v>
      </c>
      <c r="H22" s="292">
        <f t="shared" si="24"/>
        <v>0</v>
      </c>
      <c r="I22" s="292">
        <f t="shared" si="24"/>
        <v>0</v>
      </c>
      <c r="J22" s="292">
        <f t="shared" si="24"/>
        <v>0</v>
      </c>
      <c r="K22" s="292">
        <f t="shared" si="24"/>
        <v>60000</v>
      </c>
      <c r="L22" s="292">
        <f t="shared" si="24"/>
        <v>780000</v>
      </c>
      <c r="M22" s="292">
        <f t="shared" si="24"/>
        <v>840000</v>
      </c>
      <c r="N22" s="292">
        <f t="shared" si="24"/>
        <v>68589</v>
      </c>
      <c r="O22" s="292">
        <f t="shared" si="24"/>
        <v>780000</v>
      </c>
      <c r="P22" s="292">
        <f t="shared" si="24"/>
        <v>711411</v>
      </c>
      <c r="Q22" s="292">
        <f t="shared" ref="Q22:Y22" si="25">SUM(Q23:Q25)</f>
        <v>50000</v>
      </c>
      <c r="R22" s="292">
        <f t="shared" si="25"/>
        <v>761411</v>
      </c>
      <c r="S22" s="292">
        <f t="shared" si="25"/>
        <v>0</v>
      </c>
      <c r="T22" s="292">
        <f t="shared" si="25"/>
        <v>761411</v>
      </c>
      <c r="U22" s="292">
        <f t="shared" si="25"/>
        <v>30384</v>
      </c>
      <c r="V22" s="292">
        <f t="shared" si="25"/>
        <v>13717</v>
      </c>
      <c r="W22" s="292">
        <f t="shared" si="25"/>
        <v>11733</v>
      </c>
      <c r="X22" s="292">
        <f t="shared" si="25"/>
        <v>13394</v>
      </c>
      <c r="Y22" s="292">
        <f t="shared" si="25"/>
        <v>69228</v>
      </c>
      <c r="Z22" s="292">
        <f t="shared" ref="Z22" si="26">SUM(Z23:Z25)</f>
        <v>692183</v>
      </c>
      <c r="AA22" s="313"/>
      <c r="AB22" s="304">
        <f>SUM(AB28:AB36)</f>
        <v>0</v>
      </c>
    </row>
    <row r="23" spans="1:34" s="2" customFormat="1" ht="18" customHeight="1" x14ac:dyDescent="0.25">
      <c r="A23" s="830">
        <f>A16+1</f>
        <v>3.1</v>
      </c>
      <c r="B23" s="195" t="s">
        <v>602</v>
      </c>
      <c r="C23" s="273" t="s">
        <v>137</v>
      </c>
      <c r="D23" s="280" t="s">
        <v>124</v>
      </c>
      <c r="E23" s="95" t="s">
        <v>70</v>
      </c>
      <c r="F23" s="119" t="s">
        <v>37</v>
      </c>
      <c r="G23" s="119" t="s">
        <v>37</v>
      </c>
      <c r="H23" s="256" t="s">
        <v>37</v>
      </c>
      <c r="I23" s="246"/>
      <c r="J23" s="256" t="s">
        <v>37</v>
      </c>
      <c r="K23" s="272">
        <v>60000</v>
      </c>
      <c r="L23" s="125">
        <v>0</v>
      </c>
      <c r="M23" s="125">
        <f t="shared" ref="M23:M25" si="27">SUM(K23:L23)</f>
        <v>60000</v>
      </c>
      <c r="N23" s="125">
        <v>0</v>
      </c>
      <c r="O23" s="124">
        <v>0</v>
      </c>
      <c r="P23" s="725">
        <f>O23</f>
        <v>0</v>
      </c>
      <c r="Q23" s="793">
        <v>50000</v>
      </c>
      <c r="R23" s="793">
        <f t="shared" ref="R23:R25" si="28">SUM(P23:Q23)</f>
        <v>50000</v>
      </c>
      <c r="S23" s="793">
        <v>0</v>
      </c>
      <c r="T23" s="793">
        <f>SUM(R23:S23)</f>
        <v>50000</v>
      </c>
      <c r="U23" s="658">
        <f>'3.1 MOCJCriminalJustice Coord'!B10</f>
        <v>0</v>
      </c>
      <c r="V23" s="658">
        <f>'3.1 MOCJCriminalJustice Coord'!C10</f>
        <v>0</v>
      </c>
      <c r="W23" s="658">
        <f>'3.1 MOCJCriminalJustice Coord'!D10</f>
        <v>11733</v>
      </c>
      <c r="X23" s="658">
        <f>'3.1 MOCJCriminalJustice Coord'!E10</f>
        <v>13394</v>
      </c>
      <c r="Y23" s="131">
        <f t="shared" ref="Y23:Y25" si="29">SUM(U23:X23)</f>
        <v>25127</v>
      </c>
      <c r="Z23" s="1123">
        <f>T23-Y23</f>
        <v>24873</v>
      </c>
      <c r="AA23" s="665"/>
      <c r="AC23" s="660"/>
    </row>
    <row r="24" spans="1:34" s="2" customFormat="1" ht="18" customHeight="1" x14ac:dyDescent="0.25">
      <c r="A24" s="830">
        <f>A23+0.1</f>
        <v>3.2</v>
      </c>
      <c r="B24" s="195" t="s">
        <v>346</v>
      </c>
      <c r="C24" s="273" t="s">
        <v>506</v>
      </c>
      <c r="D24" s="280" t="s">
        <v>124</v>
      </c>
      <c r="E24" s="95" t="s">
        <v>70</v>
      </c>
      <c r="F24" s="119" t="s">
        <v>37</v>
      </c>
      <c r="G24" s="119" t="s">
        <v>37</v>
      </c>
      <c r="H24" s="256" t="s">
        <v>37</v>
      </c>
      <c r="I24" s="246"/>
      <c r="J24" s="256" t="s">
        <v>37</v>
      </c>
      <c r="K24" s="272" t="s">
        <v>37</v>
      </c>
      <c r="L24" s="125">
        <v>155000</v>
      </c>
      <c r="M24" s="125">
        <f t="shared" si="27"/>
        <v>155000</v>
      </c>
      <c r="N24" s="125">
        <v>11589</v>
      </c>
      <c r="O24" s="124">
        <f>M24</f>
        <v>155000</v>
      </c>
      <c r="P24" s="725">
        <f>O24-N24</f>
        <v>143411</v>
      </c>
      <c r="Q24" s="793">
        <v>0</v>
      </c>
      <c r="R24" s="793">
        <f t="shared" si="28"/>
        <v>143411</v>
      </c>
      <c r="S24" s="793">
        <v>0</v>
      </c>
      <c r="T24" s="793">
        <f>SUM(R24:S24)</f>
        <v>143411</v>
      </c>
      <c r="U24" s="658">
        <f>'3.2 MOCJCitiwatchInstallCameras'!B22</f>
        <v>9919</v>
      </c>
      <c r="V24" s="658">
        <f>'3.2 MOCJCitiwatchInstallCameras'!C22</f>
        <v>13717</v>
      </c>
      <c r="W24" s="658">
        <f>'3.2 MOCJCitiwatchInstallCameras'!D22</f>
        <v>0</v>
      </c>
      <c r="X24" s="658">
        <f>'3.2 MOCJCitiwatchInstallCameras'!E22</f>
        <v>0</v>
      </c>
      <c r="Y24" s="131">
        <f t="shared" si="29"/>
        <v>23636</v>
      </c>
      <c r="Z24" s="1123">
        <f>T24-Y24</f>
        <v>119775</v>
      </c>
      <c r="AA24" s="665"/>
      <c r="AC24" s="660"/>
    </row>
    <row r="25" spans="1:34" s="2" customFormat="1" ht="18" customHeight="1" x14ac:dyDescent="0.25">
      <c r="A25" s="830">
        <f>A24+0.1</f>
        <v>3.3000000000000003</v>
      </c>
      <c r="B25" s="195" t="s">
        <v>142</v>
      </c>
      <c r="C25" s="273" t="s">
        <v>137</v>
      </c>
      <c r="D25" s="296" t="s">
        <v>45</v>
      </c>
      <c r="E25" s="101" t="s">
        <v>7</v>
      </c>
      <c r="F25" s="119" t="s">
        <v>37</v>
      </c>
      <c r="G25" s="119" t="s">
        <v>37</v>
      </c>
      <c r="H25" s="256" t="s">
        <v>37</v>
      </c>
      <c r="I25" s="246"/>
      <c r="J25" s="256" t="s">
        <v>37</v>
      </c>
      <c r="K25" s="272" t="s">
        <v>37</v>
      </c>
      <c r="L25" s="125">
        <v>625000</v>
      </c>
      <c r="M25" s="125">
        <f t="shared" si="27"/>
        <v>625000</v>
      </c>
      <c r="N25" s="125">
        <f>M25-568000</f>
        <v>57000</v>
      </c>
      <c r="O25" s="124">
        <f>M25</f>
        <v>625000</v>
      </c>
      <c r="P25" s="721">
        <f>M25-N25</f>
        <v>568000</v>
      </c>
      <c r="Q25" s="793">
        <v>0</v>
      </c>
      <c r="R25" s="793">
        <f t="shared" si="28"/>
        <v>568000</v>
      </c>
      <c r="S25" s="793">
        <v>0</v>
      </c>
      <c r="T25" s="793">
        <f>SUM(R25:S25)</f>
        <v>568000</v>
      </c>
      <c r="U25" s="658">
        <f>'3.3 BCFD UpgradeFireStationsEMS'!B12</f>
        <v>20465</v>
      </c>
      <c r="V25" s="658">
        <f>'3.3 BCFD UpgradeFireStationsEMS'!C12</f>
        <v>0</v>
      </c>
      <c r="W25" s="658">
        <f>'3.3 BCFD UpgradeFireStationsEMS'!D12</f>
        <v>0</v>
      </c>
      <c r="X25" s="658">
        <f>'3.3 BCFD UpgradeFireStationsEMS'!E12</f>
        <v>0</v>
      </c>
      <c r="Y25" s="131">
        <f t="shared" si="29"/>
        <v>20465</v>
      </c>
      <c r="Z25" s="1123">
        <f>T25-Y25</f>
        <v>547535</v>
      </c>
      <c r="AA25" s="667"/>
      <c r="AC25" s="660"/>
    </row>
    <row r="26" spans="1:34" s="2" customFormat="1" ht="27.95" customHeight="1" x14ac:dyDescent="0.25">
      <c r="A26" s="830"/>
      <c r="B26" s="274" t="s">
        <v>143</v>
      </c>
      <c r="C26" s="339"/>
      <c r="D26" s="275"/>
      <c r="E26" s="275"/>
      <c r="F26" s="275">
        <f>SUM(F27:F30)</f>
        <v>485446</v>
      </c>
      <c r="G26" s="275">
        <f t="shared" ref="G26:Z26" si="30">SUM(G27:G30)</f>
        <v>485446</v>
      </c>
      <c r="H26" s="275">
        <f t="shared" si="30"/>
        <v>350000</v>
      </c>
      <c r="I26" s="275">
        <f t="shared" si="30"/>
        <v>0</v>
      </c>
      <c r="J26" s="275">
        <f t="shared" si="30"/>
        <v>193529</v>
      </c>
      <c r="K26" s="275">
        <f t="shared" si="30"/>
        <v>641917</v>
      </c>
      <c r="L26" s="275">
        <f t="shared" si="30"/>
        <v>975000</v>
      </c>
      <c r="M26" s="275">
        <f t="shared" si="30"/>
        <v>1616917</v>
      </c>
      <c r="N26" s="275">
        <f t="shared" si="30"/>
        <v>203938</v>
      </c>
      <c r="O26" s="275">
        <f t="shared" si="30"/>
        <v>1116084</v>
      </c>
      <c r="P26" s="275">
        <f t="shared" si="30"/>
        <v>862146</v>
      </c>
      <c r="Q26" s="275">
        <f t="shared" si="30"/>
        <v>190000</v>
      </c>
      <c r="R26" s="275">
        <f t="shared" si="30"/>
        <v>1052146</v>
      </c>
      <c r="S26" s="275">
        <f t="shared" si="30"/>
        <v>-140000</v>
      </c>
      <c r="T26" s="275">
        <f t="shared" si="30"/>
        <v>912146</v>
      </c>
      <c r="U26" s="275">
        <f t="shared" si="30"/>
        <v>572986</v>
      </c>
      <c r="V26" s="275">
        <f t="shared" si="30"/>
        <v>10500</v>
      </c>
      <c r="W26" s="275">
        <f t="shared" si="30"/>
        <v>0</v>
      </c>
      <c r="X26" s="275">
        <f t="shared" si="30"/>
        <v>0</v>
      </c>
      <c r="Y26" s="275">
        <f t="shared" si="30"/>
        <v>583486</v>
      </c>
      <c r="Z26" s="275">
        <f t="shared" si="30"/>
        <v>278660</v>
      </c>
      <c r="AA26" s="314"/>
      <c r="AB26" s="305">
        <f>SUM(AB28:AB50)</f>
        <v>0</v>
      </c>
    </row>
    <row r="27" spans="1:34" s="265" customFormat="1" ht="18" customHeight="1" x14ac:dyDescent="0.25">
      <c r="A27" s="830">
        <f>A23+1</f>
        <v>4.0999999999999996</v>
      </c>
      <c r="B27" s="260" t="s">
        <v>514</v>
      </c>
      <c r="C27" s="261" t="s">
        <v>50</v>
      </c>
      <c r="D27" s="121" t="s">
        <v>132</v>
      </c>
      <c r="E27" s="262" t="s">
        <v>7</v>
      </c>
      <c r="F27" s="120">
        <v>135446</v>
      </c>
      <c r="G27" s="147">
        <f>F27</f>
        <v>135446</v>
      </c>
      <c r="H27" s="263">
        <v>150000</v>
      </c>
      <c r="I27" s="264" t="s">
        <v>36</v>
      </c>
      <c r="J27" s="263">
        <v>68338</v>
      </c>
      <c r="K27" s="272">
        <f>G27+H27-J27</f>
        <v>217108</v>
      </c>
      <c r="L27" s="125">
        <v>925000</v>
      </c>
      <c r="M27" s="125">
        <f>SUM(K27:L27)</f>
        <v>1142108</v>
      </c>
      <c r="N27" s="125">
        <v>72789</v>
      </c>
      <c r="O27" s="125">
        <f>709613-J27</f>
        <v>641275</v>
      </c>
      <c r="P27" s="721">
        <f>O27-N27</f>
        <v>568486</v>
      </c>
      <c r="Q27" s="793">
        <v>0</v>
      </c>
      <c r="R27" s="793">
        <f t="shared" ref="R27:R55" si="31">SUM(P27:Q27)</f>
        <v>568486</v>
      </c>
      <c r="S27" s="793">
        <v>0</v>
      </c>
      <c r="T27" s="793">
        <f>SUM(R27:S27)</f>
        <v>568486</v>
      </c>
      <c r="U27" s="658">
        <f>'4.1 MAYOR-CommunityImpactDist'!B20</f>
        <v>568486</v>
      </c>
      <c r="V27" s="658">
        <f>'4.1 MAYOR-CommunityImpactDist'!C20</f>
        <v>0</v>
      </c>
      <c r="W27" s="658">
        <f>'4.1 MAYOR-CommunityImpactDist'!D20</f>
        <v>0</v>
      </c>
      <c r="X27" s="658">
        <f>'4.1 MAYOR-CommunityImpactDist'!E20</f>
        <v>0</v>
      </c>
      <c r="Y27" s="131">
        <f t="shared" ref="Y27:Z30" si="32">SUM(U27:X27)</f>
        <v>568486</v>
      </c>
      <c r="Z27" s="96">
        <f>R27-Y27</f>
        <v>0</v>
      </c>
      <c r="AA27" s="667"/>
      <c r="AC27" s="266"/>
      <c r="AD27" s="266"/>
      <c r="AE27" s="266"/>
      <c r="AF27" s="266"/>
      <c r="AG27" s="266"/>
      <c r="AH27" s="266"/>
    </row>
    <row r="28" spans="1:34" s="2" customFormat="1" ht="18" customHeight="1" x14ac:dyDescent="0.25">
      <c r="A28" s="830">
        <f>A27+0.1</f>
        <v>4.1999999999999993</v>
      </c>
      <c r="B28" s="195" t="s">
        <v>55</v>
      </c>
      <c r="C28" s="273" t="s">
        <v>137</v>
      </c>
      <c r="D28" s="121" t="s">
        <v>132</v>
      </c>
      <c r="E28" s="101" t="s">
        <v>7</v>
      </c>
      <c r="F28" s="120">
        <v>350000</v>
      </c>
      <c r="G28" s="147">
        <f>F28</f>
        <v>350000</v>
      </c>
      <c r="H28" s="243">
        <v>200000</v>
      </c>
      <c r="I28" s="249" t="s">
        <v>35</v>
      </c>
      <c r="J28" s="243">
        <f>135778-10587</f>
        <v>125191</v>
      </c>
      <c r="K28" s="272">
        <f>G28+H28-J28</f>
        <v>424809</v>
      </c>
      <c r="L28" s="125">
        <v>0</v>
      </c>
      <c r="M28" s="125">
        <f t="shared" ref="M28:M29" si="33">SUM(K28:L28)</f>
        <v>424809</v>
      </c>
      <c r="N28" s="125">
        <f>M28-293660</f>
        <v>131149</v>
      </c>
      <c r="O28" s="124">
        <f>M28</f>
        <v>424809</v>
      </c>
      <c r="P28" s="721">
        <f>M28-N28</f>
        <v>293660</v>
      </c>
      <c r="Q28" s="793">
        <v>0</v>
      </c>
      <c r="R28" s="793">
        <f t="shared" si="31"/>
        <v>293660</v>
      </c>
      <c r="S28" s="793">
        <v>0</v>
      </c>
      <c r="T28" s="793">
        <f>SUM(R28:S28)</f>
        <v>293660</v>
      </c>
      <c r="U28" s="658">
        <f>'4.2 MAYOR CommunitEnhanceProjs'!B26</f>
        <v>4500</v>
      </c>
      <c r="V28" s="658">
        <f>'4.2 MAYOR CommunitEnhanceProjs'!C26</f>
        <v>10500</v>
      </c>
      <c r="W28" s="658">
        <f>'4.2 MAYOR CommunitEnhanceProjs'!D26</f>
        <v>0</v>
      </c>
      <c r="X28" s="658">
        <f>'4.2 MAYOR CommunitEnhanceProjs'!E26</f>
        <v>0</v>
      </c>
      <c r="Y28" s="131">
        <f t="shared" si="32"/>
        <v>15000</v>
      </c>
      <c r="Z28" s="1123">
        <f>T28-Y28</f>
        <v>278660</v>
      </c>
      <c r="AA28" s="665" t="s">
        <v>722</v>
      </c>
      <c r="AC28" s="266"/>
      <c r="AD28" s="252"/>
      <c r="AE28" s="252"/>
      <c r="AF28" s="252"/>
      <c r="AG28" s="252"/>
      <c r="AH28" s="252"/>
    </row>
    <row r="29" spans="1:34" ht="18" customHeight="1" x14ac:dyDescent="0.25">
      <c r="A29" s="830">
        <f>A28+0.1</f>
        <v>4.2999999999999989</v>
      </c>
      <c r="B29" s="439" t="s">
        <v>599</v>
      </c>
      <c r="C29" s="273" t="s">
        <v>137</v>
      </c>
      <c r="D29" s="97" t="s">
        <v>27</v>
      </c>
      <c r="E29" s="101" t="s">
        <v>7</v>
      </c>
      <c r="F29" s="119" t="s">
        <v>37</v>
      </c>
      <c r="G29" s="119" t="s">
        <v>37</v>
      </c>
      <c r="H29" s="256" t="s">
        <v>37</v>
      </c>
      <c r="I29" s="246"/>
      <c r="J29" s="256" t="s">
        <v>37</v>
      </c>
      <c r="K29" s="272" t="s">
        <v>37</v>
      </c>
      <c r="L29" s="125">
        <v>50000</v>
      </c>
      <c r="M29" s="125">
        <f t="shared" si="33"/>
        <v>50000</v>
      </c>
      <c r="N29" s="125">
        <v>0</v>
      </c>
      <c r="O29" s="124">
        <f>M29</f>
        <v>50000</v>
      </c>
      <c r="P29" s="721">
        <v>0</v>
      </c>
      <c r="Q29" s="793">
        <v>50000</v>
      </c>
      <c r="R29" s="793">
        <f t="shared" si="31"/>
        <v>50000</v>
      </c>
      <c r="S29" s="793">
        <v>0</v>
      </c>
      <c r="T29" s="793">
        <f>SUM(R29:S29)</f>
        <v>50000</v>
      </c>
      <c r="U29" s="658">
        <f>'4.3 Planning_RedevOpps_Studies'!B13</f>
        <v>0</v>
      </c>
      <c r="V29" s="658">
        <f>'4.3 Planning_RedevOpps_Studies'!C13</f>
        <v>0</v>
      </c>
      <c r="W29" s="658">
        <f>'4.3 Planning_RedevOpps_Studies'!D13</f>
        <v>0</v>
      </c>
      <c r="X29" s="658">
        <f>'4.3 Planning_RedevOpps_Studies'!E13</f>
        <v>0</v>
      </c>
      <c r="Y29" s="131">
        <f t="shared" si="32"/>
        <v>0</v>
      </c>
      <c r="Z29" s="131">
        <f t="shared" si="32"/>
        <v>0</v>
      </c>
      <c r="AA29" s="667"/>
      <c r="AB29" s="265"/>
      <c r="AC29" s="266"/>
    </row>
    <row r="30" spans="1:34" s="654" customFormat="1" ht="18" customHeight="1" x14ac:dyDescent="0.25">
      <c r="A30" s="830">
        <f>A29+0.1</f>
        <v>4.3999999999999986</v>
      </c>
      <c r="B30" s="439" t="s">
        <v>404</v>
      </c>
      <c r="C30" s="273" t="s">
        <v>137</v>
      </c>
      <c r="D30" s="724" t="s">
        <v>405</v>
      </c>
      <c r="E30" s="101" t="s">
        <v>7</v>
      </c>
      <c r="F30" s="119" t="s">
        <v>37</v>
      </c>
      <c r="G30" s="119" t="s">
        <v>37</v>
      </c>
      <c r="H30" s="256" t="s">
        <v>37</v>
      </c>
      <c r="I30" s="246"/>
      <c r="J30" s="256" t="s">
        <v>37</v>
      </c>
      <c r="K30" s="272" t="s">
        <v>37</v>
      </c>
      <c r="L30" s="719" t="s">
        <v>37</v>
      </c>
      <c r="M30" s="719" t="s">
        <v>37</v>
      </c>
      <c r="N30" s="719" t="s">
        <v>37</v>
      </c>
      <c r="O30" s="720" t="s">
        <v>37</v>
      </c>
      <c r="P30" s="725">
        <v>0</v>
      </c>
      <c r="Q30" s="793">
        <v>140000</v>
      </c>
      <c r="R30" s="793">
        <f t="shared" si="31"/>
        <v>140000</v>
      </c>
      <c r="S30" s="793">
        <f>-Q30</f>
        <v>-140000</v>
      </c>
      <c r="T30" s="793">
        <f>SUM(R30:S30)</f>
        <v>0</v>
      </c>
      <c r="U30" s="658">
        <f>'4.3 Planning_RedevOpps_Studies'!B14</f>
        <v>0</v>
      </c>
      <c r="V30" s="658">
        <f>'4.3 Planning_RedevOpps_Studies'!C14</f>
        <v>0</v>
      </c>
      <c r="W30" s="658">
        <f>'4.3 Planning_RedevOpps_Studies'!D14</f>
        <v>0</v>
      </c>
      <c r="X30" s="658">
        <f>'4.3 Planning_RedevOpps_Studies'!E14</f>
        <v>0</v>
      </c>
      <c r="Y30" s="131">
        <f t="shared" si="32"/>
        <v>0</v>
      </c>
      <c r="Z30" s="131">
        <f t="shared" si="32"/>
        <v>0</v>
      </c>
      <c r="AA30" s="667"/>
      <c r="AB30" s="265"/>
      <c r="AC30" s="266"/>
    </row>
    <row r="31" spans="1:34" s="2" customFormat="1" ht="27.95" customHeight="1" x14ac:dyDescent="0.25">
      <c r="A31" s="830"/>
      <c r="B31" s="283" t="s">
        <v>148</v>
      </c>
      <c r="C31" s="340"/>
      <c r="D31" s="284"/>
      <c r="E31" s="284"/>
      <c r="F31" s="284">
        <f>SUM(F32:F37)</f>
        <v>199581</v>
      </c>
      <c r="G31" s="284">
        <f t="shared" ref="G31:T31" si="34">SUM(G32:G37)</f>
        <v>104541</v>
      </c>
      <c r="H31" s="284">
        <f t="shared" si="34"/>
        <v>785000</v>
      </c>
      <c r="I31" s="284">
        <f t="shared" si="34"/>
        <v>0</v>
      </c>
      <c r="J31" s="284">
        <f t="shared" si="34"/>
        <v>529858</v>
      </c>
      <c r="K31" s="284">
        <f t="shared" si="34"/>
        <v>389971</v>
      </c>
      <c r="L31" s="284">
        <f t="shared" si="34"/>
        <v>1195000</v>
      </c>
      <c r="M31" s="284">
        <f t="shared" si="34"/>
        <v>1584971</v>
      </c>
      <c r="N31" s="284">
        <f t="shared" si="34"/>
        <v>1025699</v>
      </c>
      <c r="O31" s="284">
        <f t="shared" si="34"/>
        <v>1175699</v>
      </c>
      <c r="P31" s="284">
        <f t="shared" si="34"/>
        <v>600000</v>
      </c>
      <c r="Q31" s="284">
        <f t="shared" si="34"/>
        <v>635000</v>
      </c>
      <c r="R31" s="284">
        <f t="shared" si="34"/>
        <v>1235000</v>
      </c>
      <c r="S31" s="284">
        <f t="shared" si="34"/>
        <v>0</v>
      </c>
      <c r="T31" s="284">
        <f t="shared" si="34"/>
        <v>1235000</v>
      </c>
      <c r="U31" s="284">
        <f t="shared" ref="U31" si="35">SUM(U32:U37)</f>
        <v>632327</v>
      </c>
      <c r="V31" s="284">
        <f t="shared" ref="V31" si="36">SUM(V32:V37)</f>
        <v>159261</v>
      </c>
      <c r="W31" s="284">
        <f t="shared" ref="W31" si="37">SUM(W32:W37)</f>
        <v>144906</v>
      </c>
      <c r="X31" s="284">
        <f t="shared" ref="X31" si="38">SUM(X32:X37)</f>
        <v>143218.51</v>
      </c>
      <c r="Y31" s="284">
        <f t="shared" ref="Y31" si="39">SUM(Y32:Y37)</f>
        <v>1079712.51</v>
      </c>
      <c r="Z31" s="284">
        <f t="shared" ref="Z31" si="40">SUM(Z32:Z37)</f>
        <v>155287.49</v>
      </c>
      <c r="AA31" s="922"/>
      <c r="AB31" s="305">
        <f>SUM(AB37:AB58)</f>
        <v>0</v>
      </c>
    </row>
    <row r="32" spans="1:34" s="655" customFormat="1" ht="18" customHeight="1" x14ac:dyDescent="0.25">
      <c r="A32" s="830">
        <f>A27+1</f>
        <v>5.0999999999999996</v>
      </c>
      <c r="B32" s="260" t="s">
        <v>158</v>
      </c>
      <c r="C32" s="273">
        <v>10</v>
      </c>
      <c r="D32" s="100" t="s">
        <v>6</v>
      </c>
      <c r="E32" s="101" t="s">
        <v>70</v>
      </c>
      <c r="F32" s="119" t="s">
        <v>37</v>
      </c>
      <c r="G32" s="119" t="s">
        <v>37</v>
      </c>
      <c r="H32" s="256" t="s">
        <v>37</v>
      </c>
      <c r="I32" s="246"/>
      <c r="J32" s="256" t="s">
        <v>37</v>
      </c>
      <c r="K32" s="272" t="s">
        <v>37</v>
      </c>
      <c r="L32" s="125">
        <v>100000</v>
      </c>
      <c r="M32" s="125">
        <f>SUM(K32:L32)</f>
        <v>100000</v>
      </c>
      <c r="N32" s="125">
        <v>0</v>
      </c>
      <c r="O32" s="288">
        <f>M32</f>
        <v>100000</v>
      </c>
      <c r="P32" s="725">
        <f>O32-N32</f>
        <v>100000</v>
      </c>
      <c r="Q32" s="793">
        <v>0</v>
      </c>
      <c r="R32" s="793">
        <f t="shared" si="31"/>
        <v>100000</v>
      </c>
      <c r="S32" s="793">
        <v>0</v>
      </c>
      <c r="T32" s="793">
        <f>SUM(R32:S32)</f>
        <v>100000</v>
      </c>
      <c r="U32" s="658">
        <f>'5.1 BDC_SmallBusinessGrants'!B13</f>
        <v>0</v>
      </c>
      <c r="V32" s="658">
        <f>'5.1 BDC_SmallBusinessGrants'!C13</f>
        <v>17362</v>
      </c>
      <c r="W32" s="658">
        <f>'5.1 BDC_SmallBusinessGrants'!D13</f>
        <v>0</v>
      </c>
      <c r="X32" s="658">
        <f>'5.1 BDC_SmallBusinessGrants'!E13</f>
        <v>8700</v>
      </c>
      <c r="Y32" s="131">
        <f t="shared" ref="Y32:Y34" si="41">SUM(U32:X32)</f>
        <v>26062</v>
      </c>
      <c r="Z32" s="1123">
        <f>T32-Y32</f>
        <v>73938</v>
      </c>
      <c r="AA32" s="667"/>
      <c r="AC32" s="660"/>
    </row>
    <row r="33" spans="1:34" s="2" customFormat="1" ht="18" customHeight="1" x14ac:dyDescent="0.25">
      <c r="A33" s="830">
        <f>A32+0.1</f>
        <v>5.1999999999999993</v>
      </c>
      <c r="B33" s="260" t="s">
        <v>598</v>
      </c>
      <c r="C33" s="273" t="s">
        <v>507</v>
      </c>
      <c r="D33" s="100" t="s">
        <v>6</v>
      </c>
      <c r="E33" s="101" t="s">
        <v>7</v>
      </c>
      <c r="F33" s="119" t="s">
        <v>37</v>
      </c>
      <c r="G33" s="119" t="s">
        <v>37</v>
      </c>
      <c r="H33" s="256" t="s">
        <v>37</v>
      </c>
      <c r="I33" s="246"/>
      <c r="J33" s="256" t="s">
        <v>37</v>
      </c>
      <c r="K33" s="272" t="s">
        <v>37</v>
      </c>
      <c r="L33" s="125">
        <v>50000</v>
      </c>
      <c r="M33" s="125">
        <f>SUM(K33:L33)</f>
        <v>50000</v>
      </c>
      <c r="N33" s="125">
        <v>0</v>
      </c>
      <c r="O33" s="288">
        <f>M33</f>
        <v>50000</v>
      </c>
      <c r="P33" s="725">
        <f>O33</f>
        <v>50000</v>
      </c>
      <c r="Q33" s="793">
        <v>0</v>
      </c>
      <c r="R33" s="793">
        <f t="shared" si="31"/>
        <v>50000</v>
      </c>
      <c r="S33" s="793">
        <v>0</v>
      </c>
      <c r="T33" s="793">
        <f>SUM(R33:S33)</f>
        <v>50000</v>
      </c>
      <c r="U33" s="658">
        <f>'5.2 BDC_AssessmtCarrollCamden'!B11</f>
        <v>4886</v>
      </c>
      <c r="V33" s="658">
        <f>'5.2 BDC_AssessmtCarrollCamden'!C11</f>
        <v>0</v>
      </c>
      <c r="W33" s="581">
        <f>'5.2 BDC_AssessmtCarrollCamden'!D11</f>
        <v>0</v>
      </c>
      <c r="X33" s="581">
        <f>'5.2 BDC_AssessmtCarrollCamden'!E11</f>
        <v>0</v>
      </c>
      <c r="Y33" s="131">
        <f t="shared" si="41"/>
        <v>4886</v>
      </c>
      <c r="Z33" s="1123">
        <f>T33-Y33</f>
        <v>45114</v>
      </c>
      <c r="AA33" s="667"/>
      <c r="AC33" s="302"/>
    </row>
    <row r="34" spans="1:34" s="265" customFormat="1" ht="18" customHeight="1" x14ac:dyDescent="0.25">
      <c r="A34" s="830">
        <f>A33+0.1</f>
        <v>5.2999999999999989</v>
      </c>
      <c r="B34" s="260" t="s">
        <v>10</v>
      </c>
      <c r="C34" s="261">
        <v>2</v>
      </c>
      <c r="D34" s="293" t="s">
        <v>3</v>
      </c>
      <c r="E34" s="285" t="s">
        <v>44</v>
      </c>
      <c r="F34" s="120">
        <v>59244</v>
      </c>
      <c r="G34" s="120">
        <v>14794</v>
      </c>
      <c r="H34" s="286">
        <v>345000</v>
      </c>
      <c r="I34" s="287"/>
      <c r="J34" s="286">
        <v>275679</v>
      </c>
      <c r="K34" s="270">
        <v>113785</v>
      </c>
      <c r="L34" s="288">
        <v>520000</v>
      </c>
      <c r="M34" s="288">
        <f t="shared" ref="M34:M37" si="42">SUM(K34:L34)</f>
        <v>633785</v>
      </c>
      <c r="N34" s="125">
        <v>433126</v>
      </c>
      <c r="O34" s="288">
        <f>N34</f>
        <v>433126</v>
      </c>
      <c r="P34" s="725">
        <v>0</v>
      </c>
      <c r="Q34" s="791">
        <v>575000</v>
      </c>
      <c r="R34" s="793">
        <f t="shared" si="31"/>
        <v>575000</v>
      </c>
      <c r="S34" s="793">
        <v>0</v>
      </c>
      <c r="T34" s="793">
        <f>SUM(R34:S34)</f>
        <v>575000</v>
      </c>
      <c r="U34" s="658">
        <f>'5.3 MOED-EmploymntConnectionCtr'!B26</f>
        <v>144619</v>
      </c>
      <c r="V34" s="464">
        <f>'5.3 MOED-EmploymntConnectionCtr'!C26</f>
        <v>140779</v>
      </c>
      <c r="W34" s="464">
        <f>'5.3 MOED-EmploymntConnectionCtr'!D26</f>
        <v>119138</v>
      </c>
      <c r="X34" s="464">
        <f>'5.3 MOED-EmploymntConnectionCtr'!E26</f>
        <v>134518.51</v>
      </c>
      <c r="Y34" s="96">
        <f t="shared" si="41"/>
        <v>539054.51</v>
      </c>
      <c r="Z34" s="1123">
        <f>T34-Y34</f>
        <v>35945.489999999991</v>
      </c>
      <c r="AA34" s="665" t="s">
        <v>564</v>
      </c>
      <c r="AB34" s="481"/>
      <c r="AC34" s="302"/>
    </row>
    <row r="35" spans="1:34" s="347" customFormat="1" ht="18" customHeight="1" x14ac:dyDescent="0.25">
      <c r="A35" s="830">
        <f>A34+0.1</f>
        <v>5.3999999999999986</v>
      </c>
      <c r="B35" s="195" t="s">
        <v>28</v>
      </c>
      <c r="C35" s="98">
        <v>4</v>
      </c>
      <c r="D35" s="293" t="s">
        <v>3</v>
      </c>
      <c r="E35" s="101" t="s">
        <v>7</v>
      </c>
      <c r="F35" s="120">
        <v>40337</v>
      </c>
      <c r="G35" s="119" t="s">
        <v>37</v>
      </c>
      <c r="H35" s="256" t="s">
        <v>37</v>
      </c>
      <c r="I35" s="246"/>
      <c r="J35" s="256" t="s">
        <v>37</v>
      </c>
      <c r="K35" s="272" t="s">
        <v>37</v>
      </c>
      <c r="L35" s="719" t="s">
        <v>37</v>
      </c>
      <c r="M35" s="719" t="s">
        <v>37</v>
      </c>
      <c r="N35" s="719" t="s">
        <v>37</v>
      </c>
      <c r="O35" s="720" t="s">
        <v>37</v>
      </c>
      <c r="P35" s="721">
        <v>0</v>
      </c>
      <c r="Q35" s="886" t="s">
        <v>37</v>
      </c>
      <c r="R35" s="886" t="s">
        <v>37</v>
      </c>
      <c r="S35" s="886" t="s">
        <v>37</v>
      </c>
      <c r="T35" s="886" t="s">
        <v>37</v>
      </c>
      <c r="U35" s="658" t="s">
        <v>37</v>
      </c>
      <c r="V35" s="658" t="s">
        <v>37</v>
      </c>
      <c r="W35" s="658" t="s">
        <v>37</v>
      </c>
      <c r="X35" s="658" t="s">
        <v>37</v>
      </c>
      <c r="Y35" s="658" t="s">
        <v>37</v>
      </c>
      <c r="Z35" s="658" t="s">
        <v>37</v>
      </c>
      <c r="AA35" s="667" t="s">
        <v>574</v>
      </c>
      <c r="AC35" s="348"/>
      <c r="AD35" s="348"/>
      <c r="AE35" s="348"/>
      <c r="AF35" s="348"/>
      <c r="AG35" s="348"/>
      <c r="AH35" s="348"/>
    </row>
    <row r="36" spans="1:34" s="2" customFormat="1" ht="18" customHeight="1" x14ac:dyDescent="0.25">
      <c r="A36" s="830">
        <f>A35+0.1</f>
        <v>5.4999999999999982</v>
      </c>
      <c r="B36" s="195" t="s">
        <v>156</v>
      </c>
      <c r="C36" s="98">
        <v>11</v>
      </c>
      <c r="D36" s="282" t="s">
        <v>3</v>
      </c>
      <c r="E36" s="95" t="s">
        <v>9</v>
      </c>
      <c r="F36" s="120">
        <v>100000</v>
      </c>
      <c r="G36" s="147">
        <v>89747</v>
      </c>
      <c r="H36" s="243">
        <f>F36</f>
        <v>100000</v>
      </c>
      <c r="I36" s="246"/>
      <c r="J36" s="243">
        <v>64179</v>
      </c>
      <c r="K36" s="270">
        <v>126186</v>
      </c>
      <c r="L36" s="125">
        <v>125000</v>
      </c>
      <c r="M36" s="125">
        <f t="shared" si="42"/>
        <v>251186</v>
      </c>
      <c r="N36" s="349">
        <v>42573</v>
      </c>
      <c r="O36" s="288">
        <f>N36</f>
        <v>42573</v>
      </c>
      <c r="P36" s="725">
        <v>0</v>
      </c>
      <c r="Q36" s="791">
        <v>60000</v>
      </c>
      <c r="R36" s="793">
        <f t="shared" si="31"/>
        <v>60000</v>
      </c>
      <c r="S36" s="793">
        <v>0</v>
      </c>
      <c r="T36" s="793">
        <f>SUM(R36:S36)</f>
        <v>60000</v>
      </c>
      <c r="U36" s="131">
        <f>'5.5 MOED-TargetedTraining'!B13</f>
        <v>32822</v>
      </c>
      <c r="V36" s="163">
        <f>'5.5 MOED-TargetedTraining'!C13</f>
        <v>1120</v>
      </c>
      <c r="W36" s="163">
        <f>'5.5 MOED-TargetedTraining'!D13</f>
        <v>25768</v>
      </c>
      <c r="X36" s="163">
        <f>'5.5 MOED-TargetedTraining'!E13</f>
        <v>0</v>
      </c>
      <c r="Y36" s="131">
        <f t="shared" ref="Y36:Y37" si="43">SUM(U36:X36)</f>
        <v>59710</v>
      </c>
      <c r="Z36" s="1123">
        <f>T36-Y36</f>
        <v>290</v>
      </c>
      <c r="AA36" s="665" t="s">
        <v>564</v>
      </c>
      <c r="AC36" s="302"/>
    </row>
    <row r="37" spans="1:34" s="2" customFormat="1" ht="18" customHeight="1" x14ac:dyDescent="0.25">
      <c r="A37" s="830">
        <f>A36+0.1</f>
        <v>5.5999999999999979</v>
      </c>
      <c r="B37" s="195" t="s">
        <v>347</v>
      </c>
      <c r="C37" s="98">
        <v>17</v>
      </c>
      <c r="D37" s="282" t="s">
        <v>3</v>
      </c>
      <c r="E37" s="95" t="s">
        <v>63</v>
      </c>
      <c r="F37" s="119" t="s">
        <v>37</v>
      </c>
      <c r="G37" s="119" t="s">
        <v>37</v>
      </c>
      <c r="H37" s="243">
        <v>340000</v>
      </c>
      <c r="I37" s="246"/>
      <c r="J37" s="243">
        <f>H37-150000</f>
        <v>190000</v>
      </c>
      <c r="K37" s="270">
        <f>H37-J37</f>
        <v>150000</v>
      </c>
      <c r="L37" s="125">
        <v>400000</v>
      </c>
      <c r="M37" s="125">
        <f t="shared" si="42"/>
        <v>550000</v>
      </c>
      <c r="N37" s="125">
        <v>550000</v>
      </c>
      <c r="O37" s="288">
        <f>M37</f>
        <v>550000</v>
      </c>
      <c r="P37" s="725">
        <v>450000</v>
      </c>
      <c r="Q37" s="793">
        <v>0</v>
      </c>
      <c r="R37" s="793">
        <f t="shared" si="31"/>
        <v>450000</v>
      </c>
      <c r="S37" s="793">
        <v>0</v>
      </c>
      <c r="T37" s="793">
        <f>SUM(R37:S37)</f>
        <v>450000</v>
      </c>
      <c r="U37" s="658">
        <f>'5.6 MOED-YouthJobs'!B11</f>
        <v>450000</v>
      </c>
      <c r="V37" s="658">
        <f>'5.6 MOED-YouthJobs'!C11</f>
        <v>0</v>
      </c>
      <c r="W37" s="96">
        <f>'5.6 MOED-YouthJobs'!D11</f>
        <v>0</v>
      </c>
      <c r="X37" s="96">
        <f>'5.6 MOED-YouthJobs'!E11</f>
        <v>0</v>
      </c>
      <c r="Y37" s="163">
        <f t="shared" si="43"/>
        <v>450000</v>
      </c>
      <c r="Z37" s="131">
        <f t="shared" ref="Z37:Z39" si="44">T37-Y37</f>
        <v>0</v>
      </c>
      <c r="AA37" s="667"/>
      <c r="AC37" s="302"/>
    </row>
    <row r="38" spans="1:34" s="2" customFormat="1" ht="28.5" customHeight="1" x14ac:dyDescent="0.25">
      <c r="A38" s="830"/>
      <c r="B38" s="317" t="s">
        <v>149</v>
      </c>
      <c r="C38" s="341"/>
      <c r="D38" s="318"/>
      <c r="E38" s="318"/>
      <c r="F38" s="318">
        <f t="shared" ref="F38:T38" si="45">SUM(F39:F44)</f>
        <v>0</v>
      </c>
      <c r="G38" s="318">
        <f t="shared" si="45"/>
        <v>0</v>
      </c>
      <c r="H38" s="318">
        <f t="shared" si="45"/>
        <v>160000</v>
      </c>
      <c r="I38" s="318">
        <f t="shared" si="45"/>
        <v>0</v>
      </c>
      <c r="J38" s="318">
        <f t="shared" si="45"/>
        <v>160000</v>
      </c>
      <c r="K38" s="318">
        <f t="shared" si="45"/>
        <v>163350</v>
      </c>
      <c r="L38" s="318">
        <f t="shared" si="45"/>
        <v>550000</v>
      </c>
      <c r="M38" s="318">
        <f t="shared" si="45"/>
        <v>713350</v>
      </c>
      <c r="N38" s="318">
        <f t="shared" si="45"/>
        <v>439523</v>
      </c>
      <c r="O38" s="318">
        <f t="shared" si="45"/>
        <v>688350</v>
      </c>
      <c r="P38" s="318">
        <f t="shared" si="45"/>
        <v>248827</v>
      </c>
      <c r="Q38" s="318">
        <f t="shared" si="45"/>
        <v>10000</v>
      </c>
      <c r="R38" s="318">
        <f t="shared" si="45"/>
        <v>258827</v>
      </c>
      <c r="S38" s="318">
        <f>SUM(S39:S44)</f>
        <v>0</v>
      </c>
      <c r="T38" s="318">
        <f t="shared" si="45"/>
        <v>258690</v>
      </c>
      <c r="U38" s="318">
        <f t="shared" ref="U38:Y38" si="46">SUM(U39:U44)</f>
        <v>0</v>
      </c>
      <c r="V38" s="318">
        <f t="shared" si="46"/>
        <v>0</v>
      </c>
      <c r="W38" s="318">
        <f t="shared" si="46"/>
        <v>115600</v>
      </c>
      <c r="X38" s="318">
        <f t="shared" si="46"/>
        <v>4999</v>
      </c>
      <c r="Y38" s="318">
        <f t="shared" si="46"/>
        <v>120599</v>
      </c>
      <c r="Z38" s="318">
        <f t="shared" ref="Z38" si="47">SUM(Z39:Z44)</f>
        <v>138091</v>
      </c>
      <c r="AA38" s="319"/>
      <c r="AB38" s="306">
        <f>SUM(AB50:AB56)</f>
        <v>0</v>
      </c>
    </row>
    <row r="39" spans="1:34" s="2" customFormat="1" ht="18" customHeight="1" x14ac:dyDescent="0.25">
      <c r="A39" s="830">
        <f>A32+1</f>
        <v>6.1</v>
      </c>
      <c r="B39" s="195" t="s">
        <v>597</v>
      </c>
      <c r="C39" s="273" t="s">
        <v>137</v>
      </c>
      <c r="D39" s="294" t="s">
        <v>166</v>
      </c>
      <c r="E39" s="95" t="s">
        <v>70</v>
      </c>
      <c r="F39" s="119" t="s">
        <v>37</v>
      </c>
      <c r="G39" s="119" t="s">
        <v>37</v>
      </c>
      <c r="H39" s="243">
        <v>160000</v>
      </c>
      <c r="I39" s="250"/>
      <c r="J39" s="243">
        <f>H39</f>
        <v>160000</v>
      </c>
      <c r="K39" s="184">
        <v>0</v>
      </c>
      <c r="L39" s="125">
        <v>200000</v>
      </c>
      <c r="M39" s="125">
        <f t="shared" ref="M39:M44" si="48">SUM(K39:L39)</f>
        <v>200000</v>
      </c>
      <c r="N39" s="125">
        <f>M39-24287</f>
        <v>175713</v>
      </c>
      <c r="O39" s="124">
        <f>M39</f>
        <v>200000</v>
      </c>
      <c r="P39" s="725">
        <f t="shared" ref="P39:P44" si="49">O39-N39</f>
        <v>24287</v>
      </c>
      <c r="Q39" s="793">
        <v>0</v>
      </c>
      <c r="R39" s="793">
        <f t="shared" si="31"/>
        <v>24287</v>
      </c>
      <c r="S39" s="793">
        <v>0</v>
      </c>
      <c r="T39" s="793">
        <v>114000</v>
      </c>
      <c r="U39" s="658">
        <f>'6.1 MOHS_EarlyChildhoodEd'!B10</f>
        <v>0</v>
      </c>
      <c r="V39" s="658">
        <f>'6.1 MOHS_EarlyChildhoodEd'!C10</f>
        <v>0</v>
      </c>
      <c r="W39" s="658">
        <f>'6.1 MOHS_EarlyChildhoodEd'!D10</f>
        <v>114000</v>
      </c>
      <c r="X39" s="658">
        <f>'6.1 MOHS_EarlyChildhoodEd'!E10</f>
        <v>0</v>
      </c>
      <c r="Y39" s="658">
        <f t="shared" ref="Y39:Y44" si="50">SUM(U39:X39)</f>
        <v>114000</v>
      </c>
      <c r="Z39" s="131">
        <f t="shared" si="44"/>
        <v>0</v>
      </c>
      <c r="AA39" s="667" t="s">
        <v>565</v>
      </c>
      <c r="AC39" s="302"/>
    </row>
    <row r="40" spans="1:34" s="2" customFormat="1" ht="18" customHeight="1" x14ac:dyDescent="0.25">
      <c r="A40" s="830">
        <f>A39+0.1</f>
        <v>6.1999999999999993</v>
      </c>
      <c r="B40" s="195" t="s">
        <v>159</v>
      </c>
      <c r="C40" s="273" t="s">
        <v>137</v>
      </c>
      <c r="D40" s="294" t="s">
        <v>166</v>
      </c>
      <c r="E40" s="95" t="s">
        <v>70</v>
      </c>
      <c r="F40" s="119" t="s">
        <v>37</v>
      </c>
      <c r="G40" s="119" t="s">
        <v>37</v>
      </c>
      <c r="H40" s="256" t="s">
        <v>37</v>
      </c>
      <c r="I40" s="246"/>
      <c r="J40" s="256" t="s">
        <v>37</v>
      </c>
      <c r="K40" s="272">
        <v>20000</v>
      </c>
      <c r="L40" s="125">
        <v>50000</v>
      </c>
      <c r="M40" s="125">
        <f t="shared" si="48"/>
        <v>70000</v>
      </c>
      <c r="N40" s="125">
        <f>M40</f>
        <v>70000</v>
      </c>
      <c r="O40" s="124">
        <f>M40</f>
        <v>70000</v>
      </c>
      <c r="P40" s="725">
        <f t="shared" si="49"/>
        <v>0</v>
      </c>
      <c r="Q40" s="886" t="s">
        <v>37</v>
      </c>
      <c r="R40" s="886" t="s">
        <v>37</v>
      </c>
      <c r="S40" s="886" t="s">
        <v>37</v>
      </c>
      <c r="T40" s="886" t="s">
        <v>37</v>
      </c>
      <c r="U40" s="658">
        <f>'6.2 MOHS_ReadingPartners'!B15</f>
        <v>0</v>
      </c>
      <c r="V40" s="658">
        <f>'6.2 MOHS_ReadingPartners'!C15</f>
        <v>0</v>
      </c>
      <c r="W40" s="658">
        <f>'6.2 MOHS_ReadingPartners'!D15</f>
        <v>0</v>
      </c>
      <c r="X40" s="131">
        <f>'6.2 MOHS_ReadingPartners'!E15</f>
        <v>0</v>
      </c>
      <c r="Y40" s="131">
        <f t="shared" si="50"/>
        <v>0</v>
      </c>
      <c r="Z40" s="131">
        <f>P40-Y40</f>
        <v>0</v>
      </c>
      <c r="AA40" s="667" t="s">
        <v>573</v>
      </c>
      <c r="AC40" s="302"/>
    </row>
    <row r="41" spans="1:34" s="2" customFormat="1" ht="18" customHeight="1" x14ac:dyDescent="0.25">
      <c r="A41" s="830">
        <f>A40+0.1</f>
        <v>6.2999999999999989</v>
      </c>
      <c r="B41" s="195" t="s">
        <v>160</v>
      </c>
      <c r="C41" s="273" t="s">
        <v>137</v>
      </c>
      <c r="D41" s="97" t="s">
        <v>27</v>
      </c>
      <c r="E41" s="95" t="s">
        <v>70</v>
      </c>
      <c r="F41" s="119" t="s">
        <v>37</v>
      </c>
      <c r="G41" s="119" t="s">
        <v>37</v>
      </c>
      <c r="H41" s="256" t="s">
        <v>37</v>
      </c>
      <c r="I41" s="246"/>
      <c r="J41" s="256" t="s">
        <v>37</v>
      </c>
      <c r="K41" s="272" t="s">
        <v>37</v>
      </c>
      <c r="L41" s="125">
        <v>50000</v>
      </c>
      <c r="M41" s="125">
        <f t="shared" si="48"/>
        <v>50000</v>
      </c>
      <c r="N41" s="125">
        <v>0</v>
      </c>
      <c r="O41" s="124">
        <v>25000</v>
      </c>
      <c r="P41" s="725">
        <f t="shared" si="49"/>
        <v>25000</v>
      </c>
      <c r="Q41" s="793">
        <v>10000</v>
      </c>
      <c r="R41" s="793">
        <f t="shared" si="31"/>
        <v>35000</v>
      </c>
      <c r="S41" s="793">
        <v>0</v>
      </c>
      <c r="T41" s="793">
        <f>SUM(R41:S41)</f>
        <v>35000</v>
      </c>
      <c r="U41" s="658">
        <f>'6.3 Planning_EnvironmentalEd'!B11</f>
        <v>0</v>
      </c>
      <c r="V41" s="658">
        <f>'6.3 Planning_EnvironmentalEd'!C11</f>
        <v>0</v>
      </c>
      <c r="W41" s="658">
        <f>'6.3 Planning_EnvironmentalEd'!D11</f>
        <v>1600</v>
      </c>
      <c r="X41" s="658">
        <f>'6.3 Planning_EnvironmentalEd'!E11</f>
        <v>4999</v>
      </c>
      <c r="Y41" s="131">
        <f t="shared" si="50"/>
        <v>6599</v>
      </c>
      <c r="Z41" s="1123">
        <f>T41-Y41</f>
        <v>28401</v>
      </c>
      <c r="AA41" s="667"/>
      <c r="AC41" s="302"/>
    </row>
    <row r="42" spans="1:34" s="2" customFormat="1" ht="18" customHeight="1" x14ac:dyDescent="0.25">
      <c r="A42" s="830">
        <f>A41+0.1</f>
        <v>6.3999999999999986</v>
      </c>
      <c r="B42" s="195" t="s">
        <v>161</v>
      </c>
      <c r="C42" s="273" t="s">
        <v>137</v>
      </c>
      <c r="D42" s="294" t="s">
        <v>166</v>
      </c>
      <c r="E42" s="95" t="s">
        <v>70</v>
      </c>
      <c r="F42" s="119" t="s">
        <v>37</v>
      </c>
      <c r="G42" s="119" t="s">
        <v>37</v>
      </c>
      <c r="H42" s="256" t="s">
        <v>37</v>
      </c>
      <c r="I42" s="246"/>
      <c r="J42" s="256" t="s">
        <v>37</v>
      </c>
      <c r="K42" s="272" t="s">
        <v>37</v>
      </c>
      <c r="L42" s="125">
        <v>150000</v>
      </c>
      <c r="M42" s="125">
        <f t="shared" si="48"/>
        <v>150000</v>
      </c>
      <c r="N42" s="125">
        <f>M42-11707</f>
        <v>138293</v>
      </c>
      <c r="O42" s="124">
        <f>M42</f>
        <v>150000</v>
      </c>
      <c r="P42" s="725">
        <f t="shared" si="49"/>
        <v>11707</v>
      </c>
      <c r="Q42" s="793">
        <v>0</v>
      </c>
      <c r="R42" s="793">
        <f t="shared" si="31"/>
        <v>11707</v>
      </c>
      <c r="S42" s="793">
        <v>0</v>
      </c>
      <c r="T42" s="793">
        <f>SUM(R42:S42)</f>
        <v>11707</v>
      </c>
      <c r="U42" s="658">
        <f>'6.4 MOHS_WeinbergLibraries'!B13</f>
        <v>0</v>
      </c>
      <c r="V42" s="658">
        <f>'6.4 MOHS_WeinbergLibraries'!C13</f>
        <v>0</v>
      </c>
      <c r="W42" s="658">
        <f>'6.4 MOHS_WeinbergLibraries'!D13</f>
        <v>0</v>
      </c>
      <c r="X42" s="658">
        <f>'6.4 MOHS_WeinbergLibraries'!E13</f>
        <v>0</v>
      </c>
      <c r="Y42" s="658">
        <f t="shared" si="50"/>
        <v>0</v>
      </c>
      <c r="Z42" s="1123">
        <f>T42-Y42</f>
        <v>11707</v>
      </c>
      <c r="AA42" s="667"/>
      <c r="AC42" s="302"/>
    </row>
    <row r="43" spans="1:34" s="2" customFormat="1" ht="18" customHeight="1" x14ac:dyDescent="0.25">
      <c r="A43" s="830">
        <f>A42+0.1</f>
        <v>6.4999999999999982</v>
      </c>
      <c r="B43" s="195" t="s">
        <v>348</v>
      </c>
      <c r="C43" s="273" t="s">
        <v>137</v>
      </c>
      <c r="D43" s="122" t="s">
        <v>138</v>
      </c>
      <c r="E43" s="101" t="s">
        <v>7</v>
      </c>
      <c r="F43" s="119" t="s">
        <v>37</v>
      </c>
      <c r="G43" s="119" t="s">
        <v>37</v>
      </c>
      <c r="H43" s="256" t="s">
        <v>37</v>
      </c>
      <c r="I43" s="246"/>
      <c r="J43" s="256" t="s">
        <v>37</v>
      </c>
      <c r="K43" s="272" t="s">
        <v>37</v>
      </c>
      <c r="L43" s="125">
        <v>100000</v>
      </c>
      <c r="M43" s="125">
        <f t="shared" si="48"/>
        <v>100000</v>
      </c>
      <c r="N43" s="125">
        <f>M43-44483</f>
        <v>55517</v>
      </c>
      <c r="O43" s="124">
        <f>M43</f>
        <v>100000</v>
      </c>
      <c r="P43" s="725">
        <f t="shared" si="49"/>
        <v>44483</v>
      </c>
      <c r="Q43" s="793">
        <v>0</v>
      </c>
      <c r="R43" s="793">
        <f t="shared" si="31"/>
        <v>44483</v>
      </c>
      <c r="S43" s="793">
        <v>0</v>
      </c>
      <c r="T43" s="793">
        <f>SUM(R43:S43)</f>
        <v>44483</v>
      </c>
      <c r="U43" s="658">
        <f>'6.5 BCRP_LakelandSTEAMCenter'!B17</f>
        <v>0</v>
      </c>
      <c r="V43" s="658">
        <f>'6.5 BCRP_LakelandSTEAMCenter'!C17</f>
        <v>0</v>
      </c>
      <c r="W43" s="658">
        <f>'6.5 BCRP_LakelandSTEAMCenter'!D17</f>
        <v>0</v>
      </c>
      <c r="X43" s="658">
        <f>'6.5 BCRP_LakelandSTEAMCenter'!E17</f>
        <v>0</v>
      </c>
      <c r="Y43" s="658">
        <f t="shared" si="50"/>
        <v>0</v>
      </c>
      <c r="Z43" s="1123">
        <f>T43-Y43</f>
        <v>44483</v>
      </c>
      <c r="AA43" s="667"/>
      <c r="AC43" s="302"/>
    </row>
    <row r="44" spans="1:34" s="2" customFormat="1" ht="18" customHeight="1" thickBot="1" x14ac:dyDescent="0.3">
      <c r="A44" s="927">
        <f>A43+0.1</f>
        <v>6.5999999999999979</v>
      </c>
      <c r="B44" s="928" t="s">
        <v>596</v>
      </c>
      <c r="C44" s="929" t="s">
        <v>137</v>
      </c>
      <c r="D44" s="930" t="s">
        <v>166</v>
      </c>
      <c r="E44" s="931" t="s">
        <v>70</v>
      </c>
      <c r="F44" s="932" t="s">
        <v>37</v>
      </c>
      <c r="G44" s="932" t="s">
        <v>37</v>
      </c>
      <c r="H44" s="933" t="s">
        <v>37</v>
      </c>
      <c r="I44" s="934"/>
      <c r="J44" s="933" t="s">
        <v>37</v>
      </c>
      <c r="K44" s="935">
        <v>143350</v>
      </c>
      <c r="L44" s="936">
        <v>0</v>
      </c>
      <c r="M44" s="936">
        <f t="shared" si="48"/>
        <v>143350</v>
      </c>
      <c r="N44" s="936">
        <v>0</v>
      </c>
      <c r="O44" s="937">
        <f>M44</f>
        <v>143350</v>
      </c>
      <c r="P44" s="938">
        <f t="shared" si="49"/>
        <v>143350</v>
      </c>
      <c r="Q44" s="912">
        <v>0</v>
      </c>
      <c r="R44" s="912">
        <f t="shared" si="31"/>
        <v>143350</v>
      </c>
      <c r="S44" s="912">
        <v>0</v>
      </c>
      <c r="T44" s="912">
        <v>53500</v>
      </c>
      <c r="U44" s="939">
        <f>'6.6 MOHS_PublicAllies'!B14</f>
        <v>0</v>
      </c>
      <c r="V44" s="939">
        <f>'6.6 MOHS_PublicAllies'!C14</f>
        <v>0</v>
      </c>
      <c r="W44" s="939">
        <f>'6.6 MOHS_PublicAllies'!D14</f>
        <v>0</v>
      </c>
      <c r="X44" s="939">
        <f>'6.6 MOHS_PublicAllies'!E14</f>
        <v>0</v>
      </c>
      <c r="Y44" s="940">
        <f t="shared" si="50"/>
        <v>0</v>
      </c>
      <c r="Z44" s="940">
        <f>T44-Y44</f>
        <v>53500</v>
      </c>
      <c r="AA44" s="941" t="s">
        <v>709</v>
      </c>
      <c r="AC44" s="302"/>
    </row>
    <row r="45" spans="1:34" s="2" customFormat="1" ht="27.95" customHeight="1" x14ac:dyDescent="0.25">
      <c r="A45" s="830"/>
      <c r="B45" s="923" t="s">
        <v>150</v>
      </c>
      <c r="C45" s="924"/>
      <c r="D45" s="925"/>
      <c r="E45" s="925"/>
      <c r="F45" s="925">
        <f t="shared" ref="F45:J45" si="51">SUM(F46)</f>
        <v>0</v>
      </c>
      <c r="G45" s="925">
        <f t="shared" si="51"/>
        <v>0</v>
      </c>
      <c r="H45" s="925">
        <f t="shared" si="51"/>
        <v>0</v>
      </c>
      <c r="I45" s="925">
        <f t="shared" si="51"/>
        <v>0</v>
      </c>
      <c r="J45" s="925">
        <f t="shared" si="51"/>
        <v>0</v>
      </c>
      <c r="K45" s="925">
        <f>SUM(K46:K47)</f>
        <v>30000</v>
      </c>
      <c r="L45" s="925">
        <f t="shared" ref="L45:P45" si="52">SUM(L46:L47)</f>
        <v>115000</v>
      </c>
      <c r="M45" s="925">
        <f t="shared" si="52"/>
        <v>145000</v>
      </c>
      <c r="N45" s="925">
        <f t="shared" si="52"/>
        <v>44833</v>
      </c>
      <c r="O45" s="925">
        <f t="shared" si="52"/>
        <v>145000</v>
      </c>
      <c r="P45" s="925">
        <f t="shared" si="52"/>
        <v>100167</v>
      </c>
      <c r="Q45" s="925">
        <f t="shared" ref="Q45:T45" si="53">SUM(Q46:Q47)</f>
        <v>110000</v>
      </c>
      <c r="R45" s="925">
        <f t="shared" si="53"/>
        <v>210167</v>
      </c>
      <c r="S45" s="925">
        <f t="shared" si="53"/>
        <v>-95000</v>
      </c>
      <c r="T45" s="925">
        <f t="shared" si="53"/>
        <v>115167</v>
      </c>
      <c r="U45" s="925">
        <f t="shared" ref="U45" si="54">SUM(U46:U47)</f>
        <v>50062</v>
      </c>
      <c r="V45" s="925">
        <f t="shared" ref="V45" si="55">SUM(V46:V47)</f>
        <v>0</v>
      </c>
      <c r="W45" s="925">
        <f t="shared" ref="W45" si="56">SUM(W46:W47)</f>
        <v>3105</v>
      </c>
      <c r="X45" s="925">
        <f t="shared" ref="X45" si="57">SUM(X46:X47)</f>
        <v>14000</v>
      </c>
      <c r="Y45" s="925">
        <f t="shared" ref="Y45" si="58">SUM(Y46:Y47)</f>
        <v>67167</v>
      </c>
      <c r="Z45" s="925">
        <f t="shared" ref="Z45" si="59">SUM(Z46:Z47)</f>
        <v>33000</v>
      </c>
      <c r="AA45" s="926"/>
      <c r="AB45" s="307">
        <f>AB46</f>
        <v>0</v>
      </c>
    </row>
    <row r="46" spans="1:34" s="2" customFormat="1" ht="18" customHeight="1" x14ac:dyDescent="0.25">
      <c r="A46" s="830">
        <f>A39+1</f>
        <v>7.1</v>
      </c>
      <c r="B46" s="195" t="s">
        <v>169</v>
      </c>
      <c r="C46" s="98">
        <v>16</v>
      </c>
      <c r="D46" s="295" t="s">
        <v>168</v>
      </c>
      <c r="E46" s="101" t="s">
        <v>7</v>
      </c>
      <c r="F46" s="119" t="s">
        <v>37</v>
      </c>
      <c r="G46" s="119" t="s">
        <v>37</v>
      </c>
      <c r="H46" s="256" t="s">
        <v>37</v>
      </c>
      <c r="I46" s="246"/>
      <c r="J46" s="256" t="s">
        <v>37</v>
      </c>
      <c r="K46" s="272">
        <v>30000</v>
      </c>
      <c r="L46" s="125">
        <v>115000</v>
      </c>
      <c r="M46" s="125">
        <f t="shared" ref="M46" si="60">SUM(K46:L46)</f>
        <v>145000</v>
      </c>
      <c r="N46" s="125">
        <v>44833</v>
      </c>
      <c r="O46" s="124">
        <f>M46</f>
        <v>145000</v>
      </c>
      <c r="P46" s="725">
        <f>O46-N46</f>
        <v>100167</v>
      </c>
      <c r="Q46" s="793">
        <v>0</v>
      </c>
      <c r="R46" s="793">
        <f t="shared" si="31"/>
        <v>100167</v>
      </c>
      <c r="S46" s="793">
        <v>0</v>
      </c>
      <c r="T46" s="793">
        <f>SUM(R46:S46)</f>
        <v>100167</v>
      </c>
      <c r="U46" s="658">
        <f>'7.1 BCHD_FoodAccess'!B13</f>
        <v>50062</v>
      </c>
      <c r="V46" s="658">
        <f>'7.1 BCHD_FoodAccess'!C13</f>
        <v>0</v>
      </c>
      <c r="W46" s="658">
        <f>'7.1 BCHD_FoodAccess'!D13</f>
        <v>3105</v>
      </c>
      <c r="X46" s="658">
        <f>'7.1 BCHD_FoodAccess'!E13</f>
        <v>14000</v>
      </c>
      <c r="Y46" s="658">
        <f>SUM(U46:X46)</f>
        <v>67167</v>
      </c>
      <c r="Z46" s="131">
        <f t="shared" ref="Z46" si="61">T46-Y46</f>
        <v>33000</v>
      </c>
      <c r="AA46" s="667"/>
      <c r="AB46" s="240"/>
      <c r="AC46" s="302"/>
    </row>
    <row r="47" spans="1:34" s="655" customFormat="1" ht="18" customHeight="1" x14ac:dyDescent="0.25">
      <c r="A47" s="830">
        <f>A46+0.1</f>
        <v>7.1999999999999993</v>
      </c>
      <c r="B47" s="195" t="s">
        <v>410</v>
      </c>
      <c r="C47" s="273" t="s">
        <v>137</v>
      </c>
      <c r="D47" s="294" t="s">
        <v>166</v>
      </c>
      <c r="E47" s="101" t="s">
        <v>7</v>
      </c>
      <c r="F47" s="119" t="s">
        <v>37</v>
      </c>
      <c r="G47" s="119" t="s">
        <v>37</v>
      </c>
      <c r="H47" s="256" t="s">
        <v>37</v>
      </c>
      <c r="I47" s="246"/>
      <c r="J47" s="256" t="s">
        <v>37</v>
      </c>
      <c r="K47" s="272" t="s">
        <v>37</v>
      </c>
      <c r="L47" s="719" t="s">
        <v>37</v>
      </c>
      <c r="M47" s="719" t="s">
        <v>37</v>
      </c>
      <c r="N47" s="719" t="s">
        <v>37</v>
      </c>
      <c r="O47" s="720" t="s">
        <v>37</v>
      </c>
      <c r="P47" s="725">
        <v>0</v>
      </c>
      <c r="Q47" s="793">
        <v>110000</v>
      </c>
      <c r="R47" s="793">
        <f t="shared" si="31"/>
        <v>110000</v>
      </c>
      <c r="S47" s="793">
        <v>-95000</v>
      </c>
      <c r="T47" s="793">
        <f>SUM(R47:S47)</f>
        <v>15000</v>
      </c>
      <c r="U47" s="658">
        <f>'7.1 BCHD_FoodAccess'!B14</f>
        <v>0</v>
      </c>
      <c r="V47" s="658">
        <f>'7.1 BCHD_FoodAccess'!C14</f>
        <v>0</v>
      </c>
      <c r="W47" s="658">
        <f>'7.1 BCHD_FoodAccess'!D14</f>
        <v>0</v>
      </c>
      <c r="X47" s="658">
        <f>'7.1 BCHD_FoodAccess'!E14</f>
        <v>0</v>
      </c>
      <c r="Y47" s="658">
        <f>SUM(U47:X47)</f>
        <v>0</v>
      </c>
      <c r="Z47" s="658">
        <f>SUM(V47:Y47)</f>
        <v>0</v>
      </c>
      <c r="AA47" s="667" t="s">
        <v>579</v>
      </c>
      <c r="AB47" s="240"/>
      <c r="AC47" s="660"/>
    </row>
    <row r="48" spans="1:34" s="2" customFormat="1" ht="27.95" customHeight="1" x14ac:dyDescent="0.25">
      <c r="A48" s="830"/>
      <c r="B48" s="332" t="s">
        <v>152</v>
      </c>
      <c r="C48" s="342"/>
      <c r="D48" s="333"/>
      <c r="E48" s="333"/>
      <c r="F48" s="333">
        <f>SUM(F49:F53)</f>
        <v>0</v>
      </c>
      <c r="G48" s="333">
        <f>SUM(G49:G53)</f>
        <v>0</v>
      </c>
      <c r="H48" s="333">
        <f>SUM(H49:H53)</f>
        <v>30000</v>
      </c>
      <c r="I48" s="333">
        <f t="shared" ref="I48" si="62">SUM(I52:I53)</f>
        <v>0</v>
      </c>
      <c r="J48" s="333">
        <f t="shared" ref="J48:P48" si="63">SUM(J49:J53)</f>
        <v>0</v>
      </c>
      <c r="K48" s="333">
        <f t="shared" si="63"/>
        <v>30000</v>
      </c>
      <c r="L48" s="333">
        <f t="shared" si="63"/>
        <v>240000</v>
      </c>
      <c r="M48" s="333">
        <f t="shared" si="63"/>
        <v>270000</v>
      </c>
      <c r="N48" s="333">
        <f t="shared" si="63"/>
        <v>64268</v>
      </c>
      <c r="O48" s="333">
        <f t="shared" si="63"/>
        <v>270000</v>
      </c>
      <c r="P48" s="333">
        <f t="shared" si="63"/>
        <v>205732</v>
      </c>
      <c r="Q48" s="333">
        <f t="shared" ref="Q48:Z48" si="64">SUM(Q49:Q53)</f>
        <v>38000</v>
      </c>
      <c r="R48" s="333">
        <f t="shared" si="64"/>
        <v>243732</v>
      </c>
      <c r="S48" s="333">
        <f t="shared" si="64"/>
        <v>0</v>
      </c>
      <c r="T48" s="333">
        <f t="shared" si="64"/>
        <v>243732</v>
      </c>
      <c r="U48" s="333">
        <f t="shared" si="64"/>
        <v>49084</v>
      </c>
      <c r="V48" s="333">
        <f t="shared" si="64"/>
        <v>74613</v>
      </c>
      <c r="W48" s="333">
        <f t="shared" si="64"/>
        <v>9495</v>
      </c>
      <c r="X48" s="333">
        <f t="shared" si="64"/>
        <v>11520</v>
      </c>
      <c r="Y48" s="333">
        <f t="shared" si="64"/>
        <v>144712</v>
      </c>
      <c r="Z48" s="333">
        <f t="shared" si="64"/>
        <v>99020</v>
      </c>
      <c r="AA48" s="334"/>
      <c r="AB48" s="308">
        <f>SUM(AB50:AB51)</f>
        <v>0</v>
      </c>
    </row>
    <row r="49" spans="1:30" s="2" customFormat="1" ht="18" customHeight="1" x14ac:dyDescent="0.25">
      <c r="A49" s="830">
        <f>A46+1</f>
        <v>8.1</v>
      </c>
      <c r="B49" s="897" t="s">
        <v>163</v>
      </c>
      <c r="C49" s="261">
        <v>18</v>
      </c>
      <c r="D49" s="335" t="s">
        <v>64</v>
      </c>
      <c r="E49" s="95" t="s">
        <v>70</v>
      </c>
      <c r="F49" s="119" t="s">
        <v>37</v>
      </c>
      <c r="G49" s="119" t="s">
        <v>37</v>
      </c>
      <c r="H49" s="263">
        <v>20000</v>
      </c>
      <c r="I49" s="287"/>
      <c r="J49" s="263">
        <v>0</v>
      </c>
      <c r="K49" s="270">
        <f>H49</f>
        <v>20000</v>
      </c>
      <c r="L49" s="301">
        <v>70000</v>
      </c>
      <c r="M49" s="301">
        <f t="shared" ref="M49" si="65">SUM(K49:L49)</f>
        <v>90000</v>
      </c>
      <c r="N49" s="125">
        <v>7000</v>
      </c>
      <c r="O49" s="124">
        <f>M49</f>
        <v>90000</v>
      </c>
      <c r="P49" s="725">
        <f>O49-N49</f>
        <v>83000</v>
      </c>
      <c r="Q49" s="793">
        <v>0</v>
      </c>
      <c r="R49" s="793">
        <f t="shared" si="31"/>
        <v>83000</v>
      </c>
      <c r="S49" s="793">
        <v>0</v>
      </c>
      <c r="T49" s="793">
        <f>SUM(R49:S49)</f>
        <v>83000</v>
      </c>
      <c r="U49" s="658">
        <f>'8.1 BOPA-Public Art'!B14</f>
        <v>0</v>
      </c>
      <c r="V49" s="658">
        <f>'8.1 BOPA-Public Art'!C14</f>
        <v>37500</v>
      </c>
      <c r="W49" s="658">
        <f>'8.1 BOPA-Public Art'!D14</f>
        <v>0</v>
      </c>
      <c r="X49" s="658">
        <f>'8.1 BOPA-Public Art'!E14</f>
        <v>0</v>
      </c>
      <c r="Y49" s="658">
        <f t="shared" ref="Y49" si="66">SUM(U49:X49)</f>
        <v>37500</v>
      </c>
      <c r="Z49" s="1121">
        <f>T49-Y49</f>
        <v>45500</v>
      </c>
      <c r="AA49" s="667"/>
      <c r="AC49" s="660"/>
    </row>
    <row r="50" spans="1:30" ht="18" customHeight="1" x14ac:dyDescent="0.25">
      <c r="A50" s="830">
        <f>A49+0.1</f>
        <v>8.1999999999999993</v>
      </c>
      <c r="B50" s="898" t="s">
        <v>162</v>
      </c>
      <c r="C50" s="299" t="s">
        <v>137</v>
      </c>
      <c r="D50" s="335" t="s">
        <v>64</v>
      </c>
      <c r="E50" s="262" t="s">
        <v>70</v>
      </c>
      <c r="F50" s="119" t="s">
        <v>37</v>
      </c>
      <c r="G50" s="119" t="s">
        <v>37</v>
      </c>
      <c r="H50" s="300" t="s">
        <v>37</v>
      </c>
      <c r="I50" s="287"/>
      <c r="J50" s="300" t="s">
        <v>37</v>
      </c>
      <c r="K50" s="272" t="s">
        <v>37</v>
      </c>
      <c r="L50" s="301">
        <v>20000</v>
      </c>
      <c r="M50" s="301">
        <f t="shared" ref="M50" si="67">SUM(K50:L50)</f>
        <v>20000</v>
      </c>
      <c r="N50" s="125">
        <v>7087</v>
      </c>
      <c r="O50" s="124">
        <f>M50</f>
        <v>20000</v>
      </c>
      <c r="P50" s="725">
        <f>O50-N50</f>
        <v>12913</v>
      </c>
      <c r="Q50" s="793">
        <v>0</v>
      </c>
      <c r="R50" s="793">
        <f t="shared" si="31"/>
        <v>12913</v>
      </c>
      <c r="S50" s="793">
        <v>0</v>
      </c>
      <c r="T50" s="793">
        <f>SUM(R50:S50)</f>
        <v>12913</v>
      </c>
      <c r="U50" s="658">
        <f>'8.2 BOPA_SupportForCommunEvents'!B13</f>
        <v>11413</v>
      </c>
      <c r="V50" s="658">
        <f>'8.2 BOPA_SupportForCommunEvents'!C13</f>
        <v>750</v>
      </c>
      <c r="W50" s="658">
        <f>'8.2 BOPA_SupportForCommunEvents'!D13</f>
        <v>0</v>
      </c>
      <c r="X50" s="658">
        <f>'8.2 BOPA_SupportForCommunEvents'!E13</f>
        <v>750</v>
      </c>
      <c r="Y50" s="658">
        <f t="shared" ref="Y50" si="68">SUM(U50:X50)</f>
        <v>12913</v>
      </c>
      <c r="Z50" s="1121">
        <f t="shared" ref="Z50:Z51" si="69">T50-Y50</f>
        <v>0</v>
      </c>
      <c r="AA50" s="665"/>
      <c r="AC50" s="660"/>
    </row>
    <row r="51" spans="1:30" s="2" customFormat="1" ht="18" customHeight="1" x14ac:dyDescent="0.25">
      <c r="A51" s="830">
        <f>A50+0.1</f>
        <v>8.2999999999999989</v>
      </c>
      <c r="B51" s="897" t="s">
        <v>164</v>
      </c>
      <c r="C51" s="299" t="s">
        <v>137</v>
      </c>
      <c r="D51" s="335" t="s">
        <v>64</v>
      </c>
      <c r="E51" s="95" t="s">
        <v>70</v>
      </c>
      <c r="F51" s="119" t="s">
        <v>37</v>
      </c>
      <c r="G51" s="119" t="s">
        <v>37</v>
      </c>
      <c r="H51" s="263">
        <v>10000</v>
      </c>
      <c r="I51" s="287"/>
      <c r="J51" s="263">
        <v>0</v>
      </c>
      <c r="K51" s="270">
        <f>H51</f>
        <v>10000</v>
      </c>
      <c r="L51" s="301">
        <v>50000</v>
      </c>
      <c r="M51" s="301">
        <f t="shared" ref="M51" si="70">SUM(K51:L51)</f>
        <v>60000</v>
      </c>
      <c r="N51" s="125">
        <v>17000</v>
      </c>
      <c r="O51" s="124">
        <f t="shared" ref="O51" si="71">M51</f>
        <v>60000</v>
      </c>
      <c r="P51" s="725">
        <f>O51-N51</f>
        <v>43000</v>
      </c>
      <c r="Q51" s="793">
        <v>38000</v>
      </c>
      <c r="R51" s="793">
        <f t="shared" si="31"/>
        <v>81000</v>
      </c>
      <c r="S51" s="793">
        <v>0</v>
      </c>
      <c r="T51" s="793">
        <f>SUM(R51:S51)</f>
        <v>81000</v>
      </c>
      <c r="U51" s="658">
        <f>'8.3 BOPA-CoordinateArtsCulture'!B13</f>
        <v>0</v>
      </c>
      <c r="V51" s="658">
        <f>'8.3 BOPA-CoordinateArtsCulture'!C13</f>
        <v>21793</v>
      </c>
      <c r="W51" s="658">
        <f>'8.3 BOPA-CoordinateArtsCulture'!D13</f>
        <v>0</v>
      </c>
      <c r="X51" s="658">
        <f>'8.3 BOPA-CoordinateArtsCulture'!E13</f>
        <v>4793</v>
      </c>
      <c r="Y51" s="658">
        <f>SUM(U51:X51)</f>
        <v>26586</v>
      </c>
      <c r="Z51" s="1121">
        <f t="shared" si="69"/>
        <v>54414</v>
      </c>
      <c r="AA51" s="667"/>
      <c r="AC51" s="660"/>
    </row>
    <row r="52" spans="1:30" ht="18" customHeight="1" x14ac:dyDescent="0.25">
      <c r="A52" s="830">
        <f>A51+0.1</f>
        <v>8.3999999999999986</v>
      </c>
      <c r="B52" s="439" t="s">
        <v>185</v>
      </c>
      <c r="C52" s="273" t="s">
        <v>137</v>
      </c>
      <c r="D52" s="122" t="s">
        <v>170</v>
      </c>
      <c r="E52" s="101" t="s">
        <v>70</v>
      </c>
      <c r="F52" s="119" t="s">
        <v>37</v>
      </c>
      <c r="G52" s="119" t="s">
        <v>37</v>
      </c>
      <c r="H52" s="256" t="s">
        <v>37</v>
      </c>
      <c r="I52" s="246"/>
      <c r="J52" s="256" t="s">
        <v>37</v>
      </c>
      <c r="K52" s="272" t="s">
        <v>37</v>
      </c>
      <c r="L52" s="125">
        <v>50000</v>
      </c>
      <c r="M52" s="125">
        <f t="shared" ref="M52" si="72">SUM(K52:L52)</f>
        <v>50000</v>
      </c>
      <c r="N52" s="125">
        <v>0</v>
      </c>
      <c r="O52" s="124">
        <f>M52</f>
        <v>50000</v>
      </c>
      <c r="P52" s="1153">
        <v>66819</v>
      </c>
      <c r="Q52" s="1151">
        <v>0</v>
      </c>
      <c r="R52" s="1151">
        <f t="shared" si="31"/>
        <v>66819</v>
      </c>
      <c r="S52" s="1151">
        <v>0</v>
      </c>
      <c r="T52" s="1151">
        <f>SUM(R52:S53)</f>
        <v>66819</v>
      </c>
      <c r="U52" s="1144">
        <v>37671</v>
      </c>
      <c r="V52" s="1144">
        <v>14570</v>
      </c>
      <c r="W52" s="1144">
        <v>9495</v>
      </c>
      <c r="X52" s="1144">
        <f>Y52-SUM(U52:W53)</f>
        <v>5977</v>
      </c>
      <c r="Y52" s="1144">
        <v>67713</v>
      </c>
      <c r="Z52" s="1144">
        <f>T52-Y52</f>
        <v>-894</v>
      </c>
      <c r="AA52" s="665"/>
      <c r="AC52" s="660"/>
    </row>
    <row r="53" spans="1:30" s="149" customFormat="1" ht="18" customHeight="1" x14ac:dyDescent="0.25">
      <c r="A53" s="830">
        <f>A52+0.1</f>
        <v>8.4999999999999982</v>
      </c>
      <c r="B53" s="439" t="s">
        <v>186</v>
      </c>
      <c r="C53" s="273" t="s">
        <v>137</v>
      </c>
      <c r="D53" s="122" t="s">
        <v>170</v>
      </c>
      <c r="E53" s="101" t="s">
        <v>70</v>
      </c>
      <c r="F53" s="119" t="s">
        <v>37</v>
      </c>
      <c r="G53" s="119" t="s">
        <v>37</v>
      </c>
      <c r="H53" s="256" t="s">
        <v>37</v>
      </c>
      <c r="I53" s="246"/>
      <c r="J53" s="256" t="s">
        <v>37</v>
      </c>
      <c r="K53" s="272" t="s">
        <v>37</v>
      </c>
      <c r="L53" s="125">
        <v>50000</v>
      </c>
      <c r="M53" s="125">
        <f t="shared" ref="M53" si="73">SUM(K53:L53)</f>
        <v>50000</v>
      </c>
      <c r="N53" s="125">
        <f>M53-16819</f>
        <v>33181</v>
      </c>
      <c r="O53" s="124">
        <f>M53</f>
        <v>50000</v>
      </c>
      <c r="P53" s="1154"/>
      <c r="Q53" s="1152"/>
      <c r="R53" s="1152"/>
      <c r="S53" s="1152"/>
      <c r="T53" s="1155"/>
      <c r="U53" s="1145"/>
      <c r="V53" s="1145"/>
      <c r="W53" s="1145"/>
      <c r="X53" s="1145"/>
      <c r="Y53" s="1145"/>
      <c r="Z53" s="1145"/>
      <c r="AA53" s="665"/>
      <c r="AC53" s="660"/>
    </row>
    <row r="54" spans="1:30" s="2" customFormat="1" ht="27.95" customHeight="1" x14ac:dyDescent="0.25">
      <c r="A54" s="830"/>
      <c r="B54" s="315" t="s">
        <v>153</v>
      </c>
      <c r="C54" s="343"/>
      <c r="D54" s="290"/>
      <c r="E54" s="297"/>
      <c r="F54" s="290">
        <f>SUM(F55)</f>
        <v>45500</v>
      </c>
      <c r="G54" s="290">
        <f t="shared" ref="G54:P54" si="74">SUM(G55)</f>
        <v>45500</v>
      </c>
      <c r="H54" s="290">
        <f t="shared" si="74"/>
        <v>0</v>
      </c>
      <c r="I54" s="290">
        <f t="shared" si="74"/>
        <v>0</v>
      </c>
      <c r="J54" s="290">
        <f t="shared" si="74"/>
        <v>42760</v>
      </c>
      <c r="K54" s="290">
        <f t="shared" si="74"/>
        <v>2740</v>
      </c>
      <c r="L54" s="290">
        <f t="shared" si="74"/>
        <v>500000</v>
      </c>
      <c r="M54" s="290">
        <f t="shared" si="74"/>
        <v>502740</v>
      </c>
      <c r="N54" s="290">
        <f t="shared" si="74"/>
        <v>0</v>
      </c>
      <c r="O54" s="290">
        <f t="shared" si="74"/>
        <v>502740</v>
      </c>
      <c r="P54" s="290">
        <f t="shared" si="74"/>
        <v>502740</v>
      </c>
      <c r="Q54" s="290">
        <f t="shared" ref="Q54:W54" si="75">SUM(Q55)</f>
        <v>100000</v>
      </c>
      <c r="R54" s="290">
        <f t="shared" si="75"/>
        <v>602740</v>
      </c>
      <c r="S54" s="290">
        <f t="shared" si="75"/>
        <v>0</v>
      </c>
      <c r="T54" s="290">
        <f t="shared" si="75"/>
        <v>602740</v>
      </c>
      <c r="U54" s="290">
        <f t="shared" si="75"/>
        <v>31438</v>
      </c>
      <c r="V54" s="290">
        <f t="shared" si="75"/>
        <v>0</v>
      </c>
      <c r="W54" s="290">
        <f t="shared" si="75"/>
        <v>91832</v>
      </c>
      <c r="X54" s="290">
        <f>SUM(X55)</f>
        <v>0</v>
      </c>
      <c r="Y54" s="290">
        <f>SUM(Y55)</f>
        <v>123270</v>
      </c>
      <c r="Z54" s="290">
        <f>SUM(Z55)</f>
        <v>479470</v>
      </c>
      <c r="AA54" s="316"/>
      <c r="AB54" s="309">
        <f>AB55</f>
        <v>0</v>
      </c>
    </row>
    <row r="55" spans="1:30" s="2" customFormat="1" ht="18" customHeight="1" thickBot="1" x14ac:dyDescent="0.3">
      <c r="A55" s="830">
        <f>A49+1</f>
        <v>9.1</v>
      </c>
      <c r="B55" s="195" t="s">
        <v>165</v>
      </c>
      <c r="C55" s="98" t="s">
        <v>154</v>
      </c>
      <c r="D55" s="290" t="s">
        <v>155</v>
      </c>
      <c r="E55" s="289" t="s">
        <v>151</v>
      </c>
      <c r="F55" s="119">
        <v>45500</v>
      </c>
      <c r="G55" s="119">
        <f>F55</f>
        <v>45500</v>
      </c>
      <c r="H55" s="256">
        <v>0</v>
      </c>
      <c r="I55" s="246"/>
      <c r="J55" s="256">
        <f>G55-K55</f>
        <v>42760</v>
      </c>
      <c r="K55" s="272">
        <v>2740</v>
      </c>
      <c r="L55" s="124">
        <v>500000</v>
      </c>
      <c r="M55" s="124">
        <f t="shared" ref="M55" si="76">SUM(K55:L55)</f>
        <v>502740</v>
      </c>
      <c r="N55" s="125">
        <v>0</v>
      </c>
      <c r="O55" s="124">
        <f t="shared" ref="O55" si="77">M55</f>
        <v>502740</v>
      </c>
      <c r="P55" s="725">
        <f>O55-N55</f>
        <v>502740</v>
      </c>
      <c r="Q55" s="793">
        <v>100000</v>
      </c>
      <c r="R55" s="793">
        <f t="shared" si="31"/>
        <v>602740</v>
      </c>
      <c r="S55" s="793">
        <v>0</v>
      </c>
      <c r="T55" s="793">
        <f>SUM(R55:S55)</f>
        <v>602740</v>
      </c>
      <c r="U55" s="658">
        <f>'9.1 MOIT-ExpandCityFiber'!B15</f>
        <v>31438</v>
      </c>
      <c r="V55" s="658">
        <f>'9.1 MOIT-ExpandCityFiber'!C15</f>
        <v>0</v>
      </c>
      <c r="W55" s="658">
        <f>'9.1 MOIT-ExpandCityFiber'!D15</f>
        <v>91832</v>
      </c>
      <c r="X55" s="658">
        <f>'9.1 MOIT-ExpandCityFiber'!E15</f>
        <v>0</v>
      </c>
      <c r="Y55" s="658">
        <f t="shared" ref="Y55" si="78">SUM(U55:X55)</f>
        <v>123270</v>
      </c>
      <c r="Z55" s="1121">
        <f t="shared" ref="Z55" si="79">T55-Y55</f>
        <v>479470</v>
      </c>
      <c r="AA55" s="667"/>
      <c r="AB55" s="310"/>
      <c r="AC55" s="302"/>
    </row>
    <row r="56" spans="1:30" s="909" customFormat="1" ht="17.25" customHeight="1" thickBot="1" x14ac:dyDescent="0.3">
      <c r="A56" s="903"/>
      <c r="B56" s="904" t="s">
        <v>76</v>
      </c>
      <c r="C56" s="905"/>
      <c r="D56" s="905"/>
      <c r="E56" s="906"/>
      <c r="F56" s="907">
        <f>F12+F15+F22+F26+F31+F38+F45+F48+F54</f>
        <v>1302753</v>
      </c>
      <c r="G56" s="907">
        <f>G12+G15+G22+G26+G31+G38+G45+G48+G54</f>
        <v>933599</v>
      </c>
      <c r="H56" s="907">
        <f>H12+H15+H22+H26+H31+H38+H45+H48+H54</f>
        <v>2105000</v>
      </c>
      <c r="I56" s="907">
        <f>SUM(I12:I55)</f>
        <v>0</v>
      </c>
      <c r="J56" s="907">
        <f t="shared" ref="J56:O56" si="80">J12+J15+J22+J26+J31+J38+J45+J48+J54</f>
        <v>1658213</v>
      </c>
      <c r="K56" s="907">
        <f t="shared" si="80"/>
        <v>2037109</v>
      </c>
      <c r="L56" s="907">
        <f t="shared" si="80"/>
        <v>6355000</v>
      </c>
      <c r="M56" s="907">
        <f t="shared" si="80"/>
        <v>8392109</v>
      </c>
      <c r="N56" s="907">
        <f t="shared" si="80"/>
        <v>2792202</v>
      </c>
      <c r="O56" s="907">
        <f t="shared" si="80"/>
        <v>7197004</v>
      </c>
      <c r="P56" s="907">
        <f t="shared" ref="P56:T56" si="81">P12+P15+P22+P26+P31+P38+P45+P48+P54</f>
        <v>4775096</v>
      </c>
      <c r="Q56" s="907">
        <f t="shared" si="81"/>
        <v>2608000</v>
      </c>
      <c r="R56" s="907">
        <f t="shared" si="81"/>
        <v>7383096</v>
      </c>
      <c r="S56" s="907">
        <f t="shared" si="81"/>
        <v>-1138500</v>
      </c>
      <c r="T56" s="907">
        <f t="shared" si="81"/>
        <v>6244459</v>
      </c>
      <c r="U56" s="907">
        <f>U12+U15+U22+U26+U31+U38+U45+U48+U54</f>
        <v>1861021.5699999998</v>
      </c>
      <c r="V56" s="907">
        <f>V12+V15+V22+V26+V31+V38+V45+V48+V54</f>
        <v>440658.14</v>
      </c>
      <c r="W56" s="907">
        <f>W12+W15+W22+W26+W31+W38+W45+W48+W54</f>
        <v>531654.29</v>
      </c>
      <c r="X56" s="907">
        <f>X12+X15+X22+X26+X31+X38+X45+X48+X54</f>
        <v>421524.51</v>
      </c>
      <c r="Y56" s="907">
        <f>SUM(U56:X56)</f>
        <v>3254858.51</v>
      </c>
      <c r="Z56" s="907">
        <f>SUM(V56:Y56)</f>
        <v>4648695.4499999993</v>
      </c>
      <c r="AA56" s="908"/>
    </row>
    <row r="57" spans="1:30" s="16" customFormat="1" ht="15.75" x14ac:dyDescent="0.25">
      <c r="A57" s="829"/>
      <c r="B57" s="196" t="s">
        <v>515</v>
      </c>
      <c r="C57" s="185"/>
      <c r="D57" s="185"/>
      <c r="E57" s="185"/>
      <c r="F57" s="186"/>
      <c r="G57" s="186"/>
      <c r="H57" s="185"/>
      <c r="I57" s="187"/>
      <c r="J57" s="185"/>
      <c r="K57" s="185"/>
      <c r="L57" s="185"/>
      <c r="M57" s="185"/>
      <c r="N57" s="185"/>
      <c r="O57" s="185"/>
      <c r="P57" s="185"/>
      <c r="Q57" s="185"/>
      <c r="R57" s="185"/>
      <c r="S57" s="185"/>
      <c r="T57" s="185"/>
      <c r="U57" s="185"/>
      <c r="V57" s="185"/>
      <c r="W57" s="185"/>
      <c r="X57" s="185"/>
      <c r="Y57" s="185"/>
      <c r="Z57" s="185"/>
      <c r="AA57" s="197"/>
    </row>
    <row r="58" spans="1:30" s="3" customFormat="1" ht="18" customHeight="1" x14ac:dyDescent="0.25">
      <c r="A58" s="831" t="s">
        <v>509</v>
      </c>
      <c r="B58" s="195" t="s">
        <v>171</v>
      </c>
      <c r="C58" s="183">
        <v>20</v>
      </c>
      <c r="D58" s="100" t="s">
        <v>6</v>
      </c>
      <c r="E58" s="344" t="s">
        <v>173</v>
      </c>
      <c r="F58" s="147">
        <v>1500000</v>
      </c>
      <c r="G58" s="147">
        <f>F58</f>
        <v>1500000</v>
      </c>
      <c r="H58" s="243">
        <v>1500000</v>
      </c>
      <c r="I58" s="251" t="s">
        <v>5</v>
      </c>
      <c r="J58" s="243">
        <v>2000000</v>
      </c>
      <c r="K58" s="272">
        <f>SUM(G58:H58)-J58</f>
        <v>1000000</v>
      </c>
      <c r="L58" s="125">
        <v>1500000</v>
      </c>
      <c r="M58" s="125">
        <f t="shared" ref="M58:M59" si="82">SUM(K58:L58)</f>
        <v>2500000</v>
      </c>
      <c r="N58" s="125">
        <f>M58-500000</f>
        <v>2000000</v>
      </c>
      <c r="O58" s="124">
        <f t="shared" ref="O58" si="83">M58</f>
        <v>2500000</v>
      </c>
      <c r="P58" s="725">
        <f>O58-N58</f>
        <v>500000</v>
      </c>
      <c r="Q58" s="793">
        <v>1500000</v>
      </c>
      <c r="R58" s="793">
        <f>P58+Q58+S58</f>
        <v>2000000</v>
      </c>
      <c r="S58" s="793">
        <v>0</v>
      </c>
      <c r="T58" s="793">
        <f>SUM(R58:S58)</f>
        <v>2000000</v>
      </c>
      <c r="U58" s="658">
        <f>'P1 BDC_InfrastructureUpgrades'!B11</f>
        <v>2000000</v>
      </c>
      <c r="V58" s="96">
        <f>'P1 BDC_InfrastructureUpgrades'!C11</f>
        <v>0</v>
      </c>
      <c r="W58" s="96">
        <f>'P1 BDC_InfrastructureUpgrades'!D11</f>
        <v>0</v>
      </c>
      <c r="X58" s="96">
        <f>'P1 BDC_InfrastructureUpgrades'!E11</f>
        <v>0</v>
      </c>
      <c r="Y58" s="464">
        <f t="shared" ref="Y58" si="84">SUM(U58:X58)</f>
        <v>2000000</v>
      </c>
      <c r="Z58" s="1121">
        <f t="shared" ref="Z58" si="85">T58-Y58</f>
        <v>0</v>
      </c>
      <c r="AA58" s="667"/>
      <c r="AC58" s="302"/>
    </row>
    <row r="59" spans="1:30" s="3" customFormat="1" ht="18" customHeight="1" x14ac:dyDescent="0.25">
      <c r="A59" s="831" t="s">
        <v>510</v>
      </c>
      <c r="B59" s="195" t="s">
        <v>411</v>
      </c>
      <c r="C59" s="183"/>
      <c r="D59" s="279" t="s">
        <v>2</v>
      </c>
      <c r="E59" s="344" t="s">
        <v>172</v>
      </c>
      <c r="F59" s="147">
        <v>0</v>
      </c>
      <c r="G59" s="147"/>
      <c r="H59" s="243">
        <v>1217000</v>
      </c>
      <c r="I59" s="251"/>
      <c r="J59" s="243">
        <v>1217000</v>
      </c>
      <c r="K59" s="272" t="s">
        <v>37</v>
      </c>
      <c r="L59" s="125">
        <v>1217000</v>
      </c>
      <c r="M59" s="125">
        <f t="shared" si="82"/>
        <v>1217000</v>
      </c>
      <c r="N59" s="125">
        <f>M59</f>
        <v>1217000</v>
      </c>
      <c r="O59" s="124">
        <f t="shared" ref="O59" si="86">M59</f>
        <v>1217000</v>
      </c>
      <c r="P59" s="725">
        <f>O59-N59</f>
        <v>0</v>
      </c>
      <c r="Q59" s="886" t="s">
        <v>37</v>
      </c>
      <c r="R59" s="889" t="s">
        <v>37</v>
      </c>
      <c r="S59" s="889" t="s">
        <v>37</v>
      </c>
      <c r="T59" s="889" t="str">
        <f>R59</f>
        <v>NA</v>
      </c>
      <c r="U59" s="658" t="s">
        <v>37</v>
      </c>
      <c r="V59" s="658" t="s">
        <v>37</v>
      </c>
      <c r="W59" s="658" t="s">
        <v>37</v>
      </c>
      <c r="X59" s="658" t="s">
        <v>37</v>
      </c>
      <c r="Y59" s="658" t="s">
        <v>37</v>
      </c>
      <c r="Z59" s="658" t="s">
        <v>37</v>
      </c>
      <c r="AA59" s="667"/>
      <c r="AC59" s="660"/>
    </row>
    <row r="60" spans="1:30" s="3" customFormat="1" ht="18" customHeight="1" thickBot="1" x14ac:dyDescent="0.3">
      <c r="A60" s="831" t="s">
        <v>511</v>
      </c>
      <c r="B60" s="195" t="s">
        <v>563</v>
      </c>
      <c r="C60" s="183"/>
      <c r="D60" s="100" t="s">
        <v>6</v>
      </c>
      <c r="E60" s="289" t="s">
        <v>151</v>
      </c>
      <c r="F60" s="119" t="s">
        <v>37</v>
      </c>
      <c r="G60" s="119" t="s">
        <v>37</v>
      </c>
      <c r="H60" s="256" t="s">
        <v>37</v>
      </c>
      <c r="I60" s="246"/>
      <c r="J60" s="256" t="s">
        <v>37</v>
      </c>
      <c r="K60" s="272" t="s">
        <v>37</v>
      </c>
      <c r="L60" s="719" t="s">
        <v>37</v>
      </c>
      <c r="M60" s="719" t="s">
        <v>37</v>
      </c>
      <c r="N60" s="719" t="s">
        <v>37</v>
      </c>
      <c r="O60" s="720" t="s">
        <v>37</v>
      </c>
      <c r="P60" s="725">
        <v>0</v>
      </c>
      <c r="Q60" s="793">
        <v>1000000</v>
      </c>
      <c r="R60" s="793">
        <f>P60+Q60+S60</f>
        <v>1000000</v>
      </c>
      <c r="S60" s="793">
        <v>0</v>
      </c>
      <c r="T60" s="793">
        <f>SUM(R60:S60)</f>
        <v>1000000</v>
      </c>
      <c r="U60" s="658">
        <f>'P1 BDC_InfrastructureUpgrades'!B13</f>
        <v>0</v>
      </c>
      <c r="V60" s="96">
        <f>'P1 BDC_InfrastructureUpgrades'!C13</f>
        <v>0</v>
      </c>
      <c r="W60" s="96">
        <f>'P1 BDC_InfrastructureUpgrades'!D13</f>
        <v>0</v>
      </c>
      <c r="X60" s="96">
        <f>'P1 BDC_InfrastructureUpgrades'!E13</f>
        <v>0</v>
      </c>
      <c r="Y60" s="464">
        <f t="shared" ref="Y60:Z60" si="87">SUM(U60:X60)</f>
        <v>0</v>
      </c>
      <c r="Z60" s="464">
        <f t="shared" si="87"/>
        <v>0</v>
      </c>
      <c r="AA60" s="667"/>
      <c r="AC60" s="660"/>
    </row>
    <row r="61" spans="1:30" s="909" customFormat="1" ht="17.25" customHeight="1" thickBot="1" x14ac:dyDescent="0.3">
      <c r="A61" s="903"/>
      <c r="B61" s="904" t="s">
        <v>76</v>
      </c>
      <c r="C61" s="905"/>
      <c r="D61" s="905"/>
      <c r="E61" s="906"/>
      <c r="F61" s="907">
        <f>SUM(F58:F59)</f>
        <v>1500000</v>
      </c>
      <c r="G61" s="907">
        <f>SUM(G58:G59)</f>
        <v>1500000</v>
      </c>
      <c r="H61" s="907">
        <f>SUM(H58:H59)</f>
        <v>2717000</v>
      </c>
      <c r="I61" s="905"/>
      <c r="J61" s="907">
        <f>SUM(J58:J59)</f>
        <v>3217000</v>
      </c>
      <c r="K61" s="907">
        <f t="shared" ref="K61:R61" si="88">SUM(K58:K60)</f>
        <v>1000000</v>
      </c>
      <c r="L61" s="907">
        <f t="shared" si="88"/>
        <v>2717000</v>
      </c>
      <c r="M61" s="907">
        <f t="shared" si="88"/>
        <v>3717000</v>
      </c>
      <c r="N61" s="907">
        <f t="shared" si="88"/>
        <v>3217000</v>
      </c>
      <c r="O61" s="907">
        <f t="shared" si="88"/>
        <v>3717000</v>
      </c>
      <c r="P61" s="907">
        <f t="shared" si="88"/>
        <v>500000</v>
      </c>
      <c r="Q61" s="907">
        <f t="shared" si="88"/>
        <v>2500000</v>
      </c>
      <c r="R61" s="907">
        <f t="shared" si="88"/>
        <v>3000000</v>
      </c>
      <c r="S61" s="907">
        <f t="shared" ref="S61:T61" si="89">SUM(S58:S60)</f>
        <v>0</v>
      </c>
      <c r="T61" s="907">
        <f t="shared" si="89"/>
        <v>3000000</v>
      </c>
      <c r="U61" s="907">
        <f>SUM(U58:U60)</f>
        <v>2000000</v>
      </c>
      <c r="V61" s="907">
        <f t="shared" ref="V61:Z61" si="90">SUM(V58:V60)</f>
        <v>0</v>
      </c>
      <c r="W61" s="907">
        <f t="shared" si="90"/>
        <v>0</v>
      </c>
      <c r="X61" s="907">
        <f t="shared" si="90"/>
        <v>0</v>
      </c>
      <c r="Y61" s="907">
        <f t="shared" si="90"/>
        <v>2000000</v>
      </c>
      <c r="Z61" s="907">
        <f t="shared" si="90"/>
        <v>0</v>
      </c>
      <c r="AA61" s="908"/>
      <c r="AD61" s="910"/>
    </row>
    <row r="62" spans="1:30" s="3" customFormat="1" ht="20.100000000000001" customHeight="1" thickBot="1" x14ac:dyDescent="0.3">
      <c r="A62" s="831"/>
      <c r="B62" s="198" t="s">
        <v>77</v>
      </c>
      <c r="C62" s="199"/>
      <c r="D62" s="199"/>
      <c r="E62" s="200"/>
      <c r="F62" s="298">
        <f t="shared" ref="F62:M62" si="91">F10+F15+F22+F26+F31+F38+F45+F48+F54+F61+F12</f>
        <v>5939781</v>
      </c>
      <c r="G62" s="298">
        <f t="shared" si="91"/>
        <v>2451330</v>
      </c>
      <c r="H62" s="298">
        <f t="shared" si="91"/>
        <v>6985000</v>
      </c>
      <c r="I62" s="298">
        <f t="shared" si="91"/>
        <v>0</v>
      </c>
      <c r="J62" s="298">
        <f t="shared" si="91"/>
        <v>7161417</v>
      </c>
      <c r="K62" s="298">
        <f t="shared" si="91"/>
        <v>3166605</v>
      </c>
      <c r="L62" s="298">
        <f t="shared" si="91"/>
        <v>11350000</v>
      </c>
      <c r="M62" s="298">
        <f t="shared" si="91"/>
        <v>14516605</v>
      </c>
      <c r="N62" s="298">
        <f t="shared" ref="N62:O62" si="92">N10+N15+N22+N26+N31+N38+N45+N48+N54+N61+N12</f>
        <v>8297590</v>
      </c>
      <c r="O62" s="298">
        <f t="shared" si="92"/>
        <v>13217136</v>
      </c>
      <c r="P62" s="817">
        <f t="shared" ref="P62:Z62" si="93">P10+P15+P22+P26+P31+P38+P45+P48+P54+P61+P12</f>
        <v>5289840</v>
      </c>
      <c r="Q62" s="817">
        <f t="shared" si="93"/>
        <v>7499398</v>
      </c>
      <c r="R62" s="817">
        <f t="shared" si="93"/>
        <v>12789238</v>
      </c>
      <c r="S62" s="921">
        <f t="shared" si="93"/>
        <v>-1345102</v>
      </c>
      <c r="T62" s="817">
        <f t="shared" si="93"/>
        <v>11443999</v>
      </c>
      <c r="U62" s="298">
        <f t="shared" si="93"/>
        <v>4293306.57</v>
      </c>
      <c r="V62" s="298">
        <f t="shared" si="93"/>
        <v>878275.14</v>
      </c>
      <c r="W62" s="298">
        <f t="shared" si="93"/>
        <v>976619.29</v>
      </c>
      <c r="X62" s="298">
        <f t="shared" si="93"/>
        <v>1256818.51</v>
      </c>
      <c r="Y62" s="817">
        <f t="shared" si="93"/>
        <v>7405019.5099999998</v>
      </c>
      <c r="Z62" s="817">
        <f t="shared" si="93"/>
        <v>2973979.49</v>
      </c>
      <c r="AA62" s="386"/>
      <c r="AC62" s="302"/>
      <c r="AD62" s="646"/>
    </row>
    <row r="63" spans="1:30" s="3" customFormat="1" ht="20.100000000000001" customHeight="1" thickBot="1" x14ac:dyDescent="0.3">
      <c r="A63" s="831"/>
      <c r="B63" s="1149" t="s">
        <v>588</v>
      </c>
      <c r="C63" s="1150"/>
      <c r="D63" s="199"/>
      <c r="E63" s="200"/>
      <c r="F63" s="298"/>
      <c r="G63" s="298"/>
      <c r="H63" s="298"/>
      <c r="I63" s="298"/>
      <c r="J63" s="298"/>
      <c r="K63" s="943" t="s">
        <v>589</v>
      </c>
      <c r="L63" s="645">
        <f>L64-L62</f>
        <v>-1001676</v>
      </c>
      <c r="M63" s="913" t="b">
        <f>SUM(K62:L62)=M62</f>
        <v>1</v>
      </c>
      <c r="N63" s="913"/>
      <c r="O63" s="913" t="b">
        <f>O62=O62</f>
        <v>1</v>
      </c>
      <c r="P63" s="943" t="s">
        <v>591</v>
      </c>
      <c r="Q63" s="645">
        <f>Q64-Q62</f>
        <v>-1028833</v>
      </c>
      <c r="R63" s="913" t="b">
        <f>SUM(P62:Q62)=R62</f>
        <v>1</v>
      </c>
      <c r="S63" s="913" t="b">
        <f>-(R62-T62)=S62</f>
        <v>0</v>
      </c>
      <c r="T63" s="913" t="b">
        <f>R62+S62=T62</f>
        <v>0</v>
      </c>
      <c r="U63" s="943"/>
      <c r="V63" s="298"/>
      <c r="W63" s="298"/>
      <c r="X63" s="298"/>
      <c r="Y63" s="298"/>
      <c r="Z63" s="943" t="s">
        <v>610</v>
      </c>
      <c r="AA63" s="386"/>
      <c r="AC63" s="660"/>
    </row>
    <row r="64" spans="1:30" s="655" customFormat="1" ht="20.100000000000001" customHeight="1" thickBot="1" x14ac:dyDescent="0.3">
      <c r="A64" s="830"/>
      <c r="B64" s="915" t="s">
        <v>608</v>
      </c>
      <c r="C64" s="916"/>
      <c r="D64" s="917"/>
      <c r="E64" s="917"/>
      <c r="F64" s="918"/>
      <c r="G64" s="918"/>
      <c r="H64" s="916"/>
      <c r="I64" s="916"/>
      <c r="J64" s="916"/>
      <c r="K64" s="914" t="s">
        <v>585</v>
      </c>
      <c r="L64" s="692">
        <v>10348324</v>
      </c>
      <c r="M64" s="692"/>
      <c r="N64" s="914" t="s">
        <v>586</v>
      </c>
      <c r="O64" s="942">
        <f>O62-M62</f>
        <v>-1299469</v>
      </c>
      <c r="P64" s="914" t="s">
        <v>737</v>
      </c>
      <c r="Q64" s="712">
        <v>6470565</v>
      </c>
      <c r="R64" s="914" t="s">
        <v>590</v>
      </c>
      <c r="S64" s="942">
        <f>S62</f>
        <v>-1345102</v>
      </c>
      <c r="T64" s="712"/>
      <c r="U64" s="919"/>
      <c r="V64" s="919"/>
      <c r="W64" s="919"/>
      <c r="X64" s="914" t="s">
        <v>609</v>
      </c>
      <c r="Y64" s="692">
        <f>Y62</f>
        <v>7405019.5099999998</v>
      </c>
      <c r="Z64" s="692">
        <f>Z62</f>
        <v>2973979.49</v>
      </c>
      <c r="AA64" s="693"/>
      <c r="AC64" s="252"/>
    </row>
    <row r="65" spans="1:27" s="655" customFormat="1" ht="20.100000000000001" customHeight="1" x14ac:dyDescent="0.25">
      <c r="A65" s="830"/>
      <c r="B65" s="944" t="s">
        <v>592</v>
      </c>
      <c r="C65" s="945"/>
      <c r="D65" s="946">
        <f>-(O64+S64)</f>
        <v>2644571</v>
      </c>
      <c r="F65" s="347"/>
      <c r="G65" s="347"/>
      <c r="H65" s="945"/>
      <c r="I65" s="945"/>
      <c r="J65" s="945"/>
      <c r="K65" s="945"/>
      <c r="L65" s="945"/>
      <c r="M65" s="947"/>
      <c r="N65" s="948" t="s">
        <v>587</v>
      </c>
      <c r="O65" s="947">
        <f>L63-O64</f>
        <v>297793</v>
      </c>
      <c r="P65" s="949"/>
      <c r="Q65" s="949"/>
      <c r="R65" s="948" t="s">
        <v>587</v>
      </c>
      <c r="S65" s="947">
        <f>-S64+Q63</f>
        <v>316269</v>
      </c>
      <c r="T65" s="947"/>
      <c r="U65" s="950"/>
      <c r="V65" s="950"/>
      <c r="W65" s="950"/>
      <c r="X65" s="950"/>
      <c r="Y65" s="951"/>
      <c r="Z65" s="348"/>
      <c r="AA65" s="952"/>
    </row>
    <row r="66" spans="1:27" s="202" customFormat="1" ht="20.100000000000001" customHeight="1" x14ac:dyDescent="0.25">
      <c r="A66" s="953"/>
      <c r="B66" s="944" t="s">
        <v>595</v>
      </c>
      <c r="C66" s="944"/>
      <c r="D66" s="946">
        <f>(L63+Q63)</f>
        <v>-2030509</v>
      </c>
      <c r="H66" s="949"/>
      <c r="I66" s="949"/>
      <c r="J66" s="949"/>
      <c r="K66" s="949"/>
      <c r="L66" s="949"/>
      <c r="S66" s="212"/>
      <c r="U66" s="954"/>
      <c r="V66" s="954"/>
      <c r="W66" s="954"/>
      <c r="X66" s="954"/>
      <c r="Y66" s="954"/>
      <c r="Z66" s="954"/>
      <c r="AA66" s="955"/>
    </row>
    <row r="67" spans="1:27" s="655" customFormat="1" ht="20.100000000000001" customHeight="1" x14ac:dyDescent="0.25">
      <c r="A67" s="830"/>
      <c r="B67" s="944" t="s">
        <v>593</v>
      </c>
      <c r="C67" s="956"/>
      <c r="D67" s="957">
        <f>SUM(D65:D66)</f>
        <v>614062</v>
      </c>
      <c r="F67" s="347"/>
      <c r="G67" s="347"/>
      <c r="H67" s="945"/>
      <c r="I67" s="945"/>
      <c r="J67" s="945"/>
      <c r="K67" s="945"/>
      <c r="L67" s="945"/>
      <c r="M67" s="945"/>
      <c r="N67" s="945"/>
      <c r="O67" s="945"/>
      <c r="P67" s="945"/>
      <c r="Q67" s="945"/>
      <c r="R67" s="945"/>
      <c r="S67" s="945"/>
      <c r="U67" s="950"/>
      <c r="V67" s="950"/>
      <c r="W67" s="950"/>
      <c r="X67" s="950"/>
      <c r="Y67" s="951"/>
      <c r="Z67" s="951"/>
      <c r="AA67" s="952"/>
    </row>
    <row r="68" spans="1:27" x14ac:dyDescent="0.25">
      <c r="E68" s="824"/>
      <c r="AA68" s="28" t="s">
        <v>518</v>
      </c>
    </row>
    <row r="69" spans="1:27" x14ac:dyDescent="0.25">
      <c r="E69" s="824"/>
    </row>
  </sheetData>
  <mergeCells count="13">
    <mergeCell ref="U14:X14"/>
    <mergeCell ref="B63:C63"/>
    <mergeCell ref="R52:R53"/>
    <mergeCell ref="S52:S53"/>
    <mergeCell ref="Q52:Q53"/>
    <mergeCell ref="P52:P53"/>
    <mergeCell ref="T52:T53"/>
    <mergeCell ref="Z52:Z53"/>
    <mergeCell ref="U52:U53"/>
    <mergeCell ref="V52:V53"/>
    <mergeCell ref="W52:W53"/>
    <mergeCell ref="X52:X53"/>
    <mergeCell ref="Y52:Y53"/>
  </mergeCells>
  <phoneticPr fontId="38" type="noConversion"/>
  <printOptions horizontalCentered="1"/>
  <pageMargins left="0.35" right="0.35" top="1.5" bottom="1.5" header="0.55000000000000004" footer="0.55000000000000004"/>
  <pageSetup paperSize="17" scale="67" fitToHeight="2" orientation="landscape" r:id="rId1"/>
  <headerFooter>
    <oddHeader>&amp;C&amp;"Arial Black,Regular"&amp;16
South Baltimore Gateway --  Casino Local Impact Grant FY'18 Spending Plan -- Progress Report July 2018</oddHeader>
    <oddFooter>&amp;L&amp;14Page &amp;P of &amp;N&amp;R&amp;14&amp;D</oddFooter>
  </headerFooter>
  <rowBreaks count="1" manualBreakCount="1">
    <brk id="37" max="16383" man="1"/>
  </rowBreak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H24" sqref="H24"/>
    </sheetView>
  </sheetViews>
  <sheetFormatPr defaultColWidth="8.85546875" defaultRowHeight="15" x14ac:dyDescent="0.25"/>
  <cols>
    <col min="1" max="1" width="31" customWidth="1"/>
    <col min="2" max="6" width="13.7109375" customWidth="1"/>
    <col min="7" max="7" width="20.7109375" customWidth="1"/>
    <col min="8" max="8" width="10.7109375" style="824" customWidth="1"/>
    <col min="9" max="10" width="10.7109375" customWidth="1"/>
  </cols>
  <sheetData>
    <row r="1" spans="1:11" x14ac:dyDescent="0.25">
      <c r="A1" s="151" t="s">
        <v>24</v>
      </c>
      <c r="B1" s="1159" t="str">
        <f>'YEAR 4--FY''18'!AC1</f>
        <v>FY18</v>
      </c>
      <c r="C1" s="1160"/>
      <c r="D1" s="1160"/>
      <c r="E1" s="1160"/>
      <c r="F1" s="1161"/>
      <c r="G1" s="151" t="s">
        <v>21</v>
      </c>
      <c r="H1" s="657"/>
      <c r="I1" s="372"/>
    </row>
    <row r="2" spans="1:11" x14ac:dyDescent="0.25">
      <c r="A2" s="166" t="s">
        <v>11</v>
      </c>
      <c r="B2" s="1234" t="str">
        <f>'[2]YEAR 3--FY''17'!A14</f>
        <v>Complete Streets Implementation &amp; Coordinator</v>
      </c>
      <c r="C2" s="1235"/>
      <c r="D2" s="1235"/>
      <c r="E2" s="1235"/>
      <c r="F2" s="1236"/>
      <c r="G2" s="1248"/>
      <c r="H2" s="958"/>
      <c r="I2" s="372"/>
    </row>
    <row r="3" spans="1:11" x14ac:dyDescent="0.25">
      <c r="A3" s="166" t="s">
        <v>26</v>
      </c>
      <c r="B3" s="1237" t="str">
        <f>'[2]YEAR 3--FY''17'!C14</f>
        <v>DOT</v>
      </c>
      <c r="C3" s="1235"/>
      <c r="D3" s="1235"/>
      <c r="E3" s="1235"/>
      <c r="F3" s="1236"/>
      <c r="G3" s="1249"/>
      <c r="H3" s="958"/>
      <c r="I3" s="372"/>
    </row>
    <row r="4" spans="1:11" x14ac:dyDescent="0.25">
      <c r="A4" s="166" t="s">
        <v>13</v>
      </c>
      <c r="B4" s="1234" t="str">
        <f>'[2]YEAR 3--FY''17'!B14</f>
        <v>1B</v>
      </c>
      <c r="C4" s="1235"/>
      <c r="D4" s="1235"/>
      <c r="E4" s="1235"/>
      <c r="F4" s="1236"/>
      <c r="G4" s="1249"/>
      <c r="H4" s="958"/>
      <c r="I4" s="372"/>
    </row>
    <row r="5" spans="1:11" ht="15.75" thickBot="1" x14ac:dyDescent="0.3">
      <c r="A5" s="152" t="s">
        <v>12</v>
      </c>
      <c r="B5" s="1251" t="str">
        <f>'[2]YEAR 3--FY''17'!D14</f>
        <v>Ongoing</v>
      </c>
      <c r="C5" s="1239"/>
      <c r="D5" s="1239"/>
      <c r="E5" s="1239"/>
      <c r="F5" s="1240"/>
      <c r="G5" s="1249"/>
      <c r="H5" s="958"/>
      <c r="I5" s="372"/>
    </row>
    <row r="6" spans="1:11" s="655" customFormat="1" ht="24.95" customHeight="1" x14ac:dyDescent="0.25">
      <c r="A6" s="42" t="s">
        <v>14</v>
      </c>
      <c r="B6" s="1169" t="s">
        <v>512</v>
      </c>
      <c r="C6" s="1170"/>
      <c r="D6" s="1173" t="str">
        <f>'YEAR 4--FY''18'!P1</f>
        <v>FY'17 Carry-Fwd</v>
      </c>
      <c r="E6" s="1174"/>
      <c r="F6" s="813" t="s">
        <v>129</v>
      </c>
      <c r="G6" s="1249"/>
      <c r="H6" s="958"/>
      <c r="I6" s="252"/>
      <c r="J6" s="765"/>
    </row>
    <row r="7" spans="1:11" ht="15.75" customHeight="1" thickBot="1" x14ac:dyDescent="0.3">
      <c r="A7" s="150"/>
      <c r="B7" s="1270">
        <f>'YEAR 4--FY''18'!Q14</f>
        <v>575000</v>
      </c>
      <c r="C7" s="1271"/>
      <c r="D7" s="1252">
        <f>'YEAR 4--FY''18'!P14</f>
        <v>564103</v>
      </c>
      <c r="E7" s="1253"/>
      <c r="F7" s="350">
        <f>'YEAR 4--FY''18'!T14</f>
        <v>564103</v>
      </c>
      <c r="G7" s="1250"/>
      <c r="H7" s="958"/>
      <c r="I7" s="372"/>
    </row>
    <row r="8" spans="1:11" ht="33" customHeight="1" x14ac:dyDescent="0.25">
      <c r="A8" s="155" t="s">
        <v>22</v>
      </c>
      <c r="B8" s="157" t="s">
        <v>15</v>
      </c>
      <c r="C8" s="156" t="s">
        <v>16</v>
      </c>
      <c r="D8" s="156" t="s">
        <v>17</v>
      </c>
      <c r="E8" s="156" t="s">
        <v>18</v>
      </c>
      <c r="F8" s="154" t="s">
        <v>19</v>
      </c>
      <c r="G8" s="111" t="s">
        <v>21</v>
      </c>
      <c r="H8" s="959" t="s">
        <v>276</v>
      </c>
      <c r="I8" s="714" t="s">
        <v>400</v>
      </c>
      <c r="J8" s="714" t="s">
        <v>516</v>
      </c>
    </row>
    <row r="9" spans="1:11" s="824" customFormat="1" ht="15.75" customHeight="1" x14ac:dyDescent="0.25">
      <c r="A9" s="373" t="s">
        <v>336</v>
      </c>
      <c r="B9" s="1272">
        <v>118571</v>
      </c>
      <c r="C9" s="1273"/>
      <c r="D9" s="1273"/>
      <c r="E9" s="1274"/>
      <c r="F9" s="170">
        <f t="shared" ref="F9" si="0">SUM(B9:E9)</f>
        <v>118571</v>
      </c>
      <c r="G9" s="477"/>
      <c r="H9" s="960"/>
      <c r="I9" s="960"/>
      <c r="J9" s="656">
        <f>B9</f>
        <v>118571</v>
      </c>
      <c r="K9" s="715"/>
    </row>
    <row r="10" spans="1:11" ht="15.75" customHeight="1" x14ac:dyDescent="0.25">
      <c r="A10" s="373" t="s">
        <v>615</v>
      </c>
      <c r="B10" s="1272">
        <v>13714</v>
      </c>
      <c r="C10" s="1273"/>
      <c r="D10" s="1273"/>
      <c r="E10" s="1274"/>
      <c r="F10" s="170">
        <f>SUM(B10:E10)</f>
        <v>13714</v>
      </c>
      <c r="G10" s="181" t="s">
        <v>619</v>
      </c>
      <c r="H10" s="960">
        <v>50000</v>
      </c>
      <c r="I10" s="960">
        <v>35987</v>
      </c>
      <c r="K10" s="715" t="s">
        <v>401</v>
      </c>
    </row>
    <row r="11" spans="1:11" x14ac:dyDescent="0.25">
      <c r="A11" s="962" t="s">
        <v>616</v>
      </c>
      <c r="B11" s="1272">
        <v>18320</v>
      </c>
      <c r="C11" s="1273"/>
      <c r="D11" s="1273"/>
      <c r="E11" s="1274"/>
      <c r="F11" s="170">
        <f t="shared" ref="F11:F14" si="1">SUM(B11:E11)</f>
        <v>18320</v>
      </c>
      <c r="G11" s="477"/>
      <c r="J11" s="656">
        <f>B11</f>
        <v>18320</v>
      </c>
    </row>
    <row r="12" spans="1:11" s="824" customFormat="1" ht="15.75" customHeight="1" x14ac:dyDescent="0.25">
      <c r="A12" s="373" t="s">
        <v>617</v>
      </c>
      <c r="B12" s="1272">
        <v>888</v>
      </c>
      <c r="C12" s="1273"/>
      <c r="D12" s="1273"/>
      <c r="E12" s="1274"/>
      <c r="F12" s="170">
        <f t="shared" si="1"/>
        <v>888</v>
      </c>
      <c r="G12" s="477"/>
      <c r="H12" s="960"/>
      <c r="I12" s="63"/>
      <c r="J12" s="656">
        <f>B12</f>
        <v>888</v>
      </c>
      <c r="K12" s="715"/>
    </row>
    <row r="13" spans="1:11" s="824" customFormat="1" ht="15.75" customHeight="1" x14ac:dyDescent="0.25">
      <c r="A13" s="373" t="s">
        <v>433</v>
      </c>
      <c r="B13" s="1272">
        <v>1700</v>
      </c>
      <c r="C13" s="1273"/>
      <c r="D13" s="1273"/>
      <c r="E13" s="1274"/>
      <c r="F13" s="170">
        <f t="shared" si="1"/>
        <v>1700</v>
      </c>
      <c r="G13" s="477"/>
      <c r="H13" s="960"/>
      <c r="I13" s="63"/>
      <c r="J13" s="656">
        <f>B13</f>
        <v>1700</v>
      </c>
      <c r="K13" s="715"/>
    </row>
    <row r="14" spans="1:11" s="824" customFormat="1" ht="15.75" customHeight="1" thickBot="1" x14ac:dyDescent="0.3">
      <c r="A14" s="963" t="s">
        <v>618</v>
      </c>
      <c r="B14" s="1272">
        <v>12021</v>
      </c>
      <c r="C14" s="1273"/>
      <c r="D14" s="1273"/>
      <c r="E14" s="1274"/>
      <c r="F14" s="170">
        <f t="shared" si="1"/>
        <v>12021</v>
      </c>
      <c r="G14" s="964"/>
      <c r="H14" s="960"/>
      <c r="I14" s="63"/>
      <c r="J14" s="656">
        <f>B14</f>
        <v>12021</v>
      </c>
      <c r="K14" s="715"/>
    </row>
    <row r="15" spans="1:11" s="655" customFormat="1" ht="21" customHeight="1" thickBot="1" x14ac:dyDescent="0.3">
      <c r="A15" s="811" t="s">
        <v>25</v>
      </c>
      <c r="B15" s="1278">
        <f>SUM(B9:E14)</f>
        <v>165214</v>
      </c>
      <c r="C15" s="1279"/>
      <c r="D15" s="1279"/>
      <c r="E15" s="1170"/>
      <c r="F15" s="496">
        <f>SUM(B15:E15)</f>
        <v>165214</v>
      </c>
      <c r="G15" s="809">
        <f ca="1">SUM(G10:G27)</f>
        <v>475741</v>
      </c>
      <c r="H15" s="752">
        <f ca="1">SUM(H10:H27)</f>
        <v>50000</v>
      </c>
      <c r="I15" s="752">
        <f ca="1">SUM(I10:I27)</f>
        <v>35987</v>
      </c>
      <c r="J15" s="752">
        <f ca="1">SUM(J10:J27)</f>
        <v>20908</v>
      </c>
    </row>
    <row r="16" spans="1:11" s="372" customFormat="1" ht="15.75" customHeight="1" x14ac:dyDescent="0.25">
      <c r="A16" s="965" t="s">
        <v>275</v>
      </c>
      <c r="B16" s="1280" t="s">
        <v>623</v>
      </c>
      <c r="C16" s="1281"/>
      <c r="D16" s="1281"/>
      <c r="E16" s="1281"/>
      <c r="F16" s="968" t="s">
        <v>624</v>
      </c>
      <c r="G16" s="966" t="s">
        <v>622</v>
      </c>
      <c r="H16" s="960"/>
      <c r="I16" s="63"/>
      <c r="K16" s="716"/>
    </row>
    <row r="17" spans="1:11" s="372" customFormat="1" ht="15.75" customHeight="1" x14ac:dyDescent="0.25">
      <c r="A17" s="465" t="s">
        <v>620</v>
      </c>
      <c r="B17" s="1275" t="s">
        <v>621</v>
      </c>
      <c r="C17" s="1276"/>
      <c r="D17" s="1276"/>
      <c r="E17" s="1277"/>
      <c r="F17" s="351">
        <f>42259</f>
        <v>42259</v>
      </c>
      <c r="G17" s="969">
        <v>75000</v>
      </c>
      <c r="H17" s="960"/>
      <c r="K17" s="63">
        <v>42259</v>
      </c>
    </row>
    <row r="18" spans="1:11" s="372" customFormat="1" ht="15.75" customHeight="1" x14ac:dyDescent="0.25">
      <c r="A18" s="465" t="s">
        <v>268</v>
      </c>
      <c r="B18" s="1275" t="s">
        <v>621</v>
      </c>
      <c r="C18" s="1276"/>
      <c r="D18" s="1276"/>
      <c r="E18" s="1277"/>
      <c r="F18" s="351">
        <f t="shared" ref="F18:F26" si="2">SUM(B18:E18)</f>
        <v>0</v>
      </c>
      <c r="G18" s="970">
        <f>49000-F18</f>
        <v>49000</v>
      </c>
      <c r="H18" s="960"/>
      <c r="K18" s="63"/>
    </row>
    <row r="19" spans="1:11" s="824" customFormat="1" ht="15.75" customHeight="1" x14ac:dyDescent="0.25">
      <c r="A19" s="465" t="s">
        <v>625</v>
      </c>
      <c r="B19" s="1282" t="s">
        <v>626</v>
      </c>
      <c r="C19" s="1276"/>
      <c r="D19" s="1276"/>
      <c r="E19" s="1277"/>
      <c r="F19" s="351">
        <v>0</v>
      </c>
      <c r="G19" s="971" t="s">
        <v>627</v>
      </c>
      <c r="H19" s="960"/>
      <c r="K19" s="63"/>
    </row>
    <row r="20" spans="1:11" s="372" customFormat="1" ht="15.75" customHeight="1" x14ac:dyDescent="0.25">
      <c r="A20" s="465" t="s">
        <v>269</v>
      </c>
      <c r="B20" s="1275" t="s">
        <v>628</v>
      </c>
      <c r="C20" s="1276"/>
      <c r="D20" s="1276"/>
      <c r="E20" s="1277"/>
      <c r="F20" s="351">
        <f t="shared" si="2"/>
        <v>0</v>
      </c>
      <c r="G20" s="970">
        <v>40000</v>
      </c>
      <c r="H20" s="960"/>
      <c r="K20" s="63"/>
    </row>
    <row r="21" spans="1:11" s="372" customFormat="1" ht="15.75" customHeight="1" x14ac:dyDescent="0.25">
      <c r="A21" s="465" t="s">
        <v>629</v>
      </c>
      <c r="B21" s="1275" t="s">
        <v>630</v>
      </c>
      <c r="C21" s="1276"/>
      <c r="D21" s="1276"/>
      <c r="E21" s="1277"/>
      <c r="F21" s="351">
        <f t="shared" si="2"/>
        <v>0</v>
      </c>
      <c r="G21" s="970">
        <v>200000</v>
      </c>
      <c r="H21" s="960"/>
      <c r="K21" s="63"/>
    </row>
    <row r="22" spans="1:11" s="372" customFormat="1" ht="15.75" customHeight="1" x14ac:dyDescent="0.25">
      <c r="A22" s="465" t="s">
        <v>270</v>
      </c>
      <c r="B22" s="1275" t="s">
        <v>631</v>
      </c>
      <c r="C22" s="1276"/>
      <c r="D22" s="1276"/>
      <c r="E22" s="1277"/>
      <c r="F22" s="351">
        <f t="shared" si="2"/>
        <v>0</v>
      </c>
      <c r="G22" s="970">
        <v>149000</v>
      </c>
      <c r="H22" s="960"/>
      <c r="K22" s="63"/>
    </row>
    <row r="23" spans="1:11" s="372" customFormat="1" ht="15.75" customHeight="1" x14ac:dyDescent="0.25">
      <c r="A23" s="465" t="s">
        <v>632</v>
      </c>
      <c r="B23" s="1275" t="s">
        <v>633</v>
      </c>
      <c r="C23" s="1276"/>
      <c r="D23" s="1276"/>
      <c r="E23" s="1277"/>
      <c r="F23" s="351">
        <f>G23</f>
        <v>91000</v>
      </c>
      <c r="G23" s="969">
        <v>91000</v>
      </c>
      <c r="H23" s="960"/>
      <c r="K23" s="63">
        <v>41000</v>
      </c>
    </row>
    <row r="24" spans="1:11" s="372" customFormat="1" ht="15.75" customHeight="1" x14ac:dyDescent="0.25">
      <c r="A24" s="465" t="s">
        <v>271</v>
      </c>
      <c r="B24" s="1275" t="s">
        <v>634</v>
      </c>
      <c r="C24" s="1276"/>
      <c r="D24" s="1276"/>
      <c r="E24" s="1277"/>
      <c r="F24" s="351">
        <f t="shared" si="2"/>
        <v>0</v>
      </c>
      <c r="G24" s="970">
        <f>47000-F24</f>
        <v>47000</v>
      </c>
      <c r="H24" s="960"/>
      <c r="I24" s="63"/>
      <c r="J24" s="63"/>
    </row>
    <row r="25" spans="1:11" s="372" customFormat="1" ht="15.75" customHeight="1" x14ac:dyDescent="0.25">
      <c r="A25" s="465" t="s">
        <v>272</v>
      </c>
      <c r="B25" s="1275" t="s">
        <v>635</v>
      </c>
      <c r="C25" s="1276"/>
      <c r="D25" s="1276"/>
      <c r="E25" s="1277"/>
      <c r="F25" s="351">
        <f t="shared" si="2"/>
        <v>0</v>
      </c>
      <c r="G25" s="970">
        <f>50000-F25</f>
        <v>50000</v>
      </c>
      <c r="H25" s="960"/>
      <c r="I25" s="63"/>
      <c r="J25" s="63"/>
    </row>
    <row r="26" spans="1:11" x14ac:dyDescent="0.25">
      <c r="A26" s="967" t="s">
        <v>273</v>
      </c>
      <c r="B26" s="1275" t="s">
        <v>636</v>
      </c>
      <c r="C26" s="1276"/>
      <c r="D26" s="1276"/>
      <c r="E26" s="1277"/>
      <c r="F26" s="351">
        <f t="shared" si="2"/>
        <v>0</v>
      </c>
      <c r="G26" s="970">
        <v>65000</v>
      </c>
      <c r="H26" s="960"/>
      <c r="I26" s="377"/>
    </row>
    <row r="27" spans="1:11" ht="15.75" thickBot="1" x14ac:dyDescent="0.3">
      <c r="A27" s="972" t="s">
        <v>274</v>
      </c>
      <c r="B27" s="1286" t="s">
        <v>637</v>
      </c>
      <c r="C27" s="1287"/>
      <c r="D27" s="1287"/>
      <c r="E27" s="1288"/>
      <c r="F27" s="973">
        <f t="shared" ref="F27" si="3">SUM(B27:E27)</f>
        <v>0</v>
      </c>
      <c r="G27" s="970">
        <v>80000</v>
      </c>
      <c r="H27" s="960"/>
      <c r="I27" s="377"/>
    </row>
    <row r="28" spans="1:11" s="824" customFormat="1" ht="15.75" thickBot="1" x14ac:dyDescent="0.3">
      <c r="A28" s="974" t="s">
        <v>25</v>
      </c>
      <c r="B28" s="1283"/>
      <c r="C28" s="1284"/>
      <c r="D28" s="1284"/>
      <c r="E28" s="1285"/>
      <c r="F28" s="976">
        <f>SUM(F17:F27)</f>
        <v>133259</v>
      </c>
      <c r="G28" s="975">
        <f>SUM(G17:G27)</f>
        <v>846000</v>
      </c>
      <c r="H28" s="960"/>
      <c r="I28" s="656"/>
    </row>
    <row r="29" spans="1:11" s="55" customFormat="1" ht="84.95" customHeight="1" thickBot="1" x14ac:dyDescent="0.3">
      <c r="A29" s="1267" t="s">
        <v>614</v>
      </c>
      <c r="B29" s="1268"/>
      <c r="C29" s="1268"/>
      <c r="D29" s="1268"/>
      <c r="E29" s="1268"/>
      <c r="F29" s="1268"/>
      <c r="G29" s="1269"/>
      <c r="H29" s="961"/>
      <c r="I29" s="160"/>
    </row>
    <row r="30" spans="1:11" ht="99.95" customHeight="1" thickBot="1" x14ac:dyDescent="0.3">
      <c r="A30" s="1263" t="s">
        <v>639</v>
      </c>
      <c r="B30" s="1157"/>
      <c r="C30" s="1157"/>
      <c r="D30" s="1157"/>
      <c r="E30" s="1157"/>
      <c r="F30" s="1157"/>
      <c r="G30" s="1158"/>
      <c r="H30" s="961"/>
    </row>
  </sheetData>
  <mergeCells count="32">
    <mergeCell ref="B22:E22"/>
    <mergeCell ref="B28:E28"/>
    <mergeCell ref="B24:E24"/>
    <mergeCell ref="B25:E25"/>
    <mergeCell ref="B26:E26"/>
    <mergeCell ref="B27:E27"/>
    <mergeCell ref="B17:E17"/>
    <mergeCell ref="B19:E19"/>
    <mergeCell ref="B18:E18"/>
    <mergeCell ref="B20:E20"/>
    <mergeCell ref="B21:E21"/>
    <mergeCell ref="B1:F1"/>
    <mergeCell ref="B2:F2"/>
    <mergeCell ref="B3:F3"/>
    <mergeCell ref="B4:F4"/>
    <mergeCell ref="B5:F5"/>
    <mergeCell ref="A30:G30"/>
    <mergeCell ref="A29:G29"/>
    <mergeCell ref="B7:C7"/>
    <mergeCell ref="D7:E7"/>
    <mergeCell ref="B6:C6"/>
    <mergeCell ref="D6:E6"/>
    <mergeCell ref="G2:G7"/>
    <mergeCell ref="B10:E10"/>
    <mergeCell ref="B9:E9"/>
    <mergeCell ref="B12:E12"/>
    <mergeCell ref="B11:E11"/>
    <mergeCell ref="B13:E13"/>
    <mergeCell ref="B23:E23"/>
    <mergeCell ref="B14:E14"/>
    <mergeCell ref="B15:E15"/>
    <mergeCell ref="B16:E16"/>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95" zoomScaleNormal="95" zoomScalePageLayoutView="150" workbookViewId="0">
      <selection activeCell="B2" sqref="B2:F2"/>
    </sheetView>
  </sheetViews>
  <sheetFormatPr defaultColWidth="8.85546875" defaultRowHeight="15" x14ac:dyDescent="0.25"/>
  <cols>
    <col min="1" max="1" width="31" customWidth="1"/>
    <col min="2" max="6" width="13.7109375" customWidth="1"/>
    <col min="7" max="7" width="20.7109375" customWidth="1"/>
    <col min="8" max="8" width="10.85546875" customWidth="1"/>
    <col min="9" max="9" width="11.7109375" customWidth="1"/>
  </cols>
  <sheetData>
    <row r="1" spans="1:8" x14ac:dyDescent="0.25">
      <c r="A1" s="446" t="s">
        <v>24</v>
      </c>
      <c r="B1" s="1159" t="str">
        <f>'YEAR 4--FY''18'!AC1</f>
        <v>FY18</v>
      </c>
      <c r="C1" s="1160"/>
      <c r="D1" s="1160"/>
      <c r="E1" s="1160"/>
      <c r="F1" s="1161"/>
      <c r="G1" s="415" t="s">
        <v>21</v>
      </c>
    </row>
    <row r="2" spans="1:8" ht="15" customHeight="1" x14ac:dyDescent="0.25">
      <c r="A2" s="447" t="s">
        <v>11</v>
      </c>
      <c r="B2" s="1162" t="str">
        <f>'[3]YEAR 3--FY''17'!A19</f>
        <v>Increased Solid Waste Services</v>
      </c>
      <c r="C2" s="1163"/>
      <c r="D2" s="1163"/>
      <c r="E2" s="1163"/>
      <c r="F2" s="1164"/>
      <c r="G2" s="416"/>
    </row>
    <row r="3" spans="1:8" x14ac:dyDescent="0.25">
      <c r="A3" s="447" t="s">
        <v>26</v>
      </c>
      <c r="B3" s="1165" t="str">
        <f>'[3]YEAR 3--FY''17'!C19</f>
        <v>DPW-Solid Waste</v>
      </c>
      <c r="C3" s="1163"/>
      <c r="D3" s="1163"/>
      <c r="E3" s="1163"/>
      <c r="F3" s="1164"/>
      <c r="G3" s="417"/>
    </row>
    <row r="4" spans="1:8" x14ac:dyDescent="0.25">
      <c r="A4" s="447" t="s">
        <v>13</v>
      </c>
      <c r="B4" s="1162">
        <f>'[3]YEAR 3--FY''17'!B19</f>
        <v>5</v>
      </c>
      <c r="C4" s="1163"/>
      <c r="D4" s="1163"/>
      <c r="E4" s="1163"/>
      <c r="F4" s="1164"/>
      <c r="G4" s="417"/>
    </row>
    <row r="5" spans="1:8" ht="15.75" thickBot="1" x14ac:dyDescent="0.3">
      <c r="A5" s="448" t="s">
        <v>12</v>
      </c>
      <c r="B5" s="1209" t="str">
        <f>'[3]YEAR 3--FY''17'!D19</f>
        <v>Ongoing</v>
      </c>
      <c r="C5" s="1190"/>
      <c r="D5" s="1190"/>
      <c r="E5" s="1190"/>
      <c r="F5" s="1191"/>
      <c r="G5" s="417"/>
    </row>
    <row r="6" spans="1:8" s="655" customFormat="1" ht="24.95" customHeight="1" x14ac:dyDescent="0.25">
      <c r="A6" s="42" t="s">
        <v>14</v>
      </c>
      <c r="B6" s="1169" t="s">
        <v>512</v>
      </c>
      <c r="C6" s="1170"/>
      <c r="D6" s="1173" t="str">
        <f>'YEAR 4--FY''18'!P1</f>
        <v>FY'17 Carry-Fwd</v>
      </c>
      <c r="E6" s="1174"/>
      <c r="F6" s="813" t="s">
        <v>129</v>
      </c>
      <c r="G6" s="417"/>
    </row>
    <row r="7" spans="1:8" ht="15.75" thickBot="1" x14ac:dyDescent="0.3">
      <c r="A7" s="449"/>
      <c r="B7" s="1195">
        <f>'YEAR 4--FY''18'!Q16</f>
        <v>400000</v>
      </c>
      <c r="C7" s="1176"/>
      <c r="D7" s="1175">
        <f>F7-B7</f>
        <v>160848</v>
      </c>
      <c r="E7" s="1176"/>
      <c r="F7" s="350">
        <f>'YEAR 4--FY''18'!R16</f>
        <v>560848</v>
      </c>
      <c r="G7" s="417"/>
    </row>
    <row r="8" spans="1:8" ht="33" customHeight="1" x14ac:dyDescent="0.25">
      <c r="A8" s="420" t="s">
        <v>22</v>
      </c>
      <c r="B8" s="429" t="s">
        <v>15</v>
      </c>
      <c r="C8" s="430" t="s">
        <v>16</v>
      </c>
      <c r="D8" s="430" t="s">
        <v>17</v>
      </c>
      <c r="E8" s="430" t="s">
        <v>18</v>
      </c>
      <c r="F8" s="431" t="s">
        <v>19</v>
      </c>
      <c r="G8" s="421" t="s">
        <v>20</v>
      </c>
    </row>
    <row r="9" spans="1:8" hidden="1" x14ac:dyDescent="0.25">
      <c r="A9" s="423" t="s">
        <v>242</v>
      </c>
      <c r="B9" s="427">
        <v>26555</v>
      </c>
      <c r="C9" s="426">
        <v>15265</v>
      </c>
      <c r="D9" s="426">
        <v>18152</v>
      </c>
      <c r="E9" s="426"/>
      <c r="F9" s="428">
        <f t="shared" ref="F9:F14" si="0">SUM(B9:E9)</f>
        <v>59972</v>
      </c>
      <c r="G9" s="418"/>
    </row>
    <row r="10" spans="1:8" hidden="1" x14ac:dyDescent="0.25">
      <c r="A10" s="422" t="s">
        <v>208</v>
      </c>
      <c r="B10" s="432">
        <v>29384</v>
      </c>
      <c r="C10" s="426">
        <v>23410</v>
      </c>
      <c r="D10" s="426">
        <v>18807</v>
      </c>
      <c r="E10" s="426"/>
      <c r="F10" s="428">
        <f t="shared" si="0"/>
        <v>71601</v>
      </c>
      <c r="G10" s="418"/>
    </row>
    <row r="11" spans="1:8" hidden="1" x14ac:dyDescent="0.25">
      <c r="A11" s="422" t="s">
        <v>180</v>
      </c>
      <c r="B11" s="432">
        <v>12149</v>
      </c>
      <c r="C11" s="426">
        <v>6062</v>
      </c>
      <c r="D11" s="426">
        <v>6242</v>
      </c>
      <c r="E11" s="426"/>
      <c r="F11" s="428">
        <f t="shared" si="0"/>
        <v>24453</v>
      </c>
      <c r="G11" s="418"/>
    </row>
    <row r="12" spans="1:8" hidden="1" x14ac:dyDescent="0.25">
      <c r="A12" s="422" t="s">
        <v>181</v>
      </c>
      <c r="B12" s="432">
        <v>18181</v>
      </c>
      <c r="C12" s="426">
        <v>12051</v>
      </c>
      <c r="D12" s="426">
        <v>3771</v>
      </c>
      <c r="E12" s="426"/>
      <c r="F12" s="428">
        <f t="shared" si="0"/>
        <v>34003</v>
      </c>
      <c r="G12" s="418"/>
    </row>
    <row r="13" spans="1:8" s="55" customFormat="1" ht="15" hidden="1" customHeight="1" x14ac:dyDescent="0.25">
      <c r="A13" s="424" t="s">
        <v>179</v>
      </c>
      <c r="B13" s="427">
        <v>3867</v>
      </c>
      <c r="C13" s="426">
        <v>5617</v>
      </c>
      <c r="D13" s="426">
        <v>1978</v>
      </c>
      <c r="E13" s="426"/>
      <c r="F13" s="428">
        <f t="shared" si="0"/>
        <v>11462</v>
      </c>
      <c r="G13" s="419"/>
    </row>
    <row r="14" spans="1:8" s="55" customFormat="1" ht="15" hidden="1" customHeight="1" x14ac:dyDescent="0.25">
      <c r="A14" s="422" t="s">
        <v>248</v>
      </c>
      <c r="B14" s="427">
        <v>0</v>
      </c>
      <c r="C14" s="426">
        <v>105</v>
      </c>
      <c r="D14" s="426">
        <v>109</v>
      </c>
      <c r="E14" s="426"/>
      <c r="F14" s="428">
        <f t="shared" si="0"/>
        <v>214</v>
      </c>
      <c r="G14" s="418"/>
    </row>
    <row r="15" spans="1:8" s="160" customFormat="1" ht="15" hidden="1" customHeight="1" thickBot="1" x14ac:dyDescent="0.3">
      <c r="A15" s="424" t="s">
        <v>241</v>
      </c>
      <c r="B15" s="427">
        <v>0</v>
      </c>
      <c r="C15" s="426">
        <v>22051</v>
      </c>
      <c r="D15" s="426">
        <v>0</v>
      </c>
      <c r="E15" s="426"/>
      <c r="F15" s="428">
        <f t="shared" ref="F15:F17" si="1">SUM(B15:E15)</f>
        <v>22051</v>
      </c>
      <c r="G15" s="419"/>
    </row>
    <row r="16" spans="1:8" s="654" customFormat="1" x14ac:dyDescent="0.25">
      <c r="A16" s="727" t="s">
        <v>640</v>
      </c>
      <c r="B16" s="733">
        <v>64839</v>
      </c>
      <c r="C16" s="732">
        <v>53670</v>
      </c>
      <c r="D16" s="732">
        <v>50751</v>
      </c>
      <c r="E16" s="732">
        <f>H16-SUM(B16:D16)</f>
        <v>65930</v>
      </c>
      <c r="F16" s="848">
        <f>SUM(B16:E16)</f>
        <v>235190</v>
      </c>
      <c r="G16" s="728">
        <v>0</v>
      </c>
      <c r="H16" s="656">
        <v>235190</v>
      </c>
    </row>
    <row r="17" spans="1:8" s="654" customFormat="1" ht="15.75" thickBot="1" x14ac:dyDescent="0.3">
      <c r="A17" s="727" t="s">
        <v>537</v>
      </c>
      <c r="B17" s="846">
        <v>0</v>
      </c>
      <c r="C17" s="847">
        <v>0</v>
      </c>
      <c r="D17" s="847">
        <v>0</v>
      </c>
      <c r="E17" s="847">
        <v>0</v>
      </c>
      <c r="F17" s="848">
        <f t="shared" si="1"/>
        <v>0</v>
      </c>
      <c r="G17" s="728">
        <f>H17-F17</f>
        <v>300000</v>
      </c>
      <c r="H17" s="845">
        <v>300000</v>
      </c>
    </row>
    <row r="18" spans="1:8" s="164" customFormat="1" ht="13.5" thickBot="1" x14ac:dyDescent="0.25">
      <c r="A18" s="433" t="s">
        <v>25</v>
      </c>
      <c r="B18" s="729">
        <f>SUM(B16:B17)</f>
        <v>64839</v>
      </c>
      <c r="C18" s="730">
        <f>SUM(C16:C17)</f>
        <v>53670</v>
      </c>
      <c r="D18" s="730">
        <f>SUM(D16:D17)</f>
        <v>50751</v>
      </c>
      <c r="E18" s="730">
        <f>SUM(E16:E17)</f>
        <v>65930</v>
      </c>
      <c r="F18" s="731">
        <f>SUM(B18:E18)</f>
        <v>235190</v>
      </c>
      <c r="G18" s="734">
        <f>F7-F18</f>
        <v>325658</v>
      </c>
      <c r="H18" s="164" t="e">
        <f>SUM(#REF!)</f>
        <v>#REF!</v>
      </c>
    </row>
    <row r="19" spans="1:8" ht="114" customHeight="1" thickBot="1" x14ac:dyDescent="0.3">
      <c r="A19" s="1292" t="s">
        <v>641</v>
      </c>
      <c r="B19" s="1293"/>
      <c r="C19" s="1293"/>
      <c r="D19" s="1293"/>
      <c r="E19" s="1293"/>
      <c r="F19" s="1293"/>
      <c r="G19" s="1294"/>
    </row>
    <row r="20" spans="1:8" ht="84.95" customHeight="1" thickBot="1" x14ac:dyDescent="0.3">
      <c r="A20" s="1289" t="s">
        <v>642</v>
      </c>
      <c r="B20" s="1290"/>
      <c r="C20" s="1290"/>
      <c r="D20" s="1290"/>
      <c r="E20" s="1290"/>
      <c r="F20" s="1290"/>
      <c r="G20" s="1291"/>
    </row>
  </sheetData>
  <mergeCells count="11">
    <mergeCell ref="B6:C6"/>
    <mergeCell ref="D6:E6"/>
    <mergeCell ref="B7:C7"/>
    <mergeCell ref="D7:E7"/>
    <mergeCell ref="A20:G20"/>
    <mergeCell ref="A19:G19"/>
    <mergeCell ref="B1:F1"/>
    <mergeCell ref="B2:F2"/>
    <mergeCell ref="B3:F3"/>
    <mergeCell ref="B4:F4"/>
    <mergeCell ref="B5:F5"/>
  </mergeCells>
  <phoneticPr fontId="38" type="noConversion"/>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95" zoomScaleNormal="95" zoomScalePageLayoutView="95" workbookViewId="0">
      <selection activeCell="F7" sqref="F7"/>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8" x14ac:dyDescent="0.25">
      <c r="A1" s="151" t="s">
        <v>24</v>
      </c>
      <c r="B1" s="1159" t="str">
        <f>'YEAR 4--FY''18'!AC1</f>
        <v>FY18</v>
      </c>
      <c r="C1" s="1160"/>
      <c r="D1" s="1160"/>
      <c r="E1" s="1160"/>
      <c r="F1" s="1161"/>
      <c r="G1" s="151" t="s">
        <v>21</v>
      </c>
    </row>
    <row r="2" spans="1:8" x14ac:dyDescent="0.25">
      <c r="A2" s="166" t="s">
        <v>11</v>
      </c>
      <c r="B2" s="1162" t="str">
        <f>'YEAR 4--FY''18'!B17</f>
        <v>Middle Branch Shoreline Cleaning</v>
      </c>
      <c r="C2" s="1163"/>
      <c r="D2" s="1163"/>
      <c r="E2" s="1163"/>
      <c r="F2" s="1164"/>
      <c r="G2" s="44"/>
    </row>
    <row r="3" spans="1:8" x14ac:dyDescent="0.25">
      <c r="A3" s="166" t="s">
        <v>26</v>
      </c>
      <c r="B3" s="1165" t="str">
        <f>'YEAR 4--FY''18'!D17</f>
        <v>DPW-Solid Waste</v>
      </c>
      <c r="C3" s="1163"/>
      <c r="D3" s="1163"/>
      <c r="E3" s="1163"/>
      <c r="F3" s="1164"/>
      <c r="G3" s="45"/>
    </row>
    <row r="4" spans="1:8" x14ac:dyDescent="0.25">
      <c r="A4" s="166" t="s">
        <v>13</v>
      </c>
      <c r="B4" s="1162" t="str">
        <f>'YEAR 4--FY''18'!C17</f>
        <v>--</v>
      </c>
      <c r="C4" s="1163"/>
      <c r="D4" s="1163"/>
      <c r="E4" s="1163"/>
      <c r="F4" s="1164"/>
      <c r="G4" s="45"/>
    </row>
    <row r="5" spans="1:8" ht="15.75" thickBot="1" x14ac:dyDescent="0.3">
      <c r="A5" s="152" t="s">
        <v>12</v>
      </c>
      <c r="B5" s="1209" t="str">
        <f>'YEAR 4--FY''18'!E17</f>
        <v>Ongoing</v>
      </c>
      <c r="C5" s="1190"/>
      <c r="D5" s="1190"/>
      <c r="E5" s="1190"/>
      <c r="F5" s="1191"/>
      <c r="G5" s="45"/>
    </row>
    <row r="6" spans="1:8" s="655" customFormat="1" ht="24.95" customHeight="1" x14ac:dyDescent="0.25">
      <c r="A6" s="42" t="s">
        <v>14</v>
      </c>
      <c r="B6" s="1169" t="s">
        <v>512</v>
      </c>
      <c r="C6" s="1170"/>
      <c r="D6" s="1173" t="str">
        <f>'YEAR 4--FY''18'!P1</f>
        <v>FY'17 Carry-Fwd</v>
      </c>
      <c r="E6" s="1174"/>
      <c r="F6" s="813" t="s">
        <v>129</v>
      </c>
      <c r="G6" s="539"/>
    </row>
    <row r="7" spans="1:8" ht="15.75" thickBot="1" x14ac:dyDescent="0.3">
      <c r="A7" s="150"/>
      <c r="B7" s="1297">
        <f>'YEAR 4--FY''18'!Q17</f>
        <v>0</v>
      </c>
      <c r="C7" s="1298"/>
      <c r="D7" s="1299">
        <f>'YEAR 4--FY''18'!R17</f>
        <v>150000</v>
      </c>
      <c r="E7" s="1298"/>
      <c r="F7" s="785">
        <f>'YEAR 4--FY''18'!R17</f>
        <v>150000</v>
      </c>
      <c r="G7" s="46"/>
    </row>
    <row r="8" spans="1:8" ht="33" customHeight="1" x14ac:dyDescent="0.25">
      <c r="A8" s="155" t="s">
        <v>22</v>
      </c>
      <c r="B8" s="157" t="s">
        <v>15</v>
      </c>
      <c r="C8" s="156" t="s">
        <v>16</v>
      </c>
      <c r="D8" s="156" t="s">
        <v>17</v>
      </c>
      <c r="E8" s="156" t="s">
        <v>18</v>
      </c>
      <c r="F8" s="154" t="s">
        <v>19</v>
      </c>
      <c r="G8" s="111" t="s">
        <v>20</v>
      </c>
    </row>
    <row r="9" spans="1:8" s="160" customFormat="1" ht="15" customHeight="1" x14ac:dyDescent="0.25">
      <c r="A9" s="356" t="s">
        <v>447</v>
      </c>
      <c r="B9" s="130">
        <v>123889</v>
      </c>
      <c r="C9" s="179">
        <v>43977</v>
      </c>
      <c r="D9" s="179">
        <v>32983</v>
      </c>
      <c r="E9" s="179">
        <f>H9-SUM(B9:D9)</f>
        <v>0</v>
      </c>
      <c r="F9" s="351">
        <f>SUM(B9:E9)</f>
        <v>200849</v>
      </c>
      <c r="G9" s="227">
        <f>F7-F9</f>
        <v>-50849</v>
      </c>
      <c r="H9" s="160">
        <v>200849</v>
      </c>
    </row>
    <row r="10" spans="1:8" s="202" customFormat="1" ht="27.95" customHeight="1" thickBot="1" x14ac:dyDescent="0.3">
      <c r="A10" s="783" t="s">
        <v>25</v>
      </c>
      <c r="B10" s="979">
        <f>SUM(B9:B9)</f>
        <v>123889</v>
      </c>
      <c r="C10" s="980">
        <f>SUM(C9:C9)</f>
        <v>43977</v>
      </c>
      <c r="D10" s="980">
        <f>SUM(D9:D9)</f>
        <v>32983</v>
      </c>
      <c r="E10" s="980">
        <f>SUM(E9:E9)</f>
        <v>0</v>
      </c>
      <c r="F10" s="981">
        <f>SUM(B10:E10)</f>
        <v>200849</v>
      </c>
      <c r="G10" s="784">
        <f>F7-F10</f>
        <v>-50849</v>
      </c>
    </row>
    <row r="11" spans="1:8" s="202" customFormat="1" ht="27.95" customHeight="1" thickBot="1" x14ac:dyDescent="0.3">
      <c r="A11" s="978" t="s">
        <v>644</v>
      </c>
      <c r="B11" s="982">
        <f>B10+'2.1 DPW-SanitationSatffing'!B18</f>
        <v>188728</v>
      </c>
      <c r="C11" s="983">
        <f>C10+'2.1 DPW-SanitationSatffing'!C18</f>
        <v>97647</v>
      </c>
      <c r="D11" s="983">
        <f>D10+'2.1 DPW-SanitationSatffing'!D18</f>
        <v>83734</v>
      </c>
      <c r="E11" s="983">
        <f>E10+'2.1 DPW-SanitationSatffing'!E18</f>
        <v>65930</v>
      </c>
      <c r="F11" s="984">
        <f>SUM(B11:E11)</f>
        <v>436039</v>
      </c>
      <c r="G11" s="977">
        <f>F7+'2.1 DPW-SanitationSatffing'!F7-F11-'2.1 DPW-SanitationSatffing'!G17</f>
        <v>-25191</v>
      </c>
    </row>
    <row r="12" spans="1:8" ht="82.5" customHeight="1" thickBot="1" x14ac:dyDescent="0.3">
      <c r="A12" s="1180" t="s">
        <v>333</v>
      </c>
      <c r="B12" s="1300"/>
      <c r="C12" s="1300"/>
      <c r="D12" s="1300"/>
      <c r="E12" s="1300"/>
      <c r="F12" s="1300"/>
      <c r="G12" s="1296"/>
    </row>
    <row r="13" spans="1:8" s="160" customFormat="1" ht="98.25" customHeight="1" thickBot="1" x14ac:dyDescent="0.3">
      <c r="A13" s="1156" t="s">
        <v>645</v>
      </c>
      <c r="B13" s="1295"/>
      <c r="C13" s="1295"/>
      <c r="D13" s="1295"/>
      <c r="E13" s="1295"/>
      <c r="F13" s="1295"/>
      <c r="G13" s="1296"/>
    </row>
  </sheetData>
  <mergeCells count="11">
    <mergeCell ref="B1:F1"/>
    <mergeCell ref="B2:F2"/>
    <mergeCell ref="B3:F3"/>
    <mergeCell ref="B4:F4"/>
    <mergeCell ref="B5:F5"/>
    <mergeCell ref="A13:G13"/>
    <mergeCell ref="B7:C7"/>
    <mergeCell ref="D7:E7"/>
    <mergeCell ref="A12:G12"/>
    <mergeCell ref="B6:C6"/>
    <mergeCell ref="D6:E6"/>
  </mergeCells>
  <printOptions horizontalCentered="1"/>
  <pageMargins left="0.75" right="0.75"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G13" sqref="A13:G13"/>
    </sheetView>
  </sheetViews>
  <sheetFormatPr defaultColWidth="8.85546875" defaultRowHeight="15" x14ac:dyDescent="0.25"/>
  <cols>
    <col min="1" max="1" width="31" style="110" customWidth="1"/>
    <col min="2" max="6" width="13.7109375" style="110" customWidth="1"/>
    <col min="7" max="7" width="20.7109375" style="110" customWidth="1"/>
    <col min="8" max="16384" width="8.85546875" style="110"/>
  </cols>
  <sheetData>
    <row r="1" spans="1:8" x14ac:dyDescent="0.25">
      <c r="A1" s="151" t="s">
        <v>24</v>
      </c>
      <c r="B1" s="1159" t="str">
        <f>'YEAR 4--FY''18'!AC1</f>
        <v>FY18</v>
      </c>
      <c r="C1" s="1160"/>
      <c r="D1" s="1160"/>
      <c r="E1" s="1160"/>
      <c r="F1" s="1161"/>
      <c r="G1" s="151" t="s">
        <v>21</v>
      </c>
      <c r="H1" s="372"/>
    </row>
    <row r="2" spans="1:8" ht="15" customHeight="1" x14ac:dyDescent="0.25">
      <c r="A2" s="166" t="s">
        <v>11</v>
      </c>
      <c r="B2" s="1234" t="str">
        <f>'[4]YEAR 3--FY''17'!A16</f>
        <v>Street Tree Planting</v>
      </c>
      <c r="C2" s="1235"/>
      <c r="D2" s="1235"/>
      <c r="E2" s="1235"/>
      <c r="F2" s="1236"/>
      <c r="G2" s="1301"/>
      <c r="H2" s="372"/>
    </row>
    <row r="3" spans="1:8" x14ac:dyDescent="0.25">
      <c r="A3" s="166" t="s">
        <v>26</v>
      </c>
      <c r="B3" s="1237" t="str">
        <f>'[4]YEAR 3--FY''17'!C16</f>
        <v>BCRP-Urban Forestry</v>
      </c>
      <c r="C3" s="1235"/>
      <c r="D3" s="1235"/>
      <c r="E3" s="1235"/>
      <c r="F3" s="1236"/>
      <c r="G3" s="1302"/>
      <c r="H3" s="372"/>
    </row>
    <row r="4" spans="1:8" x14ac:dyDescent="0.25">
      <c r="A4" s="166" t="s">
        <v>13</v>
      </c>
      <c r="B4" s="1234" t="str">
        <f>'[4]YEAR 3--FY''17'!B16</f>
        <v>14A</v>
      </c>
      <c r="C4" s="1235"/>
      <c r="D4" s="1235"/>
      <c r="E4" s="1235"/>
      <c r="F4" s="1236"/>
      <c r="G4" s="1302"/>
      <c r="H4" s="372"/>
    </row>
    <row r="5" spans="1:8" ht="15.75" thickBot="1" x14ac:dyDescent="0.3">
      <c r="A5" s="152" t="s">
        <v>12</v>
      </c>
      <c r="B5" s="1251" t="str">
        <f>'[4]YEAR 3--FY''17'!D16</f>
        <v>Multi-Year</v>
      </c>
      <c r="C5" s="1239"/>
      <c r="D5" s="1239"/>
      <c r="E5" s="1239"/>
      <c r="F5" s="1240"/>
      <c r="G5" s="1302"/>
      <c r="H5" s="372"/>
    </row>
    <row r="6" spans="1:8" s="655" customFormat="1" ht="24.95" customHeight="1" x14ac:dyDescent="0.25">
      <c r="A6" s="42" t="s">
        <v>14</v>
      </c>
      <c r="B6" s="1169" t="s">
        <v>512</v>
      </c>
      <c r="C6" s="1170"/>
      <c r="D6" s="1173" t="str">
        <f>'YEAR 4--FY''18'!P1</f>
        <v>FY'17 Carry-Fwd</v>
      </c>
      <c r="E6" s="1174"/>
      <c r="F6" s="813" t="s">
        <v>129</v>
      </c>
      <c r="G6" s="1302"/>
    </row>
    <row r="7" spans="1:8" ht="15.75" thickBot="1" x14ac:dyDescent="0.3">
      <c r="A7" s="150"/>
      <c r="B7" s="1171">
        <f>'YEAR 4--FY''18'!Q18</f>
        <v>0</v>
      </c>
      <c r="C7" s="1253"/>
      <c r="D7" s="1252">
        <f>F7-B7</f>
        <v>61952</v>
      </c>
      <c r="E7" s="1253"/>
      <c r="F7" s="350">
        <f>'YEAR 4--FY''18'!R18</f>
        <v>61952</v>
      </c>
      <c r="G7" s="1303"/>
      <c r="H7" s="372"/>
    </row>
    <row r="8" spans="1:8" ht="33" customHeight="1" x14ac:dyDescent="0.25">
      <c r="A8" s="128" t="s">
        <v>22</v>
      </c>
      <c r="B8" s="388" t="s">
        <v>15</v>
      </c>
      <c r="C8" s="389" t="s">
        <v>16</v>
      </c>
      <c r="D8" s="389" t="s">
        <v>17</v>
      </c>
      <c r="E8" s="389" t="s">
        <v>18</v>
      </c>
      <c r="F8" s="402" t="s">
        <v>19</v>
      </c>
      <c r="G8" s="154" t="s">
        <v>20</v>
      </c>
      <c r="H8" s="372"/>
    </row>
    <row r="9" spans="1:8" s="481" customFormat="1" x14ac:dyDescent="0.25">
      <c r="A9" s="510" t="s">
        <v>213</v>
      </c>
      <c r="B9" s="480">
        <v>30127.71</v>
      </c>
      <c r="C9" s="478"/>
      <c r="D9" s="478"/>
      <c r="E9" s="478"/>
      <c r="F9" s="479">
        <f>SUM(B9:E9)</f>
        <v>30127.71</v>
      </c>
      <c r="G9" s="717"/>
      <c r="H9" s="481">
        <v>30128</v>
      </c>
    </row>
    <row r="10" spans="1:8" s="481" customFormat="1" ht="14.1" customHeight="1" x14ac:dyDescent="0.25">
      <c r="A10" s="510" t="s">
        <v>332</v>
      </c>
      <c r="B10" s="480"/>
      <c r="C10" s="478"/>
      <c r="D10" s="478">
        <f>H13-F9-F11-F12</f>
        <v>20498.29</v>
      </c>
      <c r="E10" s="478"/>
      <c r="F10" s="479">
        <f>SUM(B10:E10)</f>
        <v>20498.29</v>
      </c>
      <c r="G10" s="511" t="s">
        <v>540</v>
      </c>
      <c r="H10" s="481">
        <v>28000</v>
      </c>
    </row>
    <row r="11" spans="1:8" s="655" customFormat="1" ht="14.1" customHeight="1" x14ac:dyDescent="0.25">
      <c r="A11" s="849" t="s">
        <v>538</v>
      </c>
      <c r="B11" s="850">
        <v>33112</v>
      </c>
      <c r="C11" s="851"/>
      <c r="D11" s="851"/>
      <c r="E11" s="851"/>
      <c r="F11" s="479">
        <f>SUM(B11:E11)</f>
        <v>33112</v>
      </c>
      <c r="G11" s="852"/>
    </row>
    <row r="12" spans="1:8" s="481" customFormat="1" ht="15.75" thickBot="1" x14ac:dyDescent="0.3">
      <c r="A12" s="512" t="s">
        <v>214</v>
      </c>
      <c r="B12" s="513"/>
      <c r="C12" s="514"/>
      <c r="D12" s="514"/>
      <c r="E12" s="514"/>
      <c r="F12" s="515">
        <f t="shared" ref="F12" si="0">SUM(B12:E12)</f>
        <v>0</v>
      </c>
      <c r="G12" s="516"/>
    </row>
    <row r="13" spans="1:8" s="481" customFormat="1" ht="20.25" customHeight="1" thickBot="1" x14ac:dyDescent="0.3">
      <c r="A13" s="517" t="s">
        <v>25</v>
      </c>
      <c r="B13" s="518">
        <f>SUM(B9:B12)</f>
        <v>63239.71</v>
      </c>
      <c r="C13" s="519">
        <f>SUM(C9:C12)</f>
        <v>0</v>
      </c>
      <c r="D13" s="519">
        <f t="shared" ref="D13:E13" si="1">SUM(D9:D12)</f>
        <v>20498.29</v>
      </c>
      <c r="E13" s="519">
        <f t="shared" si="1"/>
        <v>0</v>
      </c>
      <c r="F13" s="520">
        <f>SUM(B13:E13)</f>
        <v>83738</v>
      </c>
      <c r="G13" s="521">
        <f>F7-F13</f>
        <v>-21786</v>
      </c>
      <c r="H13" s="481">
        <v>83738</v>
      </c>
    </row>
    <row r="14" spans="1:8" s="481" customFormat="1" ht="15" customHeight="1" x14ac:dyDescent="0.25">
      <c r="A14" s="522" t="s">
        <v>539</v>
      </c>
      <c r="B14" s="507"/>
      <c r="C14" s="508"/>
      <c r="D14" s="508"/>
      <c r="E14" s="508"/>
      <c r="F14" s="509">
        <f>SUM(B14:E14)</f>
        <v>0</v>
      </c>
      <c r="G14" s="718" t="s">
        <v>402</v>
      </c>
    </row>
    <row r="15" spans="1:8" s="655" customFormat="1" ht="15" customHeight="1" thickBot="1" x14ac:dyDescent="0.3">
      <c r="A15" s="522" t="s">
        <v>648</v>
      </c>
      <c r="B15" s="507"/>
      <c r="C15" s="508"/>
      <c r="D15" s="508"/>
      <c r="E15" s="508"/>
      <c r="F15" s="509">
        <f>SUM(B15:E15)</f>
        <v>0</v>
      </c>
      <c r="G15" s="718" t="s">
        <v>434</v>
      </c>
    </row>
    <row r="16" spans="1:8" ht="150" customHeight="1" thickBot="1" x14ac:dyDescent="0.3">
      <c r="A16" s="1156" t="s">
        <v>647</v>
      </c>
      <c r="B16" s="1295"/>
      <c r="C16" s="1295"/>
      <c r="D16" s="1295"/>
      <c r="E16" s="1295"/>
      <c r="F16" s="1295"/>
      <c r="G16" s="1296"/>
      <c r="H16" s="372"/>
    </row>
    <row r="17" spans="1:8" s="657" customFormat="1" ht="99.95" customHeight="1" thickBot="1" x14ac:dyDescent="0.3">
      <c r="A17" s="1180" t="s">
        <v>646</v>
      </c>
      <c r="B17" s="1207"/>
      <c r="C17" s="1207"/>
      <c r="D17" s="1207"/>
      <c r="E17" s="1207"/>
      <c r="F17" s="1207"/>
      <c r="G17" s="1208"/>
    </row>
    <row r="18" spans="1:8" s="55" customFormat="1" ht="19.5" customHeight="1" x14ac:dyDescent="0.25">
      <c r="A18" s="148" t="s">
        <v>109</v>
      </c>
      <c r="B18" s="148"/>
      <c r="C18" s="148"/>
      <c r="D18" s="148"/>
      <c r="E18" s="236"/>
      <c r="F18" s="160"/>
      <c r="G18" s="160"/>
      <c r="H18" s="160"/>
    </row>
    <row r="19" spans="1:8" x14ac:dyDescent="0.25">
      <c r="A19" s="164" t="s">
        <v>114</v>
      </c>
      <c r="B19" s="236" t="s">
        <v>113</v>
      </c>
      <c r="C19" s="237" t="s">
        <v>115</v>
      </c>
      <c r="D19" s="237" t="s">
        <v>119</v>
      </c>
      <c r="E19" s="237" t="s">
        <v>77</v>
      </c>
      <c r="F19" s="237" t="s">
        <v>118</v>
      </c>
      <c r="G19" s="372"/>
      <c r="H19" s="372"/>
    </row>
    <row r="20" spans="1:8" x14ac:dyDescent="0.25">
      <c r="A20" s="164" t="s">
        <v>110</v>
      </c>
      <c r="B20" s="238">
        <v>50000</v>
      </c>
      <c r="C20" s="236"/>
      <c r="D20" s="236"/>
      <c r="E20" s="235">
        <f t="shared" ref="E20:E25" si="2">SUM(B20:D20)</f>
        <v>50000</v>
      </c>
      <c r="F20" s="236"/>
      <c r="G20" s="160"/>
      <c r="H20" s="160"/>
    </row>
    <row r="21" spans="1:8" x14ac:dyDescent="0.25">
      <c r="A21" s="164" t="s">
        <v>111</v>
      </c>
      <c r="B21" s="238">
        <v>15000</v>
      </c>
      <c r="C21" s="237"/>
      <c r="D21" s="237"/>
      <c r="E21" s="235">
        <f t="shared" si="2"/>
        <v>15000</v>
      </c>
      <c r="F21" s="237"/>
      <c r="G21" s="372"/>
      <c r="H21" s="372"/>
    </row>
    <row r="22" spans="1:8" x14ac:dyDescent="0.25">
      <c r="A22" s="164" t="s">
        <v>112</v>
      </c>
      <c r="B22" s="238">
        <v>15000</v>
      </c>
      <c r="C22" s="237"/>
      <c r="D22" s="237"/>
      <c r="E22" s="235">
        <f t="shared" si="2"/>
        <v>15000</v>
      </c>
      <c r="F22" s="237"/>
      <c r="G22" s="372"/>
      <c r="H22" s="372"/>
    </row>
    <row r="23" spans="1:8" x14ac:dyDescent="0.25">
      <c r="A23" s="164" t="s">
        <v>117</v>
      </c>
      <c r="B23" s="237"/>
      <c r="C23" s="238">
        <v>30000</v>
      </c>
      <c r="D23" s="238">
        <v>200000</v>
      </c>
      <c r="E23" s="235">
        <f t="shared" si="2"/>
        <v>230000</v>
      </c>
      <c r="F23" s="237"/>
      <c r="G23" s="372"/>
      <c r="H23" s="372"/>
    </row>
    <row r="24" spans="1:8" x14ac:dyDescent="0.25">
      <c r="A24" s="164" t="s">
        <v>116</v>
      </c>
      <c r="B24" s="237"/>
      <c r="C24" s="238">
        <v>50000</v>
      </c>
      <c r="D24" s="237"/>
      <c r="E24" s="235">
        <f t="shared" si="2"/>
        <v>50000</v>
      </c>
      <c r="F24" s="237" t="s">
        <v>120</v>
      </c>
      <c r="G24" s="372"/>
      <c r="H24" s="372"/>
    </row>
    <row r="25" spans="1:8" x14ac:dyDescent="0.25">
      <c r="A25" s="372"/>
      <c r="B25" s="239">
        <f>SUM(B20:B24)</f>
        <v>80000</v>
      </c>
      <c r="C25" s="239">
        <f>SUM(C20:C24)</f>
        <v>80000</v>
      </c>
      <c r="D25" s="239">
        <f>SUM(D20:D24)</f>
        <v>200000</v>
      </c>
      <c r="E25" s="239">
        <f t="shared" si="2"/>
        <v>360000</v>
      </c>
      <c r="F25" s="372"/>
      <c r="G25" s="372"/>
      <c r="H25" s="372"/>
    </row>
    <row r="27" spans="1:8" x14ac:dyDescent="0.25">
      <c r="A27" s="794" t="s">
        <v>449</v>
      </c>
      <c r="B27" s="110" t="s">
        <v>450</v>
      </c>
    </row>
    <row r="28" spans="1:8" x14ac:dyDescent="0.25">
      <c r="A28" s="794" t="s">
        <v>451</v>
      </c>
      <c r="F28" s="110" t="s">
        <v>461</v>
      </c>
      <c r="G28" s="110" t="s">
        <v>465</v>
      </c>
    </row>
    <row r="29" spans="1:8" x14ac:dyDescent="0.25">
      <c r="A29" s="794" t="s">
        <v>454</v>
      </c>
      <c r="B29" s="238">
        <v>16303.79</v>
      </c>
      <c r="C29" s="110" t="s">
        <v>455</v>
      </c>
      <c r="D29" s="792">
        <v>42839</v>
      </c>
      <c r="E29" s="110" t="s">
        <v>456</v>
      </c>
      <c r="F29" s="238">
        <v>17025.91</v>
      </c>
      <c r="G29" s="664">
        <f>F29</f>
        <v>17025.91</v>
      </c>
      <c r="H29" s="110" t="s">
        <v>463</v>
      </c>
    </row>
    <row r="30" spans="1:8" x14ac:dyDescent="0.25">
      <c r="A30" s="794" t="s">
        <v>452</v>
      </c>
      <c r="B30" s="238">
        <f>15999.72+33999.58</f>
        <v>49999.3</v>
      </c>
      <c r="C30" s="110" t="s">
        <v>453</v>
      </c>
      <c r="D30" s="792">
        <v>42803</v>
      </c>
      <c r="E30" s="110" t="s">
        <v>457</v>
      </c>
      <c r="F30" s="238">
        <v>30127.71</v>
      </c>
      <c r="G30" s="664">
        <f>F30</f>
        <v>30127.71</v>
      </c>
      <c r="H30" s="110" t="s">
        <v>464</v>
      </c>
    </row>
    <row r="31" spans="1:8" x14ac:dyDescent="0.25">
      <c r="A31" s="794" t="s">
        <v>458</v>
      </c>
      <c r="B31" s="238">
        <v>28000</v>
      </c>
      <c r="C31" s="110" t="s">
        <v>459</v>
      </c>
      <c r="D31" s="792">
        <v>43069</v>
      </c>
      <c r="E31" s="110" t="s">
        <v>460</v>
      </c>
      <c r="F31" s="238" t="s">
        <v>462</v>
      </c>
      <c r="G31" s="664">
        <f>B31</f>
        <v>28000</v>
      </c>
    </row>
    <row r="32" spans="1:8" x14ac:dyDescent="0.25">
      <c r="B32" s="664">
        <f>SUM(B29:B31)</f>
        <v>94303.09</v>
      </c>
      <c r="G32" s="664">
        <f>SUM(G29:G31)</f>
        <v>75153.62</v>
      </c>
    </row>
    <row r="34" spans="1:2" x14ac:dyDescent="0.25">
      <c r="A34" s="794" t="s">
        <v>468</v>
      </c>
      <c r="B34" s="748" t="s">
        <v>466</v>
      </c>
    </row>
    <row r="35" spans="1:2" x14ac:dyDescent="0.25">
      <c r="B35" s="748"/>
    </row>
    <row r="36" spans="1:2" x14ac:dyDescent="0.25">
      <c r="A36" s="110" t="s">
        <v>467</v>
      </c>
      <c r="B36" s="748" t="s">
        <v>466</v>
      </c>
    </row>
  </sheetData>
  <mergeCells count="12">
    <mergeCell ref="A17:G17"/>
    <mergeCell ref="A16:G16"/>
    <mergeCell ref="B1:F1"/>
    <mergeCell ref="B2:F2"/>
    <mergeCell ref="G2:G7"/>
    <mergeCell ref="B3:F3"/>
    <mergeCell ref="B4:F4"/>
    <mergeCell ref="B5:F5"/>
    <mergeCell ref="B6:C6"/>
    <mergeCell ref="D6:E6"/>
    <mergeCell ref="B7:C7"/>
    <mergeCell ref="D7:E7"/>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FD65"/>
  <sheetViews>
    <sheetView workbookViewId="0">
      <selection activeCell="A64" sqref="A64:XFD64"/>
    </sheetView>
  </sheetViews>
  <sheetFormatPr defaultColWidth="8.85546875" defaultRowHeight="15" x14ac:dyDescent="0.25"/>
  <cols>
    <col min="1" max="1" width="11" style="655" customWidth="1"/>
    <col min="2" max="2" width="40.7109375" style="655" customWidth="1"/>
    <col min="3" max="7" width="8.7109375" style="655" customWidth="1"/>
    <col min="8" max="8" width="11.7109375" style="252" customWidth="1"/>
    <col min="9" max="10" width="9.7109375" style="252" customWidth="1"/>
    <col min="11" max="16384" width="8.85546875" style="655"/>
  </cols>
  <sheetData>
    <row r="1" spans="1:12" x14ac:dyDescent="0.25">
      <c r="A1" s="1326" t="s">
        <v>24</v>
      </c>
      <c r="B1" s="1327"/>
      <c r="C1" s="1351" t="str">
        <f>'YEAR 4--FY''18'!AC1</f>
        <v>FY18</v>
      </c>
      <c r="D1" s="1352"/>
      <c r="E1" s="1352"/>
      <c r="F1" s="1352"/>
      <c r="G1" s="1353"/>
      <c r="H1" s="1310" t="s">
        <v>21</v>
      </c>
      <c r="I1" s="1311"/>
      <c r="J1" s="1312"/>
    </row>
    <row r="2" spans="1:12" x14ac:dyDescent="0.25">
      <c r="A2" s="804" t="s">
        <v>11</v>
      </c>
      <c r="B2" s="837"/>
      <c r="C2" s="985" t="s">
        <v>135</v>
      </c>
      <c r="D2" s="986"/>
      <c r="E2" s="986"/>
      <c r="F2" s="986"/>
      <c r="G2" s="987"/>
      <c r="H2" s="1313"/>
      <c r="I2" s="1314"/>
      <c r="J2" s="1315"/>
    </row>
    <row r="3" spans="1:12" x14ac:dyDescent="0.25">
      <c r="A3" s="804" t="s">
        <v>26</v>
      </c>
      <c r="B3" s="837"/>
      <c r="C3" s="991" t="s">
        <v>134</v>
      </c>
      <c r="D3" s="994"/>
      <c r="E3" s="994"/>
      <c r="F3" s="994"/>
      <c r="G3" s="995"/>
      <c r="H3" s="1316"/>
      <c r="I3" s="1317"/>
      <c r="J3" s="1318"/>
    </row>
    <row r="4" spans="1:12" x14ac:dyDescent="0.25">
      <c r="A4" s="804" t="s">
        <v>13</v>
      </c>
      <c r="B4" s="837"/>
      <c r="C4" s="985" t="s">
        <v>137</v>
      </c>
      <c r="D4" s="986"/>
      <c r="E4" s="986"/>
      <c r="F4" s="986"/>
      <c r="G4" s="987"/>
      <c r="H4" s="1316"/>
      <c r="I4" s="1317"/>
      <c r="J4" s="1318"/>
    </row>
    <row r="5" spans="1:12" ht="15.75" thickBot="1" x14ac:dyDescent="0.3">
      <c r="A5" s="805" t="s">
        <v>12</v>
      </c>
      <c r="B5" s="1016"/>
      <c r="C5" s="992" t="s">
        <v>70</v>
      </c>
      <c r="D5" s="996"/>
      <c r="E5" s="996"/>
      <c r="F5" s="996"/>
      <c r="G5" s="997"/>
      <c r="H5" s="1316"/>
      <c r="I5" s="1317"/>
      <c r="J5" s="1318"/>
    </row>
    <row r="6" spans="1:12" ht="27" customHeight="1" x14ac:dyDescent="0.25">
      <c r="A6" s="799" t="s">
        <v>14</v>
      </c>
      <c r="B6" s="799"/>
      <c r="C6" s="1169" t="s">
        <v>512</v>
      </c>
      <c r="D6" s="1170"/>
      <c r="E6" s="1173" t="str">
        <f>'YEAR 4--FY''18'!P1</f>
        <v>FY'17 Carry-Fwd</v>
      </c>
      <c r="F6" s="1174"/>
      <c r="G6" s="998" t="s">
        <v>129</v>
      </c>
      <c r="H6" s="1316"/>
      <c r="I6" s="1317"/>
      <c r="J6" s="1318"/>
    </row>
    <row r="7" spans="1:12" ht="15.75" thickBot="1" x14ac:dyDescent="0.3">
      <c r="A7" s="1319"/>
      <c r="B7" s="1321"/>
      <c r="C7" s="1354">
        <f>'YEAR 4--FY''18'!Q19</f>
        <v>350000</v>
      </c>
      <c r="D7" s="1355"/>
      <c r="E7" s="1356">
        <f>'YEAR 4--FY''18'!P19</f>
        <v>330506</v>
      </c>
      <c r="F7" s="1355"/>
      <c r="G7" s="505">
        <f>'YEAR 4--FY''18'!R19-'YEAR 4--FY''18'!Q19</f>
        <v>330506</v>
      </c>
      <c r="H7" s="1316"/>
      <c r="I7" s="1317"/>
      <c r="J7" s="1318"/>
      <c r="K7" s="252"/>
    </row>
    <row r="8" spans="1:12" x14ac:dyDescent="0.25">
      <c r="A8" s="799" t="s">
        <v>302</v>
      </c>
      <c r="B8" s="799"/>
      <c r="C8" s="1366" t="s">
        <v>301</v>
      </c>
      <c r="D8" s="1367"/>
      <c r="E8" s="1368" t="s">
        <v>649</v>
      </c>
      <c r="F8" s="1367"/>
      <c r="G8" s="486" t="s">
        <v>25</v>
      </c>
      <c r="H8" s="1316"/>
      <c r="I8" s="1317"/>
      <c r="J8" s="1318"/>
    </row>
    <row r="9" spans="1:12" x14ac:dyDescent="0.25">
      <c r="A9" s="564" t="s">
        <v>305</v>
      </c>
      <c r="B9" s="371"/>
      <c r="C9" s="1369">
        <v>50000</v>
      </c>
      <c r="D9" s="1370"/>
      <c r="E9" s="1377" t="s">
        <v>37</v>
      </c>
      <c r="F9" s="1378"/>
      <c r="G9" s="505">
        <f>C9</f>
        <v>50000</v>
      </c>
      <c r="H9" s="1316"/>
      <c r="I9" s="1317"/>
      <c r="J9" s="1318"/>
    </row>
    <row r="10" spans="1:12" ht="15.75" thickBot="1" x14ac:dyDescent="0.3">
      <c r="A10" s="1316" t="s">
        <v>306</v>
      </c>
      <c r="B10" s="1305"/>
      <c r="C10" s="1354">
        <v>100000</v>
      </c>
      <c r="D10" s="1355"/>
      <c r="E10" s="1356" t="s">
        <v>37</v>
      </c>
      <c r="F10" s="1355"/>
      <c r="G10" s="759">
        <f>C10</f>
        <v>100000</v>
      </c>
      <c r="H10" s="1319"/>
      <c r="I10" s="1320"/>
      <c r="J10" s="1321"/>
    </row>
    <row r="11" spans="1:12" ht="35.1" customHeight="1" thickBot="1" x14ac:dyDescent="0.3">
      <c r="A11" s="1361" t="s">
        <v>22</v>
      </c>
      <c r="B11" s="1362"/>
      <c r="C11" s="763" t="s">
        <v>15</v>
      </c>
      <c r="D11" s="763" t="s">
        <v>16</v>
      </c>
      <c r="E11" s="763" t="s">
        <v>17</v>
      </c>
      <c r="F11" s="763" t="s">
        <v>18</v>
      </c>
      <c r="G11" s="764" t="s">
        <v>19</v>
      </c>
      <c r="H11" s="1330" t="s">
        <v>20</v>
      </c>
      <c r="I11" s="1331"/>
      <c r="J11" s="1332"/>
    </row>
    <row r="12" spans="1:12" ht="20.100000000000001" customHeight="1" thickBot="1" x14ac:dyDescent="0.3">
      <c r="A12" s="1373" t="s">
        <v>650</v>
      </c>
      <c r="B12" s="1386"/>
      <c r="C12" s="851">
        <v>64839</v>
      </c>
      <c r="D12" s="851">
        <v>53670</v>
      </c>
      <c r="E12" s="851">
        <v>50751</v>
      </c>
      <c r="F12" s="851">
        <f>G12-SUM(C12:E12)</f>
        <v>168463</v>
      </c>
      <c r="G12" s="999">
        <v>337723</v>
      </c>
      <c r="H12" s="1333"/>
      <c r="I12" s="1334"/>
      <c r="J12" s="1335"/>
      <c r="K12" s="753"/>
      <c r="L12" s="753"/>
    </row>
    <row r="13" spans="1:12" ht="20.100000000000001" customHeight="1" thickBot="1" x14ac:dyDescent="0.3">
      <c r="A13" s="1328" t="s">
        <v>25</v>
      </c>
      <c r="B13" s="1329"/>
      <c r="C13" s="518">
        <f>SUM(C12:C12)</f>
        <v>64839</v>
      </c>
      <c r="D13" s="519">
        <f>SUM(D12:D12)</f>
        <v>53670</v>
      </c>
      <c r="E13" s="519">
        <f>SUM(E12:E12)</f>
        <v>50751</v>
      </c>
      <c r="F13" s="519">
        <f>SUM(F12:F12)</f>
        <v>168463</v>
      </c>
      <c r="G13" s="385">
        <f>SUM(C13:F13)</f>
        <v>337723</v>
      </c>
      <c r="H13" s="1336"/>
      <c r="I13" s="1337"/>
      <c r="J13" s="1323"/>
      <c r="K13" s="753"/>
      <c r="L13" s="753"/>
    </row>
    <row r="14" spans="1:12" ht="20.100000000000001" customHeight="1" thickBot="1" x14ac:dyDescent="0.3">
      <c r="A14" s="1000" t="s">
        <v>288</v>
      </c>
      <c r="B14" s="1001"/>
      <c r="C14" s="1357" t="s">
        <v>652</v>
      </c>
      <c r="D14" s="1358"/>
      <c r="E14" s="1358"/>
      <c r="F14" s="1358"/>
      <c r="G14" s="1359"/>
      <c r="H14" s="1002" t="s">
        <v>651</v>
      </c>
      <c r="I14" s="1002" t="s">
        <v>425</v>
      </c>
      <c r="J14" s="1002" t="s">
        <v>220</v>
      </c>
    </row>
    <row r="15" spans="1:12" ht="15" customHeight="1" thickBot="1" x14ac:dyDescent="0.3">
      <c r="A15" s="494" t="s">
        <v>217</v>
      </c>
      <c r="B15" s="425"/>
      <c r="C15" s="1007"/>
      <c r="D15" s="1008"/>
      <c r="E15" s="1008"/>
      <c r="F15" s="1008"/>
      <c r="G15" s="1036" t="s">
        <v>656</v>
      </c>
      <c r="H15" s="1017">
        <v>70000</v>
      </c>
      <c r="I15" s="498">
        <v>53500</v>
      </c>
      <c r="J15" s="498">
        <f>I15</f>
        <v>53500</v>
      </c>
    </row>
    <row r="16" spans="1:12" ht="15" customHeight="1" x14ac:dyDescent="0.25">
      <c r="A16" s="1309" t="s">
        <v>277</v>
      </c>
      <c r="B16" s="1018" t="s">
        <v>330</v>
      </c>
      <c r="C16" s="1019"/>
      <c r="D16" s="215"/>
      <c r="E16" s="457"/>
      <c r="F16" s="457"/>
      <c r="G16" s="493">
        <f t="shared" ref="G16:G20" si="0">SUM(C16:F16)</f>
        <v>0</v>
      </c>
      <c r="H16" s="1006">
        <v>7500</v>
      </c>
      <c r="I16" s="988">
        <v>7500</v>
      </c>
      <c r="J16" s="1339">
        <f>SUM(I16:I20)</f>
        <v>61447</v>
      </c>
      <c r="K16" s="252">
        <v>80000</v>
      </c>
    </row>
    <row r="17" spans="1:12" ht="14.1" customHeight="1" x14ac:dyDescent="0.25">
      <c r="A17" s="1338"/>
      <c r="B17" s="1003" t="s">
        <v>280</v>
      </c>
      <c r="C17" s="1019"/>
      <c r="D17" s="215"/>
      <c r="E17" s="215"/>
      <c r="F17" s="215"/>
      <c r="G17" s="493">
        <f>I17</f>
        <v>35312</v>
      </c>
      <c r="H17" s="493">
        <f>I17</f>
        <v>35312</v>
      </c>
      <c r="I17" s="1020">
        <v>35312</v>
      </c>
      <c r="J17" s="1340"/>
    </row>
    <row r="18" spans="1:12" ht="14.1" customHeight="1" x14ac:dyDescent="0.25">
      <c r="A18" s="1338"/>
      <c r="B18" s="1004" t="s">
        <v>278</v>
      </c>
      <c r="C18" s="1019"/>
      <c r="D18" s="215"/>
      <c r="E18" s="215"/>
      <c r="F18" s="215"/>
      <c r="G18" s="493">
        <f>I18</f>
        <v>5916</v>
      </c>
      <c r="H18" s="493">
        <f>I18</f>
        <v>5916</v>
      </c>
      <c r="I18" s="1020">
        <v>5916</v>
      </c>
      <c r="J18" s="1340"/>
    </row>
    <row r="19" spans="1:12" ht="14.1" customHeight="1" x14ac:dyDescent="0.25">
      <c r="A19" s="1338"/>
      <c r="B19" s="1004" t="s">
        <v>298</v>
      </c>
      <c r="C19" s="1019"/>
      <c r="D19" s="215"/>
      <c r="E19" s="215"/>
      <c r="F19" s="215"/>
      <c r="G19" s="493">
        <f>I19</f>
        <v>6719</v>
      </c>
      <c r="H19" s="493">
        <f>I19</f>
        <v>6719</v>
      </c>
      <c r="I19" s="989">
        <f>6719</f>
        <v>6719</v>
      </c>
      <c r="J19" s="1340"/>
    </row>
    <row r="20" spans="1:12" ht="14.1" customHeight="1" thickBot="1" x14ac:dyDescent="0.3">
      <c r="A20" s="1360"/>
      <c r="B20" s="1005" t="s">
        <v>279</v>
      </c>
      <c r="C20" s="1019"/>
      <c r="D20" s="215"/>
      <c r="E20" s="215"/>
      <c r="F20" s="215"/>
      <c r="G20" s="493">
        <f t="shared" si="0"/>
        <v>0</v>
      </c>
      <c r="H20" s="497">
        <v>6000</v>
      </c>
      <c r="I20" s="990">
        <v>6000</v>
      </c>
      <c r="J20" s="1375"/>
    </row>
    <row r="21" spans="1:12" ht="14.1" customHeight="1" x14ac:dyDescent="0.25">
      <c r="A21" s="1309" t="s">
        <v>281</v>
      </c>
      <c r="B21" s="1018" t="s">
        <v>285</v>
      </c>
      <c r="C21" s="1010"/>
      <c r="D21" s="1011"/>
      <c r="E21" s="1012"/>
      <c r="F21" s="1012"/>
      <c r="G21" s="496">
        <f t="shared" ref="G21" si="1">SUM(C21:F21)</f>
        <v>0</v>
      </c>
      <c r="H21" s="1006">
        <v>21000</v>
      </c>
      <c r="I21" s="988">
        <f>21000</f>
        <v>21000</v>
      </c>
      <c r="J21" s="1306">
        <f>J28</f>
        <v>70000</v>
      </c>
      <c r="K21" s="252">
        <f>I21</f>
        <v>21000</v>
      </c>
      <c r="L21" s="1306">
        <f>SUM(K21:K27)</f>
        <v>70000</v>
      </c>
    </row>
    <row r="22" spans="1:12" ht="14.1" customHeight="1" x14ac:dyDescent="0.25">
      <c r="A22" s="1307"/>
      <c r="B22" s="1003" t="s">
        <v>284</v>
      </c>
      <c r="C22" s="1019"/>
      <c r="D22" s="215"/>
      <c r="E22" s="215"/>
      <c r="F22" s="215"/>
      <c r="G22" s="493">
        <f>I22</f>
        <v>10432</v>
      </c>
      <c r="H22" s="493">
        <f>I22</f>
        <v>10432</v>
      </c>
      <c r="I22" s="1020">
        <v>10432</v>
      </c>
      <c r="J22" s="1307"/>
      <c r="K22" s="252">
        <f>I22</f>
        <v>10432</v>
      </c>
      <c r="L22" s="1307"/>
    </row>
    <row r="23" spans="1:12" ht="14.1" customHeight="1" x14ac:dyDescent="0.25">
      <c r="A23" s="1307"/>
      <c r="B23" s="1003" t="s">
        <v>448</v>
      </c>
      <c r="C23" s="1019"/>
      <c r="D23" s="215"/>
      <c r="E23" s="215"/>
      <c r="F23" s="215"/>
      <c r="G23" s="493">
        <v>0</v>
      </c>
      <c r="H23" s="493">
        <v>14000</v>
      </c>
      <c r="I23" s="989">
        <v>28000</v>
      </c>
      <c r="J23" s="1307"/>
      <c r="K23" s="252">
        <f>J21-K21-K22-K24-K25</f>
        <v>29264</v>
      </c>
      <c r="L23" s="1307"/>
    </row>
    <row r="24" spans="1:12" ht="14.1" customHeight="1" x14ac:dyDescent="0.25">
      <c r="A24" s="1307"/>
      <c r="B24" s="1004" t="s">
        <v>282</v>
      </c>
      <c r="C24" s="1019"/>
      <c r="D24" s="215"/>
      <c r="E24" s="215"/>
      <c r="F24" s="215"/>
      <c r="G24" s="493">
        <f>I24</f>
        <v>5500</v>
      </c>
      <c r="H24" s="493">
        <v>12000</v>
      </c>
      <c r="I24" s="989">
        <v>5500</v>
      </c>
      <c r="J24" s="1307"/>
      <c r="K24" s="1021">
        <v>5500</v>
      </c>
      <c r="L24" s="1307"/>
    </row>
    <row r="25" spans="1:12" ht="14.1" customHeight="1" x14ac:dyDescent="0.25">
      <c r="A25" s="1307"/>
      <c r="B25" s="1004" t="s">
        <v>283</v>
      </c>
      <c r="C25" s="1019"/>
      <c r="D25" s="215"/>
      <c r="E25" s="215"/>
      <c r="F25" s="215"/>
      <c r="G25" s="493">
        <f t="shared" ref="G25:G27" si="2">I25</f>
        <v>3804</v>
      </c>
      <c r="H25" s="493">
        <v>4000</v>
      </c>
      <c r="I25" s="989">
        <v>3804</v>
      </c>
      <c r="J25" s="1307"/>
      <c r="K25" s="1021">
        <v>3804</v>
      </c>
      <c r="L25" s="1307"/>
    </row>
    <row r="26" spans="1:12" ht="14.1" customHeight="1" x14ac:dyDescent="0.25">
      <c r="A26" s="1307"/>
      <c r="B26" s="1004" t="s">
        <v>286</v>
      </c>
      <c r="C26" s="1019"/>
      <c r="D26" s="215"/>
      <c r="E26" s="215"/>
      <c r="F26" s="215"/>
      <c r="G26" s="493">
        <f t="shared" si="2"/>
        <v>0</v>
      </c>
      <c r="H26" s="493">
        <v>0</v>
      </c>
      <c r="I26" s="989">
        <v>0</v>
      </c>
      <c r="J26" s="1307"/>
      <c r="K26" s="1021"/>
      <c r="L26" s="1307"/>
    </row>
    <row r="27" spans="1:12" ht="14.1" customHeight="1" thickBot="1" x14ac:dyDescent="0.3">
      <c r="A27" s="1307"/>
      <c r="B27" s="1005" t="s">
        <v>649</v>
      </c>
      <c r="C27" s="1022"/>
      <c r="D27" s="1023"/>
      <c r="E27" s="1023"/>
      <c r="F27" s="1023"/>
      <c r="G27" s="497">
        <f t="shared" si="2"/>
        <v>1264</v>
      </c>
      <c r="H27" s="497">
        <v>0</v>
      </c>
      <c r="I27" s="990">
        <f>J21-SUM(I21:I26)</f>
        <v>1264</v>
      </c>
      <c r="J27" s="1308"/>
      <c r="K27" s="252">
        <v>0</v>
      </c>
      <c r="L27" s="1308"/>
    </row>
    <row r="28" spans="1:12" ht="14.1" customHeight="1" x14ac:dyDescent="0.25">
      <c r="A28" s="1307"/>
      <c r="B28" s="1014" t="s">
        <v>654</v>
      </c>
      <c r="C28" s="1024"/>
      <c r="D28" s="1025"/>
      <c r="E28" s="1025"/>
      <c r="F28" s="1025"/>
      <c r="G28" s="1015"/>
      <c r="H28" s="1015"/>
      <c r="I28" s="1026"/>
      <c r="J28" s="1343">
        <f>SUM(I29:I31)</f>
        <v>70000</v>
      </c>
      <c r="K28" s="252"/>
      <c r="L28" s="1013"/>
    </row>
    <row r="29" spans="1:12" ht="14.1" customHeight="1" x14ac:dyDescent="0.25">
      <c r="A29" s="1307"/>
      <c r="B29" s="1014" t="s">
        <v>426</v>
      </c>
      <c r="C29" s="1024"/>
      <c r="D29" s="1025"/>
      <c r="E29" s="1025"/>
      <c r="F29" s="1025"/>
      <c r="G29" s="1015"/>
      <c r="H29" s="1026">
        <v>25000</v>
      </c>
      <c r="I29" s="1026">
        <v>25000</v>
      </c>
      <c r="J29" s="1344"/>
      <c r="K29" s="252">
        <f>I29</f>
        <v>25000</v>
      </c>
    </row>
    <row r="30" spans="1:12" ht="14.1" customHeight="1" x14ac:dyDescent="0.25">
      <c r="A30" s="1307"/>
      <c r="B30" s="1014" t="s">
        <v>427</v>
      </c>
      <c r="C30" s="1024"/>
      <c r="D30" s="1025"/>
      <c r="E30" s="1025"/>
      <c r="F30" s="1025"/>
      <c r="G30" s="1015"/>
      <c r="H30" s="1026">
        <v>5000</v>
      </c>
      <c r="I30" s="1026">
        <v>5000</v>
      </c>
      <c r="J30" s="1344"/>
      <c r="K30" s="252">
        <f>I30</f>
        <v>5000</v>
      </c>
    </row>
    <row r="31" spans="1:12" ht="14.1" customHeight="1" thickBot="1" x14ac:dyDescent="0.3">
      <c r="A31" s="1308"/>
      <c r="B31" s="1040" t="s">
        <v>653</v>
      </c>
      <c r="C31" s="1027"/>
      <c r="D31" s="1028"/>
      <c r="E31" s="1028"/>
      <c r="F31" s="1028"/>
      <c r="G31" s="1029"/>
      <c r="H31" s="1041">
        <v>40000</v>
      </c>
      <c r="I31" s="1041">
        <v>40000</v>
      </c>
      <c r="J31" s="1345"/>
      <c r="K31" s="751">
        <f>SUM(K29:K30)</f>
        <v>30000</v>
      </c>
    </row>
    <row r="32" spans="1:12" ht="14.1" customHeight="1" x14ac:dyDescent="0.25">
      <c r="A32" s="1384" t="s">
        <v>291</v>
      </c>
      <c r="B32" s="201" t="s">
        <v>293</v>
      </c>
      <c r="C32" s="1010"/>
      <c r="D32" s="1011"/>
      <c r="E32" s="1011"/>
      <c r="F32" s="1011"/>
      <c r="G32" s="496">
        <f t="shared" ref="G32:G38" si="3">SUM(C32:F32)</f>
        <v>0</v>
      </c>
      <c r="H32" s="490" t="s">
        <v>37</v>
      </c>
      <c r="I32" s="501" t="s">
        <v>37</v>
      </c>
      <c r="J32" s="1339">
        <f>SUM(I32:I34)</f>
        <v>19125</v>
      </c>
    </row>
    <row r="33" spans="1:10" ht="14.1" customHeight="1" x14ac:dyDescent="0.25">
      <c r="A33" s="1338"/>
      <c r="B33" s="856" t="s">
        <v>294</v>
      </c>
      <c r="C33" s="1019"/>
      <c r="D33" s="215"/>
      <c r="E33" s="215"/>
      <c r="F33" s="215"/>
      <c r="G33" s="493">
        <f t="shared" si="3"/>
        <v>0</v>
      </c>
      <c r="H33" s="989">
        <v>10000</v>
      </c>
      <c r="I33" s="1030">
        <v>10000</v>
      </c>
      <c r="J33" s="1340"/>
    </row>
    <row r="34" spans="1:10" ht="14.1" customHeight="1" thickBot="1" x14ac:dyDescent="0.3">
      <c r="A34" s="1385"/>
      <c r="B34" s="495" t="s">
        <v>292</v>
      </c>
      <c r="C34" s="1022"/>
      <c r="D34" s="1023"/>
      <c r="E34" s="1023"/>
      <c r="F34" s="1023"/>
      <c r="G34" s="497">
        <f>I34</f>
        <v>9125</v>
      </c>
      <c r="H34" s="990">
        <f>I34</f>
        <v>9125</v>
      </c>
      <c r="I34" s="990">
        <v>9125</v>
      </c>
      <c r="J34" s="1375"/>
    </row>
    <row r="35" spans="1:10" ht="27.95" customHeight="1" x14ac:dyDescent="0.25">
      <c r="A35" s="1379" t="s">
        <v>295</v>
      </c>
      <c r="B35" s="1009" t="s">
        <v>296</v>
      </c>
      <c r="C35" s="1010"/>
      <c r="D35" s="1011"/>
      <c r="E35" s="1012"/>
      <c r="F35" s="1012"/>
      <c r="G35" s="496">
        <f>I35</f>
        <v>18711</v>
      </c>
      <c r="H35" s="1006">
        <f>I35</f>
        <v>18711</v>
      </c>
      <c r="I35" s="501">
        <v>18711</v>
      </c>
      <c r="J35" s="1339">
        <f>SUM(I35:I36)</f>
        <v>27836</v>
      </c>
    </row>
    <row r="36" spans="1:10" ht="14.1" customHeight="1" thickBot="1" x14ac:dyDescent="0.3">
      <c r="A36" s="1380"/>
      <c r="B36" s="1005" t="s">
        <v>297</v>
      </c>
      <c r="C36" s="1019"/>
      <c r="D36" s="215"/>
      <c r="E36" s="215"/>
      <c r="F36" s="215"/>
      <c r="G36" s="493">
        <f>I36</f>
        <v>9125</v>
      </c>
      <c r="H36" s="497">
        <v>1385</v>
      </c>
      <c r="I36" s="990">
        <v>9125</v>
      </c>
      <c r="J36" s="1375"/>
    </row>
    <row r="37" spans="1:10" ht="14.1" customHeight="1" x14ac:dyDescent="0.25">
      <c r="A37" s="1309" t="s">
        <v>307</v>
      </c>
      <c r="B37" s="1018" t="s">
        <v>313</v>
      </c>
      <c r="C37" s="1010"/>
      <c r="D37" s="1011"/>
      <c r="E37" s="1012"/>
      <c r="F37" s="1012"/>
      <c r="G37" s="496">
        <f t="shared" si="3"/>
        <v>0</v>
      </c>
      <c r="H37" s="1006">
        <v>0</v>
      </c>
      <c r="I37" s="988">
        <v>0</v>
      </c>
      <c r="J37" s="1339">
        <f>SUM(I37:I42)</f>
        <v>19866</v>
      </c>
    </row>
    <row r="38" spans="1:10" ht="14.1" customHeight="1" x14ac:dyDescent="0.25">
      <c r="A38" s="1338"/>
      <c r="B38" s="1031" t="s">
        <v>312</v>
      </c>
      <c r="C38" s="1019"/>
      <c r="D38" s="215"/>
      <c r="E38" s="457"/>
      <c r="F38" s="457"/>
      <c r="G38" s="493">
        <f t="shared" si="3"/>
        <v>0</v>
      </c>
      <c r="H38" s="493">
        <v>0</v>
      </c>
      <c r="I38" s="989">
        <v>0</v>
      </c>
      <c r="J38" s="1340"/>
    </row>
    <row r="39" spans="1:10" ht="14.1" customHeight="1" x14ac:dyDescent="0.25">
      <c r="A39" s="1338"/>
      <c r="B39" s="1003" t="s">
        <v>309</v>
      </c>
      <c r="C39" s="1019"/>
      <c r="D39" s="215"/>
      <c r="E39" s="215"/>
      <c r="F39" s="215"/>
      <c r="G39" s="493">
        <f>I39</f>
        <v>5220</v>
      </c>
      <c r="H39" s="493">
        <f>I39</f>
        <v>5220</v>
      </c>
      <c r="I39" s="1020">
        <v>5220</v>
      </c>
      <c r="J39" s="1341"/>
    </row>
    <row r="40" spans="1:10" ht="14.1" customHeight="1" x14ac:dyDescent="0.25">
      <c r="A40" s="1338"/>
      <c r="B40" s="1003" t="s">
        <v>308</v>
      </c>
      <c r="C40" s="1019"/>
      <c r="D40" s="215"/>
      <c r="E40" s="215"/>
      <c r="F40" s="215"/>
      <c r="G40" s="493">
        <f>I40</f>
        <v>6717</v>
      </c>
      <c r="H40" s="493">
        <f>I40</f>
        <v>6717</v>
      </c>
      <c r="I40" s="989">
        <v>6717</v>
      </c>
      <c r="J40" s="1341"/>
    </row>
    <row r="41" spans="1:10" ht="14.1" customHeight="1" x14ac:dyDescent="0.25">
      <c r="A41" s="1338"/>
      <c r="B41" s="1004" t="s">
        <v>310</v>
      </c>
      <c r="C41" s="1019"/>
      <c r="D41" s="215"/>
      <c r="E41" s="215"/>
      <c r="F41" s="215"/>
      <c r="G41" s="493">
        <f>I41</f>
        <v>2000</v>
      </c>
      <c r="H41" s="493">
        <f>I41</f>
        <v>2000</v>
      </c>
      <c r="I41" s="989">
        <v>2000</v>
      </c>
      <c r="J41" s="1341"/>
    </row>
    <row r="42" spans="1:10" ht="14.1" customHeight="1" thickBot="1" x14ac:dyDescent="0.3">
      <c r="A42" s="1307"/>
      <c r="B42" s="1005" t="s">
        <v>311</v>
      </c>
      <c r="C42" s="1022"/>
      <c r="D42" s="1023"/>
      <c r="E42" s="1023"/>
      <c r="F42" s="1023"/>
      <c r="G42" s="497">
        <f>I42</f>
        <v>5929</v>
      </c>
      <c r="H42" s="497">
        <v>5929</v>
      </c>
      <c r="I42" s="990">
        <v>5929</v>
      </c>
      <c r="J42" s="1341"/>
    </row>
    <row r="43" spans="1:10" ht="14.1" customHeight="1" thickBot="1" x14ac:dyDescent="0.3">
      <c r="A43" s="1308"/>
      <c r="B43" s="488" t="s">
        <v>426</v>
      </c>
      <c r="C43" s="1019"/>
      <c r="D43" s="215"/>
      <c r="E43" s="215"/>
      <c r="F43" s="215"/>
      <c r="G43" s="493">
        <f>I43</f>
        <v>50000</v>
      </c>
      <c r="H43" s="989">
        <f>I43</f>
        <v>50000</v>
      </c>
      <c r="I43" s="989">
        <v>50000</v>
      </c>
      <c r="J43" s="1342"/>
    </row>
    <row r="44" spans="1:10" ht="14.1" customHeight="1" x14ac:dyDescent="0.25">
      <c r="A44" s="1371" t="s">
        <v>314</v>
      </c>
      <c r="B44" s="201" t="s">
        <v>315</v>
      </c>
      <c r="C44" s="1010"/>
      <c r="D44" s="1011"/>
      <c r="E44" s="1012"/>
      <c r="F44" s="1012"/>
      <c r="G44" s="496">
        <f t="shared" ref="G44:G53" si="4">SUM(C44:F44)</f>
        <v>0</v>
      </c>
      <c r="H44" s="490">
        <v>0</v>
      </c>
      <c r="I44" s="988">
        <v>0</v>
      </c>
      <c r="J44" s="1339">
        <f>SUM(I44:I47)</f>
        <v>11916</v>
      </c>
    </row>
    <row r="45" spans="1:10" ht="14.1" customHeight="1" x14ac:dyDescent="0.25">
      <c r="A45" s="1372"/>
      <c r="B45" s="856" t="s">
        <v>316</v>
      </c>
      <c r="C45" s="1019"/>
      <c r="D45" s="215"/>
      <c r="E45" s="457"/>
      <c r="F45" s="457"/>
      <c r="G45" s="493">
        <f t="shared" si="4"/>
        <v>0</v>
      </c>
      <c r="H45" s="989">
        <v>0</v>
      </c>
      <c r="I45" s="1020">
        <v>0</v>
      </c>
      <c r="J45" s="1340"/>
    </row>
    <row r="46" spans="1:10" ht="14.1" customHeight="1" x14ac:dyDescent="0.25">
      <c r="A46" s="1373" t="s">
        <v>314</v>
      </c>
      <c r="B46" s="487" t="s">
        <v>317</v>
      </c>
      <c r="C46" s="1019"/>
      <c r="D46" s="215"/>
      <c r="E46" s="215"/>
      <c r="F46" s="215"/>
      <c r="G46" s="493">
        <f t="shared" si="4"/>
        <v>0</v>
      </c>
      <c r="H46" s="989">
        <f>I46</f>
        <v>3916</v>
      </c>
      <c r="I46" s="989">
        <v>3916</v>
      </c>
      <c r="J46" s="1340"/>
    </row>
    <row r="47" spans="1:10" ht="14.1" customHeight="1" thickBot="1" x14ac:dyDescent="0.3">
      <c r="A47" s="1374"/>
      <c r="B47" s="495" t="s">
        <v>331</v>
      </c>
      <c r="C47" s="1019"/>
      <c r="D47" s="215"/>
      <c r="E47" s="215"/>
      <c r="F47" s="215"/>
      <c r="G47" s="493">
        <f t="shared" si="4"/>
        <v>0</v>
      </c>
      <c r="H47" s="990">
        <v>8000</v>
      </c>
      <c r="I47" s="990">
        <v>8000</v>
      </c>
      <c r="J47" s="1375"/>
    </row>
    <row r="48" spans="1:10" ht="14.1" customHeight="1" x14ac:dyDescent="0.25">
      <c r="A48" s="1371" t="s">
        <v>318</v>
      </c>
      <c r="B48" s="201" t="s">
        <v>319</v>
      </c>
      <c r="C48" s="1010"/>
      <c r="D48" s="1011"/>
      <c r="E48" s="1012"/>
      <c r="F48" s="1012"/>
      <c r="G48" s="496">
        <f t="shared" si="4"/>
        <v>0</v>
      </c>
      <c r="H48" s="490">
        <v>0</v>
      </c>
      <c r="I48" s="988">
        <v>0</v>
      </c>
      <c r="J48" s="1339">
        <f>SUM(I48:I51)</f>
        <v>127312</v>
      </c>
    </row>
    <row r="49" spans="1:15" ht="14.1" customHeight="1" x14ac:dyDescent="0.25">
      <c r="A49" s="1372"/>
      <c r="B49" s="487" t="s">
        <v>320</v>
      </c>
      <c r="C49" s="1019"/>
      <c r="D49" s="215"/>
      <c r="E49" s="457"/>
      <c r="F49" s="457"/>
      <c r="G49" s="493">
        <f t="shared" si="4"/>
        <v>0</v>
      </c>
      <c r="H49" s="989">
        <f>I49</f>
        <v>35312</v>
      </c>
      <c r="I49" s="1020">
        <v>35312</v>
      </c>
      <c r="J49" s="1340"/>
    </row>
    <row r="50" spans="1:15" ht="14.1" customHeight="1" x14ac:dyDescent="0.25">
      <c r="A50" s="1372"/>
      <c r="B50" s="488" t="s">
        <v>655</v>
      </c>
      <c r="C50" s="1019"/>
      <c r="D50" s="215"/>
      <c r="E50" s="215"/>
      <c r="F50" s="215"/>
      <c r="G50" s="493">
        <v>57000</v>
      </c>
      <c r="H50" s="989">
        <v>40000</v>
      </c>
      <c r="I50" s="1020">
        <v>57000</v>
      </c>
      <c r="J50" s="1340"/>
    </row>
    <row r="51" spans="1:15" ht="14.1" customHeight="1" thickBot="1" x14ac:dyDescent="0.3">
      <c r="A51" s="1376"/>
      <c r="B51" s="489" t="s">
        <v>325</v>
      </c>
      <c r="C51" s="1022"/>
      <c r="D51" s="1023"/>
      <c r="E51" s="1023"/>
      <c r="F51" s="1023"/>
      <c r="G51" s="497">
        <f t="shared" si="4"/>
        <v>0</v>
      </c>
      <c r="H51" s="990">
        <v>35000</v>
      </c>
      <c r="I51" s="990">
        <v>35000</v>
      </c>
      <c r="J51" s="1375"/>
    </row>
    <row r="52" spans="1:15" ht="14.1" customHeight="1" thickBot="1" x14ac:dyDescent="0.3">
      <c r="A52" s="506" t="s">
        <v>321</v>
      </c>
      <c r="B52" s="1034" t="s">
        <v>322</v>
      </c>
      <c r="C52" s="1010"/>
      <c r="D52" s="1011"/>
      <c r="E52" s="1012"/>
      <c r="F52" s="1012"/>
      <c r="G52" s="496">
        <f>I52</f>
        <v>1295</v>
      </c>
      <c r="H52" s="809">
        <f t="shared" ref="H52" si="5">I52-G52</f>
        <v>0</v>
      </c>
      <c r="I52" s="498">
        <v>1295</v>
      </c>
      <c r="J52" s="498">
        <f>I52</f>
        <v>1295</v>
      </c>
    </row>
    <row r="53" spans="1:15" ht="27.95" customHeight="1" thickBot="1" x14ac:dyDescent="0.3">
      <c r="A53" s="506" t="s">
        <v>326</v>
      </c>
      <c r="B53" s="1034" t="s">
        <v>327</v>
      </c>
      <c r="C53" s="1007"/>
      <c r="D53" s="1008"/>
      <c r="E53" s="1035"/>
      <c r="F53" s="1035"/>
      <c r="G53" s="809">
        <f t="shared" si="4"/>
        <v>0</v>
      </c>
      <c r="H53" s="497">
        <v>40000</v>
      </c>
      <c r="I53" s="990">
        <v>40000</v>
      </c>
      <c r="J53" s="990">
        <f>I53</f>
        <v>40000</v>
      </c>
    </row>
    <row r="54" spans="1:15" ht="15" customHeight="1" thickBot="1" x14ac:dyDescent="0.3">
      <c r="A54" s="783" t="s">
        <v>243</v>
      </c>
      <c r="B54" s="1032"/>
      <c r="C54" s="1010"/>
      <c r="D54" s="1011"/>
      <c r="E54" s="1012"/>
      <c r="F54" s="1012"/>
      <c r="G54" s="496">
        <f>SUM(G15:G53)</f>
        <v>234069</v>
      </c>
      <c r="H54" s="441">
        <f>SUM(H15:H53)</f>
        <v>534194</v>
      </c>
      <c r="I54" s="441">
        <f>SUM(I15:I53)</f>
        <v>552297</v>
      </c>
      <c r="J54" s="441">
        <f>SUM(J15:J53)</f>
        <v>502297</v>
      </c>
      <c r="K54" s="252">
        <f>I54-H54</f>
        <v>18103</v>
      </c>
    </row>
    <row r="55" spans="1:15" ht="20.100000000000001" customHeight="1" thickBot="1" x14ac:dyDescent="0.3">
      <c r="A55" s="504" t="s">
        <v>289</v>
      </c>
      <c r="B55" s="504"/>
      <c r="C55" s="1381" t="s">
        <v>328</v>
      </c>
      <c r="D55" s="1382"/>
      <c r="E55" s="1382"/>
      <c r="F55" s="1382"/>
      <c r="G55" s="1383"/>
      <c r="H55" s="503"/>
      <c r="I55" s="502"/>
      <c r="J55" s="502"/>
    </row>
    <row r="56" spans="1:15" ht="27.95" customHeight="1" x14ac:dyDescent="0.25">
      <c r="A56" s="1363" t="s">
        <v>287</v>
      </c>
      <c r="B56" s="1037" t="s">
        <v>324</v>
      </c>
      <c r="C56" s="1010"/>
      <c r="D56" s="1011"/>
      <c r="E56" s="1012"/>
      <c r="F56" s="1012"/>
      <c r="G56" s="496">
        <f>I56</f>
        <v>93457</v>
      </c>
      <c r="H56" s="1006">
        <f>I56</f>
        <v>93457</v>
      </c>
      <c r="I56" s="988">
        <f>57483+35974</f>
        <v>93457</v>
      </c>
      <c r="J56" s="1339">
        <f>SUM(I56:I57)</f>
        <v>109457</v>
      </c>
    </row>
    <row r="57" spans="1:15" ht="14.1" customHeight="1" thickBot="1" x14ac:dyDescent="0.3">
      <c r="A57" s="1365"/>
      <c r="B57" s="1038" t="s">
        <v>290</v>
      </c>
      <c r="C57" s="1022"/>
      <c r="D57" s="1023"/>
      <c r="E57" s="1023"/>
      <c r="F57" s="1023"/>
      <c r="G57" s="497">
        <f>I57</f>
        <v>16000</v>
      </c>
      <c r="H57" s="497">
        <f>I57</f>
        <v>16000</v>
      </c>
      <c r="I57" s="990">
        <v>16000</v>
      </c>
      <c r="J57" s="1342"/>
    </row>
    <row r="58" spans="1:15" ht="20.100000000000001" customHeight="1" thickBot="1" x14ac:dyDescent="0.3">
      <c r="A58" s="499" t="s">
        <v>299</v>
      </c>
      <c r="B58" s="500"/>
      <c r="C58" s="1357" t="s">
        <v>329</v>
      </c>
      <c r="D58" s="1358"/>
      <c r="E58" s="1358"/>
      <c r="F58" s="1358"/>
      <c r="G58" s="1359"/>
      <c r="H58" s="503"/>
      <c r="I58" s="502"/>
      <c r="J58" s="502"/>
    </row>
    <row r="59" spans="1:15" ht="27.95" customHeight="1" x14ac:dyDescent="0.25">
      <c r="A59" s="1363" t="s">
        <v>323</v>
      </c>
      <c r="B59" s="1037" t="s">
        <v>300</v>
      </c>
      <c r="C59" s="1010"/>
      <c r="D59" s="1011"/>
      <c r="E59" s="1012"/>
      <c r="F59" s="1012"/>
      <c r="G59" s="496">
        <f>I59</f>
        <v>43457</v>
      </c>
      <c r="H59" s="1006">
        <f>I59</f>
        <v>43457</v>
      </c>
      <c r="I59" s="988">
        <f>57483+35974-50000</f>
        <v>43457</v>
      </c>
      <c r="J59" s="1339">
        <f>SUM(I59:I61)</f>
        <v>147245</v>
      </c>
    </row>
    <row r="60" spans="1:15" ht="27.95" customHeight="1" x14ac:dyDescent="0.25">
      <c r="A60" s="1364"/>
      <c r="B60" s="1039" t="s">
        <v>303</v>
      </c>
      <c r="C60" s="1019"/>
      <c r="D60" s="215"/>
      <c r="E60" s="457"/>
      <c r="F60" s="457"/>
      <c r="G60" s="493">
        <f>I60</f>
        <v>94000</v>
      </c>
      <c r="H60" s="493">
        <f>I60</f>
        <v>94000</v>
      </c>
      <c r="I60" s="989">
        <v>94000</v>
      </c>
      <c r="J60" s="1340"/>
      <c r="K60" s="252"/>
    </row>
    <row r="61" spans="1:15" ht="27.95" customHeight="1" thickBot="1" x14ac:dyDescent="0.3">
      <c r="A61" s="1365"/>
      <c r="B61" s="1038" t="s">
        <v>304</v>
      </c>
      <c r="C61" s="1022"/>
      <c r="D61" s="1023"/>
      <c r="E61" s="1023"/>
      <c r="F61" s="1023"/>
      <c r="G61" s="497">
        <f>I61</f>
        <v>9788</v>
      </c>
      <c r="H61" s="497">
        <v>9788</v>
      </c>
      <c r="I61" s="990">
        <v>9788</v>
      </c>
      <c r="J61" s="1342"/>
      <c r="K61" s="252"/>
      <c r="L61" s="252"/>
      <c r="O61" s="252"/>
    </row>
    <row r="62" spans="1:15" ht="15" customHeight="1" thickBot="1" x14ac:dyDescent="0.3">
      <c r="A62" s="1324" t="s">
        <v>657</v>
      </c>
      <c r="B62" s="1325"/>
      <c r="C62" s="1010"/>
      <c r="D62" s="1011"/>
      <c r="E62" s="1012"/>
      <c r="F62" s="1012"/>
      <c r="G62" s="496">
        <f>SUM(C54:G61)</f>
        <v>490771</v>
      </c>
      <c r="H62" s="496">
        <f>SUM(H54:H61)</f>
        <v>790896</v>
      </c>
      <c r="I62" s="496">
        <f>SUM(I54:I61)</f>
        <v>808999</v>
      </c>
      <c r="J62" s="496">
        <f>SUM(J54:J61)</f>
        <v>758999</v>
      </c>
      <c r="K62" s="252"/>
    </row>
    <row r="63" spans="1:15" ht="15" customHeight="1" thickBot="1" x14ac:dyDescent="0.3">
      <c r="A63" s="1322" t="s">
        <v>658</v>
      </c>
      <c r="B63" s="1323"/>
      <c r="C63" s="1346">
        <f>650000+25000+40000+50000+40000</f>
        <v>805000</v>
      </c>
      <c r="D63" s="1347"/>
      <c r="E63" s="1347"/>
      <c r="F63" s="1347"/>
      <c r="G63" s="1348"/>
      <c r="H63" s="503"/>
      <c r="I63" s="502"/>
      <c r="J63" s="502"/>
      <c r="K63" s="252"/>
    </row>
    <row r="64" spans="1:15" s="371" customFormat="1" ht="99.95" customHeight="1" thickBot="1" x14ac:dyDescent="0.3">
      <c r="A64" s="1156" t="s">
        <v>660</v>
      </c>
      <c r="B64" s="1207"/>
      <c r="C64" s="1207"/>
      <c r="D64" s="1207"/>
      <c r="E64" s="1207"/>
      <c r="F64" s="1207"/>
      <c r="G64" s="1207"/>
      <c r="H64" s="1207"/>
      <c r="I64" s="1349"/>
      <c r="J64" s="1350"/>
    </row>
    <row r="65" spans="1:16384" s="371" customFormat="1" ht="189.95" customHeight="1" thickBot="1" x14ac:dyDescent="0.3">
      <c r="A65" s="1156" t="s">
        <v>659</v>
      </c>
      <c r="B65" s="1207"/>
      <c r="C65" s="1207"/>
      <c r="D65" s="1207"/>
      <c r="E65" s="1207"/>
      <c r="F65" s="1207"/>
      <c r="G65" s="1207"/>
      <c r="H65" s="1207"/>
      <c r="I65" s="1349"/>
      <c r="J65" s="1350"/>
      <c r="K65" s="1033"/>
      <c r="L65" s="1033"/>
      <c r="M65" s="1033"/>
      <c r="N65" s="1033"/>
      <c r="O65" s="1033"/>
      <c r="P65" s="1033"/>
      <c r="Q65" s="1033"/>
      <c r="R65" s="1033"/>
      <c r="U65" s="1304"/>
      <c r="V65" s="1304"/>
      <c r="W65" s="1304"/>
      <c r="X65" s="1304"/>
      <c r="Y65" s="1304"/>
      <c r="Z65" s="1304"/>
      <c r="AA65" s="1304"/>
      <c r="AB65" s="1304"/>
      <c r="AC65" s="1305"/>
      <c r="AD65" s="1305"/>
      <c r="AE65" s="1304"/>
      <c r="AF65" s="1304"/>
      <c r="AG65" s="1304"/>
      <c r="AH65" s="1304"/>
      <c r="AI65" s="1304"/>
      <c r="AJ65" s="1304"/>
      <c r="AK65" s="1304"/>
      <c r="AL65" s="1304"/>
      <c r="AM65" s="1305"/>
      <c r="AN65" s="1305"/>
      <c r="AO65" s="1304"/>
      <c r="AP65" s="1304"/>
      <c r="AQ65" s="1304"/>
      <c r="AR65" s="1304"/>
      <c r="AS65" s="1304"/>
      <c r="AT65" s="1304"/>
      <c r="AU65" s="1304"/>
      <c r="AV65" s="1304"/>
      <c r="AW65" s="1305"/>
      <c r="AX65" s="1305"/>
      <c r="AY65" s="1304"/>
      <c r="AZ65" s="1304"/>
      <c r="BA65" s="1304"/>
      <c r="BB65" s="1304"/>
      <c r="BC65" s="1304"/>
      <c r="BD65" s="1304"/>
      <c r="BE65" s="1304"/>
      <c r="BF65" s="1304"/>
      <c r="BG65" s="1305"/>
      <c r="BH65" s="1305"/>
      <c r="BI65" s="1304"/>
      <c r="BJ65" s="1304"/>
      <c r="BK65" s="1304"/>
      <c r="BL65" s="1304"/>
      <c r="BM65" s="1304"/>
      <c r="BN65" s="1304"/>
      <c r="BO65" s="1304"/>
      <c r="BP65" s="1304"/>
      <c r="BQ65" s="1305"/>
      <c r="BR65" s="1305"/>
      <c r="BS65" s="1304"/>
      <c r="BT65" s="1304"/>
      <c r="BU65" s="1304"/>
      <c r="BV65" s="1304"/>
      <c r="BW65" s="1304"/>
      <c r="BX65" s="1304"/>
      <c r="BY65" s="1304"/>
      <c r="BZ65" s="1304"/>
      <c r="CA65" s="1305"/>
      <c r="CB65" s="1305"/>
      <c r="CC65" s="1304"/>
      <c r="CD65" s="1304"/>
      <c r="CE65" s="1304"/>
      <c r="CF65" s="1304"/>
      <c r="CG65" s="1304"/>
      <c r="CH65" s="1304"/>
      <c r="CI65" s="1304"/>
      <c r="CJ65" s="1304"/>
      <c r="CK65" s="1305"/>
      <c r="CL65" s="1305"/>
      <c r="CM65" s="1304"/>
      <c r="CN65" s="1304"/>
      <c r="CO65" s="1304"/>
      <c r="CP65" s="1304"/>
      <c r="CQ65" s="1304"/>
      <c r="CR65" s="1304"/>
      <c r="CS65" s="1304"/>
      <c r="CT65" s="1304"/>
      <c r="CU65" s="1305"/>
      <c r="CV65" s="1305"/>
      <c r="CW65" s="1304"/>
      <c r="CX65" s="1304"/>
      <c r="CY65" s="1304"/>
      <c r="CZ65" s="1304"/>
      <c r="DA65" s="1304"/>
      <c r="DB65" s="1304"/>
      <c r="DC65" s="1304"/>
      <c r="DD65" s="1304"/>
      <c r="DE65" s="1305"/>
      <c r="DF65" s="1305"/>
      <c r="DG65" s="1304"/>
      <c r="DH65" s="1304"/>
      <c r="DI65" s="1304"/>
      <c r="DJ65" s="1304"/>
      <c r="DK65" s="1304"/>
      <c r="DL65" s="1304"/>
      <c r="DM65" s="1304"/>
      <c r="DN65" s="1304"/>
      <c r="DO65" s="1305"/>
      <c r="DP65" s="1305"/>
      <c r="DQ65" s="1304"/>
      <c r="DR65" s="1304"/>
      <c r="DS65" s="1304"/>
      <c r="DT65" s="1304"/>
      <c r="DU65" s="1304"/>
      <c r="DV65" s="1304"/>
      <c r="DW65" s="1304"/>
      <c r="DX65" s="1304"/>
      <c r="DY65" s="1305"/>
      <c r="DZ65" s="1305"/>
      <c r="EA65" s="1304"/>
      <c r="EB65" s="1304"/>
      <c r="EC65" s="1304"/>
      <c r="ED65" s="1304"/>
      <c r="EE65" s="1304"/>
      <c r="EF65" s="1304"/>
      <c r="EG65" s="1304"/>
      <c r="EH65" s="1304"/>
      <c r="EI65" s="1305"/>
      <c r="EJ65" s="1305"/>
      <c r="EK65" s="1304"/>
      <c r="EL65" s="1304"/>
      <c r="EM65" s="1304"/>
      <c r="EN65" s="1304"/>
      <c r="EO65" s="1304"/>
      <c r="EP65" s="1304"/>
      <c r="EQ65" s="1304"/>
      <c r="ER65" s="1304"/>
      <c r="ES65" s="1305"/>
      <c r="ET65" s="1305"/>
      <c r="EU65" s="1304"/>
      <c r="EV65" s="1304"/>
      <c r="EW65" s="1304"/>
      <c r="EX65" s="1304"/>
      <c r="EY65" s="1304"/>
      <c r="EZ65" s="1304"/>
      <c r="FA65" s="1304"/>
      <c r="FB65" s="1304"/>
      <c r="FC65" s="1305"/>
      <c r="FD65" s="1305"/>
      <c r="FE65" s="1304"/>
      <c r="FF65" s="1304"/>
      <c r="FG65" s="1304"/>
      <c r="FH65" s="1304"/>
      <c r="FI65" s="1304"/>
      <c r="FJ65" s="1304"/>
      <c r="FK65" s="1304"/>
      <c r="FL65" s="1304"/>
      <c r="FM65" s="1305"/>
      <c r="FN65" s="1305"/>
      <c r="FO65" s="1304"/>
      <c r="FP65" s="1304"/>
      <c r="FQ65" s="1304"/>
      <c r="FR65" s="1304"/>
      <c r="FS65" s="1304"/>
      <c r="FT65" s="1304"/>
      <c r="FU65" s="1304"/>
      <c r="FV65" s="1304"/>
      <c r="FW65" s="1305"/>
      <c r="FX65" s="1305"/>
      <c r="FY65" s="1304"/>
      <c r="FZ65" s="1304"/>
      <c r="GA65" s="1304"/>
      <c r="GB65" s="1304"/>
      <c r="GC65" s="1304"/>
      <c r="GD65" s="1304"/>
      <c r="GE65" s="1304"/>
      <c r="GF65" s="1304"/>
      <c r="GG65" s="1305"/>
      <c r="GH65" s="1305"/>
      <c r="GI65" s="1304"/>
      <c r="GJ65" s="1304"/>
      <c r="GK65" s="1304"/>
      <c r="GL65" s="1304"/>
      <c r="GM65" s="1304"/>
      <c r="GN65" s="1304"/>
      <c r="GO65" s="1304"/>
      <c r="GP65" s="1304"/>
      <c r="GQ65" s="1305"/>
      <c r="GR65" s="1305"/>
      <c r="GS65" s="1304"/>
      <c r="GT65" s="1304"/>
      <c r="GU65" s="1304"/>
      <c r="GV65" s="1304"/>
      <c r="GW65" s="1304"/>
      <c r="GX65" s="1304"/>
      <c r="GY65" s="1304"/>
      <c r="GZ65" s="1304"/>
      <c r="HA65" s="1305"/>
      <c r="HB65" s="1305"/>
      <c r="HC65" s="1304"/>
      <c r="HD65" s="1304"/>
      <c r="HE65" s="1304"/>
      <c r="HF65" s="1304"/>
      <c r="HG65" s="1304"/>
      <c r="HH65" s="1304"/>
      <c r="HI65" s="1304"/>
      <c r="HJ65" s="1304"/>
      <c r="HK65" s="1305"/>
      <c r="HL65" s="1305"/>
      <c r="HM65" s="1304"/>
      <c r="HN65" s="1304"/>
      <c r="HO65" s="1304"/>
      <c r="HP65" s="1304"/>
      <c r="HQ65" s="1304"/>
      <c r="HR65" s="1304"/>
      <c r="HS65" s="1304"/>
      <c r="HT65" s="1304"/>
      <c r="HU65" s="1305"/>
      <c r="HV65" s="1305"/>
      <c r="HW65" s="1304"/>
      <c r="HX65" s="1304"/>
      <c r="HY65" s="1304"/>
      <c r="HZ65" s="1304"/>
      <c r="IA65" s="1304"/>
      <c r="IB65" s="1304"/>
      <c r="IC65" s="1304"/>
      <c r="ID65" s="1304"/>
      <c r="IE65" s="1305"/>
      <c r="IF65" s="1305"/>
      <c r="IG65" s="1304"/>
      <c r="IH65" s="1304"/>
      <c r="II65" s="1304"/>
      <c r="IJ65" s="1304"/>
      <c r="IK65" s="1304"/>
      <c r="IL65" s="1304"/>
      <c r="IM65" s="1304"/>
      <c r="IN65" s="1304"/>
      <c r="IO65" s="1305"/>
      <c r="IP65" s="1305"/>
      <c r="IQ65" s="1304"/>
      <c r="IR65" s="1304"/>
      <c r="IS65" s="1304"/>
      <c r="IT65" s="1304"/>
      <c r="IU65" s="1304"/>
      <c r="IV65" s="1304"/>
      <c r="IW65" s="1304"/>
      <c r="IX65" s="1304"/>
      <c r="IY65" s="1305"/>
      <c r="IZ65" s="1305"/>
      <c r="JA65" s="1304"/>
      <c r="JB65" s="1304"/>
      <c r="JC65" s="1304"/>
      <c r="JD65" s="1304"/>
      <c r="JE65" s="1304"/>
      <c r="JF65" s="1304"/>
      <c r="JG65" s="1304"/>
      <c r="JH65" s="1304"/>
      <c r="JI65" s="1305"/>
      <c r="JJ65" s="1305"/>
      <c r="JK65" s="1304"/>
      <c r="JL65" s="1304"/>
      <c r="JM65" s="1304"/>
      <c r="JN65" s="1304"/>
      <c r="JO65" s="1304"/>
      <c r="JP65" s="1304"/>
      <c r="JQ65" s="1304"/>
      <c r="JR65" s="1304"/>
      <c r="JS65" s="1305"/>
      <c r="JT65" s="1305"/>
      <c r="JU65" s="1304"/>
      <c r="JV65" s="1304"/>
      <c r="JW65" s="1304"/>
      <c r="JX65" s="1304"/>
      <c r="JY65" s="1304"/>
      <c r="JZ65" s="1304"/>
      <c r="KA65" s="1304"/>
      <c r="KB65" s="1304"/>
      <c r="KC65" s="1305"/>
      <c r="KD65" s="1305"/>
      <c r="KE65" s="1304"/>
      <c r="KF65" s="1304"/>
      <c r="KG65" s="1304"/>
      <c r="KH65" s="1304"/>
      <c r="KI65" s="1304"/>
      <c r="KJ65" s="1304"/>
      <c r="KK65" s="1304"/>
      <c r="KL65" s="1304"/>
      <c r="KM65" s="1305"/>
      <c r="KN65" s="1305"/>
      <c r="KO65" s="1304"/>
      <c r="KP65" s="1304"/>
      <c r="KQ65" s="1304"/>
      <c r="KR65" s="1304"/>
      <c r="KS65" s="1304"/>
      <c r="KT65" s="1304"/>
      <c r="KU65" s="1304"/>
      <c r="KV65" s="1304"/>
      <c r="KW65" s="1305"/>
      <c r="KX65" s="1305"/>
      <c r="KY65" s="1304"/>
      <c r="KZ65" s="1304"/>
      <c r="LA65" s="1304"/>
      <c r="LB65" s="1304"/>
      <c r="LC65" s="1304"/>
      <c r="LD65" s="1304"/>
      <c r="LE65" s="1304"/>
      <c r="LF65" s="1304"/>
      <c r="LG65" s="1305"/>
      <c r="LH65" s="1305"/>
      <c r="LI65" s="1304"/>
      <c r="LJ65" s="1304"/>
      <c r="LK65" s="1304"/>
      <c r="LL65" s="1304"/>
      <c r="LM65" s="1304"/>
      <c r="LN65" s="1304"/>
      <c r="LO65" s="1304"/>
      <c r="LP65" s="1304"/>
      <c r="LQ65" s="1305"/>
      <c r="LR65" s="1305"/>
      <c r="LS65" s="1304"/>
      <c r="LT65" s="1304"/>
      <c r="LU65" s="1304"/>
      <c r="LV65" s="1304"/>
      <c r="LW65" s="1304"/>
      <c r="LX65" s="1304"/>
      <c r="LY65" s="1304"/>
      <c r="LZ65" s="1304"/>
      <c r="MA65" s="1305"/>
      <c r="MB65" s="1305"/>
      <c r="MC65" s="1304"/>
      <c r="MD65" s="1304"/>
      <c r="ME65" s="1304"/>
      <c r="MF65" s="1304"/>
      <c r="MG65" s="1304"/>
      <c r="MH65" s="1304"/>
      <c r="MI65" s="1304"/>
      <c r="MJ65" s="1304"/>
      <c r="MK65" s="1305"/>
      <c r="ML65" s="1305"/>
      <c r="MM65" s="1304"/>
      <c r="MN65" s="1304"/>
      <c r="MO65" s="1304"/>
      <c r="MP65" s="1304"/>
      <c r="MQ65" s="1304"/>
      <c r="MR65" s="1304"/>
      <c r="MS65" s="1304"/>
      <c r="MT65" s="1304"/>
      <c r="MU65" s="1305"/>
      <c r="MV65" s="1305"/>
      <c r="MW65" s="1304"/>
      <c r="MX65" s="1304"/>
      <c r="MY65" s="1304"/>
      <c r="MZ65" s="1304"/>
      <c r="NA65" s="1304"/>
      <c r="NB65" s="1304"/>
      <c r="NC65" s="1304"/>
      <c r="ND65" s="1304"/>
      <c r="NE65" s="1305"/>
      <c r="NF65" s="1305"/>
      <c r="NG65" s="1304"/>
      <c r="NH65" s="1304"/>
      <c r="NI65" s="1304"/>
      <c r="NJ65" s="1304"/>
      <c r="NK65" s="1304"/>
      <c r="NL65" s="1304"/>
      <c r="NM65" s="1304"/>
      <c r="NN65" s="1304"/>
      <c r="NO65" s="1305"/>
      <c r="NP65" s="1305"/>
      <c r="NQ65" s="1304"/>
      <c r="NR65" s="1304"/>
      <c r="NS65" s="1304"/>
      <c r="NT65" s="1304"/>
      <c r="NU65" s="1304"/>
      <c r="NV65" s="1304"/>
      <c r="NW65" s="1304"/>
      <c r="NX65" s="1304"/>
      <c r="NY65" s="1305"/>
      <c r="NZ65" s="1305"/>
      <c r="OA65" s="1304"/>
      <c r="OB65" s="1304"/>
      <c r="OC65" s="1304"/>
      <c r="OD65" s="1304"/>
      <c r="OE65" s="1304"/>
      <c r="OF65" s="1304"/>
      <c r="OG65" s="1304"/>
      <c r="OH65" s="1304"/>
      <c r="OI65" s="1305"/>
      <c r="OJ65" s="1305"/>
      <c r="OK65" s="1304"/>
      <c r="OL65" s="1304"/>
      <c r="OM65" s="1304"/>
      <c r="ON65" s="1304"/>
      <c r="OO65" s="1304"/>
      <c r="OP65" s="1304"/>
      <c r="OQ65" s="1304"/>
      <c r="OR65" s="1304"/>
      <c r="OS65" s="1305"/>
      <c r="OT65" s="1305"/>
      <c r="OU65" s="1304"/>
      <c r="OV65" s="1304"/>
      <c r="OW65" s="1304"/>
      <c r="OX65" s="1304"/>
      <c r="OY65" s="1304"/>
      <c r="OZ65" s="1304"/>
      <c r="PA65" s="1304"/>
      <c r="PB65" s="1304"/>
      <c r="PC65" s="1305"/>
      <c r="PD65" s="1305"/>
      <c r="PE65" s="1304"/>
      <c r="PF65" s="1304"/>
      <c r="PG65" s="1304"/>
      <c r="PH65" s="1304"/>
      <c r="PI65" s="1304"/>
      <c r="PJ65" s="1304"/>
      <c r="PK65" s="1304"/>
      <c r="PL65" s="1304"/>
      <c r="PM65" s="1305"/>
      <c r="PN65" s="1305"/>
      <c r="PO65" s="1304"/>
      <c r="PP65" s="1304"/>
      <c r="PQ65" s="1304"/>
      <c r="PR65" s="1304"/>
      <c r="PS65" s="1304"/>
      <c r="PT65" s="1304"/>
      <c r="PU65" s="1304"/>
      <c r="PV65" s="1304"/>
      <c r="PW65" s="1305"/>
      <c r="PX65" s="1305"/>
      <c r="PY65" s="1304"/>
      <c r="PZ65" s="1304"/>
      <c r="QA65" s="1304"/>
      <c r="QB65" s="1304"/>
      <c r="QC65" s="1304"/>
      <c r="QD65" s="1304"/>
      <c r="QE65" s="1304"/>
      <c r="QF65" s="1304"/>
      <c r="QG65" s="1305"/>
      <c r="QH65" s="1305"/>
      <c r="QI65" s="1304"/>
      <c r="QJ65" s="1304"/>
      <c r="QK65" s="1304"/>
      <c r="QL65" s="1304"/>
      <c r="QM65" s="1304"/>
      <c r="QN65" s="1304"/>
      <c r="QO65" s="1304"/>
      <c r="QP65" s="1304"/>
      <c r="QQ65" s="1305"/>
      <c r="QR65" s="1305"/>
      <c r="QS65" s="1304"/>
      <c r="QT65" s="1304"/>
      <c r="QU65" s="1304"/>
      <c r="QV65" s="1304"/>
      <c r="QW65" s="1304"/>
      <c r="QX65" s="1304"/>
      <c r="QY65" s="1304"/>
      <c r="QZ65" s="1304"/>
      <c r="RA65" s="1305"/>
      <c r="RB65" s="1305"/>
      <c r="RC65" s="1304"/>
      <c r="RD65" s="1304"/>
      <c r="RE65" s="1304"/>
      <c r="RF65" s="1304"/>
      <c r="RG65" s="1304"/>
      <c r="RH65" s="1304"/>
      <c r="RI65" s="1304"/>
      <c r="RJ65" s="1304"/>
      <c r="RK65" s="1305"/>
      <c r="RL65" s="1305"/>
      <c r="RM65" s="1304"/>
      <c r="RN65" s="1304"/>
      <c r="RO65" s="1304"/>
      <c r="RP65" s="1304"/>
      <c r="RQ65" s="1304"/>
      <c r="RR65" s="1304"/>
      <c r="RS65" s="1304"/>
      <c r="RT65" s="1304"/>
      <c r="RU65" s="1305"/>
      <c r="RV65" s="1305"/>
      <c r="RW65" s="1304"/>
      <c r="RX65" s="1304"/>
      <c r="RY65" s="1304"/>
      <c r="RZ65" s="1304"/>
      <c r="SA65" s="1304"/>
      <c r="SB65" s="1304"/>
      <c r="SC65" s="1304"/>
      <c r="SD65" s="1304"/>
      <c r="SE65" s="1305"/>
      <c r="SF65" s="1305"/>
      <c r="SG65" s="1304"/>
      <c r="SH65" s="1304"/>
      <c r="SI65" s="1304"/>
      <c r="SJ65" s="1304"/>
      <c r="SK65" s="1304"/>
      <c r="SL65" s="1304"/>
      <c r="SM65" s="1304"/>
      <c r="SN65" s="1304"/>
      <c r="SO65" s="1305"/>
      <c r="SP65" s="1305"/>
      <c r="SQ65" s="1304"/>
      <c r="SR65" s="1304"/>
      <c r="SS65" s="1304"/>
      <c r="ST65" s="1304"/>
      <c r="SU65" s="1304"/>
      <c r="SV65" s="1304"/>
      <c r="SW65" s="1304"/>
      <c r="SX65" s="1304"/>
      <c r="SY65" s="1305"/>
      <c r="SZ65" s="1305"/>
      <c r="TA65" s="1304"/>
      <c r="TB65" s="1304"/>
      <c r="TC65" s="1304"/>
      <c r="TD65" s="1304"/>
      <c r="TE65" s="1304"/>
      <c r="TF65" s="1304"/>
      <c r="TG65" s="1304"/>
      <c r="TH65" s="1304"/>
      <c r="TI65" s="1305"/>
      <c r="TJ65" s="1305"/>
      <c r="TK65" s="1304"/>
      <c r="TL65" s="1304"/>
      <c r="TM65" s="1304"/>
      <c r="TN65" s="1304"/>
      <c r="TO65" s="1304"/>
      <c r="TP65" s="1304"/>
      <c r="TQ65" s="1304"/>
      <c r="TR65" s="1304"/>
      <c r="TS65" s="1305"/>
      <c r="TT65" s="1305"/>
      <c r="TU65" s="1304"/>
      <c r="TV65" s="1304"/>
      <c r="TW65" s="1304"/>
      <c r="TX65" s="1304"/>
      <c r="TY65" s="1304"/>
      <c r="TZ65" s="1304"/>
      <c r="UA65" s="1304"/>
      <c r="UB65" s="1304"/>
      <c r="UC65" s="1305"/>
      <c r="UD65" s="1305"/>
      <c r="UE65" s="1304"/>
      <c r="UF65" s="1304"/>
      <c r="UG65" s="1304"/>
      <c r="UH65" s="1304"/>
      <c r="UI65" s="1304"/>
      <c r="UJ65" s="1304"/>
      <c r="UK65" s="1304"/>
      <c r="UL65" s="1304"/>
      <c r="UM65" s="1305"/>
      <c r="UN65" s="1305"/>
      <c r="UO65" s="1304"/>
      <c r="UP65" s="1304"/>
      <c r="UQ65" s="1304"/>
      <c r="UR65" s="1304"/>
      <c r="US65" s="1304"/>
      <c r="UT65" s="1304"/>
      <c r="UU65" s="1304"/>
      <c r="UV65" s="1304"/>
      <c r="UW65" s="1305"/>
      <c r="UX65" s="1305"/>
      <c r="UY65" s="1304"/>
      <c r="UZ65" s="1304"/>
      <c r="VA65" s="1304"/>
      <c r="VB65" s="1304"/>
      <c r="VC65" s="1304"/>
      <c r="VD65" s="1304"/>
      <c r="VE65" s="1304"/>
      <c r="VF65" s="1304"/>
      <c r="VG65" s="1305"/>
      <c r="VH65" s="1305"/>
      <c r="VI65" s="1304"/>
      <c r="VJ65" s="1304"/>
      <c r="VK65" s="1304"/>
      <c r="VL65" s="1304"/>
      <c r="VM65" s="1304"/>
      <c r="VN65" s="1304"/>
      <c r="VO65" s="1304"/>
      <c r="VP65" s="1304"/>
      <c r="VQ65" s="1305"/>
      <c r="VR65" s="1305"/>
      <c r="VS65" s="1304"/>
      <c r="VT65" s="1304"/>
      <c r="VU65" s="1304"/>
      <c r="VV65" s="1304"/>
      <c r="VW65" s="1304"/>
      <c r="VX65" s="1304"/>
      <c r="VY65" s="1304"/>
      <c r="VZ65" s="1304"/>
      <c r="WA65" s="1305"/>
      <c r="WB65" s="1305"/>
      <c r="WC65" s="1304"/>
      <c r="WD65" s="1304"/>
      <c r="WE65" s="1304"/>
      <c r="WF65" s="1304"/>
      <c r="WG65" s="1304"/>
      <c r="WH65" s="1304"/>
      <c r="WI65" s="1304"/>
      <c r="WJ65" s="1304"/>
      <c r="WK65" s="1305"/>
      <c r="WL65" s="1305"/>
      <c r="WM65" s="1304"/>
      <c r="WN65" s="1304"/>
      <c r="WO65" s="1304"/>
      <c r="WP65" s="1304"/>
      <c r="WQ65" s="1304"/>
      <c r="WR65" s="1304"/>
      <c r="WS65" s="1304"/>
      <c r="WT65" s="1304"/>
      <c r="WU65" s="1305"/>
      <c r="WV65" s="1305"/>
      <c r="WW65" s="1304"/>
      <c r="WX65" s="1304"/>
      <c r="WY65" s="1304"/>
      <c r="WZ65" s="1304"/>
      <c r="XA65" s="1304"/>
      <c r="XB65" s="1304"/>
      <c r="XC65" s="1304"/>
      <c r="XD65" s="1304"/>
      <c r="XE65" s="1305"/>
      <c r="XF65" s="1305"/>
      <c r="XG65" s="1304"/>
      <c r="XH65" s="1304"/>
      <c r="XI65" s="1304"/>
      <c r="XJ65" s="1304"/>
      <c r="XK65" s="1304"/>
      <c r="XL65" s="1304"/>
      <c r="XM65" s="1304"/>
      <c r="XN65" s="1304"/>
      <c r="XO65" s="1305"/>
      <c r="XP65" s="1305"/>
      <c r="XQ65" s="1304"/>
      <c r="XR65" s="1304"/>
      <c r="XS65" s="1304"/>
      <c r="XT65" s="1304"/>
      <c r="XU65" s="1304"/>
      <c r="XV65" s="1304"/>
      <c r="XW65" s="1304"/>
      <c r="XX65" s="1304"/>
      <c r="XY65" s="1305"/>
      <c r="XZ65" s="1305"/>
      <c r="YA65" s="1304"/>
      <c r="YB65" s="1304"/>
      <c r="YC65" s="1304"/>
      <c r="YD65" s="1304"/>
      <c r="YE65" s="1304"/>
      <c r="YF65" s="1304"/>
      <c r="YG65" s="1304"/>
      <c r="YH65" s="1304"/>
      <c r="YI65" s="1305"/>
      <c r="YJ65" s="1305"/>
      <c r="YK65" s="1304"/>
      <c r="YL65" s="1304"/>
      <c r="YM65" s="1304"/>
      <c r="YN65" s="1304"/>
      <c r="YO65" s="1304"/>
      <c r="YP65" s="1304"/>
      <c r="YQ65" s="1304"/>
      <c r="YR65" s="1304"/>
      <c r="YS65" s="1305"/>
      <c r="YT65" s="1305"/>
      <c r="YU65" s="1304"/>
      <c r="YV65" s="1304"/>
      <c r="YW65" s="1304"/>
      <c r="YX65" s="1304"/>
      <c r="YY65" s="1304"/>
      <c r="YZ65" s="1304"/>
      <c r="ZA65" s="1304"/>
      <c r="ZB65" s="1304"/>
      <c r="ZC65" s="1305"/>
      <c r="ZD65" s="1305"/>
      <c r="ZE65" s="1304"/>
      <c r="ZF65" s="1304"/>
      <c r="ZG65" s="1304"/>
      <c r="ZH65" s="1304"/>
      <c r="ZI65" s="1304"/>
      <c r="ZJ65" s="1304"/>
      <c r="ZK65" s="1304"/>
      <c r="ZL65" s="1304"/>
      <c r="ZM65" s="1305"/>
      <c r="ZN65" s="1305"/>
      <c r="ZO65" s="1304"/>
      <c r="ZP65" s="1304"/>
      <c r="ZQ65" s="1304"/>
      <c r="ZR65" s="1304"/>
      <c r="ZS65" s="1304"/>
      <c r="ZT65" s="1304"/>
      <c r="ZU65" s="1304"/>
      <c r="ZV65" s="1304"/>
      <c r="ZW65" s="1305"/>
      <c r="ZX65" s="1305"/>
      <c r="ZY65" s="1304"/>
      <c r="ZZ65" s="1304"/>
      <c r="AAA65" s="1304"/>
      <c r="AAB65" s="1304"/>
      <c r="AAC65" s="1304"/>
      <c r="AAD65" s="1304"/>
      <c r="AAE65" s="1304"/>
      <c r="AAF65" s="1304"/>
      <c r="AAG65" s="1305"/>
      <c r="AAH65" s="1305"/>
      <c r="AAI65" s="1304"/>
      <c r="AAJ65" s="1304"/>
      <c r="AAK65" s="1304"/>
      <c r="AAL65" s="1304"/>
      <c r="AAM65" s="1304"/>
      <c r="AAN65" s="1304"/>
      <c r="AAO65" s="1304"/>
      <c r="AAP65" s="1304"/>
      <c r="AAQ65" s="1305"/>
      <c r="AAR65" s="1305"/>
      <c r="AAS65" s="1304"/>
      <c r="AAT65" s="1304"/>
      <c r="AAU65" s="1304"/>
      <c r="AAV65" s="1304"/>
      <c r="AAW65" s="1304"/>
      <c r="AAX65" s="1304"/>
      <c r="AAY65" s="1304"/>
      <c r="AAZ65" s="1304"/>
      <c r="ABA65" s="1305"/>
      <c r="ABB65" s="1305"/>
      <c r="ABC65" s="1304"/>
      <c r="ABD65" s="1304"/>
      <c r="ABE65" s="1304"/>
      <c r="ABF65" s="1304"/>
      <c r="ABG65" s="1304"/>
      <c r="ABH65" s="1304"/>
      <c r="ABI65" s="1304"/>
      <c r="ABJ65" s="1304"/>
      <c r="ABK65" s="1305"/>
      <c r="ABL65" s="1305"/>
      <c r="ABM65" s="1304"/>
      <c r="ABN65" s="1304"/>
      <c r="ABO65" s="1304"/>
      <c r="ABP65" s="1304"/>
      <c r="ABQ65" s="1304"/>
      <c r="ABR65" s="1304"/>
      <c r="ABS65" s="1304"/>
      <c r="ABT65" s="1304"/>
      <c r="ABU65" s="1305"/>
      <c r="ABV65" s="1305"/>
      <c r="ABW65" s="1304"/>
      <c r="ABX65" s="1304"/>
      <c r="ABY65" s="1304"/>
      <c r="ABZ65" s="1304"/>
      <c r="ACA65" s="1304"/>
      <c r="ACB65" s="1304"/>
      <c r="ACC65" s="1304"/>
      <c r="ACD65" s="1304"/>
      <c r="ACE65" s="1305"/>
      <c r="ACF65" s="1305"/>
      <c r="ACG65" s="1304"/>
      <c r="ACH65" s="1304"/>
      <c r="ACI65" s="1304"/>
      <c r="ACJ65" s="1304"/>
      <c r="ACK65" s="1304"/>
      <c r="ACL65" s="1304"/>
      <c r="ACM65" s="1304"/>
      <c r="ACN65" s="1304"/>
      <c r="ACO65" s="1305"/>
      <c r="ACP65" s="1305"/>
      <c r="ACQ65" s="1304"/>
      <c r="ACR65" s="1304"/>
      <c r="ACS65" s="1304"/>
      <c r="ACT65" s="1304"/>
      <c r="ACU65" s="1304"/>
      <c r="ACV65" s="1304"/>
      <c r="ACW65" s="1304"/>
      <c r="ACX65" s="1304"/>
      <c r="ACY65" s="1305"/>
      <c r="ACZ65" s="1305"/>
      <c r="ADA65" s="1304"/>
      <c r="ADB65" s="1304"/>
      <c r="ADC65" s="1304"/>
      <c r="ADD65" s="1304"/>
      <c r="ADE65" s="1304"/>
      <c r="ADF65" s="1304"/>
      <c r="ADG65" s="1304"/>
      <c r="ADH65" s="1304"/>
      <c r="ADI65" s="1305"/>
      <c r="ADJ65" s="1305"/>
      <c r="ADK65" s="1304"/>
      <c r="ADL65" s="1304"/>
      <c r="ADM65" s="1304"/>
      <c r="ADN65" s="1304"/>
      <c r="ADO65" s="1304"/>
      <c r="ADP65" s="1304"/>
      <c r="ADQ65" s="1304"/>
      <c r="ADR65" s="1304"/>
      <c r="ADS65" s="1305"/>
      <c r="ADT65" s="1305"/>
      <c r="ADU65" s="1304"/>
      <c r="ADV65" s="1304"/>
      <c r="ADW65" s="1304"/>
      <c r="ADX65" s="1304"/>
      <c r="ADY65" s="1304"/>
      <c r="ADZ65" s="1304"/>
      <c r="AEA65" s="1304"/>
      <c r="AEB65" s="1304"/>
      <c r="AEC65" s="1305"/>
      <c r="AED65" s="1305"/>
      <c r="AEE65" s="1304"/>
      <c r="AEF65" s="1304"/>
      <c r="AEG65" s="1304"/>
      <c r="AEH65" s="1304"/>
      <c r="AEI65" s="1304"/>
      <c r="AEJ65" s="1304"/>
      <c r="AEK65" s="1304"/>
      <c r="AEL65" s="1304"/>
      <c r="AEM65" s="1305"/>
      <c r="AEN65" s="1305"/>
      <c r="AEO65" s="1304"/>
      <c r="AEP65" s="1304"/>
      <c r="AEQ65" s="1304"/>
      <c r="AER65" s="1304"/>
      <c r="AES65" s="1304"/>
      <c r="AET65" s="1304"/>
      <c r="AEU65" s="1304"/>
      <c r="AEV65" s="1304"/>
      <c r="AEW65" s="1305"/>
      <c r="AEX65" s="1305"/>
      <c r="AEY65" s="1304"/>
      <c r="AEZ65" s="1304"/>
      <c r="AFA65" s="1304"/>
      <c r="AFB65" s="1304"/>
      <c r="AFC65" s="1304"/>
      <c r="AFD65" s="1304"/>
      <c r="AFE65" s="1304"/>
      <c r="AFF65" s="1304"/>
      <c r="AFG65" s="1305"/>
      <c r="AFH65" s="1305"/>
      <c r="AFI65" s="1304"/>
      <c r="AFJ65" s="1304"/>
      <c r="AFK65" s="1304"/>
      <c r="AFL65" s="1304"/>
      <c r="AFM65" s="1304"/>
      <c r="AFN65" s="1304"/>
      <c r="AFO65" s="1304"/>
      <c r="AFP65" s="1304"/>
      <c r="AFQ65" s="1305"/>
      <c r="AFR65" s="1305"/>
      <c r="AFS65" s="1304"/>
      <c r="AFT65" s="1304"/>
      <c r="AFU65" s="1304"/>
      <c r="AFV65" s="1304"/>
      <c r="AFW65" s="1304"/>
      <c r="AFX65" s="1304"/>
      <c r="AFY65" s="1304"/>
      <c r="AFZ65" s="1304"/>
      <c r="AGA65" s="1305"/>
      <c r="AGB65" s="1305"/>
      <c r="AGC65" s="1304"/>
      <c r="AGD65" s="1304"/>
      <c r="AGE65" s="1304"/>
      <c r="AGF65" s="1304"/>
      <c r="AGG65" s="1304"/>
      <c r="AGH65" s="1304"/>
      <c r="AGI65" s="1304"/>
      <c r="AGJ65" s="1304"/>
      <c r="AGK65" s="1305"/>
      <c r="AGL65" s="1305"/>
      <c r="AGM65" s="1304"/>
      <c r="AGN65" s="1304"/>
      <c r="AGO65" s="1304"/>
      <c r="AGP65" s="1304"/>
      <c r="AGQ65" s="1304"/>
      <c r="AGR65" s="1304"/>
      <c r="AGS65" s="1304"/>
      <c r="AGT65" s="1304"/>
      <c r="AGU65" s="1305"/>
      <c r="AGV65" s="1305"/>
      <c r="AGW65" s="1304"/>
      <c r="AGX65" s="1304"/>
      <c r="AGY65" s="1304"/>
      <c r="AGZ65" s="1304"/>
      <c r="AHA65" s="1304"/>
      <c r="AHB65" s="1304"/>
      <c r="AHC65" s="1304"/>
      <c r="AHD65" s="1304"/>
      <c r="AHE65" s="1305"/>
      <c r="AHF65" s="1305"/>
      <c r="AHG65" s="1304"/>
      <c r="AHH65" s="1304"/>
      <c r="AHI65" s="1304"/>
      <c r="AHJ65" s="1304"/>
      <c r="AHK65" s="1304"/>
      <c r="AHL65" s="1304"/>
      <c r="AHM65" s="1304"/>
      <c r="AHN65" s="1304"/>
      <c r="AHO65" s="1305"/>
      <c r="AHP65" s="1305"/>
      <c r="AHQ65" s="1304"/>
      <c r="AHR65" s="1304"/>
      <c r="AHS65" s="1304"/>
      <c r="AHT65" s="1304"/>
      <c r="AHU65" s="1304"/>
      <c r="AHV65" s="1304"/>
      <c r="AHW65" s="1304"/>
      <c r="AHX65" s="1304"/>
      <c r="AHY65" s="1305"/>
      <c r="AHZ65" s="1305"/>
      <c r="AIA65" s="1304"/>
      <c r="AIB65" s="1304"/>
      <c r="AIC65" s="1304"/>
      <c r="AID65" s="1304"/>
      <c r="AIE65" s="1304"/>
      <c r="AIF65" s="1304"/>
      <c r="AIG65" s="1304"/>
      <c r="AIH65" s="1304"/>
      <c r="AII65" s="1305"/>
      <c r="AIJ65" s="1305"/>
      <c r="AIK65" s="1304"/>
      <c r="AIL65" s="1304"/>
      <c r="AIM65" s="1304"/>
      <c r="AIN65" s="1304"/>
      <c r="AIO65" s="1304"/>
      <c r="AIP65" s="1304"/>
      <c r="AIQ65" s="1304"/>
      <c r="AIR65" s="1304"/>
      <c r="AIS65" s="1305"/>
      <c r="AIT65" s="1305"/>
      <c r="AIU65" s="1304"/>
      <c r="AIV65" s="1304"/>
      <c r="AIW65" s="1304"/>
      <c r="AIX65" s="1304"/>
      <c r="AIY65" s="1304"/>
      <c r="AIZ65" s="1304"/>
      <c r="AJA65" s="1304"/>
      <c r="AJB65" s="1304"/>
      <c r="AJC65" s="1305"/>
      <c r="AJD65" s="1305"/>
      <c r="AJE65" s="1304"/>
      <c r="AJF65" s="1304"/>
      <c r="AJG65" s="1304"/>
      <c r="AJH65" s="1304"/>
      <c r="AJI65" s="1304"/>
      <c r="AJJ65" s="1304"/>
      <c r="AJK65" s="1304"/>
      <c r="AJL65" s="1304"/>
      <c r="AJM65" s="1305"/>
      <c r="AJN65" s="1305"/>
      <c r="AJO65" s="1304"/>
      <c r="AJP65" s="1304"/>
      <c r="AJQ65" s="1304"/>
      <c r="AJR65" s="1304"/>
      <c r="AJS65" s="1304"/>
      <c r="AJT65" s="1304"/>
      <c r="AJU65" s="1304"/>
      <c r="AJV65" s="1304"/>
      <c r="AJW65" s="1305"/>
      <c r="AJX65" s="1305"/>
      <c r="AJY65" s="1304"/>
      <c r="AJZ65" s="1304"/>
      <c r="AKA65" s="1304"/>
      <c r="AKB65" s="1304"/>
      <c r="AKC65" s="1304"/>
      <c r="AKD65" s="1304"/>
      <c r="AKE65" s="1304"/>
      <c r="AKF65" s="1304"/>
      <c r="AKG65" s="1305"/>
      <c r="AKH65" s="1305"/>
      <c r="AKI65" s="1304"/>
      <c r="AKJ65" s="1304"/>
      <c r="AKK65" s="1304"/>
      <c r="AKL65" s="1304"/>
      <c r="AKM65" s="1304"/>
      <c r="AKN65" s="1304"/>
      <c r="AKO65" s="1304"/>
      <c r="AKP65" s="1304"/>
      <c r="AKQ65" s="1305"/>
      <c r="AKR65" s="1305"/>
      <c r="AKS65" s="1304"/>
      <c r="AKT65" s="1304"/>
      <c r="AKU65" s="1304"/>
      <c r="AKV65" s="1304"/>
      <c r="AKW65" s="1304"/>
      <c r="AKX65" s="1304"/>
      <c r="AKY65" s="1304"/>
      <c r="AKZ65" s="1304"/>
      <c r="ALA65" s="1305"/>
      <c r="ALB65" s="1305"/>
      <c r="ALC65" s="1304"/>
      <c r="ALD65" s="1304"/>
      <c r="ALE65" s="1304"/>
      <c r="ALF65" s="1304"/>
      <c r="ALG65" s="1304"/>
      <c r="ALH65" s="1304"/>
      <c r="ALI65" s="1304"/>
      <c r="ALJ65" s="1304"/>
      <c r="ALK65" s="1305"/>
      <c r="ALL65" s="1305"/>
      <c r="ALM65" s="1304"/>
      <c r="ALN65" s="1304"/>
      <c r="ALO65" s="1304"/>
      <c r="ALP65" s="1304"/>
      <c r="ALQ65" s="1304"/>
      <c r="ALR65" s="1304"/>
      <c r="ALS65" s="1304"/>
      <c r="ALT65" s="1304"/>
      <c r="ALU65" s="1305"/>
      <c r="ALV65" s="1305"/>
      <c r="ALW65" s="1304"/>
      <c r="ALX65" s="1304"/>
      <c r="ALY65" s="1304"/>
      <c r="ALZ65" s="1304"/>
      <c r="AMA65" s="1304"/>
      <c r="AMB65" s="1304"/>
      <c r="AMC65" s="1304"/>
      <c r="AMD65" s="1304"/>
      <c r="AME65" s="1305"/>
      <c r="AMF65" s="1305"/>
      <c r="AMG65" s="1304"/>
      <c r="AMH65" s="1304"/>
      <c r="AMI65" s="1304"/>
      <c r="AMJ65" s="1304"/>
      <c r="AMK65" s="1304"/>
      <c r="AML65" s="1304"/>
      <c r="AMM65" s="1304"/>
      <c r="AMN65" s="1304"/>
      <c r="AMO65" s="1305"/>
      <c r="AMP65" s="1305"/>
      <c r="AMQ65" s="1304"/>
      <c r="AMR65" s="1304"/>
      <c r="AMS65" s="1304"/>
      <c r="AMT65" s="1304"/>
      <c r="AMU65" s="1304"/>
      <c r="AMV65" s="1304"/>
      <c r="AMW65" s="1304"/>
      <c r="AMX65" s="1304"/>
      <c r="AMY65" s="1305"/>
      <c r="AMZ65" s="1305"/>
      <c r="ANA65" s="1304"/>
      <c r="ANB65" s="1304"/>
      <c r="ANC65" s="1304"/>
      <c r="AND65" s="1304"/>
      <c r="ANE65" s="1304"/>
      <c r="ANF65" s="1304"/>
      <c r="ANG65" s="1304"/>
      <c r="ANH65" s="1304"/>
      <c r="ANI65" s="1305"/>
      <c r="ANJ65" s="1305"/>
      <c r="ANK65" s="1304"/>
      <c r="ANL65" s="1304"/>
      <c r="ANM65" s="1304"/>
      <c r="ANN65" s="1304"/>
      <c r="ANO65" s="1304"/>
      <c r="ANP65" s="1304"/>
      <c r="ANQ65" s="1304"/>
      <c r="ANR65" s="1304"/>
      <c r="ANS65" s="1305"/>
      <c r="ANT65" s="1305"/>
      <c r="ANU65" s="1304"/>
      <c r="ANV65" s="1304"/>
      <c r="ANW65" s="1304"/>
      <c r="ANX65" s="1304"/>
      <c r="ANY65" s="1304"/>
      <c r="ANZ65" s="1304"/>
      <c r="AOA65" s="1304"/>
      <c r="AOB65" s="1304"/>
      <c r="AOC65" s="1305"/>
      <c r="AOD65" s="1305"/>
      <c r="AOE65" s="1304"/>
      <c r="AOF65" s="1304"/>
      <c r="AOG65" s="1304"/>
      <c r="AOH65" s="1304"/>
      <c r="AOI65" s="1304"/>
      <c r="AOJ65" s="1304"/>
      <c r="AOK65" s="1304"/>
      <c r="AOL65" s="1304"/>
      <c r="AOM65" s="1305"/>
      <c r="AON65" s="1305"/>
      <c r="AOO65" s="1304"/>
      <c r="AOP65" s="1304"/>
      <c r="AOQ65" s="1304"/>
      <c r="AOR65" s="1304"/>
      <c r="AOS65" s="1304"/>
      <c r="AOT65" s="1304"/>
      <c r="AOU65" s="1304"/>
      <c r="AOV65" s="1304"/>
      <c r="AOW65" s="1305"/>
      <c r="AOX65" s="1305"/>
      <c r="AOY65" s="1304"/>
      <c r="AOZ65" s="1304"/>
      <c r="APA65" s="1304"/>
      <c r="APB65" s="1304"/>
      <c r="APC65" s="1304"/>
      <c r="APD65" s="1304"/>
      <c r="APE65" s="1304"/>
      <c r="APF65" s="1304"/>
      <c r="APG65" s="1305"/>
      <c r="APH65" s="1305"/>
      <c r="API65" s="1304"/>
      <c r="APJ65" s="1304"/>
      <c r="APK65" s="1304"/>
      <c r="APL65" s="1304"/>
      <c r="APM65" s="1304"/>
      <c r="APN65" s="1304"/>
      <c r="APO65" s="1304"/>
      <c r="APP65" s="1304"/>
      <c r="APQ65" s="1305"/>
      <c r="APR65" s="1305"/>
      <c r="APS65" s="1304"/>
      <c r="APT65" s="1304"/>
      <c r="APU65" s="1304"/>
      <c r="APV65" s="1304"/>
      <c r="APW65" s="1304"/>
      <c r="APX65" s="1304"/>
      <c r="APY65" s="1304"/>
      <c r="APZ65" s="1304"/>
      <c r="AQA65" s="1305"/>
      <c r="AQB65" s="1305"/>
      <c r="AQC65" s="1304"/>
      <c r="AQD65" s="1304"/>
      <c r="AQE65" s="1304"/>
      <c r="AQF65" s="1304"/>
      <c r="AQG65" s="1304"/>
      <c r="AQH65" s="1304"/>
      <c r="AQI65" s="1304"/>
      <c r="AQJ65" s="1304"/>
      <c r="AQK65" s="1305"/>
      <c r="AQL65" s="1305"/>
      <c r="AQM65" s="1304"/>
      <c r="AQN65" s="1304"/>
      <c r="AQO65" s="1304"/>
      <c r="AQP65" s="1304"/>
      <c r="AQQ65" s="1304"/>
      <c r="AQR65" s="1304"/>
      <c r="AQS65" s="1304"/>
      <c r="AQT65" s="1304"/>
      <c r="AQU65" s="1305"/>
      <c r="AQV65" s="1305"/>
      <c r="AQW65" s="1304"/>
      <c r="AQX65" s="1304"/>
      <c r="AQY65" s="1304"/>
      <c r="AQZ65" s="1304"/>
      <c r="ARA65" s="1304"/>
      <c r="ARB65" s="1304"/>
      <c r="ARC65" s="1304"/>
      <c r="ARD65" s="1304"/>
      <c r="ARE65" s="1305"/>
      <c r="ARF65" s="1305"/>
      <c r="ARG65" s="1304"/>
      <c r="ARH65" s="1304"/>
      <c r="ARI65" s="1304"/>
      <c r="ARJ65" s="1304"/>
      <c r="ARK65" s="1304"/>
      <c r="ARL65" s="1304"/>
      <c r="ARM65" s="1304"/>
      <c r="ARN65" s="1304"/>
      <c r="ARO65" s="1305"/>
      <c r="ARP65" s="1305"/>
      <c r="ARQ65" s="1304"/>
      <c r="ARR65" s="1304"/>
      <c r="ARS65" s="1304"/>
      <c r="ART65" s="1304"/>
      <c r="ARU65" s="1304"/>
      <c r="ARV65" s="1304"/>
      <c r="ARW65" s="1304"/>
      <c r="ARX65" s="1304"/>
      <c r="ARY65" s="1305"/>
      <c r="ARZ65" s="1305"/>
      <c r="ASA65" s="1304"/>
      <c r="ASB65" s="1304"/>
      <c r="ASC65" s="1304"/>
      <c r="ASD65" s="1304"/>
      <c r="ASE65" s="1304"/>
      <c r="ASF65" s="1304"/>
      <c r="ASG65" s="1304"/>
      <c r="ASH65" s="1304"/>
      <c r="ASI65" s="1305"/>
      <c r="ASJ65" s="1305"/>
      <c r="ASK65" s="1304"/>
      <c r="ASL65" s="1304"/>
      <c r="ASM65" s="1304"/>
      <c r="ASN65" s="1304"/>
      <c r="ASO65" s="1304"/>
      <c r="ASP65" s="1304"/>
      <c r="ASQ65" s="1304"/>
      <c r="ASR65" s="1304"/>
      <c r="ASS65" s="1305"/>
      <c r="AST65" s="1305"/>
      <c r="ASU65" s="1304"/>
      <c r="ASV65" s="1304"/>
      <c r="ASW65" s="1304"/>
      <c r="ASX65" s="1304"/>
      <c r="ASY65" s="1304"/>
      <c r="ASZ65" s="1304"/>
      <c r="ATA65" s="1304"/>
      <c r="ATB65" s="1304"/>
      <c r="ATC65" s="1305"/>
      <c r="ATD65" s="1305"/>
      <c r="ATE65" s="1304"/>
      <c r="ATF65" s="1304"/>
      <c r="ATG65" s="1304"/>
      <c r="ATH65" s="1304"/>
      <c r="ATI65" s="1304"/>
      <c r="ATJ65" s="1304"/>
      <c r="ATK65" s="1304"/>
      <c r="ATL65" s="1304"/>
      <c r="ATM65" s="1305"/>
      <c r="ATN65" s="1305"/>
      <c r="ATO65" s="1304"/>
      <c r="ATP65" s="1304"/>
      <c r="ATQ65" s="1304"/>
      <c r="ATR65" s="1304"/>
      <c r="ATS65" s="1304"/>
      <c r="ATT65" s="1304"/>
      <c r="ATU65" s="1304"/>
      <c r="ATV65" s="1304"/>
      <c r="ATW65" s="1305"/>
      <c r="ATX65" s="1305"/>
      <c r="ATY65" s="1304"/>
      <c r="ATZ65" s="1304"/>
      <c r="AUA65" s="1304"/>
      <c r="AUB65" s="1304"/>
      <c r="AUC65" s="1304"/>
      <c r="AUD65" s="1304"/>
      <c r="AUE65" s="1304"/>
      <c r="AUF65" s="1304"/>
      <c r="AUG65" s="1305"/>
      <c r="AUH65" s="1305"/>
      <c r="AUI65" s="1304"/>
      <c r="AUJ65" s="1304"/>
      <c r="AUK65" s="1304"/>
      <c r="AUL65" s="1304"/>
      <c r="AUM65" s="1304"/>
      <c r="AUN65" s="1304"/>
      <c r="AUO65" s="1304"/>
      <c r="AUP65" s="1304"/>
      <c r="AUQ65" s="1305"/>
      <c r="AUR65" s="1305"/>
      <c r="AUS65" s="1304"/>
      <c r="AUT65" s="1304"/>
      <c r="AUU65" s="1304"/>
      <c r="AUV65" s="1304"/>
      <c r="AUW65" s="1304"/>
      <c r="AUX65" s="1304"/>
      <c r="AUY65" s="1304"/>
      <c r="AUZ65" s="1304"/>
      <c r="AVA65" s="1305"/>
      <c r="AVB65" s="1305"/>
      <c r="AVC65" s="1304"/>
      <c r="AVD65" s="1304"/>
      <c r="AVE65" s="1304"/>
      <c r="AVF65" s="1304"/>
      <c r="AVG65" s="1304"/>
      <c r="AVH65" s="1304"/>
      <c r="AVI65" s="1304"/>
      <c r="AVJ65" s="1304"/>
      <c r="AVK65" s="1305"/>
      <c r="AVL65" s="1305"/>
      <c r="AVM65" s="1304"/>
      <c r="AVN65" s="1304"/>
      <c r="AVO65" s="1304"/>
      <c r="AVP65" s="1304"/>
      <c r="AVQ65" s="1304"/>
      <c r="AVR65" s="1304"/>
      <c r="AVS65" s="1304"/>
      <c r="AVT65" s="1304"/>
      <c r="AVU65" s="1305"/>
      <c r="AVV65" s="1305"/>
      <c r="AVW65" s="1304"/>
      <c r="AVX65" s="1304"/>
      <c r="AVY65" s="1304"/>
      <c r="AVZ65" s="1304"/>
      <c r="AWA65" s="1304"/>
      <c r="AWB65" s="1304"/>
      <c r="AWC65" s="1304"/>
      <c r="AWD65" s="1304"/>
      <c r="AWE65" s="1305"/>
      <c r="AWF65" s="1305"/>
      <c r="AWG65" s="1304"/>
      <c r="AWH65" s="1304"/>
      <c r="AWI65" s="1304"/>
      <c r="AWJ65" s="1304"/>
      <c r="AWK65" s="1304"/>
      <c r="AWL65" s="1304"/>
      <c r="AWM65" s="1304"/>
      <c r="AWN65" s="1304"/>
      <c r="AWO65" s="1305"/>
      <c r="AWP65" s="1305"/>
      <c r="AWQ65" s="1304"/>
      <c r="AWR65" s="1304"/>
      <c r="AWS65" s="1304"/>
      <c r="AWT65" s="1304"/>
      <c r="AWU65" s="1304"/>
      <c r="AWV65" s="1304"/>
      <c r="AWW65" s="1304"/>
      <c r="AWX65" s="1304"/>
      <c r="AWY65" s="1305"/>
      <c r="AWZ65" s="1305"/>
      <c r="AXA65" s="1304"/>
      <c r="AXB65" s="1304"/>
      <c r="AXC65" s="1304"/>
      <c r="AXD65" s="1304"/>
      <c r="AXE65" s="1304"/>
      <c r="AXF65" s="1304"/>
      <c r="AXG65" s="1304"/>
      <c r="AXH65" s="1304"/>
      <c r="AXI65" s="1305"/>
      <c r="AXJ65" s="1305"/>
      <c r="AXK65" s="1304"/>
      <c r="AXL65" s="1304"/>
      <c r="AXM65" s="1304"/>
      <c r="AXN65" s="1304"/>
      <c r="AXO65" s="1304"/>
      <c r="AXP65" s="1304"/>
      <c r="AXQ65" s="1304"/>
      <c r="AXR65" s="1304"/>
      <c r="AXS65" s="1305"/>
      <c r="AXT65" s="1305"/>
      <c r="AXU65" s="1304"/>
      <c r="AXV65" s="1304"/>
      <c r="AXW65" s="1304"/>
      <c r="AXX65" s="1304"/>
      <c r="AXY65" s="1304"/>
      <c r="AXZ65" s="1304"/>
      <c r="AYA65" s="1304"/>
      <c r="AYB65" s="1304"/>
      <c r="AYC65" s="1305"/>
      <c r="AYD65" s="1305"/>
      <c r="AYE65" s="1304"/>
      <c r="AYF65" s="1304"/>
      <c r="AYG65" s="1304"/>
      <c r="AYH65" s="1304"/>
      <c r="AYI65" s="1304"/>
      <c r="AYJ65" s="1304"/>
      <c r="AYK65" s="1304"/>
      <c r="AYL65" s="1304"/>
      <c r="AYM65" s="1305"/>
      <c r="AYN65" s="1305"/>
      <c r="AYO65" s="1304"/>
      <c r="AYP65" s="1304"/>
      <c r="AYQ65" s="1304"/>
      <c r="AYR65" s="1304"/>
      <c r="AYS65" s="1304"/>
      <c r="AYT65" s="1304"/>
      <c r="AYU65" s="1304"/>
      <c r="AYV65" s="1304"/>
      <c r="AYW65" s="1305"/>
      <c r="AYX65" s="1305"/>
      <c r="AYY65" s="1304"/>
      <c r="AYZ65" s="1304"/>
      <c r="AZA65" s="1304"/>
      <c r="AZB65" s="1304"/>
      <c r="AZC65" s="1304"/>
      <c r="AZD65" s="1304"/>
      <c r="AZE65" s="1304"/>
      <c r="AZF65" s="1304"/>
      <c r="AZG65" s="1305"/>
      <c r="AZH65" s="1305"/>
      <c r="AZI65" s="1304"/>
      <c r="AZJ65" s="1304"/>
      <c r="AZK65" s="1304"/>
      <c r="AZL65" s="1304"/>
      <c r="AZM65" s="1304"/>
      <c r="AZN65" s="1304"/>
      <c r="AZO65" s="1304"/>
      <c r="AZP65" s="1304"/>
      <c r="AZQ65" s="1305"/>
      <c r="AZR65" s="1305"/>
      <c r="AZS65" s="1304"/>
      <c r="AZT65" s="1304"/>
      <c r="AZU65" s="1304"/>
      <c r="AZV65" s="1304"/>
      <c r="AZW65" s="1304"/>
      <c r="AZX65" s="1304"/>
      <c r="AZY65" s="1304"/>
      <c r="AZZ65" s="1304"/>
      <c r="BAA65" s="1305"/>
      <c r="BAB65" s="1305"/>
      <c r="BAC65" s="1304"/>
      <c r="BAD65" s="1304"/>
      <c r="BAE65" s="1304"/>
      <c r="BAF65" s="1304"/>
      <c r="BAG65" s="1304"/>
      <c r="BAH65" s="1304"/>
      <c r="BAI65" s="1304"/>
      <c r="BAJ65" s="1304"/>
      <c r="BAK65" s="1305"/>
      <c r="BAL65" s="1305"/>
      <c r="BAM65" s="1304"/>
      <c r="BAN65" s="1304"/>
      <c r="BAO65" s="1304"/>
      <c r="BAP65" s="1304"/>
      <c r="BAQ65" s="1304"/>
      <c r="BAR65" s="1304"/>
      <c r="BAS65" s="1304"/>
      <c r="BAT65" s="1304"/>
      <c r="BAU65" s="1305"/>
      <c r="BAV65" s="1305"/>
      <c r="BAW65" s="1304"/>
      <c r="BAX65" s="1304"/>
      <c r="BAY65" s="1304"/>
      <c r="BAZ65" s="1304"/>
      <c r="BBA65" s="1304"/>
      <c r="BBB65" s="1304"/>
      <c r="BBC65" s="1304"/>
      <c r="BBD65" s="1304"/>
      <c r="BBE65" s="1305"/>
      <c r="BBF65" s="1305"/>
      <c r="BBG65" s="1304"/>
      <c r="BBH65" s="1304"/>
      <c r="BBI65" s="1304"/>
      <c r="BBJ65" s="1304"/>
      <c r="BBK65" s="1304"/>
      <c r="BBL65" s="1304"/>
      <c r="BBM65" s="1304"/>
      <c r="BBN65" s="1304"/>
      <c r="BBO65" s="1305"/>
      <c r="BBP65" s="1305"/>
      <c r="BBQ65" s="1304"/>
      <c r="BBR65" s="1304"/>
      <c r="BBS65" s="1304"/>
      <c r="BBT65" s="1304"/>
      <c r="BBU65" s="1304"/>
      <c r="BBV65" s="1304"/>
      <c r="BBW65" s="1304"/>
      <c r="BBX65" s="1304"/>
      <c r="BBY65" s="1305"/>
      <c r="BBZ65" s="1305"/>
      <c r="BCA65" s="1304"/>
      <c r="BCB65" s="1304"/>
      <c r="BCC65" s="1304"/>
      <c r="BCD65" s="1304"/>
      <c r="BCE65" s="1304"/>
      <c r="BCF65" s="1304"/>
      <c r="BCG65" s="1304"/>
      <c r="BCH65" s="1304"/>
      <c r="BCI65" s="1305"/>
      <c r="BCJ65" s="1305"/>
      <c r="BCK65" s="1304"/>
      <c r="BCL65" s="1304"/>
      <c r="BCM65" s="1304"/>
      <c r="BCN65" s="1304"/>
      <c r="BCO65" s="1304"/>
      <c r="BCP65" s="1304"/>
      <c r="BCQ65" s="1304"/>
      <c r="BCR65" s="1304"/>
      <c r="BCS65" s="1305"/>
      <c r="BCT65" s="1305"/>
      <c r="BCU65" s="1304"/>
      <c r="BCV65" s="1304"/>
      <c r="BCW65" s="1304"/>
      <c r="BCX65" s="1304"/>
      <c r="BCY65" s="1304"/>
      <c r="BCZ65" s="1304"/>
      <c r="BDA65" s="1304"/>
      <c r="BDB65" s="1304"/>
      <c r="BDC65" s="1305"/>
      <c r="BDD65" s="1305"/>
      <c r="BDE65" s="1304"/>
      <c r="BDF65" s="1304"/>
      <c r="BDG65" s="1304"/>
      <c r="BDH65" s="1304"/>
      <c r="BDI65" s="1304"/>
      <c r="BDJ65" s="1304"/>
      <c r="BDK65" s="1304"/>
      <c r="BDL65" s="1304"/>
      <c r="BDM65" s="1305"/>
      <c r="BDN65" s="1305"/>
      <c r="BDO65" s="1304"/>
      <c r="BDP65" s="1304"/>
      <c r="BDQ65" s="1304"/>
      <c r="BDR65" s="1304"/>
      <c r="BDS65" s="1304"/>
      <c r="BDT65" s="1304"/>
      <c r="BDU65" s="1304"/>
      <c r="BDV65" s="1304"/>
      <c r="BDW65" s="1305"/>
      <c r="BDX65" s="1305"/>
      <c r="BDY65" s="1304"/>
      <c r="BDZ65" s="1304"/>
      <c r="BEA65" s="1304"/>
      <c r="BEB65" s="1304"/>
      <c r="BEC65" s="1304"/>
      <c r="BED65" s="1304"/>
      <c r="BEE65" s="1304"/>
      <c r="BEF65" s="1304"/>
      <c r="BEG65" s="1305"/>
      <c r="BEH65" s="1305"/>
      <c r="BEI65" s="1304"/>
      <c r="BEJ65" s="1304"/>
      <c r="BEK65" s="1304"/>
      <c r="BEL65" s="1304"/>
      <c r="BEM65" s="1304"/>
      <c r="BEN65" s="1304"/>
      <c r="BEO65" s="1304"/>
      <c r="BEP65" s="1304"/>
      <c r="BEQ65" s="1305"/>
      <c r="BER65" s="1305"/>
      <c r="BES65" s="1304"/>
      <c r="BET65" s="1304"/>
      <c r="BEU65" s="1304"/>
      <c r="BEV65" s="1304"/>
      <c r="BEW65" s="1304"/>
      <c r="BEX65" s="1304"/>
      <c r="BEY65" s="1304"/>
      <c r="BEZ65" s="1304"/>
      <c r="BFA65" s="1305"/>
      <c r="BFB65" s="1305"/>
      <c r="BFC65" s="1304"/>
      <c r="BFD65" s="1304"/>
      <c r="BFE65" s="1304"/>
      <c r="BFF65" s="1304"/>
      <c r="BFG65" s="1304"/>
      <c r="BFH65" s="1304"/>
      <c r="BFI65" s="1304"/>
      <c r="BFJ65" s="1304"/>
      <c r="BFK65" s="1305"/>
      <c r="BFL65" s="1305"/>
      <c r="BFM65" s="1304"/>
      <c r="BFN65" s="1304"/>
      <c r="BFO65" s="1304"/>
      <c r="BFP65" s="1304"/>
      <c r="BFQ65" s="1304"/>
      <c r="BFR65" s="1304"/>
      <c r="BFS65" s="1304"/>
      <c r="BFT65" s="1304"/>
      <c r="BFU65" s="1305"/>
      <c r="BFV65" s="1305"/>
      <c r="BFW65" s="1304"/>
      <c r="BFX65" s="1304"/>
      <c r="BFY65" s="1304"/>
      <c r="BFZ65" s="1304"/>
      <c r="BGA65" s="1304"/>
      <c r="BGB65" s="1304"/>
      <c r="BGC65" s="1304"/>
      <c r="BGD65" s="1304"/>
      <c r="BGE65" s="1305"/>
      <c r="BGF65" s="1305"/>
      <c r="BGG65" s="1304"/>
      <c r="BGH65" s="1304"/>
      <c r="BGI65" s="1304"/>
      <c r="BGJ65" s="1304"/>
      <c r="BGK65" s="1304"/>
      <c r="BGL65" s="1304"/>
      <c r="BGM65" s="1304"/>
      <c r="BGN65" s="1304"/>
      <c r="BGO65" s="1305"/>
      <c r="BGP65" s="1305"/>
      <c r="BGQ65" s="1304"/>
      <c r="BGR65" s="1304"/>
      <c r="BGS65" s="1304"/>
      <c r="BGT65" s="1304"/>
      <c r="BGU65" s="1304"/>
      <c r="BGV65" s="1304"/>
      <c r="BGW65" s="1304"/>
      <c r="BGX65" s="1304"/>
      <c r="BGY65" s="1305"/>
      <c r="BGZ65" s="1305"/>
      <c r="BHA65" s="1304"/>
      <c r="BHB65" s="1304"/>
      <c r="BHC65" s="1304"/>
      <c r="BHD65" s="1304"/>
      <c r="BHE65" s="1304"/>
      <c r="BHF65" s="1304"/>
      <c r="BHG65" s="1304"/>
      <c r="BHH65" s="1304"/>
      <c r="BHI65" s="1305"/>
      <c r="BHJ65" s="1305"/>
      <c r="BHK65" s="1304"/>
      <c r="BHL65" s="1304"/>
      <c r="BHM65" s="1304"/>
      <c r="BHN65" s="1304"/>
      <c r="BHO65" s="1304"/>
      <c r="BHP65" s="1304"/>
      <c r="BHQ65" s="1304"/>
      <c r="BHR65" s="1304"/>
      <c r="BHS65" s="1305"/>
      <c r="BHT65" s="1305"/>
      <c r="BHU65" s="1304"/>
      <c r="BHV65" s="1304"/>
      <c r="BHW65" s="1304"/>
      <c r="BHX65" s="1304"/>
      <c r="BHY65" s="1304"/>
      <c r="BHZ65" s="1304"/>
      <c r="BIA65" s="1304"/>
      <c r="BIB65" s="1304"/>
      <c r="BIC65" s="1305"/>
      <c r="BID65" s="1305"/>
      <c r="BIE65" s="1304"/>
      <c r="BIF65" s="1304"/>
      <c r="BIG65" s="1304"/>
      <c r="BIH65" s="1304"/>
      <c r="BII65" s="1304"/>
      <c r="BIJ65" s="1304"/>
      <c r="BIK65" s="1304"/>
      <c r="BIL65" s="1304"/>
      <c r="BIM65" s="1305"/>
      <c r="BIN65" s="1305"/>
      <c r="BIO65" s="1304"/>
      <c r="BIP65" s="1304"/>
      <c r="BIQ65" s="1304"/>
      <c r="BIR65" s="1304"/>
      <c r="BIS65" s="1304"/>
      <c r="BIT65" s="1304"/>
      <c r="BIU65" s="1304"/>
      <c r="BIV65" s="1304"/>
      <c r="BIW65" s="1305"/>
      <c r="BIX65" s="1305"/>
      <c r="BIY65" s="1304"/>
      <c r="BIZ65" s="1304"/>
      <c r="BJA65" s="1304"/>
      <c r="BJB65" s="1304"/>
      <c r="BJC65" s="1304"/>
      <c r="BJD65" s="1304"/>
      <c r="BJE65" s="1304"/>
      <c r="BJF65" s="1304"/>
      <c r="BJG65" s="1305"/>
      <c r="BJH65" s="1305"/>
      <c r="BJI65" s="1304"/>
      <c r="BJJ65" s="1304"/>
      <c r="BJK65" s="1304"/>
      <c r="BJL65" s="1304"/>
      <c r="BJM65" s="1304"/>
      <c r="BJN65" s="1304"/>
      <c r="BJO65" s="1304"/>
      <c r="BJP65" s="1304"/>
      <c r="BJQ65" s="1305"/>
      <c r="BJR65" s="1305"/>
      <c r="BJS65" s="1304"/>
      <c r="BJT65" s="1304"/>
      <c r="BJU65" s="1304"/>
      <c r="BJV65" s="1304"/>
      <c r="BJW65" s="1304"/>
      <c r="BJX65" s="1304"/>
      <c r="BJY65" s="1304"/>
      <c r="BJZ65" s="1304"/>
      <c r="BKA65" s="1305"/>
      <c r="BKB65" s="1305"/>
      <c r="BKC65" s="1304"/>
      <c r="BKD65" s="1304"/>
      <c r="BKE65" s="1304"/>
      <c r="BKF65" s="1304"/>
      <c r="BKG65" s="1304"/>
      <c r="BKH65" s="1304"/>
      <c r="BKI65" s="1304"/>
      <c r="BKJ65" s="1304"/>
      <c r="BKK65" s="1305"/>
      <c r="BKL65" s="1305"/>
      <c r="BKM65" s="1304"/>
      <c r="BKN65" s="1304"/>
      <c r="BKO65" s="1304"/>
      <c r="BKP65" s="1304"/>
      <c r="BKQ65" s="1304"/>
      <c r="BKR65" s="1304"/>
      <c r="BKS65" s="1304"/>
      <c r="BKT65" s="1304"/>
      <c r="BKU65" s="1305"/>
      <c r="BKV65" s="1305"/>
      <c r="BKW65" s="1304"/>
      <c r="BKX65" s="1304"/>
      <c r="BKY65" s="1304"/>
      <c r="BKZ65" s="1304"/>
      <c r="BLA65" s="1304"/>
      <c r="BLB65" s="1304"/>
      <c r="BLC65" s="1304"/>
      <c r="BLD65" s="1304"/>
      <c r="BLE65" s="1305"/>
      <c r="BLF65" s="1305"/>
      <c r="BLG65" s="1304"/>
      <c r="BLH65" s="1304"/>
      <c r="BLI65" s="1304"/>
      <c r="BLJ65" s="1304"/>
      <c r="BLK65" s="1304"/>
      <c r="BLL65" s="1304"/>
      <c r="BLM65" s="1304"/>
      <c r="BLN65" s="1304"/>
      <c r="BLO65" s="1305"/>
      <c r="BLP65" s="1305"/>
      <c r="BLQ65" s="1304"/>
      <c r="BLR65" s="1304"/>
      <c r="BLS65" s="1304"/>
      <c r="BLT65" s="1304"/>
      <c r="BLU65" s="1304"/>
      <c r="BLV65" s="1304"/>
      <c r="BLW65" s="1304"/>
      <c r="BLX65" s="1304"/>
      <c r="BLY65" s="1305"/>
      <c r="BLZ65" s="1305"/>
      <c r="BMA65" s="1304"/>
      <c r="BMB65" s="1304"/>
      <c r="BMC65" s="1304"/>
      <c r="BMD65" s="1304"/>
      <c r="BME65" s="1304"/>
      <c r="BMF65" s="1304"/>
      <c r="BMG65" s="1304"/>
      <c r="BMH65" s="1304"/>
      <c r="BMI65" s="1305"/>
      <c r="BMJ65" s="1305"/>
      <c r="BMK65" s="1304"/>
      <c r="BML65" s="1304"/>
      <c r="BMM65" s="1304"/>
      <c r="BMN65" s="1304"/>
      <c r="BMO65" s="1304"/>
      <c r="BMP65" s="1304"/>
      <c r="BMQ65" s="1304"/>
      <c r="BMR65" s="1304"/>
      <c r="BMS65" s="1305"/>
      <c r="BMT65" s="1305"/>
      <c r="BMU65" s="1304"/>
      <c r="BMV65" s="1304"/>
      <c r="BMW65" s="1304"/>
      <c r="BMX65" s="1304"/>
      <c r="BMY65" s="1304"/>
      <c r="BMZ65" s="1304"/>
      <c r="BNA65" s="1304"/>
      <c r="BNB65" s="1304"/>
      <c r="BNC65" s="1305"/>
      <c r="BND65" s="1305"/>
      <c r="BNE65" s="1304"/>
      <c r="BNF65" s="1304"/>
      <c r="BNG65" s="1304"/>
      <c r="BNH65" s="1304"/>
      <c r="BNI65" s="1304"/>
      <c r="BNJ65" s="1304"/>
      <c r="BNK65" s="1304"/>
      <c r="BNL65" s="1304"/>
      <c r="BNM65" s="1305"/>
      <c r="BNN65" s="1305"/>
      <c r="BNO65" s="1304"/>
      <c r="BNP65" s="1304"/>
      <c r="BNQ65" s="1304"/>
      <c r="BNR65" s="1304"/>
      <c r="BNS65" s="1304"/>
      <c r="BNT65" s="1304"/>
      <c r="BNU65" s="1304"/>
      <c r="BNV65" s="1304"/>
      <c r="BNW65" s="1305"/>
      <c r="BNX65" s="1305"/>
      <c r="BNY65" s="1304"/>
      <c r="BNZ65" s="1304"/>
      <c r="BOA65" s="1304"/>
      <c r="BOB65" s="1304"/>
      <c r="BOC65" s="1304"/>
      <c r="BOD65" s="1304"/>
      <c r="BOE65" s="1304"/>
      <c r="BOF65" s="1304"/>
      <c r="BOG65" s="1305"/>
      <c r="BOH65" s="1305"/>
      <c r="BOI65" s="1304"/>
      <c r="BOJ65" s="1304"/>
      <c r="BOK65" s="1304"/>
      <c r="BOL65" s="1304"/>
      <c r="BOM65" s="1304"/>
      <c r="BON65" s="1304"/>
      <c r="BOO65" s="1304"/>
      <c r="BOP65" s="1304"/>
      <c r="BOQ65" s="1305"/>
      <c r="BOR65" s="1305"/>
      <c r="BOS65" s="1304"/>
      <c r="BOT65" s="1304"/>
      <c r="BOU65" s="1304"/>
      <c r="BOV65" s="1304"/>
      <c r="BOW65" s="1304"/>
      <c r="BOX65" s="1304"/>
      <c r="BOY65" s="1304"/>
      <c r="BOZ65" s="1304"/>
      <c r="BPA65" s="1305"/>
      <c r="BPB65" s="1305"/>
      <c r="BPC65" s="1304"/>
      <c r="BPD65" s="1304"/>
      <c r="BPE65" s="1304"/>
      <c r="BPF65" s="1304"/>
      <c r="BPG65" s="1304"/>
      <c r="BPH65" s="1304"/>
      <c r="BPI65" s="1304"/>
      <c r="BPJ65" s="1304"/>
      <c r="BPK65" s="1305"/>
      <c r="BPL65" s="1305"/>
      <c r="BPM65" s="1304"/>
      <c r="BPN65" s="1304"/>
      <c r="BPO65" s="1304"/>
      <c r="BPP65" s="1304"/>
      <c r="BPQ65" s="1304"/>
      <c r="BPR65" s="1304"/>
      <c r="BPS65" s="1304"/>
      <c r="BPT65" s="1304"/>
      <c r="BPU65" s="1305"/>
      <c r="BPV65" s="1305"/>
      <c r="BPW65" s="1304"/>
      <c r="BPX65" s="1304"/>
      <c r="BPY65" s="1304"/>
      <c r="BPZ65" s="1304"/>
      <c r="BQA65" s="1304"/>
      <c r="BQB65" s="1304"/>
      <c r="BQC65" s="1304"/>
      <c r="BQD65" s="1304"/>
      <c r="BQE65" s="1305"/>
      <c r="BQF65" s="1305"/>
      <c r="BQG65" s="1304"/>
      <c r="BQH65" s="1304"/>
      <c r="BQI65" s="1304"/>
      <c r="BQJ65" s="1304"/>
      <c r="BQK65" s="1304"/>
      <c r="BQL65" s="1304"/>
      <c r="BQM65" s="1304"/>
      <c r="BQN65" s="1304"/>
      <c r="BQO65" s="1305"/>
      <c r="BQP65" s="1305"/>
      <c r="BQQ65" s="1304"/>
      <c r="BQR65" s="1304"/>
      <c r="BQS65" s="1304"/>
      <c r="BQT65" s="1304"/>
      <c r="BQU65" s="1304"/>
      <c r="BQV65" s="1304"/>
      <c r="BQW65" s="1304"/>
      <c r="BQX65" s="1304"/>
      <c r="BQY65" s="1305"/>
      <c r="BQZ65" s="1305"/>
      <c r="BRA65" s="1304"/>
      <c r="BRB65" s="1304"/>
      <c r="BRC65" s="1304"/>
      <c r="BRD65" s="1304"/>
      <c r="BRE65" s="1304"/>
      <c r="BRF65" s="1304"/>
      <c r="BRG65" s="1304"/>
      <c r="BRH65" s="1304"/>
      <c r="BRI65" s="1305"/>
      <c r="BRJ65" s="1305"/>
      <c r="BRK65" s="1304"/>
      <c r="BRL65" s="1304"/>
      <c r="BRM65" s="1304"/>
      <c r="BRN65" s="1304"/>
      <c r="BRO65" s="1304"/>
      <c r="BRP65" s="1304"/>
      <c r="BRQ65" s="1304"/>
      <c r="BRR65" s="1304"/>
      <c r="BRS65" s="1305"/>
      <c r="BRT65" s="1305"/>
      <c r="BRU65" s="1304"/>
      <c r="BRV65" s="1304"/>
      <c r="BRW65" s="1304"/>
      <c r="BRX65" s="1304"/>
      <c r="BRY65" s="1304"/>
      <c r="BRZ65" s="1304"/>
      <c r="BSA65" s="1304"/>
      <c r="BSB65" s="1304"/>
      <c r="BSC65" s="1305"/>
      <c r="BSD65" s="1305"/>
      <c r="BSE65" s="1304"/>
      <c r="BSF65" s="1304"/>
      <c r="BSG65" s="1304"/>
      <c r="BSH65" s="1304"/>
      <c r="BSI65" s="1304"/>
      <c r="BSJ65" s="1304"/>
      <c r="BSK65" s="1304"/>
      <c r="BSL65" s="1304"/>
      <c r="BSM65" s="1305"/>
      <c r="BSN65" s="1305"/>
      <c r="BSO65" s="1304"/>
      <c r="BSP65" s="1304"/>
      <c r="BSQ65" s="1304"/>
      <c r="BSR65" s="1304"/>
      <c r="BSS65" s="1304"/>
      <c r="BST65" s="1304"/>
      <c r="BSU65" s="1304"/>
      <c r="BSV65" s="1304"/>
      <c r="BSW65" s="1305"/>
      <c r="BSX65" s="1305"/>
      <c r="BSY65" s="1304"/>
      <c r="BSZ65" s="1304"/>
      <c r="BTA65" s="1304"/>
      <c r="BTB65" s="1304"/>
      <c r="BTC65" s="1304"/>
      <c r="BTD65" s="1304"/>
      <c r="BTE65" s="1304"/>
      <c r="BTF65" s="1304"/>
      <c r="BTG65" s="1305"/>
      <c r="BTH65" s="1305"/>
      <c r="BTI65" s="1304"/>
      <c r="BTJ65" s="1304"/>
      <c r="BTK65" s="1304"/>
      <c r="BTL65" s="1304"/>
      <c r="BTM65" s="1304"/>
      <c r="BTN65" s="1304"/>
      <c r="BTO65" s="1304"/>
      <c r="BTP65" s="1304"/>
      <c r="BTQ65" s="1305"/>
      <c r="BTR65" s="1305"/>
      <c r="BTS65" s="1304"/>
      <c r="BTT65" s="1304"/>
      <c r="BTU65" s="1304"/>
      <c r="BTV65" s="1304"/>
      <c r="BTW65" s="1304"/>
      <c r="BTX65" s="1304"/>
      <c r="BTY65" s="1304"/>
      <c r="BTZ65" s="1304"/>
      <c r="BUA65" s="1305"/>
      <c r="BUB65" s="1305"/>
      <c r="BUC65" s="1304"/>
      <c r="BUD65" s="1304"/>
      <c r="BUE65" s="1304"/>
      <c r="BUF65" s="1304"/>
      <c r="BUG65" s="1304"/>
      <c r="BUH65" s="1304"/>
      <c r="BUI65" s="1304"/>
      <c r="BUJ65" s="1304"/>
      <c r="BUK65" s="1305"/>
      <c r="BUL65" s="1305"/>
      <c r="BUM65" s="1304"/>
      <c r="BUN65" s="1304"/>
      <c r="BUO65" s="1304"/>
      <c r="BUP65" s="1304"/>
      <c r="BUQ65" s="1304"/>
      <c r="BUR65" s="1304"/>
      <c r="BUS65" s="1304"/>
      <c r="BUT65" s="1304"/>
      <c r="BUU65" s="1305"/>
      <c r="BUV65" s="1305"/>
      <c r="BUW65" s="1304"/>
      <c r="BUX65" s="1304"/>
      <c r="BUY65" s="1304"/>
      <c r="BUZ65" s="1304"/>
      <c r="BVA65" s="1304"/>
      <c r="BVB65" s="1304"/>
      <c r="BVC65" s="1304"/>
      <c r="BVD65" s="1304"/>
      <c r="BVE65" s="1305"/>
      <c r="BVF65" s="1305"/>
      <c r="BVG65" s="1304"/>
      <c r="BVH65" s="1304"/>
      <c r="BVI65" s="1304"/>
      <c r="BVJ65" s="1304"/>
      <c r="BVK65" s="1304"/>
      <c r="BVL65" s="1304"/>
      <c r="BVM65" s="1304"/>
      <c r="BVN65" s="1304"/>
      <c r="BVO65" s="1305"/>
      <c r="BVP65" s="1305"/>
      <c r="BVQ65" s="1304"/>
      <c r="BVR65" s="1304"/>
      <c r="BVS65" s="1304"/>
      <c r="BVT65" s="1304"/>
      <c r="BVU65" s="1304"/>
      <c r="BVV65" s="1304"/>
      <c r="BVW65" s="1304"/>
      <c r="BVX65" s="1304"/>
      <c r="BVY65" s="1305"/>
      <c r="BVZ65" s="1305"/>
      <c r="BWA65" s="1304"/>
      <c r="BWB65" s="1304"/>
      <c r="BWC65" s="1304"/>
      <c r="BWD65" s="1304"/>
      <c r="BWE65" s="1304"/>
      <c r="BWF65" s="1304"/>
      <c r="BWG65" s="1304"/>
      <c r="BWH65" s="1304"/>
      <c r="BWI65" s="1305"/>
      <c r="BWJ65" s="1305"/>
      <c r="BWK65" s="1304"/>
      <c r="BWL65" s="1304"/>
      <c r="BWM65" s="1304"/>
      <c r="BWN65" s="1304"/>
      <c r="BWO65" s="1304"/>
      <c r="BWP65" s="1304"/>
      <c r="BWQ65" s="1304"/>
      <c r="BWR65" s="1304"/>
      <c r="BWS65" s="1305"/>
      <c r="BWT65" s="1305"/>
      <c r="BWU65" s="1304"/>
      <c r="BWV65" s="1304"/>
      <c r="BWW65" s="1304"/>
      <c r="BWX65" s="1304"/>
      <c r="BWY65" s="1304"/>
      <c r="BWZ65" s="1304"/>
      <c r="BXA65" s="1304"/>
      <c r="BXB65" s="1304"/>
      <c r="BXC65" s="1305"/>
      <c r="BXD65" s="1305"/>
      <c r="BXE65" s="1304"/>
      <c r="BXF65" s="1304"/>
      <c r="BXG65" s="1304"/>
      <c r="BXH65" s="1304"/>
      <c r="BXI65" s="1304"/>
      <c r="BXJ65" s="1304"/>
      <c r="BXK65" s="1304"/>
      <c r="BXL65" s="1304"/>
      <c r="BXM65" s="1305"/>
      <c r="BXN65" s="1305"/>
      <c r="BXO65" s="1304"/>
      <c r="BXP65" s="1304"/>
      <c r="BXQ65" s="1304"/>
      <c r="BXR65" s="1304"/>
      <c r="BXS65" s="1304"/>
      <c r="BXT65" s="1304"/>
      <c r="BXU65" s="1304"/>
      <c r="BXV65" s="1304"/>
      <c r="BXW65" s="1305"/>
      <c r="BXX65" s="1305"/>
      <c r="BXY65" s="1304"/>
      <c r="BXZ65" s="1304"/>
      <c r="BYA65" s="1304"/>
      <c r="BYB65" s="1304"/>
      <c r="BYC65" s="1304"/>
      <c r="BYD65" s="1304"/>
      <c r="BYE65" s="1304"/>
      <c r="BYF65" s="1304"/>
      <c r="BYG65" s="1305"/>
      <c r="BYH65" s="1305"/>
      <c r="BYI65" s="1304"/>
      <c r="BYJ65" s="1304"/>
      <c r="BYK65" s="1304"/>
      <c r="BYL65" s="1304"/>
      <c r="BYM65" s="1304"/>
      <c r="BYN65" s="1304"/>
      <c r="BYO65" s="1304"/>
      <c r="BYP65" s="1304"/>
      <c r="BYQ65" s="1305"/>
      <c r="BYR65" s="1305"/>
      <c r="BYS65" s="1304"/>
      <c r="BYT65" s="1304"/>
      <c r="BYU65" s="1304"/>
      <c r="BYV65" s="1304"/>
      <c r="BYW65" s="1304"/>
      <c r="BYX65" s="1304"/>
      <c r="BYY65" s="1304"/>
      <c r="BYZ65" s="1304"/>
      <c r="BZA65" s="1305"/>
      <c r="BZB65" s="1305"/>
      <c r="BZC65" s="1304"/>
      <c r="BZD65" s="1304"/>
      <c r="BZE65" s="1304"/>
      <c r="BZF65" s="1304"/>
      <c r="BZG65" s="1304"/>
      <c r="BZH65" s="1304"/>
      <c r="BZI65" s="1304"/>
      <c r="BZJ65" s="1304"/>
      <c r="BZK65" s="1305"/>
      <c r="BZL65" s="1305"/>
      <c r="BZM65" s="1304"/>
      <c r="BZN65" s="1304"/>
      <c r="BZO65" s="1304"/>
      <c r="BZP65" s="1304"/>
      <c r="BZQ65" s="1304"/>
      <c r="BZR65" s="1304"/>
      <c r="BZS65" s="1304"/>
      <c r="BZT65" s="1304"/>
      <c r="BZU65" s="1305"/>
      <c r="BZV65" s="1305"/>
      <c r="BZW65" s="1304"/>
      <c r="BZX65" s="1304"/>
      <c r="BZY65" s="1304"/>
      <c r="BZZ65" s="1304"/>
      <c r="CAA65" s="1304"/>
      <c r="CAB65" s="1304"/>
      <c r="CAC65" s="1304"/>
      <c r="CAD65" s="1304"/>
      <c r="CAE65" s="1305"/>
      <c r="CAF65" s="1305"/>
      <c r="CAG65" s="1304"/>
      <c r="CAH65" s="1304"/>
      <c r="CAI65" s="1304"/>
      <c r="CAJ65" s="1304"/>
      <c r="CAK65" s="1304"/>
      <c r="CAL65" s="1304"/>
      <c r="CAM65" s="1304"/>
      <c r="CAN65" s="1304"/>
      <c r="CAO65" s="1305"/>
      <c r="CAP65" s="1305"/>
      <c r="CAQ65" s="1304"/>
      <c r="CAR65" s="1304"/>
      <c r="CAS65" s="1304"/>
      <c r="CAT65" s="1304"/>
      <c r="CAU65" s="1304"/>
      <c r="CAV65" s="1304"/>
      <c r="CAW65" s="1304"/>
      <c r="CAX65" s="1304"/>
      <c r="CAY65" s="1305"/>
      <c r="CAZ65" s="1305"/>
      <c r="CBA65" s="1304"/>
      <c r="CBB65" s="1304"/>
      <c r="CBC65" s="1304"/>
      <c r="CBD65" s="1304"/>
      <c r="CBE65" s="1304"/>
      <c r="CBF65" s="1304"/>
      <c r="CBG65" s="1304"/>
      <c r="CBH65" s="1304"/>
      <c r="CBI65" s="1305"/>
      <c r="CBJ65" s="1305"/>
      <c r="CBK65" s="1304"/>
      <c r="CBL65" s="1304"/>
      <c r="CBM65" s="1304"/>
      <c r="CBN65" s="1304"/>
      <c r="CBO65" s="1304"/>
      <c r="CBP65" s="1304"/>
      <c r="CBQ65" s="1304"/>
      <c r="CBR65" s="1304"/>
      <c r="CBS65" s="1305"/>
      <c r="CBT65" s="1305"/>
      <c r="CBU65" s="1304"/>
      <c r="CBV65" s="1304"/>
      <c r="CBW65" s="1304"/>
      <c r="CBX65" s="1304"/>
      <c r="CBY65" s="1304"/>
      <c r="CBZ65" s="1304"/>
      <c r="CCA65" s="1304"/>
      <c r="CCB65" s="1304"/>
      <c r="CCC65" s="1305"/>
      <c r="CCD65" s="1305"/>
      <c r="CCE65" s="1304"/>
      <c r="CCF65" s="1304"/>
      <c r="CCG65" s="1304"/>
      <c r="CCH65" s="1304"/>
      <c r="CCI65" s="1304"/>
      <c r="CCJ65" s="1304"/>
      <c r="CCK65" s="1304"/>
      <c r="CCL65" s="1304"/>
      <c r="CCM65" s="1305"/>
      <c r="CCN65" s="1305"/>
      <c r="CCO65" s="1304"/>
      <c r="CCP65" s="1304"/>
      <c r="CCQ65" s="1304"/>
      <c r="CCR65" s="1304"/>
      <c r="CCS65" s="1304"/>
      <c r="CCT65" s="1304"/>
      <c r="CCU65" s="1304"/>
      <c r="CCV65" s="1304"/>
      <c r="CCW65" s="1305"/>
      <c r="CCX65" s="1305"/>
      <c r="CCY65" s="1304"/>
      <c r="CCZ65" s="1304"/>
      <c r="CDA65" s="1304"/>
      <c r="CDB65" s="1304"/>
      <c r="CDC65" s="1304"/>
      <c r="CDD65" s="1304"/>
      <c r="CDE65" s="1304"/>
      <c r="CDF65" s="1304"/>
      <c r="CDG65" s="1305"/>
      <c r="CDH65" s="1305"/>
      <c r="CDI65" s="1304"/>
      <c r="CDJ65" s="1304"/>
      <c r="CDK65" s="1304"/>
      <c r="CDL65" s="1304"/>
      <c r="CDM65" s="1304"/>
      <c r="CDN65" s="1304"/>
      <c r="CDO65" s="1304"/>
      <c r="CDP65" s="1304"/>
      <c r="CDQ65" s="1305"/>
      <c r="CDR65" s="1305"/>
      <c r="CDS65" s="1304"/>
      <c r="CDT65" s="1304"/>
      <c r="CDU65" s="1304"/>
      <c r="CDV65" s="1304"/>
      <c r="CDW65" s="1304"/>
      <c r="CDX65" s="1304"/>
      <c r="CDY65" s="1304"/>
      <c r="CDZ65" s="1304"/>
      <c r="CEA65" s="1305"/>
      <c r="CEB65" s="1305"/>
      <c r="CEC65" s="1304"/>
      <c r="CED65" s="1304"/>
      <c r="CEE65" s="1304"/>
      <c r="CEF65" s="1304"/>
      <c r="CEG65" s="1304"/>
      <c r="CEH65" s="1304"/>
      <c r="CEI65" s="1304"/>
      <c r="CEJ65" s="1304"/>
      <c r="CEK65" s="1305"/>
      <c r="CEL65" s="1305"/>
      <c r="CEM65" s="1304"/>
      <c r="CEN65" s="1304"/>
      <c r="CEO65" s="1304"/>
      <c r="CEP65" s="1304"/>
      <c r="CEQ65" s="1304"/>
      <c r="CER65" s="1304"/>
      <c r="CES65" s="1304"/>
      <c r="CET65" s="1304"/>
      <c r="CEU65" s="1305"/>
      <c r="CEV65" s="1305"/>
      <c r="CEW65" s="1304"/>
      <c r="CEX65" s="1304"/>
      <c r="CEY65" s="1304"/>
      <c r="CEZ65" s="1304"/>
      <c r="CFA65" s="1304"/>
      <c r="CFB65" s="1304"/>
      <c r="CFC65" s="1304"/>
      <c r="CFD65" s="1304"/>
      <c r="CFE65" s="1305"/>
      <c r="CFF65" s="1305"/>
      <c r="CFG65" s="1304"/>
      <c r="CFH65" s="1304"/>
      <c r="CFI65" s="1304"/>
      <c r="CFJ65" s="1304"/>
      <c r="CFK65" s="1304"/>
      <c r="CFL65" s="1304"/>
      <c r="CFM65" s="1304"/>
      <c r="CFN65" s="1304"/>
      <c r="CFO65" s="1305"/>
      <c r="CFP65" s="1305"/>
      <c r="CFQ65" s="1304"/>
      <c r="CFR65" s="1304"/>
      <c r="CFS65" s="1304"/>
      <c r="CFT65" s="1304"/>
      <c r="CFU65" s="1304"/>
      <c r="CFV65" s="1304"/>
      <c r="CFW65" s="1304"/>
      <c r="CFX65" s="1304"/>
      <c r="CFY65" s="1305"/>
      <c r="CFZ65" s="1305"/>
      <c r="CGA65" s="1304"/>
      <c r="CGB65" s="1304"/>
      <c r="CGC65" s="1304"/>
      <c r="CGD65" s="1304"/>
      <c r="CGE65" s="1304"/>
      <c r="CGF65" s="1304"/>
      <c r="CGG65" s="1304"/>
      <c r="CGH65" s="1304"/>
      <c r="CGI65" s="1305"/>
      <c r="CGJ65" s="1305"/>
      <c r="CGK65" s="1304"/>
      <c r="CGL65" s="1304"/>
      <c r="CGM65" s="1304"/>
      <c r="CGN65" s="1304"/>
      <c r="CGO65" s="1304"/>
      <c r="CGP65" s="1304"/>
      <c r="CGQ65" s="1304"/>
      <c r="CGR65" s="1304"/>
      <c r="CGS65" s="1305"/>
      <c r="CGT65" s="1305"/>
      <c r="CGU65" s="1304"/>
      <c r="CGV65" s="1304"/>
      <c r="CGW65" s="1304"/>
      <c r="CGX65" s="1304"/>
      <c r="CGY65" s="1304"/>
      <c r="CGZ65" s="1304"/>
      <c r="CHA65" s="1304"/>
      <c r="CHB65" s="1304"/>
      <c r="CHC65" s="1305"/>
      <c r="CHD65" s="1305"/>
      <c r="CHE65" s="1304"/>
      <c r="CHF65" s="1304"/>
      <c r="CHG65" s="1304"/>
      <c r="CHH65" s="1304"/>
      <c r="CHI65" s="1304"/>
      <c r="CHJ65" s="1304"/>
      <c r="CHK65" s="1304"/>
      <c r="CHL65" s="1304"/>
      <c r="CHM65" s="1305"/>
      <c r="CHN65" s="1305"/>
      <c r="CHO65" s="1304"/>
      <c r="CHP65" s="1304"/>
      <c r="CHQ65" s="1304"/>
      <c r="CHR65" s="1304"/>
      <c r="CHS65" s="1304"/>
      <c r="CHT65" s="1304"/>
      <c r="CHU65" s="1304"/>
      <c r="CHV65" s="1304"/>
      <c r="CHW65" s="1305"/>
      <c r="CHX65" s="1305"/>
      <c r="CHY65" s="1304"/>
      <c r="CHZ65" s="1304"/>
      <c r="CIA65" s="1304"/>
      <c r="CIB65" s="1304"/>
      <c r="CIC65" s="1304"/>
      <c r="CID65" s="1304"/>
      <c r="CIE65" s="1304"/>
      <c r="CIF65" s="1304"/>
      <c r="CIG65" s="1305"/>
      <c r="CIH65" s="1305"/>
      <c r="CII65" s="1304"/>
      <c r="CIJ65" s="1304"/>
      <c r="CIK65" s="1304"/>
      <c r="CIL65" s="1304"/>
      <c r="CIM65" s="1304"/>
      <c r="CIN65" s="1304"/>
      <c r="CIO65" s="1304"/>
      <c r="CIP65" s="1304"/>
      <c r="CIQ65" s="1305"/>
      <c r="CIR65" s="1305"/>
      <c r="CIS65" s="1304"/>
      <c r="CIT65" s="1304"/>
      <c r="CIU65" s="1304"/>
      <c r="CIV65" s="1304"/>
      <c r="CIW65" s="1304"/>
      <c r="CIX65" s="1304"/>
      <c r="CIY65" s="1304"/>
      <c r="CIZ65" s="1304"/>
      <c r="CJA65" s="1305"/>
      <c r="CJB65" s="1305"/>
      <c r="CJC65" s="1304"/>
      <c r="CJD65" s="1304"/>
      <c r="CJE65" s="1304"/>
      <c r="CJF65" s="1304"/>
      <c r="CJG65" s="1304"/>
      <c r="CJH65" s="1304"/>
      <c r="CJI65" s="1304"/>
      <c r="CJJ65" s="1304"/>
      <c r="CJK65" s="1305"/>
      <c r="CJL65" s="1305"/>
      <c r="CJM65" s="1304"/>
      <c r="CJN65" s="1304"/>
      <c r="CJO65" s="1304"/>
      <c r="CJP65" s="1304"/>
      <c r="CJQ65" s="1304"/>
      <c r="CJR65" s="1304"/>
      <c r="CJS65" s="1304"/>
      <c r="CJT65" s="1304"/>
      <c r="CJU65" s="1305"/>
      <c r="CJV65" s="1305"/>
      <c r="CJW65" s="1304"/>
      <c r="CJX65" s="1304"/>
      <c r="CJY65" s="1304"/>
      <c r="CJZ65" s="1304"/>
      <c r="CKA65" s="1304"/>
      <c r="CKB65" s="1304"/>
      <c r="CKC65" s="1304"/>
      <c r="CKD65" s="1304"/>
      <c r="CKE65" s="1305"/>
      <c r="CKF65" s="1305"/>
      <c r="CKG65" s="1304"/>
      <c r="CKH65" s="1304"/>
      <c r="CKI65" s="1304"/>
      <c r="CKJ65" s="1304"/>
      <c r="CKK65" s="1304"/>
      <c r="CKL65" s="1304"/>
      <c r="CKM65" s="1304"/>
      <c r="CKN65" s="1304"/>
      <c r="CKO65" s="1305"/>
      <c r="CKP65" s="1305"/>
      <c r="CKQ65" s="1304"/>
      <c r="CKR65" s="1304"/>
      <c r="CKS65" s="1304"/>
      <c r="CKT65" s="1304"/>
      <c r="CKU65" s="1304"/>
      <c r="CKV65" s="1304"/>
      <c r="CKW65" s="1304"/>
      <c r="CKX65" s="1304"/>
      <c r="CKY65" s="1305"/>
      <c r="CKZ65" s="1305"/>
      <c r="CLA65" s="1304"/>
      <c r="CLB65" s="1304"/>
      <c r="CLC65" s="1304"/>
      <c r="CLD65" s="1304"/>
      <c r="CLE65" s="1304"/>
      <c r="CLF65" s="1304"/>
      <c r="CLG65" s="1304"/>
      <c r="CLH65" s="1304"/>
      <c r="CLI65" s="1305"/>
      <c r="CLJ65" s="1305"/>
      <c r="CLK65" s="1304"/>
      <c r="CLL65" s="1304"/>
      <c r="CLM65" s="1304"/>
      <c r="CLN65" s="1304"/>
      <c r="CLO65" s="1304"/>
      <c r="CLP65" s="1304"/>
      <c r="CLQ65" s="1304"/>
      <c r="CLR65" s="1304"/>
      <c r="CLS65" s="1305"/>
      <c r="CLT65" s="1305"/>
      <c r="CLU65" s="1304"/>
      <c r="CLV65" s="1304"/>
      <c r="CLW65" s="1304"/>
      <c r="CLX65" s="1304"/>
      <c r="CLY65" s="1304"/>
      <c r="CLZ65" s="1304"/>
      <c r="CMA65" s="1304"/>
      <c r="CMB65" s="1304"/>
      <c r="CMC65" s="1305"/>
      <c r="CMD65" s="1305"/>
      <c r="CME65" s="1304"/>
      <c r="CMF65" s="1304"/>
      <c r="CMG65" s="1304"/>
      <c r="CMH65" s="1304"/>
      <c r="CMI65" s="1304"/>
      <c r="CMJ65" s="1304"/>
      <c r="CMK65" s="1304"/>
      <c r="CML65" s="1304"/>
      <c r="CMM65" s="1305"/>
      <c r="CMN65" s="1305"/>
      <c r="CMO65" s="1304"/>
      <c r="CMP65" s="1304"/>
      <c r="CMQ65" s="1304"/>
      <c r="CMR65" s="1304"/>
      <c r="CMS65" s="1304"/>
      <c r="CMT65" s="1304"/>
      <c r="CMU65" s="1304"/>
      <c r="CMV65" s="1304"/>
      <c r="CMW65" s="1305"/>
      <c r="CMX65" s="1305"/>
      <c r="CMY65" s="1304"/>
      <c r="CMZ65" s="1304"/>
      <c r="CNA65" s="1304"/>
      <c r="CNB65" s="1304"/>
      <c r="CNC65" s="1304"/>
      <c r="CND65" s="1304"/>
      <c r="CNE65" s="1304"/>
      <c r="CNF65" s="1304"/>
      <c r="CNG65" s="1305"/>
      <c r="CNH65" s="1305"/>
      <c r="CNI65" s="1304"/>
      <c r="CNJ65" s="1304"/>
      <c r="CNK65" s="1304"/>
      <c r="CNL65" s="1304"/>
      <c r="CNM65" s="1304"/>
      <c r="CNN65" s="1304"/>
      <c r="CNO65" s="1304"/>
      <c r="CNP65" s="1304"/>
      <c r="CNQ65" s="1305"/>
      <c r="CNR65" s="1305"/>
      <c r="CNS65" s="1304"/>
      <c r="CNT65" s="1304"/>
      <c r="CNU65" s="1304"/>
      <c r="CNV65" s="1304"/>
      <c r="CNW65" s="1304"/>
      <c r="CNX65" s="1304"/>
      <c r="CNY65" s="1304"/>
      <c r="CNZ65" s="1304"/>
      <c r="COA65" s="1305"/>
      <c r="COB65" s="1305"/>
      <c r="COC65" s="1304"/>
      <c r="COD65" s="1304"/>
      <c r="COE65" s="1304"/>
      <c r="COF65" s="1304"/>
      <c r="COG65" s="1304"/>
      <c r="COH65" s="1304"/>
      <c r="COI65" s="1304"/>
      <c r="COJ65" s="1304"/>
      <c r="COK65" s="1305"/>
      <c r="COL65" s="1305"/>
      <c r="COM65" s="1304"/>
      <c r="CON65" s="1304"/>
      <c r="COO65" s="1304"/>
      <c r="COP65" s="1304"/>
      <c r="COQ65" s="1304"/>
      <c r="COR65" s="1304"/>
      <c r="COS65" s="1304"/>
      <c r="COT65" s="1304"/>
      <c r="COU65" s="1305"/>
      <c r="COV65" s="1305"/>
      <c r="COW65" s="1304"/>
      <c r="COX65" s="1304"/>
      <c r="COY65" s="1304"/>
      <c r="COZ65" s="1304"/>
      <c r="CPA65" s="1304"/>
      <c r="CPB65" s="1304"/>
      <c r="CPC65" s="1304"/>
      <c r="CPD65" s="1304"/>
      <c r="CPE65" s="1305"/>
      <c r="CPF65" s="1305"/>
      <c r="CPG65" s="1304"/>
      <c r="CPH65" s="1304"/>
      <c r="CPI65" s="1304"/>
      <c r="CPJ65" s="1304"/>
      <c r="CPK65" s="1304"/>
      <c r="CPL65" s="1304"/>
      <c r="CPM65" s="1304"/>
      <c r="CPN65" s="1304"/>
      <c r="CPO65" s="1305"/>
      <c r="CPP65" s="1305"/>
      <c r="CPQ65" s="1304"/>
      <c r="CPR65" s="1304"/>
      <c r="CPS65" s="1304"/>
      <c r="CPT65" s="1304"/>
      <c r="CPU65" s="1304"/>
      <c r="CPV65" s="1304"/>
      <c r="CPW65" s="1304"/>
      <c r="CPX65" s="1304"/>
      <c r="CPY65" s="1305"/>
      <c r="CPZ65" s="1305"/>
      <c r="CQA65" s="1304"/>
      <c r="CQB65" s="1304"/>
      <c r="CQC65" s="1304"/>
      <c r="CQD65" s="1304"/>
      <c r="CQE65" s="1304"/>
      <c r="CQF65" s="1304"/>
      <c r="CQG65" s="1304"/>
      <c r="CQH65" s="1304"/>
      <c r="CQI65" s="1305"/>
      <c r="CQJ65" s="1305"/>
      <c r="CQK65" s="1304"/>
      <c r="CQL65" s="1304"/>
      <c r="CQM65" s="1304"/>
      <c r="CQN65" s="1304"/>
      <c r="CQO65" s="1304"/>
      <c r="CQP65" s="1304"/>
      <c r="CQQ65" s="1304"/>
      <c r="CQR65" s="1304"/>
      <c r="CQS65" s="1305"/>
      <c r="CQT65" s="1305"/>
      <c r="CQU65" s="1304"/>
      <c r="CQV65" s="1304"/>
      <c r="CQW65" s="1304"/>
      <c r="CQX65" s="1304"/>
      <c r="CQY65" s="1304"/>
      <c r="CQZ65" s="1304"/>
      <c r="CRA65" s="1304"/>
      <c r="CRB65" s="1304"/>
      <c r="CRC65" s="1305"/>
      <c r="CRD65" s="1305"/>
      <c r="CRE65" s="1304"/>
      <c r="CRF65" s="1304"/>
      <c r="CRG65" s="1304"/>
      <c r="CRH65" s="1304"/>
      <c r="CRI65" s="1304"/>
      <c r="CRJ65" s="1304"/>
      <c r="CRK65" s="1304"/>
      <c r="CRL65" s="1304"/>
      <c r="CRM65" s="1305"/>
      <c r="CRN65" s="1305"/>
      <c r="CRO65" s="1304"/>
      <c r="CRP65" s="1304"/>
      <c r="CRQ65" s="1304"/>
      <c r="CRR65" s="1304"/>
      <c r="CRS65" s="1304"/>
      <c r="CRT65" s="1304"/>
      <c r="CRU65" s="1304"/>
      <c r="CRV65" s="1304"/>
      <c r="CRW65" s="1305"/>
      <c r="CRX65" s="1305"/>
      <c r="CRY65" s="1304"/>
      <c r="CRZ65" s="1304"/>
      <c r="CSA65" s="1304"/>
      <c r="CSB65" s="1304"/>
      <c r="CSC65" s="1304"/>
      <c r="CSD65" s="1304"/>
      <c r="CSE65" s="1304"/>
      <c r="CSF65" s="1304"/>
      <c r="CSG65" s="1305"/>
      <c r="CSH65" s="1305"/>
      <c r="CSI65" s="1304"/>
      <c r="CSJ65" s="1304"/>
      <c r="CSK65" s="1304"/>
      <c r="CSL65" s="1304"/>
      <c r="CSM65" s="1304"/>
      <c r="CSN65" s="1304"/>
      <c r="CSO65" s="1304"/>
      <c r="CSP65" s="1304"/>
      <c r="CSQ65" s="1305"/>
      <c r="CSR65" s="1305"/>
      <c r="CSS65" s="1304"/>
      <c r="CST65" s="1304"/>
      <c r="CSU65" s="1304"/>
      <c r="CSV65" s="1304"/>
      <c r="CSW65" s="1304"/>
      <c r="CSX65" s="1304"/>
      <c r="CSY65" s="1304"/>
      <c r="CSZ65" s="1304"/>
      <c r="CTA65" s="1305"/>
      <c r="CTB65" s="1305"/>
      <c r="CTC65" s="1304"/>
      <c r="CTD65" s="1304"/>
      <c r="CTE65" s="1304"/>
      <c r="CTF65" s="1304"/>
      <c r="CTG65" s="1304"/>
      <c r="CTH65" s="1304"/>
      <c r="CTI65" s="1304"/>
      <c r="CTJ65" s="1304"/>
      <c r="CTK65" s="1305"/>
      <c r="CTL65" s="1305"/>
      <c r="CTM65" s="1304"/>
      <c r="CTN65" s="1304"/>
      <c r="CTO65" s="1304"/>
      <c r="CTP65" s="1304"/>
      <c r="CTQ65" s="1304"/>
      <c r="CTR65" s="1304"/>
      <c r="CTS65" s="1304"/>
      <c r="CTT65" s="1304"/>
      <c r="CTU65" s="1305"/>
      <c r="CTV65" s="1305"/>
      <c r="CTW65" s="1304"/>
      <c r="CTX65" s="1304"/>
      <c r="CTY65" s="1304"/>
      <c r="CTZ65" s="1304"/>
      <c r="CUA65" s="1304"/>
      <c r="CUB65" s="1304"/>
      <c r="CUC65" s="1304"/>
      <c r="CUD65" s="1304"/>
      <c r="CUE65" s="1305"/>
      <c r="CUF65" s="1305"/>
      <c r="CUG65" s="1304"/>
      <c r="CUH65" s="1304"/>
      <c r="CUI65" s="1304"/>
      <c r="CUJ65" s="1304"/>
      <c r="CUK65" s="1304"/>
      <c r="CUL65" s="1304"/>
      <c r="CUM65" s="1304"/>
      <c r="CUN65" s="1304"/>
      <c r="CUO65" s="1305"/>
      <c r="CUP65" s="1305"/>
      <c r="CUQ65" s="1304"/>
      <c r="CUR65" s="1304"/>
      <c r="CUS65" s="1304"/>
      <c r="CUT65" s="1304"/>
      <c r="CUU65" s="1304"/>
      <c r="CUV65" s="1304"/>
      <c r="CUW65" s="1304"/>
      <c r="CUX65" s="1304"/>
      <c r="CUY65" s="1305"/>
      <c r="CUZ65" s="1305"/>
      <c r="CVA65" s="1304"/>
      <c r="CVB65" s="1304"/>
      <c r="CVC65" s="1304"/>
      <c r="CVD65" s="1304"/>
      <c r="CVE65" s="1304"/>
      <c r="CVF65" s="1304"/>
      <c r="CVG65" s="1304"/>
      <c r="CVH65" s="1304"/>
      <c r="CVI65" s="1305"/>
      <c r="CVJ65" s="1305"/>
      <c r="CVK65" s="1304"/>
      <c r="CVL65" s="1304"/>
      <c r="CVM65" s="1304"/>
      <c r="CVN65" s="1304"/>
      <c r="CVO65" s="1304"/>
      <c r="CVP65" s="1304"/>
      <c r="CVQ65" s="1304"/>
      <c r="CVR65" s="1304"/>
      <c r="CVS65" s="1305"/>
      <c r="CVT65" s="1305"/>
      <c r="CVU65" s="1304"/>
      <c r="CVV65" s="1304"/>
      <c r="CVW65" s="1304"/>
      <c r="CVX65" s="1304"/>
      <c r="CVY65" s="1304"/>
      <c r="CVZ65" s="1304"/>
      <c r="CWA65" s="1304"/>
      <c r="CWB65" s="1304"/>
      <c r="CWC65" s="1305"/>
      <c r="CWD65" s="1305"/>
      <c r="CWE65" s="1304"/>
      <c r="CWF65" s="1304"/>
      <c r="CWG65" s="1304"/>
      <c r="CWH65" s="1304"/>
      <c r="CWI65" s="1304"/>
      <c r="CWJ65" s="1304"/>
      <c r="CWK65" s="1304"/>
      <c r="CWL65" s="1304"/>
      <c r="CWM65" s="1305"/>
      <c r="CWN65" s="1305"/>
      <c r="CWO65" s="1304"/>
      <c r="CWP65" s="1304"/>
      <c r="CWQ65" s="1304"/>
      <c r="CWR65" s="1304"/>
      <c r="CWS65" s="1304"/>
      <c r="CWT65" s="1304"/>
      <c r="CWU65" s="1304"/>
      <c r="CWV65" s="1304"/>
      <c r="CWW65" s="1305"/>
      <c r="CWX65" s="1305"/>
      <c r="CWY65" s="1304"/>
      <c r="CWZ65" s="1304"/>
      <c r="CXA65" s="1304"/>
      <c r="CXB65" s="1304"/>
      <c r="CXC65" s="1304"/>
      <c r="CXD65" s="1304"/>
      <c r="CXE65" s="1304"/>
      <c r="CXF65" s="1304"/>
      <c r="CXG65" s="1305"/>
      <c r="CXH65" s="1305"/>
      <c r="CXI65" s="1304"/>
      <c r="CXJ65" s="1304"/>
      <c r="CXK65" s="1304"/>
      <c r="CXL65" s="1304"/>
      <c r="CXM65" s="1304"/>
      <c r="CXN65" s="1304"/>
      <c r="CXO65" s="1304"/>
      <c r="CXP65" s="1304"/>
      <c r="CXQ65" s="1305"/>
      <c r="CXR65" s="1305"/>
      <c r="CXS65" s="1304"/>
      <c r="CXT65" s="1304"/>
      <c r="CXU65" s="1304"/>
      <c r="CXV65" s="1304"/>
      <c r="CXW65" s="1304"/>
      <c r="CXX65" s="1304"/>
      <c r="CXY65" s="1304"/>
      <c r="CXZ65" s="1304"/>
      <c r="CYA65" s="1305"/>
      <c r="CYB65" s="1305"/>
      <c r="CYC65" s="1304"/>
      <c r="CYD65" s="1304"/>
      <c r="CYE65" s="1304"/>
      <c r="CYF65" s="1304"/>
      <c r="CYG65" s="1304"/>
      <c r="CYH65" s="1304"/>
      <c r="CYI65" s="1304"/>
      <c r="CYJ65" s="1304"/>
      <c r="CYK65" s="1305"/>
      <c r="CYL65" s="1305"/>
      <c r="CYM65" s="1304"/>
      <c r="CYN65" s="1304"/>
      <c r="CYO65" s="1304"/>
      <c r="CYP65" s="1304"/>
      <c r="CYQ65" s="1304"/>
      <c r="CYR65" s="1304"/>
      <c r="CYS65" s="1304"/>
      <c r="CYT65" s="1304"/>
      <c r="CYU65" s="1305"/>
      <c r="CYV65" s="1305"/>
      <c r="CYW65" s="1304"/>
      <c r="CYX65" s="1304"/>
      <c r="CYY65" s="1304"/>
      <c r="CYZ65" s="1304"/>
      <c r="CZA65" s="1304"/>
      <c r="CZB65" s="1304"/>
      <c r="CZC65" s="1304"/>
      <c r="CZD65" s="1304"/>
      <c r="CZE65" s="1305"/>
      <c r="CZF65" s="1305"/>
      <c r="CZG65" s="1304"/>
      <c r="CZH65" s="1304"/>
      <c r="CZI65" s="1304"/>
      <c r="CZJ65" s="1304"/>
      <c r="CZK65" s="1304"/>
      <c r="CZL65" s="1304"/>
      <c r="CZM65" s="1304"/>
      <c r="CZN65" s="1304"/>
      <c r="CZO65" s="1305"/>
      <c r="CZP65" s="1305"/>
      <c r="CZQ65" s="1304"/>
      <c r="CZR65" s="1304"/>
      <c r="CZS65" s="1304"/>
      <c r="CZT65" s="1304"/>
      <c r="CZU65" s="1304"/>
      <c r="CZV65" s="1304"/>
      <c r="CZW65" s="1304"/>
      <c r="CZX65" s="1304"/>
      <c r="CZY65" s="1305"/>
      <c r="CZZ65" s="1305"/>
      <c r="DAA65" s="1304"/>
      <c r="DAB65" s="1304"/>
      <c r="DAC65" s="1304"/>
      <c r="DAD65" s="1304"/>
      <c r="DAE65" s="1304"/>
      <c r="DAF65" s="1304"/>
      <c r="DAG65" s="1304"/>
      <c r="DAH65" s="1304"/>
      <c r="DAI65" s="1305"/>
      <c r="DAJ65" s="1305"/>
      <c r="DAK65" s="1304"/>
      <c r="DAL65" s="1304"/>
      <c r="DAM65" s="1304"/>
      <c r="DAN65" s="1304"/>
      <c r="DAO65" s="1304"/>
      <c r="DAP65" s="1304"/>
      <c r="DAQ65" s="1304"/>
      <c r="DAR65" s="1304"/>
      <c r="DAS65" s="1305"/>
      <c r="DAT65" s="1305"/>
      <c r="DAU65" s="1304"/>
      <c r="DAV65" s="1304"/>
      <c r="DAW65" s="1304"/>
      <c r="DAX65" s="1304"/>
      <c r="DAY65" s="1304"/>
      <c r="DAZ65" s="1304"/>
      <c r="DBA65" s="1304"/>
      <c r="DBB65" s="1304"/>
      <c r="DBC65" s="1305"/>
      <c r="DBD65" s="1305"/>
      <c r="DBE65" s="1304"/>
      <c r="DBF65" s="1304"/>
      <c r="DBG65" s="1304"/>
      <c r="DBH65" s="1304"/>
      <c r="DBI65" s="1304"/>
      <c r="DBJ65" s="1304"/>
      <c r="DBK65" s="1304"/>
      <c r="DBL65" s="1304"/>
      <c r="DBM65" s="1305"/>
      <c r="DBN65" s="1305"/>
      <c r="DBO65" s="1304"/>
      <c r="DBP65" s="1304"/>
      <c r="DBQ65" s="1304"/>
      <c r="DBR65" s="1304"/>
      <c r="DBS65" s="1304"/>
      <c r="DBT65" s="1304"/>
      <c r="DBU65" s="1304"/>
      <c r="DBV65" s="1304"/>
      <c r="DBW65" s="1305"/>
      <c r="DBX65" s="1305"/>
      <c r="DBY65" s="1304"/>
      <c r="DBZ65" s="1304"/>
      <c r="DCA65" s="1304"/>
      <c r="DCB65" s="1304"/>
      <c r="DCC65" s="1304"/>
      <c r="DCD65" s="1304"/>
      <c r="DCE65" s="1304"/>
      <c r="DCF65" s="1304"/>
      <c r="DCG65" s="1305"/>
      <c r="DCH65" s="1305"/>
      <c r="DCI65" s="1304"/>
      <c r="DCJ65" s="1304"/>
      <c r="DCK65" s="1304"/>
      <c r="DCL65" s="1304"/>
      <c r="DCM65" s="1304"/>
      <c r="DCN65" s="1304"/>
      <c r="DCO65" s="1304"/>
      <c r="DCP65" s="1304"/>
      <c r="DCQ65" s="1305"/>
      <c r="DCR65" s="1305"/>
      <c r="DCS65" s="1304"/>
      <c r="DCT65" s="1304"/>
      <c r="DCU65" s="1304"/>
      <c r="DCV65" s="1304"/>
      <c r="DCW65" s="1304"/>
      <c r="DCX65" s="1304"/>
      <c r="DCY65" s="1304"/>
      <c r="DCZ65" s="1304"/>
      <c r="DDA65" s="1305"/>
      <c r="DDB65" s="1305"/>
      <c r="DDC65" s="1304"/>
      <c r="DDD65" s="1304"/>
      <c r="DDE65" s="1304"/>
      <c r="DDF65" s="1304"/>
      <c r="DDG65" s="1304"/>
      <c r="DDH65" s="1304"/>
      <c r="DDI65" s="1304"/>
      <c r="DDJ65" s="1304"/>
      <c r="DDK65" s="1305"/>
      <c r="DDL65" s="1305"/>
      <c r="DDM65" s="1304"/>
      <c r="DDN65" s="1304"/>
      <c r="DDO65" s="1304"/>
      <c r="DDP65" s="1304"/>
      <c r="DDQ65" s="1304"/>
      <c r="DDR65" s="1304"/>
      <c r="DDS65" s="1304"/>
      <c r="DDT65" s="1304"/>
      <c r="DDU65" s="1305"/>
      <c r="DDV65" s="1305"/>
      <c r="DDW65" s="1304"/>
      <c r="DDX65" s="1304"/>
      <c r="DDY65" s="1304"/>
      <c r="DDZ65" s="1304"/>
      <c r="DEA65" s="1304"/>
      <c r="DEB65" s="1304"/>
      <c r="DEC65" s="1304"/>
      <c r="DED65" s="1304"/>
      <c r="DEE65" s="1305"/>
      <c r="DEF65" s="1305"/>
      <c r="DEG65" s="1304"/>
      <c r="DEH65" s="1304"/>
      <c r="DEI65" s="1304"/>
      <c r="DEJ65" s="1304"/>
      <c r="DEK65" s="1304"/>
      <c r="DEL65" s="1304"/>
      <c r="DEM65" s="1304"/>
      <c r="DEN65" s="1304"/>
      <c r="DEO65" s="1305"/>
      <c r="DEP65" s="1305"/>
      <c r="DEQ65" s="1304"/>
      <c r="DER65" s="1304"/>
      <c r="DES65" s="1304"/>
      <c r="DET65" s="1304"/>
      <c r="DEU65" s="1304"/>
      <c r="DEV65" s="1304"/>
      <c r="DEW65" s="1304"/>
      <c r="DEX65" s="1304"/>
      <c r="DEY65" s="1305"/>
      <c r="DEZ65" s="1305"/>
      <c r="DFA65" s="1304"/>
      <c r="DFB65" s="1304"/>
      <c r="DFC65" s="1304"/>
      <c r="DFD65" s="1304"/>
      <c r="DFE65" s="1304"/>
      <c r="DFF65" s="1304"/>
      <c r="DFG65" s="1304"/>
      <c r="DFH65" s="1304"/>
      <c r="DFI65" s="1305"/>
      <c r="DFJ65" s="1305"/>
      <c r="DFK65" s="1304"/>
      <c r="DFL65" s="1304"/>
      <c r="DFM65" s="1304"/>
      <c r="DFN65" s="1304"/>
      <c r="DFO65" s="1304"/>
      <c r="DFP65" s="1304"/>
      <c r="DFQ65" s="1304"/>
      <c r="DFR65" s="1304"/>
      <c r="DFS65" s="1305"/>
      <c r="DFT65" s="1305"/>
      <c r="DFU65" s="1304"/>
      <c r="DFV65" s="1304"/>
      <c r="DFW65" s="1304"/>
      <c r="DFX65" s="1304"/>
      <c r="DFY65" s="1304"/>
      <c r="DFZ65" s="1304"/>
      <c r="DGA65" s="1304"/>
      <c r="DGB65" s="1304"/>
      <c r="DGC65" s="1305"/>
      <c r="DGD65" s="1305"/>
      <c r="DGE65" s="1304"/>
      <c r="DGF65" s="1304"/>
      <c r="DGG65" s="1304"/>
      <c r="DGH65" s="1304"/>
      <c r="DGI65" s="1304"/>
      <c r="DGJ65" s="1304"/>
      <c r="DGK65" s="1304"/>
      <c r="DGL65" s="1304"/>
      <c r="DGM65" s="1305"/>
      <c r="DGN65" s="1305"/>
      <c r="DGO65" s="1304"/>
      <c r="DGP65" s="1304"/>
      <c r="DGQ65" s="1304"/>
      <c r="DGR65" s="1304"/>
      <c r="DGS65" s="1304"/>
      <c r="DGT65" s="1304"/>
      <c r="DGU65" s="1304"/>
      <c r="DGV65" s="1304"/>
      <c r="DGW65" s="1305"/>
      <c r="DGX65" s="1305"/>
      <c r="DGY65" s="1304"/>
      <c r="DGZ65" s="1304"/>
      <c r="DHA65" s="1304"/>
      <c r="DHB65" s="1304"/>
      <c r="DHC65" s="1304"/>
      <c r="DHD65" s="1304"/>
      <c r="DHE65" s="1304"/>
      <c r="DHF65" s="1304"/>
      <c r="DHG65" s="1305"/>
      <c r="DHH65" s="1305"/>
      <c r="DHI65" s="1304"/>
      <c r="DHJ65" s="1304"/>
      <c r="DHK65" s="1304"/>
      <c r="DHL65" s="1304"/>
      <c r="DHM65" s="1304"/>
      <c r="DHN65" s="1304"/>
      <c r="DHO65" s="1304"/>
      <c r="DHP65" s="1304"/>
      <c r="DHQ65" s="1305"/>
      <c r="DHR65" s="1305"/>
      <c r="DHS65" s="1304"/>
      <c r="DHT65" s="1304"/>
      <c r="DHU65" s="1304"/>
      <c r="DHV65" s="1304"/>
      <c r="DHW65" s="1304"/>
      <c r="DHX65" s="1304"/>
      <c r="DHY65" s="1304"/>
      <c r="DHZ65" s="1304"/>
      <c r="DIA65" s="1305"/>
      <c r="DIB65" s="1305"/>
      <c r="DIC65" s="1304"/>
      <c r="DID65" s="1304"/>
      <c r="DIE65" s="1304"/>
      <c r="DIF65" s="1304"/>
      <c r="DIG65" s="1304"/>
      <c r="DIH65" s="1304"/>
      <c r="DII65" s="1304"/>
      <c r="DIJ65" s="1304"/>
      <c r="DIK65" s="1305"/>
      <c r="DIL65" s="1305"/>
      <c r="DIM65" s="1304"/>
      <c r="DIN65" s="1304"/>
      <c r="DIO65" s="1304"/>
      <c r="DIP65" s="1304"/>
      <c r="DIQ65" s="1304"/>
      <c r="DIR65" s="1304"/>
      <c r="DIS65" s="1304"/>
      <c r="DIT65" s="1304"/>
      <c r="DIU65" s="1305"/>
      <c r="DIV65" s="1305"/>
      <c r="DIW65" s="1304"/>
      <c r="DIX65" s="1304"/>
      <c r="DIY65" s="1304"/>
      <c r="DIZ65" s="1304"/>
      <c r="DJA65" s="1304"/>
      <c r="DJB65" s="1304"/>
      <c r="DJC65" s="1304"/>
      <c r="DJD65" s="1304"/>
      <c r="DJE65" s="1305"/>
      <c r="DJF65" s="1305"/>
      <c r="DJG65" s="1304"/>
      <c r="DJH65" s="1304"/>
      <c r="DJI65" s="1304"/>
      <c r="DJJ65" s="1304"/>
      <c r="DJK65" s="1304"/>
      <c r="DJL65" s="1304"/>
      <c r="DJM65" s="1304"/>
      <c r="DJN65" s="1304"/>
      <c r="DJO65" s="1305"/>
      <c r="DJP65" s="1305"/>
      <c r="DJQ65" s="1304"/>
      <c r="DJR65" s="1304"/>
      <c r="DJS65" s="1304"/>
      <c r="DJT65" s="1304"/>
      <c r="DJU65" s="1304"/>
      <c r="DJV65" s="1304"/>
      <c r="DJW65" s="1304"/>
      <c r="DJX65" s="1304"/>
      <c r="DJY65" s="1305"/>
      <c r="DJZ65" s="1305"/>
      <c r="DKA65" s="1304"/>
      <c r="DKB65" s="1304"/>
      <c r="DKC65" s="1304"/>
      <c r="DKD65" s="1304"/>
      <c r="DKE65" s="1304"/>
      <c r="DKF65" s="1304"/>
      <c r="DKG65" s="1304"/>
      <c r="DKH65" s="1304"/>
      <c r="DKI65" s="1305"/>
      <c r="DKJ65" s="1305"/>
      <c r="DKK65" s="1304"/>
      <c r="DKL65" s="1304"/>
      <c r="DKM65" s="1304"/>
      <c r="DKN65" s="1304"/>
      <c r="DKO65" s="1304"/>
      <c r="DKP65" s="1304"/>
      <c r="DKQ65" s="1304"/>
      <c r="DKR65" s="1304"/>
      <c r="DKS65" s="1305"/>
      <c r="DKT65" s="1305"/>
      <c r="DKU65" s="1304"/>
      <c r="DKV65" s="1304"/>
      <c r="DKW65" s="1304"/>
      <c r="DKX65" s="1304"/>
      <c r="DKY65" s="1304"/>
      <c r="DKZ65" s="1304"/>
      <c r="DLA65" s="1304"/>
      <c r="DLB65" s="1304"/>
      <c r="DLC65" s="1305"/>
      <c r="DLD65" s="1305"/>
      <c r="DLE65" s="1304"/>
      <c r="DLF65" s="1304"/>
      <c r="DLG65" s="1304"/>
      <c r="DLH65" s="1304"/>
      <c r="DLI65" s="1304"/>
      <c r="DLJ65" s="1304"/>
      <c r="DLK65" s="1304"/>
      <c r="DLL65" s="1304"/>
      <c r="DLM65" s="1305"/>
      <c r="DLN65" s="1305"/>
      <c r="DLO65" s="1304"/>
      <c r="DLP65" s="1304"/>
      <c r="DLQ65" s="1304"/>
      <c r="DLR65" s="1304"/>
      <c r="DLS65" s="1304"/>
      <c r="DLT65" s="1304"/>
      <c r="DLU65" s="1304"/>
      <c r="DLV65" s="1304"/>
      <c r="DLW65" s="1305"/>
      <c r="DLX65" s="1305"/>
      <c r="DLY65" s="1304"/>
      <c r="DLZ65" s="1304"/>
      <c r="DMA65" s="1304"/>
      <c r="DMB65" s="1304"/>
      <c r="DMC65" s="1304"/>
      <c r="DMD65" s="1304"/>
      <c r="DME65" s="1304"/>
      <c r="DMF65" s="1304"/>
      <c r="DMG65" s="1305"/>
      <c r="DMH65" s="1305"/>
      <c r="DMI65" s="1304"/>
      <c r="DMJ65" s="1304"/>
      <c r="DMK65" s="1304"/>
      <c r="DML65" s="1304"/>
      <c r="DMM65" s="1304"/>
      <c r="DMN65" s="1304"/>
      <c r="DMO65" s="1304"/>
      <c r="DMP65" s="1304"/>
      <c r="DMQ65" s="1305"/>
      <c r="DMR65" s="1305"/>
      <c r="DMS65" s="1304"/>
      <c r="DMT65" s="1304"/>
      <c r="DMU65" s="1304"/>
      <c r="DMV65" s="1304"/>
      <c r="DMW65" s="1304"/>
      <c r="DMX65" s="1304"/>
      <c r="DMY65" s="1304"/>
      <c r="DMZ65" s="1304"/>
      <c r="DNA65" s="1305"/>
      <c r="DNB65" s="1305"/>
      <c r="DNC65" s="1304"/>
      <c r="DND65" s="1304"/>
      <c r="DNE65" s="1304"/>
      <c r="DNF65" s="1304"/>
      <c r="DNG65" s="1304"/>
      <c r="DNH65" s="1304"/>
      <c r="DNI65" s="1304"/>
      <c r="DNJ65" s="1304"/>
      <c r="DNK65" s="1305"/>
      <c r="DNL65" s="1305"/>
      <c r="DNM65" s="1304"/>
      <c r="DNN65" s="1304"/>
      <c r="DNO65" s="1304"/>
      <c r="DNP65" s="1304"/>
      <c r="DNQ65" s="1304"/>
      <c r="DNR65" s="1304"/>
      <c r="DNS65" s="1304"/>
      <c r="DNT65" s="1304"/>
      <c r="DNU65" s="1305"/>
      <c r="DNV65" s="1305"/>
      <c r="DNW65" s="1304"/>
      <c r="DNX65" s="1304"/>
      <c r="DNY65" s="1304"/>
      <c r="DNZ65" s="1304"/>
      <c r="DOA65" s="1304"/>
      <c r="DOB65" s="1304"/>
      <c r="DOC65" s="1304"/>
      <c r="DOD65" s="1304"/>
      <c r="DOE65" s="1305"/>
      <c r="DOF65" s="1305"/>
      <c r="DOG65" s="1304"/>
      <c r="DOH65" s="1304"/>
      <c r="DOI65" s="1304"/>
      <c r="DOJ65" s="1304"/>
      <c r="DOK65" s="1304"/>
      <c r="DOL65" s="1304"/>
      <c r="DOM65" s="1304"/>
      <c r="DON65" s="1304"/>
      <c r="DOO65" s="1305"/>
      <c r="DOP65" s="1305"/>
      <c r="DOQ65" s="1304"/>
      <c r="DOR65" s="1304"/>
      <c r="DOS65" s="1304"/>
      <c r="DOT65" s="1304"/>
      <c r="DOU65" s="1304"/>
      <c r="DOV65" s="1304"/>
      <c r="DOW65" s="1304"/>
      <c r="DOX65" s="1304"/>
      <c r="DOY65" s="1305"/>
      <c r="DOZ65" s="1305"/>
      <c r="DPA65" s="1304"/>
      <c r="DPB65" s="1304"/>
      <c r="DPC65" s="1304"/>
      <c r="DPD65" s="1304"/>
      <c r="DPE65" s="1304"/>
      <c r="DPF65" s="1304"/>
      <c r="DPG65" s="1304"/>
      <c r="DPH65" s="1304"/>
      <c r="DPI65" s="1305"/>
      <c r="DPJ65" s="1305"/>
      <c r="DPK65" s="1304"/>
      <c r="DPL65" s="1304"/>
      <c r="DPM65" s="1304"/>
      <c r="DPN65" s="1304"/>
      <c r="DPO65" s="1304"/>
      <c r="DPP65" s="1304"/>
      <c r="DPQ65" s="1304"/>
      <c r="DPR65" s="1304"/>
      <c r="DPS65" s="1305"/>
      <c r="DPT65" s="1305"/>
      <c r="DPU65" s="1304"/>
      <c r="DPV65" s="1304"/>
      <c r="DPW65" s="1304"/>
      <c r="DPX65" s="1304"/>
      <c r="DPY65" s="1304"/>
      <c r="DPZ65" s="1304"/>
      <c r="DQA65" s="1304"/>
      <c r="DQB65" s="1304"/>
      <c r="DQC65" s="1305"/>
      <c r="DQD65" s="1305"/>
      <c r="DQE65" s="1304"/>
      <c r="DQF65" s="1304"/>
      <c r="DQG65" s="1304"/>
      <c r="DQH65" s="1304"/>
      <c r="DQI65" s="1304"/>
      <c r="DQJ65" s="1304"/>
      <c r="DQK65" s="1304"/>
      <c r="DQL65" s="1304"/>
      <c r="DQM65" s="1305"/>
      <c r="DQN65" s="1305"/>
      <c r="DQO65" s="1304"/>
      <c r="DQP65" s="1304"/>
      <c r="DQQ65" s="1304"/>
      <c r="DQR65" s="1304"/>
      <c r="DQS65" s="1304"/>
      <c r="DQT65" s="1304"/>
      <c r="DQU65" s="1304"/>
      <c r="DQV65" s="1304"/>
      <c r="DQW65" s="1305"/>
      <c r="DQX65" s="1305"/>
      <c r="DQY65" s="1304"/>
      <c r="DQZ65" s="1304"/>
      <c r="DRA65" s="1304"/>
      <c r="DRB65" s="1304"/>
      <c r="DRC65" s="1304"/>
      <c r="DRD65" s="1304"/>
      <c r="DRE65" s="1304"/>
      <c r="DRF65" s="1304"/>
      <c r="DRG65" s="1305"/>
      <c r="DRH65" s="1305"/>
      <c r="DRI65" s="1304"/>
      <c r="DRJ65" s="1304"/>
      <c r="DRK65" s="1304"/>
      <c r="DRL65" s="1304"/>
      <c r="DRM65" s="1304"/>
      <c r="DRN65" s="1304"/>
      <c r="DRO65" s="1304"/>
      <c r="DRP65" s="1304"/>
      <c r="DRQ65" s="1305"/>
      <c r="DRR65" s="1305"/>
      <c r="DRS65" s="1304"/>
      <c r="DRT65" s="1304"/>
      <c r="DRU65" s="1304"/>
      <c r="DRV65" s="1304"/>
      <c r="DRW65" s="1304"/>
      <c r="DRX65" s="1304"/>
      <c r="DRY65" s="1304"/>
      <c r="DRZ65" s="1304"/>
      <c r="DSA65" s="1305"/>
      <c r="DSB65" s="1305"/>
      <c r="DSC65" s="1304"/>
      <c r="DSD65" s="1304"/>
      <c r="DSE65" s="1304"/>
      <c r="DSF65" s="1304"/>
      <c r="DSG65" s="1304"/>
      <c r="DSH65" s="1304"/>
      <c r="DSI65" s="1304"/>
      <c r="DSJ65" s="1304"/>
      <c r="DSK65" s="1305"/>
      <c r="DSL65" s="1305"/>
      <c r="DSM65" s="1304"/>
      <c r="DSN65" s="1304"/>
      <c r="DSO65" s="1304"/>
      <c r="DSP65" s="1304"/>
      <c r="DSQ65" s="1304"/>
      <c r="DSR65" s="1304"/>
      <c r="DSS65" s="1304"/>
      <c r="DST65" s="1304"/>
      <c r="DSU65" s="1305"/>
      <c r="DSV65" s="1305"/>
      <c r="DSW65" s="1304"/>
      <c r="DSX65" s="1304"/>
      <c r="DSY65" s="1304"/>
      <c r="DSZ65" s="1304"/>
      <c r="DTA65" s="1304"/>
      <c r="DTB65" s="1304"/>
      <c r="DTC65" s="1304"/>
      <c r="DTD65" s="1304"/>
      <c r="DTE65" s="1305"/>
      <c r="DTF65" s="1305"/>
      <c r="DTG65" s="1304"/>
      <c r="DTH65" s="1304"/>
      <c r="DTI65" s="1304"/>
      <c r="DTJ65" s="1304"/>
      <c r="DTK65" s="1304"/>
      <c r="DTL65" s="1304"/>
      <c r="DTM65" s="1304"/>
      <c r="DTN65" s="1304"/>
      <c r="DTO65" s="1305"/>
      <c r="DTP65" s="1305"/>
      <c r="DTQ65" s="1304"/>
      <c r="DTR65" s="1304"/>
      <c r="DTS65" s="1304"/>
      <c r="DTT65" s="1304"/>
      <c r="DTU65" s="1304"/>
      <c r="DTV65" s="1304"/>
      <c r="DTW65" s="1304"/>
      <c r="DTX65" s="1304"/>
      <c r="DTY65" s="1305"/>
      <c r="DTZ65" s="1305"/>
      <c r="DUA65" s="1304"/>
      <c r="DUB65" s="1304"/>
      <c r="DUC65" s="1304"/>
      <c r="DUD65" s="1304"/>
      <c r="DUE65" s="1304"/>
      <c r="DUF65" s="1304"/>
      <c r="DUG65" s="1304"/>
      <c r="DUH65" s="1304"/>
      <c r="DUI65" s="1305"/>
      <c r="DUJ65" s="1305"/>
      <c r="DUK65" s="1304"/>
      <c r="DUL65" s="1304"/>
      <c r="DUM65" s="1304"/>
      <c r="DUN65" s="1304"/>
      <c r="DUO65" s="1304"/>
      <c r="DUP65" s="1304"/>
      <c r="DUQ65" s="1304"/>
      <c r="DUR65" s="1304"/>
      <c r="DUS65" s="1305"/>
      <c r="DUT65" s="1305"/>
      <c r="DUU65" s="1304"/>
      <c r="DUV65" s="1304"/>
      <c r="DUW65" s="1304"/>
      <c r="DUX65" s="1304"/>
      <c r="DUY65" s="1304"/>
      <c r="DUZ65" s="1304"/>
      <c r="DVA65" s="1304"/>
      <c r="DVB65" s="1304"/>
      <c r="DVC65" s="1305"/>
      <c r="DVD65" s="1305"/>
      <c r="DVE65" s="1304"/>
      <c r="DVF65" s="1304"/>
      <c r="DVG65" s="1304"/>
      <c r="DVH65" s="1304"/>
      <c r="DVI65" s="1304"/>
      <c r="DVJ65" s="1304"/>
      <c r="DVK65" s="1304"/>
      <c r="DVL65" s="1304"/>
      <c r="DVM65" s="1305"/>
      <c r="DVN65" s="1305"/>
      <c r="DVO65" s="1304"/>
      <c r="DVP65" s="1304"/>
      <c r="DVQ65" s="1304"/>
      <c r="DVR65" s="1304"/>
      <c r="DVS65" s="1304"/>
      <c r="DVT65" s="1304"/>
      <c r="DVU65" s="1304"/>
      <c r="DVV65" s="1304"/>
      <c r="DVW65" s="1305"/>
      <c r="DVX65" s="1305"/>
      <c r="DVY65" s="1304"/>
      <c r="DVZ65" s="1304"/>
      <c r="DWA65" s="1304"/>
      <c r="DWB65" s="1304"/>
      <c r="DWC65" s="1304"/>
      <c r="DWD65" s="1304"/>
      <c r="DWE65" s="1304"/>
      <c r="DWF65" s="1304"/>
      <c r="DWG65" s="1305"/>
      <c r="DWH65" s="1305"/>
      <c r="DWI65" s="1304"/>
      <c r="DWJ65" s="1304"/>
      <c r="DWK65" s="1304"/>
      <c r="DWL65" s="1304"/>
      <c r="DWM65" s="1304"/>
      <c r="DWN65" s="1304"/>
      <c r="DWO65" s="1304"/>
      <c r="DWP65" s="1304"/>
      <c r="DWQ65" s="1305"/>
      <c r="DWR65" s="1305"/>
      <c r="DWS65" s="1304"/>
      <c r="DWT65" s="1304"/>
      <c r="DWU65" s="1304"/>
      <c r="DWV65" s="1304"/>
      <c r="DWW65" s="1304"/>
      <c r="DWX65" s="1304"/>
      <c r="DWY65" s="1304"/>
      <c r="DWZ65" s="1304"/>
      <c r="DXA65" s="1305"/>
      <c r="DXB65" s="1305"/>
      <c r="DXC65" s="1304"/>
      <c r="DXD65" s="1304"/>
      <c r="DXE65" s="1304"/>
      <c r="DXF65" s="1304"/>
      <c r="DXG65" s="1304"/>
      <c r="DXH65" s="1304"/>
      <c r="DXI65" s="1304"/>
      <c r="DXJ65" s="1304"/>
      <c r="DXK65" s="1305"/>
      <c r="DXL65" s="1305"/>
      <c r="DXM65" s="1304"/>
      <c r="DXN65" s="1304"/>
      <c r="DXO65" s="1304"/>
      <c r="DXP65" s="1304"/>
      <c r="DXQ65" s="1304"/>
      <c r="DXR65" s="1304"/>
      <c r="DXS65" s="1304"/>
      <c r="DXT65" s="1304"/>
      <c r="DXU65" s="1305"/>
      <c r="DXV65" s="1305"/>
      <c r="DXW65" s="1304"/>
      <c r="DXX65" s="1304"/>
      <c r="DXY65" s="1304"/>
      <c r="DXZ65" s="1304"/>
      <c r="DYA65" s="1304"/>
      <c r="DYB65" s="1304"/>
      <c r="DYC65" s="1304"/>
      <c r="DYD65" s="1304"/>
      <c r="DYE65" s="1305"/>
      <c r="DYF65" s="1305"/>
      <c r="DYG65" s="1304"/>
      <c r="DYH65" s="1304"/>
      <c r="DYI65" s="1304"/>
      <c r="DYJ65" s="1304"/>
      <c r="DYK65" s="1304"/>
      <c r="DYL65" s="1304"/>
      <c r="DYM65" s="1304"/>
      <c r="DYN65" s="1304"/>
      <c r="DYO65" s="1305"/>
      <c r="DYP65" s="1305"/>
      <c r="DYQ65" s="1304"/>
      <c r="DYR65" s="1304"/>
      <c r="DYS65" s="1304"/>
      <c r="DYT65" s="1304"/>
      <c r="DYU65" s="1304"/>
      <c r="DYV65" s="1304"/>
      <c r="DYW65" s="1304"/>
      <c r="DYX65" s="1304"/>
      <c r="DYY65" s="1305"/>
      <c r="DYZ65" s="1305"/>
      <c r="DZA65" s="1304"/>
      <c r="DZB65" s="1304"/>
      <c r="DZC65" s="1304"/>
      <c r="DZD65" s="1304"/>
      <c r="DZE65" s="1304"/>
      <c r="DZF65" s="1304"/>
      <c r="DZG65" s="1304"/>
      <c r="DZH65" s="1304"/>
      <c r="DZI65" s="1305"/>
      <c r="DZJ65" s="1305"/>
      <c r="DZK65" s="1304"/>
      <c r="DZL65" s="1304"/>
      <c r="DZM65" s="1304"/>
      <c r="DZN65" s="1304"/>
      <c r="DZO65" s="1304"/>
      <c r="DZP65" s="1304"/>
      <c r="DZQ65" s="1304"/>
      <c r="DZR65" s="1304"/>
      <c r="DZS65" s="1305"/>
      <c r="DZT65" s="1305"/>
      <c r="DZU65" s="1304"/>
      <c r="DZV65" s="1304"/>
      <c r="DZW65" s="1304"/>
      <c r="DZX65" s="1304"/>
      <c r="DZY65" s="1304"/>
      <c r="DZZ65" s="1304"/>
      <c r="EAA65" s="1304"/>
      <c r="EAB65" s="1304"/>
      <c r="EAC65" s="1305"/>
      <c r="EAD65" s="1305"/>
      <c r="EAE65" s="1304"/>
      <c r="EAF65" s="1304"/>
      <c r="EAG65" s="1304"/>
      <c r="EAH65" s="1304"/>
      <c r="EAI65" s="1304"/>
      <c r="EAJ65" s="1304"/>
      <c r="EAK65" s="1304"/>
      <c r="EAL65" s="1304"/>
      <c r="EAM65" s="1305"/>
      <c r="EAN65" s="1305"/>
      <c r="EAO65" s="1304"/>
      <c r="EAP65" s="1304"/>
      <c r="EAQ65" s="1304"/>
      <c r="EAR65" s="1304"/>
      <c r="EAS65" s="1304"/>
      <c r="EAT65" s="1304"/>
      <c r="EAU65" s="1304"/>
      <c r="EAV65" s="1304"/>
      <c r="EAW65" s="1305"/>
      <c r="EAX65" s="1305"/>
      <c r="EAY65" s="1304"/>
      <c r="EAZ65" s="1304"/>
      <c r="EBA65" s="1304"/>
      <c r="EBB65" s="1304"/>
      <c r="EBC65" s="1304"/>
      <c r="EBD65" s="1304"/>
      <c r="EBE65" s="1304"/>
      <c r="EBF65" s="1304"/>
      <c r="EBG65" s="1305"/>
      <c r="EBH65" s="1305"/>
      <c r="EBI65" s="1304"/>
      <c r="EBJ65" s="1304"/>
      <c r="EBK65" s="1304"/>
      <c r="EBL65" s="1304"/>
      <c r="EBM65" s="1304"/>
      <c r="EBN65" s="1304"/>
      <c r="EBO65" s="1304"/>
      <c r="EBP65" s="1304"/>
      <c r="EBQ65" s="1305"/>
      <c r="EBR65" s="1305"/>
      <c r="EBS65" s="1304"/>
      <c r="EBT65" s="1304"/>
      <c r="EBU65" s="1304"/>
      <c r="EBV65" s="1304"/>
      <c r="EBW65" s="1304"/>
      <c r="EBX65" s="1304"/>
      <c r="EBY65" s="1304"/>
      <c r="EBZ65" s="1304"/>
      <c r="ECA65" s="1305"/>
      <c r="ECB65" s="1305"/>
      <c r="ECC65" s="1304"/>
      <c r="ECD65" s="1304"/>
      <c r="ECE65" s="1304"/>
      <c r="ECF65" s="1304"/>
      <c r="ECG65" s="1304"/>
      <c r="ECH65" s="1304"/>
      <c r="ECI65" s="1304"/>
      <c r="ECJ65" s="1304"/>
      <c r="ECK65" s="1305"/>
      <c r="ECL65" s="1305"/>
      <c r="ECM65" s="1304"/>
      <c r="ECN65" s="1304"/>
      <c r="ECO65" s="1304"/>
      <c r="ECP65" s="1304"/>
      <c r="ECQ65" s="1304"/>
      <c r="ECR65" s="1304"/>
      <c r="ECS65" s="1304"/>
      <c r="ECT65" s="1304"/>
      <c r="ECU65" s="1305"/>
      <c r="ECV65" s="1305"/>
      <c r="ECW65" s="1304"/>
      <c r="ECX65" s="1304"/>
      <c r="ECY65" s="1304"/>
      <c r="ECZ65" s="1304"/>
      <c r="EDA65" s="1304"/>
      <c r="EDB65" s="1304"/>
      <c r="EDC65" s="1304"/>
      <c r="EDD65" s="1304"/>
      <c r="EDE65" s="1305"/>
      <c r="EDF65" s="1305"/>
      <c r="EDG65" s="1304"/>
      <c r="EDH65" s="1304"/>
      <c r="EDI65" s="1304"/>
      <c r="EDJ65" s="1304"/>
      <c r="EDK65" s="1304"/>
      <c r="EDL65" s="1304"/>
      <c r="EDM65" s="1304"/>
      <c r="EDN65" s="1304"/>
      <c r="EDO65" s="1305"/>
      <c r="EDP65" s="1305"/>
      <c r="EDQ65" s="1304"/>
      <c r="EDR65" s="1304"/>
      <c r="EDS65" s="1304"/>
      <c r="EDT65" s="1304"/>
      <c r="EDU65" s="1304"/>
      <c r="EDV65" s="1304"/>
      <c r="EDW65" s="1304"/>
      <c r="EDX65" s="1304"/>
      <c r="EDY65" s="1305"/>
      <c r="EDZ65" s="1305"/>
      <c r="EEA65" s="1304"/>
      <c r="EEB65" s="1304"/>
      <c r="EEC65" s="1304"/>
      <c r="EED65" s="1304"/>
      <c r="EEE65" s="1304"/>
      <c r="EEF65" s="1304"/>
      <c r="EEG65" s="1304"/>
      <c r="EEH65" s="1304"/>
      <c r="EEI65" s="1305"/>
      <c r="EEJ65" s="1305"/>
      <c r="EEK65" s="1304"/>
      <c r="EEL65" s="1304"/>
      <c r="EEM65" s="1304"/>
      <c r="EEN65" s="1304"/>
      <c r="EEO65" s="1304"/>
      <c r="EEP65" s="1304"/>
      <c r="EEQ65" s="1304"/>
      <c r="EER65" s="1304"/>
      <c r="EES65" s="1305"/>
      <c r="EET65" s="1305"/>
      <c r="EEU65" s="1304"/>
      <c r="EEV65" s="1304"/>
      <c r="EEW65" s="1304"/>
      <c r="EEX65" s="1304"/>
      <c r="EEY65" s="1304"/>
      <c r="EEZ65" s="1304"/>
      <c r="EFA65" s="1304"/>
      <c r="EFB65" s="1304"/>
      <c r="EFC65" s="1305"/>
      <c r="EFD65" s="1305"/>
      <c r="EFE65" s="1304"/>
      <c r="EFF65" s="1304"/>
      <c r="EFG65" s="1304"/>
      <c r="EFH65" s="1304"/>
      <c r="EFI65" s="1304"/>
      <c r="EFJ65" s="1304"/>
      <c r="EFK65" s="1304"/>
      <c r="EFL65" s="1304"/>
      <c r="EFM65" s="1305"/>
      <c r="EFN65" s="1305"/>
      <c r="EFO65" s="1304"/>
      <c r="EFP65" s="1304"/>
      <c r="EFQ65" s="1304"/>
      <c r="EFR65" s="1304"/>
      <c r="EFS65" s="1304"/>
      <c r="EFT65" s="1304"/>
      <c r="EFU65" s="1304"/>
      <c r="EFV65" s="1304"/>
      <c r="EFW65" s="1305"/>
      <c r="EFX65" s="1305"/>
      <c r="EFY65" s="1304"/>
      <c r="EFZ65" s="1304"/>
      <c r="EGA65" s="1304"/>
      <c r="EGB65" s="1304"/>
      <c r="EGC65" s="1304"/>
      <c r="EGD65" s="1304"/>
      <c r="EGE65" s="1304"/>
      <c r="EGF65" s="1304"/>
      <c r="EGG65" s="1305"/>
      <c r="EGH65" s="1305"/>
      <c r="EGI65" s="1304"/>
      <c r="EGJ65" s="1304"/>
      <c r="EGK65" s="1304"/>
      <c r="EGL65" s="1304"/>
      <c r="EGM65" s="1304"/>
      <c r="EGN65" s="1304"/>
      <c r="EGO65" s="1304"/>
      <c r="EGP65" s="1304"/>
      <c r="EGQ65" s="1305"/>
      <c r="EGR65" s="1305"/>
      <c r="EGS65" s="1304"/>
      <c r="EGT65" s="1304"/>
      <c r="EGU65" s="1304"/>
      <c r="EGV65" s="1304"/>
      <c r="EGW65" s="1304"/>
      <c r="EGX65" s="1304"/>
      <c r="EGY65" s="1304"/>
      <c r="EGZ65" s="1304"/>
      <c r="EHA65" s="1305"/>
      <c r="EHB65" s="1305"/>
      <c r="EHC65" s="1304"/>
      <c r="EHD65" s="1304"/>
      <c r="EHE65" s="1304"/>
      <c r="EHF65" s="1304"/>
      <c r="EHG65" s="1304"/>
      <c r="EHH65" s="1304"/>
      <c r="EHI65" s="1304"/>
      <c r="EHJ65" s="1304"/>
      <c r="EHK65" s="1305"/>
      <c r="EHL65" s="1305"/>
      <c r="EHM65" s="1304"/>
      <c r="EHN65" s="1304"/>
      <c r="EHO65" s="1304"/>
      <c r="EHP65" s="1304"/>
      <c r="EHQ65" s="1304"/>
      <c r="EHR65" s="1304"/>
      <c r="EHS65" s="1304"/>
      <c r="EHT65" s="1304"/>
      <c r="EHU65" s="1305"/>
      <c r="EHV65" s="1305"/>
      <c r="EHW65" s="1304"/>
      <c r="EHX65" s="1304"/>
      <c r="EHY65" s="1304"/>
      <c r="EHZ65" s="1304"/>
      <c r="EIA65" s="1304"/>
      <c r="EIB65" s="1304"/>
      <c r="EIC65" s="1304"/>
      <c r="EID65" s="1304"/>
      <c r="EIE65" s="1305"/>
      <c r="EIF65" s="1305"/>
      <c r="EIG65" s="1304"/>
      <c r="EIH65" s="1304"/>
      <c r="EII65" s="1304"/>
      <c r="EIJ65" s="1304"/>
      <c r="EIK65" s="1304"/>
      <c r="EIL65" s="1304"/>
      <c r="EIM65" s="1304"/>
      <c r="EIN65" s="1304"/>
      <c r="EIO65" s="1305"/>
      <c r="EIP65" s="1305"/>
      <c r="EIQ65" s="1304"/>
      <c r="EIR65" s="1304"/>
      <c r="EIS65" s="1304"/>
      <c r="EIT65" s="1304"/>
      <c r="EIU65" s="1304"/>
      <c r="EIV65" s="1304"/>
      <c r="EIW65" s="1304"/>
      <c r="EIX65" s="1304"/>
      <c r="EIY65" s="1305"/>
      <c r="EIZ65" s="1305"/>
      <c r="EJA65" s="1304"/>
      <c r="EJB65" s="1304"/>
      <c r="EJC65" s="1304"/>
      <c r="EJD65" s="1304"/>
      <c r="EJE65" s="1304"/>
      <c r="EJF65" s="1304"/>
      <c r="EJG65" s="1304"/>
      <c r="EJH65" s="1304"/>
      <c r="EJI65" s="1305"/>
      <c r="EJJ65" s="1305"/>
      <c r="EJK65" s="1304"/>
      <c r="EJL65" s="1304"/>
      <c r="EJM65" s="1304"/>
      <c r="EJN65" s="1304"/>
      <c r="EJO65" s="1304"/>
      <c r="EJP65" s="1304"/>
      <c r="EJQ65" s="1304"/>
      <c r="EJR65" s="1304"/>
      <c r="EJS65" s="1305"/>
      <c r="EJT65" s="1305"/>
      <c r="EJU65" s="1304"/>
      <c r="EJV65" s="1304"/>
      <c r="EJW65" s="1304"/>
      <c r="EJX65" s="1304"/>
      <c r="EJY65" s="1304"/>
      <c r="EJZ65" s="1304"/>
      <c r="EKA65" s="1304"/>
      <c r="EKB65" s="1304"/>
      <c r="EKC65" s="1305"/>
      <c r="EKD65" s="1305"/>
      <c r="EKE65" s="1304"/>
      <c r="EKF65" s="1304"/>
      <c r="EKG65" s="1304"/>
      <c r="EKH65" s="1304"/>
      <c r="EKI65" s="1304"/>
      <c r="EKJ65" s="1304"/>
      <c r="EKK65" s="1304"/>
      <c r="EKL65" s="1304"/>
      <c r="EKM65" s="1305"/>
      <c r="EKN65" s="1305"/>
      <c r="EKO65" s="1304"/>
      <c r="EKP65" s="1304"/>
      <c r="EKQ65" s="1304"/>
      <c r="EKR65" s="1304"/>
      <c r="EKS65" s="1304"/>
      <c r="EKT65" s="1304"/>
      <c r="EKU65" s="1304"/>
      <c r="EKV65" s="1304"/>
      <c r="EKW65" s="1305"/>
      <c r="EKX65" s="1305"/>
      <c r="EKY65" s="1304"/>
      <c r="EKZ65" s="1304"/>
      <c r="ELA65" s="1304"/>
      <c r="ELB65" s="1304"/>
      <c r="ELC65" s="1304"/>
      <c r="ELD65" s="1304"/>
      <c r="ELE65" s="1304"/>
      <c r="ELF65" s="1304"/>
      <c r="ELG65" s="1305"/>
      <c r="ELH65" s="1305"/>
      <c r="ELI65" s="1304"/>
      <c r="ELJ65" s="1304"/>
      <c r="ELK65" s="1304"/>
      <c r="ELL65" s="1304"/>
      <c r="ELM65" s="1304"/>
      <c r="ELN65" s="1304"/>
      <c r="ELO65" s="1304"/>
      <c r="ELP65" s="1304"/>
      <c r="ELQ65" s="1305"/>
      <c r="ELR65" s="1305"/>
      <c r="ELS65" s="1304"/>
      <c r="ELT65" s="1304"/>
      <c r="ELU65" s="1304"/>
      <c r="ELV65" s="1304"/>
      <c r="ELW65" s="1304"/>
      <c r="ELX65" s="1304"/>
      <c r="ELY65" s="1304"/>
      <c r="ELZ65" s="1304"/>
      <c r="EMA65" s="1305"/>
      <c r="EMB65" s="1305"/>
      <c r="EMC65" s="1304"/>
      <c r="EMD65" s="1304"/>
      <c r="EME65" s="1304"/>
      <c r="EMF65" s="1304"/>
      <c r="EMG65" s="1304"/>
      <c r="EMH65" s="1304"/>
      <c r="EMI65" s="1304"/>
      <c r="EMJ65" s="1304"/>
      <c r="EMK65" s="1305"/>
      <c r="EML65" s="1305"/>
      <c r="EMM65" s="1304"/>
      <c r="EMN65" s="1304"/>
      <c r="EMO65" s="1304"/>
      <c r="EMP65" s="1304"/>
      <c r="EMQ65" s="1304"/>
      <c r="EMR65" s="1304"/>
      <c r="EMS65" s="1304"/>
      <c r="EMT65" s="1304"/>
      <c r="EMU65" s="1305"/>
      <c r="EMV65" s="1305"/>
      <c r="EMW65" s="1304"/>
      <c r="EMX65" s="1304"/>
      <c r="EMY65" s="1304"/>
      <c r="EMZ65" s="1304"/>
      <c r="ENA65" s="1304"/>
      <c r="ENB65" s="1304"/>
      <c r="ENC65" s="1304"/>
      <c r="END65" s="1304"/>
      <c r="ENE65" s="1305"/>
      <c r="ENF65" s="1305"/>
      <c r="ENG65" s="1304"/>
      <c r="ENH65" s="1304"/>
      <c r="ENI65" s="1304"/>
      <c r="ENJ65" s="1304"/>
      <c r="ENK65" s="1304"/>
      <c r="ENL65" s="1304"/>
      <c r="ENM65" s="1304"/>
      <c r="ENN65" s="1304"/>
      <c r="ENO65" s="1305"/>
      <c r="ENP65" s="1305"/>
      <c r="ENQ65" s="1304"/>
      <c r="ENR65" s="1304"/>
      <c r="ENS65" s="1304"/>
      <c r="ENT65" s="1304"/>
      <c r="ENU65" s="1304"/>
      <c r="ENV65" s="1304"/>
      <c r="ENW65" s="1304"/>
      <c r="ENX65" s="1304"/>
      <c r="ENY65" s="1305"/>
      <c r="ENZ65" s="1305"/>
      <c r="EOA65" s="1304"/>
      <c r="EOB65" s="1304"/>
      <c r="EOC65" s="1304"/>
      <c r="EOD65" s="1304"/>
      <c r="EOE65" s="1304"/>
      <c r="EOF65" s="1304"/>
      <c r="EOG65" s="1304"/>
      <c r="EOH65" s="1304"/>
      <c r="EOI65" s="1305"/>
      <c r="EOJ65" s="1305"/>
      <c r="EOK65" s="1304"/>
      <c r="EOL65" s="1304"/>
      <c r="EOM65" s="1304"/>
      <c r="EON65" s="1304"/>
      <c r="EOO65" s="1304"/>
      <c r="EOP65" s="1304"/>
      <c r="EOQ65" s="1304"/>
      <c r="EOR65" s="1304"/>
      <c r="EOS65" s="1305"/>
      <c r="EOT65" s="1305"/>
      <c r="EOU65" s="1304"/>
      <c r="EOV65" s="1304"/>
      <c r="EOW65" s="1304"/>
      <c r="EOX65" s="1304"/>
      <c r="EOY65" s="1304"/>
      <c r="EOZ65" s="1304"/>
      <c r="EPA65" s="1304"/>
      <c r="EPB65" s="1304"/>
      <c r="EPC65" s="1305"/>
      <c r="EPD65" s="1305"/>
      <c r="EPE65" s="1304"/>
      <c r="EPF65" s="1304"/>
      <c r="EPG65" s="1304"/>
      <c r="EPH65" s="1304"/>
      <c r="EPI65" s="1304"/>
      <c r="EPJ65" s="1304"/>
      <c r="EPK65" s="1304"/>
      <c r="EPL65" s="1304"/>
      <c r="EPM65" s="1305"/>
      <c r="EPN65" s="1305"/>
      <c r="EPO65" s="1304"/>
      <c r="EPP65" s="1304"/>
      <c r="EPQ65" s="1304"/>
      <c r="EPR65" s="1304"/>
      <c r="EPS65" s="1304"/>
      <c r="EPT65" s="1304"/>
      <c r="EPU65" s="1304"/>
      <c r="EPV65" s="1304"/>
      <c r="EPW65" s="1305"/>
      <c r="EPX65" s="1305"/>
      <c r="EPY65" s="1304"/>
      <c r="EPZ65" s="1304"/>
      <c r="EQA65" s="1304"/>
      <c r="EQB65" s="1304"/>
      <c r="EQC65" s="1304"/>
      <c r="EQD65" s="1304"/>
      <c r="EQE65" s="1304"/>
      <c r="EQF65" s="1304"/>
      <c r="EQG65" s="1305"/>
      <c r="EQH65" s="1305"/>
      <c r="EQI65" s="1304"/>
      <c r="EQJ65" s="1304"/>
      <c r="EQK65" s="1304"/>
      <c r="EQL65" s="1304"/>
      <c r="EQM65" s="1304"/>
      <c r="EQN65" s="1304"/>
      <c r="EQO65" s="1304"/>
      <c r="EQP65" s="1304"/>
      <c r="EQQ65" s="1305"/>
      <c r="EQR65" s="1305"/>
      <c r="EQS65" s="1304"/>
      <c r="EQT65" s="1304"/>
      <c r="EQU65" s="1304"/>
      <c r="EQV65" s="1304"/>
      <c r="EQW65" s="1304"/>
      <c r="EQX65" s="1304"/>
      <c r="EQY65" s="1304"/>
      <c r="EQZ65" s="1304"/>
      <c r="ERA65" s="1305"/>
      <c r="ERB65" s="1305"/>
      <c r="ERC65" s="1304"/>
      <c r="ERD65" s="1304"/>
      <c r="ERE65" s="1304"/>
      <c r="ERF65" s="1304"/>
      <c r="ERG65" s="1304"/>
      <c r="ERH65" s="1304"/>
      <c r="ERI65" s="1304"/>
      <c r="ERJ65" s="1304"/>
      <c r="ERK65" s="1305"/>
      <c r="ERL65" s="1305"/>
      <c r="ERM65" s="1304"/>
      <c r="ERN65" s="1304"/>
      <c r="ERO65" s="1304"/>
      <c r="ERP65" s="1304"/>
      <c r="ERQ65" s="1304"/>
      <c r="ERR65" s="1304"/>
      <c r="ERS65" s="1304"/>
      <c r="ERT65" s="1304"/>
      <c r="ERU65" s="1305"/>
      <c r="ERV65" s="1305"/>
      <c r="ERW65" s="1304"/>
      <c r="ERX65" s="1304"/>
      <c r="ERY65" s="1304"/>
      <c r="ERZ65" s="1304"/>
      <c r="ESA65" s="1304"/>
      <c r="ESB65" s="1304"/>
      <c r="ESC65" s="1304"/>
      <c r="ESD65" s="1304"/>
      <c r="ESE65" s="1305"/>
      <c r="ESF65" s="1305"/>
      <c r="ESG65" s="1304"/>
      <c r="ESH65" s="1304"/>
      <c r="ESI65" s="1304"/>
      <c r="ESJ65" s="1304"/>
      <c r="ESK65" s="1304"/>
      <c r="ESL65" s="1304"/>
      <c r="ESM65" s="1304"/>
      <c r="ESN65" s="1304"/>
      <c r="ESO65" s="1305"/>
      <c r="ESP65" s="1305"/>
      <c r="ESQ65" s="1304"/>
      <c r="ESR65" s="1304"/>
      <c r="ESS65" s="1304"/>
      <c r="EST65" s="1304"/>
      <c r="ESU65" s="1304"/>
      <c r="ESV65" s="1304"/>
      <c r="ESW65" s="1304"/>
      <c r="ESX65" s="1304"/>
      <c r="ESY65" s="1305"/>
      <c r="ESZ65" s="1305"/>
      <c r="ETA65" s="1304"/>
      <c r="ETB65" s="1304"/>
      <c r="ETC65" s="1304"/>
      <c r="ETD65" s="1304"/>
      <c r="ETE65" s="1304"/>
      <c r="ETF65" s="1304"/>
      <c r="ETG65" s="1304"/>
      <c r="ETH65" s="1304"/>
      <c r="ETI65" s="1305"/>
      <c r="ETJ65" s="1305"/>
      <c r="ETK65" s="1304"/>
      <c r="ETL65" s="1304"/>
      <c r="ETM65" s="1304"/>
      <c r="ETN65" s="1304"/>
      <c r="ETO65" s="1304"/>
      <c r="ETP65" s="1304"/>
      <c r="ETQ65" s="1304"/>
      <c r="ETR65" s="1304"/>
      <c r="ETS65" s="1305"/>
      <c r="ETT65" s="1305"/>
      <c r="ETU65" s="1304"/>
      <c r="ETV65" s="1304"/>
      <c r="ETW65" s="1304"/>
      <c r="ETX65" s="1304"/>
      <c r="ETY65" s="1304"/>
      <c r="ETZ65" s="1304"/>
      <c r="EUA65" s="1304"/>
      <c r="EUB65" s="1304"/>
      <c r="EUC65" s="1305"/>
      <c r="EUD65" s="1305"/>
      <c r="EUE65" s="1304"/>
      <c r="EUF65" s="1304"/>
      <c r="EUG65" s="1304"/>
      <c r="EUH65" s="1304"/>
      <c r="EUI65" s="1304"/>
      <c r="EUJ65" s="1304"/>
      <c r="EUK65" s="1304"/>
      <c r="EUL65" s="1304"/>
      <c r="EUM65" s="1305"/>
      <c r="EUN65" s="1305"/>
      <c r="EUO65" s="1304"/>
      <c r="EUP65" s="1304"/>
      <c r="EUQ65" s="1304"/>
      <c r="EUR65" s="1304"/>
      <c r="EUS65" s="1304"/>
      <c r="EUT65" s="1304"/>
      <c r="EUU65" s="1304"/>
      <c r="EUV65" s="1304"/>
      <c r="EUW65" s="1305"/>
      <c r="EUX65" s="1305"/>
      <c r="EUY65" s="1304"/>
      <c r="EUZ65" s="1304"/>
      <c r="EVA65" s="1304"/>
      <c r="EVB65" s="1304"/>
      <c r="EVC65" s="1304"/>
      <c r="EVD65" s="1304"/>
      <c r="EVE65" s="1304"/>
      <c r="EVF65" s="1304"/>
      <c r="EVG65" s="1305"/>
      <c r="EVH65" s="1305"/>
      <c r="EVI65" s="1304"/>
      <c r="EVJ65" s="1304"/>
      <c r="EVK65" s="1304"/>
      <c r="EVL65" s="1304"/>
      <c r="EVM65" s="1304"/>
      <c r="EVN65" s="1304"/>
      <c r="EVO65" s="1304"/>
      <c r="EVP65" s="1304"/>
      <c r="EVQ65" s="1305"/>
      <c r="EVR65" s="1305"/>
      <c r="EVS65" s="1304"/>
      <c r="EVT65" s="1304"/>
      <c r="EVU65" s="1304"/>
      <c r="EVV65" s="1304"/>
      <c r="EVW65" s="1304"/>
      <c r="EVX65" s="1304"/>
      <c r="EVY65" s="1304"/>
      <c r="EVZ65" s="1304"/>
      <c r="EWA65" s="1305"/>
      <c r="EWB65" s="1305"/>
      <c r="EWC65" s="1304"/>
      <c r="EWD65" s="1304"/>
      <c r="EWE65" s="1304"/>
      <c r="EWF65" s="1304"/>
      <c r="EWG65" s="1304"/>
      <c r="EWH65" s="1304"/>
      <c r="EWI65" s="1304"/>
      <c r="EWJ65" s="1304"/>
      <c r="EWK65" s="1305"/>
      <c r="EWL65" s="1305"/>
      <c r="EWM65" s="1304"/>
      <c r="EWN65" s="1304"/>
      <c r="EWO65" s="1304"/>
      <c r="EWP65" s="1304"/>
      <c r="EWQ65" s="1304"/>
      <c r="EWR65" s="1304"/>
      <c r="EWS65" s="1304"/>
      <c r="EWT65" s="1304"/>
      <c r="EWU65" s="1305"/>
      <c r="EWV65" s="1305"/>
      <c r="EWW65" s="1304"/>
      <c r="EWX65" s="1304"/>
      <c r="EWY65" s="1304"/>
      <c r="EWZ65" s="1304"/>
      <c r="EXA65" s="1304"/>
      <c r="EXB65" s="1304"/>
      <c r="EXC65" s="1304"/>
      <c r="EXD65" s="1304"/>
      <c r="EXE65" s="1305"/>
      <c r="EXF65" s="1305"/>
      <c r="EXG65" s="1304"/>
      <c r="EXH65" s="1304"/>
      <c r="EXI65" s="1304"/>
      <c r="EXJ65" s="1304"/>
      <c r="EXK65" s="1304"/>
      <c r="EXL65" s="1304"/>
      <c r="EXM65" s="1304"/>
      <c r="EXN65" s="1304"/>
      <c r="EXO65" s="1305"/>
      <c r="EXP65" s="1305"/>
      <c r="EXQ65" s="1304"/>
      <c r="EXR65" s="1304"/>
      <c r="EXS65" s="1304"/>
      <c r="EXT65" s="1304"/>
      <c r="EXU65" s="1304"/>
      <c r="EXV65" s="1304"/>
      <c r="EXW65" s="1304"/>
      <c r="EXX65" s="1304"/>
      <c r="EXY65" s="1305"/>
      <c r="EXZ65" s="1305"/>
      <c r="EYA65" s="1304"/>
      <c r="EYB65" s="1304"/>
      <c r="EYC65" s="1304"/>
      <c r="EYD65" s="1304"/>
      <c r="EYE65" s="1304"/>
      <c r="EYF65" s="1304"/>
      <c r="EYG65" s="1304"/>
      <c r="EYH65" s="1304"/>
      <c r="EYI65" s="1305"/>
      <c r="EYJ65" s="1305"/>
      <c r="EYK65" s="1304"/>
      <c r="EYL65" s="1304"/>
      <c r="EYM65" s="1304"/>
      <c r="EYN65" s="1304"/>
      <c r="EYO65" s="1304"/>
      <c r="EYP65" s="1304"/>
      <c r="EYQ65" s="1304"/>
      <c r="EYR65" s="1304"/>
      <c r="EYS65" s="1305"/>
      <c r="EYT65" s="1305"/>
      <c r="EYU65" s="1304"/>
      <c r="EYV65" s="1304"/>
      <c r="EYW65" s="1304"/>
      <c r="EYX65" s="1304"/>
      <c r="EYY65" s="1304"/>
      <c r="EYZ65" s="1304"/>
      <c r="EZA65" s="1304"/>
      <c r="EZB65" s="1304"/>
      <c r="EZC65" s="1305"/>
      <c r="EZD65" s="1305"/>
      <c r="EZE65" s="1304"/>
      <c r="EZF65" s="1304"/>
      <c r="EZG65" s="1304"/>
      <c r="EZH65" s="1304"/>
      <c r="EZI65" s="1304"/>
      <c r="EZJ65" s="1304"/>
      <c r="EZK65" s="1304"/>
      <c r="EZL65" s="1304"/>
      <c r="EZM65" s="1305"/>
      <c r="EZN65" s="1305"/>
      <c r="EZO65" s="1304"/>
      <c r="EZP65" s="1304"/>
      <c r="EZQ65" s="1304"/>
      <c r="EZR65" s="1304"/>
      <c r="EZS65" s="1304"/>
      <c r="EZT65" s="1304"/>
      <c r="EZU65" s="1304"/>
      <c r="EZV65" s="1304"/>
      <c r="EZW65" s="1305"/>
      <c r="EZX65" s="1305"/>
      <c r="EZY65" s="1304"/>
      <c r="EZZ65" s="1304"/>
      <c r="FAA65" s="1304"/>
      <c r="FAB65" s="1304"/>
      <c r="FAC65" s="1304"/>
      <c r="FAD65" s="1304"/>
      <c r="FAE65" s="1304"/>
      <c r="FAF65" s="1304"/>
      <c r="FAG65" s="1305"/>
      <c r="FAH65" s="1305"/>
      <c r="FAI65" s="1304"/>
      <c r="FAJ65" s="1304"/>
      <c r="FAK65" s="1304"/>
      <c r="FAL65" s="1304"/>
      <c r="FAM65" s="1304"/>
      <c r="FAN65" s="1304"/>
      <c r="FAO65" s="1304"/>
      <c r="FAP65" s="1304"/>
      <c r="FAQ65" s="1305"/>
      <c r="FAR65" s="1305"/>
      <c r="FAS65" s="1304"/>
      <c r="FAT65" s="1304"/>
      <c r="FAU65" s="1304"/>
      <c r="FAV65" s="1304"/>
      <c r="FAW65" s="1304"/>
      <c r="FAX65" s="1304"/>
      <c r="FAY65" s="1304"/>
      <c r="FAZ65" s="1304"/>
      <c r="FBA65" s="1305"/>
      <c r="FBB65" s="1305"/>
      <c r="FBC65" s="1304"/>
      <c r="FBD65" s="1304"/>
      <c r="FBE65" s="1304"/>
      <c r="FBF65" s="1304"/>
      <c r="FBG65" s="1304"/>
      <c r="FBH65" s="1304"/>
      <c r="FBI65" s="1304"/>
      <c r="FBJ65" s="1304"/>
      <c r="FBK65" s="1305"/>
      <c r="FBL65" s="1305"/>
      <c r="FBM65" s="1304"/>
      <c r="FBN65" s="1304"/>
      <c r="FBO65" s="1304"/>
      <c r="FBP65" s="1304"/>
      <c r="FBQ65" s="1304"/>
      <c r="FBR65" s="1304"/>
      <c r="FBS65" s="1304"/>
      <c r="FBT65" s="1304"/>
      <c r="FBU65" s="1305"/>
      <c r="FBV65" s="1305"/>
      <c r="FBW65" s="1304"/>
      <c r="FBX65" s="1304"/>
      <c r="FBY65" s="1304"/>
      <c r="FBZ65" s="1304"/>
      <c r="FCA65" s="1304"/>
      <c r="FCB65" s="1304"/>
      <c r="FCC65" s="1304"/>
      <c r="FCD65" s="1304"/>
      <c r="FCE65" s="1305"/>
      <c r="FCF65" s="1305"/>
      <c r="FCG65" s="1304"/>
      <c r="FCH65" s="1304"/>
      <c r="FCI65" s="1304"/>
      <c r="FCJ65" s="1304"/>
      <c r="FCK65" s="1304"/>
      <c r="FCL65" s="1304"/>
      <c r="FCM65" s="1304"/>
      <c r="FCN65" s="1304"/>
      <c r="FCO65" s="1305"/>
      <c r="FCP65" s="1305"/>
      <c r="FCQ65" s="1304"/>
      <c r="FCR65" s="1304"/>
      <c r="FCS65" s="1304"/>
      <c r="FCT65" s="1304"/>
      <c r="FCU65" s="1304"/>
      <c r="FCV65" s="1304"/>
      <c r="FCW65" s="1304"/>
      <c r="FCX65" s="1304"/>
      <c r="FCY65" s="1305"/>
      <c r="FCZ65" s="1305"/>
      <c r="FDA65" s="1304"/>
      <c r="FDB65" s="1304"/>
      <c r="FDC65" s="1304"/>
      <c r="FDD65" s="1304"/>
      <c r="FDE65" s="1304"/>
      <c r="FDF65" s="1304"/>
      <c r="FDG65" s="1304"/>
      <c r="FDH65" s="1304"/>
      <c r="FDI65" s="1305"/>
      <c r="FDJ65" s="1305"/>
      <c r="FDK65" s="1304"/>
      <c r="FDL65" s="1304"/>
      <c r="FDM65" s="1304"/>
      <c r="FDN65" s="1304"/>
      <c r="FDO65" s="1304"/>
      <c r="FDP65" s="1304"/>
      <c r="FDQ65" s="1304"/>
      <c r="FDR65" s="1304"/>
      <c r="FDS65" s="1305"/>
      <c r="FDT65" s="1305"/>
      <c r="FDU65" s="1304"/>
      <c r="FDV65" s="1304"/>
      <c r="FDW65" s="1304"/>
      <c r="FDX65" s="1304"/>
      <c r="FDY65" s="1304"/>
      <c r="FDZ65" s="1304"/>
      <c r="FEA65" s="1304"/>
      <c r="FEB65" s="1304"/>
      <c r="FEC65" s="1305"/>
      <c r="FED65" s="1305"/>
      <c r="FEE65" s="1304"/>
      <c r="FEF65" s="1304"/>
      <c r="FEG65" s="1304"/>
      <c r="FEH65" s="1304"/>
      <c r="FEI65" s="1304"/>
      <c r="FEJ65" s="1304"/>
      <c r="FEK65" s="1304"/>
      <c r="FEL65" s="1304"/>
      <c r="FEM65" s="1305"/>
      <c r="FEN65" s="1305"/>
      <c r="FEO65" s="1304"/>
      <c r="FEP65" s="1304"/>
      <c r="FEQ65" s="1304"/>
      <c r="FER65" s="1304"/>
      <c r="FES65" s="1304"/>
      <c r="FET65" s="1304"/>
      <c r="FEU65" s="1304"/>
      <c r="FEV65" s="1304"/>
      <c r="FEW65" s="1305"/>
      <c r="FEX65" s="1305"/>
      <c r="FEY65" s="1304"/>
      <c r="FEZ65" s="1304"/>
      <c r="FFA65" s="1304"/>
      <c r="FFB65" s="1304"/>
      <c r="FFC65" s="1304"/>
      <c r="FFD65" s="1304"/>
      <c r="FFE65" s="1304"/>
      <c r="FFF65" s="1304"/>
      <c r="FFG65" s="1305"/>
      <c r="FFH65" s="1305"/>
      <c r="FFI65" s="1304"/>
      <c r="FFJ65" s="1304"/>
      <c r="FFK65" s="1304"/>
      <c r="FFL65" s="1304"/>
      <c r="FFM65" s="1304"/>
      <c r="FFN65" s="1304"/>
      <c r="FFO65" s="1304"/>
      <c r="FFP65" s="1304"/>
      <c r="FFQ65" s="1305"/>
      <c r="FFR65" s="1305"/>
      <c r="FFS65" s="1304"/>
      <c r="FFT65" s="1304"/>
      <c r="FFU65" s="1304"/>
      <c r="FFV65" s="1304"/>
      <c r="FFW65" s="1304"/>
      <c r="FFX65" s="1304"/>
      <c r="FFY65" s="1304"/>
      <c r="FFZ65" s="1304"/>
      <c r="FGA65" s="1305"/>
      <c r="FGB65" s="1305"/>
      <c r="FGC65" s="1304"/>
      <c r="FGD65" s="1304"/>
      <c r="FGE65" s="1304"/>
      <c r="FGF65" s="1304"/>
      <c r="FGG65" s="1304"/>
      <c r="FGH65" s="1304"/>
      <c r="FGI65" s="1304"/>
      <c r="FGJ65" s="1304"/>
      <c r="FGK65" s="1305"/>
      <c r="FGL65" s="1305"/>
      <c r="FGM65" s="1304"/>
      <c r="FGN65" s="1304"/>
      <c r="FGO65" s="1304"/>
      <c r="FGP65" s="1304"/>
      <c r="FGQ65" s="1304"/>
      <c r="FGR65" s="1304"/>
      <c r="FGS65" s="1304"/>
      <c r="FGT65" s="1304"/>
      <c r="FGU65" s="1305"/>
      <c r="FGV65" s="1305"/>
      <c r="FGW65" s="1304"/>
      <c r="FGX65" s="1304"/>
      <c r="FGY65" s="1304"/>
      <c r="FGZ65" s="1304"/>
      <c r="FHA65" s="1304"/>
      <c r="FHB65" s="1304"/>
      <c r="FHC65" s="1304"/>
      <c r="FHD65" s="1304"/>
      <c r="FHE65" s="1305"/>
      <c r="FHF65" s="1305"/>
      <c r="FHG65" s="1304"/>
      <c r="FHH65" s="1304"/>
      <c r="FHI65" s="1304"/>
      <c r="FHJ65" s="1304"/>
      <c r="FHK65" s="1304"/>
      <c r="FHL65" s="1304"/>
      <c r="FHM65" s="1304"/>
      <c r="FHN65" s="1304"/>
      <c r="FHO65" s="1305"/>
      <c r="FHP65" s="1305"/>
      <c r="FHQ65" s="1304"/>
      <c r="FHR65" s="1304"/>
      <c r="FHS65" s="1304"/>
      <c r="FHT65" s="1304"/>
      <c r="FHU65" s="1304"/>
      <c r="FHV65" s="1304"/>
      <c r="FHW65" s="1304"/>
      <c r="FHX65" s="1304"/>
      <c r="FHY65" s="1305"/>
      <c r="FHZ65" s="1305"/>
      <c r="FIA65" s="1304"/>
      <c r="FIB65" s="1304"/>
      <c r="FIC65" s="1304"/>
      <c r="FID65" s="1304"/>
      <c r="FIE65" s="1304"/>
      <c r="FIF65" s="1304"/>
      <c r="FIG65" s="1304"/>
      <c r="FIH65" s="1304"/>
      <c r="FII65" s="1305"/>
      <c r="FIJ65" s="1305"/>
      <c r="FIK65" s="1304"/>
      <c r="FIL65" s="1304"/>
      <c r="FIM65" s="1304"/>
      <c r="FIN65" s="1304"/>
      <c r="FIO65" s="1304"/>
      <c r="FIP65" s="1304"/>
      <c r="FIQ65" s="1304"/>
      <c r="FIR65" s="1304"/>
      <c r="FIS65" s="1305"/>
      <c r="FIT65" s="1305"/>
      <c r="FIU65" s="1304"/>
      <c r="FIV65" s="1304"/>
      <c r="FIW65" s="1304"/>
      <c r="FIX65" s="1304"/>
      <c r="FIY65" s="1304"/>
      <c r="FIZ65" s="1304"/>
      <c r="FJA65" s="1304"/>
      <c r="FJB65" s="1304"/>
      <c r="FJC65" s="1305"/>
      <c r="FJD65" s="1305"/>
      <c r="FJE65" s="1304"/>
      <c r="FJF65" s="1304"/>
      <c r="FJG65" s="1304"/>
      <c r="FJH65" s="1304"/>
      <c r="FJI65" s="1304"/>
      <c r="FJJ65" s="1304"/>
      <c r="FJK65" s="1304"/>
      <c r="FJL65" s="1304"/>
      <c r="FJM65" s="1305"/>
      <c r="FJN65" s="1305"/>
      <c r="FJO65" s="1304"/>
      <c r="FJP65" s="1304"/>
      <c r="FJQ65" s="1304"/>
      <c r="FJR65" s="1304"/>
      <c r="FJS65" s="1304"/>
      <c r="FJT65" s="1304"/>
      <c r="FJU65" s="1304"/>
      <c r="FJV65" s="1304"/>
      <c r="FJW65" s="1305"/>
      <c r="FJX65" s="1305"/>
      <c r="FJY65" s="1304"/>
      <c r="FJZ65" s="1304"/>
      <c r="FKA65" s="1304"/>
      <c r="FKB65" s="1304"/>
      <c r="FKC65" s="1304"/>
      <c r="FKD65" s="1304"/>
      <c r="FKE65" s="1304"/>
      <c r="FKF65" s="1304"/>
      <c r="FKG65" s="1305"/>
      <c r="FKH65" s="1305"/>
      <c r="FKI65" s="1304"/>
      <c r="FKJ65" s="1304"/>
      <c r="FKK65" s="1304"/>
      <c r="FKL65" s="1304"/>
      <c r="FKM65" s="1304"/>
      <c r="FKN65" s="1304"/>
      <c r="FKO65" s="1304"/>
      <c r="FKP65" s="1304"/>
      <c r="FKQ65" s="1305"/>
      <c r="FKR65" s="1305"/>
      <c r="FKS65" s="1304"/>
      <c r="FKT65" s="1304"/>
      <c r="FKU65" s="1304"/>
      <c r="FKV65" s="1304"/>
      <c r="FKW65" s="1304"/>
      <c r="FKX65" s="1304"/>
      <c r="FKY65" s="1304"/>
      <c r="FKZ65" s="1304"/>
      <c r="FLA65" s="1305"/>
      <c r="FLB65" s="1305"/>
      <c r="FLC65" s="1304"/>
      <c r="FLD65" s="1304"/>
      <c r="FLE65" s="1304"/>
      <c r="FLF65" s="1304"/>
      <c r="FLG65" s="1304"/>
      <c r="FLH65" s="1304"/>
      <c r="FLI65" s="1304"/>
      <c r="FLJ65" s="1304"/>
      <c r="FLK65" s="1305"/>
      <c r="FLL65" s="1305"/>
      <c r="FLM65" s="1304"/>
      <c r="FLN65" s="1304"/>
      <c r="FLO65" s="1304"/>
      <c r="FLP65" s="1304"/>
      <c r="FLQ65" s="1304"/>
      <c r="FLR65" s="1304"/>
      <c r="FLS65" s="1304"/>
      <c r="FLT65" s="1304"/>
      <c r="FLU65" s="1305"/>
      <c r="FLV65" s="1305"/>
      <c r="FLW65" s="1304"/>
      <c r="FLX65" s="1304"/>
      <c r="FLY65" s="1304"/>
      <c r="FLZ65" s="1304"/>
      <c r="FMA65" s="1304"/>
      <c r="FMB65" s="1304"/>
      <c r="FMC65" s="1304"/>
      <c r="FMD65" s="1304"/>
      <c r="FME65" s="1305"/>
      <c r="FMF65" s="1305"/>
      <c r="FMG65" s="1304"/>
      <c r="FMH65" s="1304"/>
      <c r="FMI65" s="1304"/>
      <c r="FMJ65" s="1304"/>
      <c r="FMK65" s="1304"/>
      <c r="FML65" s="1304"/>
      <c r="FMM65" s="1304"/>
      <c r="FMN65" s="1304"/>
      <c r="FMO65" s="1305"/>
      <c r="FMP65" s="1305"/>
      <c r="FMQ65" s="1304"/>
      <c r="FMR65" s="1304"/>
      <c r="FMS65" s="1304"/>
      <c r="FMT65" s="1304"/>
      <c r="FMU65" s="1304"/>
      <c r="FMV65" s="1304"/>
      <c r="FMW65" s="1304"/>
      <c r="FMX65" s="1304"/>
      <c r="FMY65" s="1305"/>
      <c r="FMZ65" s="1305"/>
      <c r="FNA65" s="1304"/>
      <c r="FNB65" s="1304"/>
      <c r="FNC65" s="1304"/>
      <c r="FND65" s="1304"/>
      <c r="FNE65" s="1304"/>
      <c r="FNF65" s="1304"/>
      <c r="FNG65" s="1304"/>
      <c r="FNH65" s="1304"/>
      <c r="FNI65" s="1305"/>
      <c r="FNJ65" s="1305"/>
      <c r="FNK65" s="1304"/>
      <c r="FNL65" s="1304"/>
      <c r="FNM65" s="1304"/>
      <c r="FNN65" s="1304"/>
      <c r="FNO65" s="1304"/>
      <c r="FNP65" s="1304"/>
      <c r="FNQ65" s="1304"/>
      <c r="FNR65" s="1304"/>
      <c r="FNS65" s="1305"/>
      <c r="FNT65" s="1305"/>
      <c r="FNU65" s="1304"/>
      <c r="FNV65" s="1304"/>
      <c r="FNW65" s="1304"/>
      <c r="FNX65" s="1304"/>
      <c r="FNY65" s="1304"/>
      <c r="FNZ65" s="1304"/>
      <c r="FOA65" s="1304"/>
      <c r="FOB65" s="1304"/>
      <c r="FOC65" s="1305"/>
      <c r="FOD65" s="1305"/>
      <c r="FOE65" s="1304"/>
      <c r="FOF65" s="1304"/>
      <c r="FOG65" s="1304"/>
      <c r="FOH65" s="1304"/>
      <c r="FOI65" s="1304"/>
      <c r="FOJ65" s="1304"/>
      <c r="FOK65" s="1304"/>
      <c r="FOL65" s="1304"/>
      <c r="FOM65" s="1305"/>
      <c r="FON65" s="1305"/>
      <c r="FOO65" s="1304"/>
      <c r="FOP65" s="1304"/>
      <c r="FOQ65" s="1304"/>
      <c r="FOR65" s="1304"/>
      <c r="FOS65" s="1304"/>
      <c r="FOT65" s="1304"/>
      <c r="FOU65" s="1304"/>
      <c r="FOV65" s="1304"/>
      <c r="FOW65" s="1305"/>
      <c r="FOX65" s="1305"/>
      <c r="FOY65" s="1304"/>
      <c r="FOZ65" s="1304"/>
      <c r="FPA65" s="1304"/>
      <c r="FPB65" s="1304"/>
      <c r="FPC65" s="1304"/>
      <c r="FPD65" s="1304"/>
      <c r="FPE65" s="1304"/>
      <c r="FPF65" s="1304"/>
      <c r="FPG65" s="1305"/>
      <c r="FPH65" s="1305"/>
      <c r="FPI65" s="1304"/>
      <c r="FPJ65" s="1304"/>
      <c r="FPK65" s="1304"/>
      <c r="FPL65" s="1304"/>
      <c r="FPM65" s="1304"/>
      <c r="FPN65" s="1304"/>
      <c r="FPO65" s="1304"/>
      <c r="FPP65" s="1304"/>
      <c r="FPQ65" s="1305"/>
      <c r="FPR65" s="1305"/>
      <c r="FPS65" s="1304"/>
      <c r="FPT65" s="1304"/>
      <c r="FPU65" s="1304"/>
      <c r="FPV65" s="1304"/>
      <c r="FPW65" s="1304"/>
      <c r="FPX65" s="1304"/>
      <c r="FPY65" s="1304"/>
      <c r="FPZ65" s="1304"/>
      <c r="FQA65" s="1305"/>
      <c r="FQB65" s="1305"/>
      <c r="FQC65" s="1304"/>
      <c r="FQD65" s="1304"/>
      <c r="FQE65" s="1304"/>
      <c r="FQF65" s="1304"/>
      <c r="FQG65" s="1304"/>
      <c r="FQH65" s="1304"/>
      <c r="FQI65" s="1304"/>
      <c r="FQJ65" s="1304"/>
      <c r="FQK65" s="1305"/>
      <c r="FQL65" s="1305"/>
      <c r="FQM65" s="1304"/>
      <c r="FQN65" s="1304"/>
      <c r="FQO65" s="1304"/>
      <c r="FQP65" s="1304"/>
      <c r="FQQ65" s="1304"/>
      <c r="FQR65" s="1304"/>
      <c r="FQS65" s="1304"/>
      <c r="FQT65" s="1304"/>
      <c r="FQU65" s="1305"/>
      <c r="FQV65" s="1305"/>
      <c r="FQW65" s="1304"/>
      <c r="FQX65" s="1304"/>
      <c r="FQY65" s="1304"/>
      <c r="FQZ65" s="1304"/>
      <c r="FRA65" s="1304"/>
      <c r="FRB65" s="1304"/>
      <c r="FRC65" s="1304"/>
      <c r="FRD65" s="1304"/>
      <c r="FRE65" s="1305"/>
      <c r="FRF65" s="1305"/>
      <c r="FRG65" s="1304"/>
      <c r="FRH65" s="1304"/>
      <c r="FRI65" s="1304"/>
      <c r="FRJ65" s="1304"/>
      <c r="FRK65" s="1304"/>
      <c r="FRL65" s="1304"/>
      <c r="FRM65" s="1304"/>
      <c r="FRN65" s="1304"/>
      <c r="FRO65" s="1305"/>
      <c r="FRP65" s="1305"/>
      <c r="FRQ65" s="1304"/>
      <c r="FRR65" s="1304"/>
      <c r="FRS65" s="1304"/>
      <c r="FRT65" s="1304"/>
      <c r="FRU65" s="1304"/>
      <c r="FRV65" s="1304"/>
      <c r="FRW65" s="1304"/>
      <c r="FRX65" s="1304"/>
      <c r="FRY65" s="1305"/>
      <c r="FRZ65" s="1305"/>
      <c r="FSA65" s="1304"/>
      <c r="FSB65" s="1304"/>
      <c r="FSC65" s="1304"/>
      <c r="FSD65" s="1304"/>
      <c r="FSE65" s="1304"/>
      <c r="FSF65" s="1304"/>
      <c r="FSG65" s="1304"/>
      <c r="FSH65" s="1304"/>
      <c r="FSI65" s="1305"/>
      <c r="FSJ65" s="1305"/>
      <c r="FSK65" s="1304"/>
      <c r="FSL65" s="1304"/>
      <c r="FSM65" s="1304"/>
      <c r="FSN65" s="1304"/>
      <c r="FSO65" s="1304"/>
      <c r="FSP65" s="1304"/>
      <c r="FSQ65" s="1304"/>
      <c r="FSR65" s="1304"/>
      <c r="FSS65" s="1305"/>
      <c r="FST65" s="1305"/>
      <c r="FSU65" s="1304"/>
      <c r="FSV65" s="1304"/>
      <c r="FSW65" s="1304"/>
      <c r="FSX65" s="1304"/>
      <c r="FSY65" s="1304"/>
      <c r="FSZ65" s="1304"/>
      <c r="FTA65" s="1304"/>
      <c r="FTB65" s="1304"/>
      <c r="FTC65" s="1305"/>
      <c r="FTD65" s="1305"/>
      <c r="FTE65" s="1304"/>
      <c r="FTF65" s="1304"/>
      <c r="FTG65" s="1304"/>
      <c r="FTH65" s="1304"/>
      <c r="FTI65" s="1304"/>
      <c r="FTJ65" s="1304"/>
      <c r="FTK65" s="1304"/>
      <c r="FTL65" s="1304"/>
      <c r="FTM65" s="1305"/>
      <c r="FTN65" s="1305"/>
      <c r="FTO65" s="1304"/>
      <c r="FTP65" s="1304"/>
      <c r="FTQ65" s="1304"/>
      <c r="FTR65" s="1304"/>
      <c r="FTS65" s="1304"/>
      <c r="FTT65" s="1304"/>
      <c r="FTU65" s="1304"/>
      <c r="FTV65" s="1304"/>
      <c r="FTW65" s="1305"/>
      <c r="FTX65" s="1305"/>
      <c r="FTY65" s="1304"/>
      <c r="FTZ65" s="1304"/>
      <c r="FUA65" s="1304"/>
      <c r="FUB65" s="1304"/>
      <c r="FUC65" s="1304"/>
      <c r="FUD65" s="1304"/>
      <c r="FUE65" s="1304"/>
      <c r="FUF65" s="1304"/>
      <c r="FUG65" s="1305"/>
      <c r="FUH65" s="1305"/>
      <c r="FUI65" s="1304"/>
      <c r="FUJ65" s="1304"/>
      <c r="FUK65" s="1304"/>
      <c r="FUL65" s="1304"/>
      <c r="FUM65" s="1304"/>
      <c r="FUN65" s="1304"/>
      <c r="FUO65" s="1304"/>
      <c r="FUP65" s="1304"/>
      <c r="FUQ65" s="1305"/>
      <c r="FUR65" s="1305"/>
      <c r="FUS65" s="1304"/>
      <c r="FUT65" s="1304"/>
      <c r="FUU65" s="1304"/>
      <c r="FUV65" s="1304"/>
      <c r="FUW65" s="1304"/>
      <c r="FUX65" s="1304"/>
      <c r="FUY65" s="1304"/>
      <c r="FUZ65" s="1304"/>
      <c r="FVA65" s="1305"/>
      <c r="FVB65" s="1305"/>
      <c r="FVC65" s="1304"/>
      <c r="FVD65" s="1304"/>
      <c r="FVE65" s="1304"/>
      <c r="FVF65" s="1304"/>
      <c r="FVG65" s="1304"/>
      <c r="FVH65" s="1304"/>
      <c r="FVI65" s="1304"/>
      <c r="FVJ65" s="1304"/>
      <c r="FVK65" s="1305"/>
      <c r="FVL65" s="1305"/>
      <c r="FVM65" s="1304"/>
      <c r="FVN65" s="1304"/>
      <c r="FVO65" s="1304"/>
      <c r="FVP65" s="1304"/>
      <c r="FVQ65" s="1304"/>
      <c r="FVR65" s="1304"/>
      <c r="FVS65" s="1304"/>
      <c r="FVT65" s="1304"/>
      <c r="FVU65" s="1305"/>
      <c r="FVV65" s="1305"/>
      <c r="FVW65" s="1304"/>
      <c r="FVX65" s="1304"/>
      <c r="FVY65" s="1304"/>
      <c r="FVZ65" s="1304"/>
      <c r="FWA65" s="1304"/>
      <c r="FWB65" s="1304"/>
      <c r="FWC65" s="1304"/>
      <c r="FWD65" s="1304"/>
      <c r="FWE65" s="1305"/>
      <c r="FWF65" s="1305"/>
      <c r="FWG65" s="1304"/>
      <c r="FWH65" s="1304"/>
      <c r="FWI65" s="1304"/>
      <c r="FWJ65" s="1304"/>
      <c r="FWK65" s="1304"/>
      <c r="FWL65" s="1304"/>
      <c r="FWM65" s="1304"/>
      <c r="FWN65" s="1304"/>
      <c r="FWO65" s="1305"/>
      <c r="FWP65" s="1305"/>
      <c r="FWQ65" s="1304"/>
      <c r="FWR65" s="1304"/>
      <c r="FWS65" s="1304"/>
      <c r="FWT65" s="1304"/>
      <c r="FWU65" s="1304"/>
      <c r="FWV65" s="1304"/>
      <c r="FWW65" s="1304"/>
      <c r="FWX65" s="1304"/>
      <c r="FWY65" s="1305"/>
      <c r="FWZ65" s="1305"/>
      <c r="FXA65" s="1304"/>
      <c r="FXB65" s="1304"/>
      <c r="FXC65" s="1304"/>
      <c r="FXD65" s="1304"/>
      <c r="FXE65" s="1304"/>
      <c r="FXF65" s="1304"/>
      <c r="FXG65" s="1304"/>
      <c r="FXH65" s="1304"/>
      <c r="FXI65" s="1305"/>
      <c r="FXJ65" s="1305"/>
      <c r="FXK65" s="1304"/>
      <c r="FXL65" s="1304"/>
      <c r="FXM65" s="1304"/>
      <c r="FXN65" s="1304"/>
      <c r="FXO65" s="1304"/>
      <c r="FXP65" s="1304"/>
      <c r="FXQ65" s="1304"/>
      <c r="FXR65" s="1304"/>
      <c r="FXS65" s="1305"/>
      <c r="FXT65" s="1305"/>
      <c r="FXU65" s="1304"/>
      <c r="FXV65" s="1304"/>
      <c r="FXW65" s="1304"/>
      <c r="FXX65" s="1304"/>
      <c r="FXY65" s="1304"/>
      <c r="FXZ65" s="1304"/>
      <c r="FYA65" s="1304"/>
      <c r="FYB65" s="1304"/>
      <c r="FYC65" s="1305"/>
      <c r="FYD65" s="1305"/>
      <c r="FYE65" s="1304"/>
      <c r="FYF65" s="1304"/>
      <c r="FYG65" s="1304"/>
      <c r="FYH65" s="1304"/>
      <c r="FYI65" s="1304"/>
      <c r="FYJ65" s="1304"/>
      <c r="FYK65" s="1304"/>
      <c r="FYL65" s="1304"/>
      <c r="FYM65" s="1305"/>
      <c r="FYN65" s="1305"/>
      <c r="FYO65" s="1304"/>
      <c r="FYP65" s="1304"/>
      <c r="FYQ65" s="1304"/>
      <c r="FYR65" s="1304"/>
      <c r="FYS65" s="1304"/>
      <c r="FYT65" s="1304"/>
      <c r="FYU65" s="1304"/>
      <c r="FYV65" s="1304"/>
      <c r="FYW65" s="1305"/>
      <c r="FYX65" s="1305"/>
      <c r="FYY65" s="1304"/>
      <c r="FYZ65" s="1304"/>
      <c r="FZA65" s="1304"/>
      <c r="FZB65" s="1304"/>
      <c r="FZC65" s="1304"/>
      <c r="FZD65" s="1304"/>
      <c r="FZE65" s="1304"/>
      <c r="FZF65" s="1304"/>
      <c r="FZG65" s="1305"/>
      <c r="FZH65" s="1305"/>
      <c r="FZI65" s="1304"/>
      <c r="FZJ65" s="1304"/>
      <c r="FZK65" s="1304"/>
      <c r="FZL65" s="1304"/>
      <c r="FZM65" s="1304"/>
      <c r="FZN65" s="1304"/>
      <c r="FZO65" s="1304"/>
      <c r="FZP65" s="1304"/>
      <c r="FZQ65" s="1305"/>
      <c r="FZR65" s="1305"/>
      <c r="FZS65" s="1304"/>
      <c r="FZT65" s="1304"/>
      <c r="FZU65" s="1304"/>
      <c r="FZV65" s="1304"/>
      <c r="FZW65" s="1304"/>
      <c r="FZX65" s="1304"/>
      <c r="FZY65" s="1304"/>
      <c r="FZZ65" s="1304"/>
      <c r="GAA65" s="1305"/>
      <c r="GAB65" s="1305"/>
      <c r="GAC65" s="1304"/>
      <c r="GAD65" s="1304"/>
      <c r="GAE65" s="1304"/>
      <c r="GAF65" s="1304"/>
      <c r="GAG65" s="1304"/>
      <c r="GAH65" s="1304"/>
      <c r="GAI65" s="1304"/>
      <c r="GAJ65" s="1304"/>
      <c r="GAK65" s="1305"/>
      <c r="GAL65" s="1305"/>
      <c r="GAM65" s="1304"/>
      <c r="GAN65" s="1304"/>
      <c r="GAO65" s="1304"/>
      <c r="GAP65" s="1304"/>
      <c r="GAQ65" s="1304"/>
      <c r="GAR65" s="1304"/>
      <c r="GAS65" s="1304"/>
      <c r="GAT65" s="1304"/>
      <c r="GAU65" s="1305"/>
      <c r="GAV65" s="1305"/>
      <c r="GAW65" s="1304"/>
      <c r="GAX65" s="1304"/>
      <c r="GAY65" s="1304"/>
      <c r="GAZ65" s="1304"/>
      <c r="GBA65" s="1304"/>
      <c r="GBB65" s="1304"/>
      <c r="GBC65" s="1304"/>
      <c r="GBD65" s="1304"/>
      <c r="GBE65" s="1305"/>
      <c r="GBF65" s="1305"/>
      <c r="GBG65" s="1304"/>
      <c r="GBH65" s="1304"/>
      <c r="GBI65" s="1304"/>
      <c r="GBJ65" s="1304"/>
      <c r="GBK65" s="1304"/>
      <c r="GBL65" s="1304"/>
      <c r="GBM65" s="1304"/>
      <c r="GBN65" s="1304"/>
      <c r="GBO65" s="1305"/>
      <c r="GBP65" s="1305"/>
      <c r="GBQ65" s="1304"/>
      <c r="GBR65" s="1304"/>
      <c r="GBS65" s="1304"/>
      <c r="GBT65" s="1304"/>
      <c r="GBU65" s="1304"/>
      <c r="GBV65" s="1304"/>
      <c r="GBW65" s="1304"/>
      <c r="GBX65" s="1304"/>
      <c r="GBY65" s="1305"/>
      <c r="GBZ65" s="1305"/>
      <c r="GCA65" s="1304"/>
      <c r="GCB65" s="1304"/>
      <c r="GCC65" s="1304"/>
      <c r="GCD65" s="1304"/>
      <c r="GCE65" s="1304"/>
      <c r="GCF65" s="1304"/>
      <c r="GCG65" s="1304"/>
      <c r="GCH65" s="1304"/>
      <c r="GCI65" s="1305"/>
      <c r="GCJ65" s="1305"/>
      <c r="GCK65" s="1304"/>
      <c r="GCL65" s="1304"/>
      <c r="GCM65" s="1304"/>
      <c r="GCN65" s="1304"/>
      <c r="GCO65" s="1304"/>
      <c r="GCP65" s="1304"/>
      <c r="GCQ65" s="1304"/>
      <c r="GCR65" s="1304"/>
      <c r="GCS65" s="1305"/>
      <c r="GCT65" s="1305"/>
      <c r="GCU65" s="1304"/>
      <c r="GCV65" s="1304"/>
      <c r="GCW65" s="1304"/>
      <c r="GCX65" s="1304"/>
      <c r="GCY65" s="1304"/>
      <c r="GCZ65" s="1304"/>
      <c r="GDA65" s="1304"/>
      <c r="GDB65" s="1304"/>
      <c r="GDC65" s="1305"/>
      <c r="GDD65" s="1305"/>
      <c r="GDE65" s="1304"/>
      <c r="GDF65" s="1304"/>
      <c r="GDG65" s="1304"/>
      <c r="GDH65" s="1304"/>
      <c r="GDI65" s="1304"/>
      <c r="GDJ65" s="1304"/>
      <c r="GDK65" s="1304"/>
      <c r="GDL65" s="1304"/>
      <c r="GDM65" s="1305"/>
      <c r="GDN65" s="1305"/>
      <c r="GDO65" s="1304"/>
      <c r="GDP65" s="1304"/>
      <c r="GDQ65" s="1304"/>
      <c r="GDR65" s="1304"/>
      <c r="GDS65" s="1304"/>
      <c r="GDT65" s="1304"/>
      <c r="GDU65" s="1304"/>
      <c r="GDV65" s="1304"/>
      <c r="GDW65" s="1305"/>
      <c r="GDX65" s="1305"/>
      <c r="GDY65" s="1304"/>
      <c r="GDZ65" s="1304"/>
      <c r="GEA65" s="1304"/>
      <c r="GEB65" s="1304"/>
      <c r="GEC65" s="1304"/>
      <c r="GED65" s="1304"/>
      <c r="GEE65" s="1304"/>
      <c r="GEF65" s="1304"/>
      <c r="GEG65" s="1305"/>
      <c r="GEH65" s="1305"/>
      <c r="GEI65" s="1304"/>
      <c r="GEJ65" s="1304"/>
      <c r="GEK65" s="1304"/>
      <c r="GEL65" s="1304"/>
      <c r="GEM65" s="1304"/>
      <c r="GEN65" s="1304"/>
      <c r="GEO65" s="1304"/>
      <c r="GEP65" s="1304"/>
      <c r="GEQ65" s="1305"/>
      <c r="GER65" s="1305"/>
      <c r="GES65" s="1304"/>
      <c r="GET65" s="1304"/>
      <c r="GEU65" s="1304"/>
      <c r="GEV65" s="1304"/>
      <c r="GEW65" s="1304"/>
      <c r="GEX65" s="1304"/>
      <c r="GEY65" s="1304"/>
      <c r="GEZ65" s="1304"/>
      <c r="GFA65" s="1305"/>
      <c r="GFB65" s="1305"/>
      <c r="GFC65" s="1304"/>
      <c r="GFD65" s="1304"/>
      <c r="GFE65" s="1304"/>
      <c r="GFF65" s="1304"/>
      <c r="GFG65" s="1304"/>
      <c r="GFH65" s="1304"/>
      <c r="GFI65" s="1304"/>
      <c r="GFJ65" s="1304"/>
      <c r="GFK65" s="1305"/>
      <c r="GFL65" s="1305"/>
      <c r="GFM65" s="1304"/>
      <c r="GFN65" s="1304"/>
      <c r="GFO65" s="1304"/>
      <c r="GFP65" s="1304"/>
      <c r="GFQ65" s="1304"/>
      <c r="GFR65" s="1304"/>
      <c r="GFS65" s="1304"/>
      <c r="GFT65" s="1304"/>
      <c r="GFU65" s="1305"/>
      <c r="GFV65" s="1305"/>
      <c r="GFW65" s="1304"/>
      <c r="GFX65" s="1304"/>
      <c r="GFY65" s="1304"/>
      <c r="GFZ65" s="1304"/>
      <c r="GGA65" s="1304"/>
      <c r="GGB65" s="1304"/>
      <c r="GGC65" s="1304"/>
      <c r="GGD65" s="1304"/>
      <c r="GGE65" s="1305"/>
      <c r="GGF65" s="1305"/>
      <c r="GGG65" s="1304"/>
      <c r="GGH65" s="1304"/>
      <c r="GGI65" s="1304"/>
      <c r="GGJ65" s="1304"/>
      <c r="GGK65" s="1304"/>
      <c r="GGL65" s="1304"/>
      <c r="GGM65" s="1304"/>
      <c r="GGN65" s="1304"/>
      <c r="GGO65" s="1305"/>
      <c r="GGP65" s="1305"/>
      <c r="GGQ65" s="1304"/>
      <c r="GGR65" s="1304"/>
      <c r="GGS65" s="1304"/>
      <c r="GGT65" s="1304"/>
      <c r="GGU65" s="1304"/>
      <c r="GGV65" s="1304"/>
      <c r="GGW65" s="1304"/>
      <c r="GGX65" s="1304"/>
      <c r="GGY65" s="1305"/>
      <c r="GGZ65" s="1305"/>
      <c r="GHA65" s="1304"/>
      <c r="GHB65" s="1304"/>
      <c r="GHC65" s="1304"/>
      <c r="GHD65" s="1304"/>
      <c r="GHE65" s="1304"/>
      <c r="GHF65" s="1304"/>
      <c r="GHG65" s="1304"/>
      <c r="GHH65" s="1304"/>
      <c r="GHI65" s="1305"/>
      <c r="GHJ65" s="1305"/>
      <c r="GHK65" s="1304"/>
      <c r="GHL65" s="1304"/>
      <c r="GHM65" s="1304"/>
      <c r="GHN65" s="1304"/>
      <c r="GHO65" s="1304"/>
      <c r="GHP65" s="1304"/>
      <c r="GHQ65" s="1304"/>
      <c r="GHR65" s="1304"/>
      <c r="GHS65" s="1305"/>
      <c r="GHT65" s="1305"/>
      <c r="GHU65" s="1304"/>
      <c r="GHV65" s="1304"/>
      <c r="GHW65" s="1304"/>
      <c r="GHX65" s="1304"/>
      <c r="GHY65" s="1304"/>
      <c r="GHZ65" s="1304"/>
      <c r="GIA65" s="1304"/>
      <c r="GIB65" s="1304"/>
      <c r="GIC65" s="1305"/>
      <c r="GID65" s="1305"/>
      <c r="GIE65" s="1304"/>
      <c r="GIF65" s="1304"/>
      <c r="GIG65" s="1304"/>
      <c r="GIH65" s="1304"/>
      <c r="GII65" s="1304"/>
      <c r="GIJ65" s="1304"/>
      <c r="GIK65" s="1304"/>
      <c r="GIL65" s="1304"/>
      <c r="GIM65" s="1305"/>
      <c r="GIN65" s="1305"/>
      <c r="GIO65" s="1304"/>
      <c r="GIP65" s="1304"/>
      <c r="GIQ65" s="1304"/>
      <c r="GIR65" s="1304"/>
      <c r="GIS65" s="1304"/>
      <c r="GIT65" s="1304"/>
      <c r="GIU65" s="1304"/>
      <c r="GIV65" s="1304"/>
      <c r="GIW65" s="1305"/>
      <c r="GIX65" s="1305"/>
      <c r="GIY65" s="1304"/>
      <c r="GIZ65" s="1304"/>
      <c r="GJA65" s="1304"/>
      <c r="GJB65" s="1304"/>
      <c r="GJC65" s="1304"/>
      <c r="GJD65" s="1304"/>
      <c r="GJE65" s="1304"/>
      <c r="GJF65" s="1304"/>
      <c r="GJG65" s="1305"/>
      <c r="GJH65" s="1305"/>
      <c r="GJI65" s="1304"/>
      <c r="GJJ65" s="1304"/>
      <c r="GJK65" s="1304"/>
      <c r="GJL65" s="1304"/>
      <c r="GJM65" s="1304"/>
      <c r="GJN65" s="1304"/>
      <c r="GJO65" s="1304"/>
      <c r="GJP65" s="1304"/>
      <c r="GJQ65" s="1305"/>
      <c r="GJR65" s="1305"/>
      <c r="GJS65" s="1304"/>
      <c r="GJT65" s="1304"/>
      <c r="GJU65" s="1304"/>
      <c r="GJV65" s="1304"/>
      <c r="GJW65" s="1304"/>
      <c r="GJX65" s="1304"/>
      <c r="GJY65" s="1304"/>
      <c r="GJZ65" s="1304"/>
      <c r="GKA65" s="1305"/>
      <c r="GKB65" s="1305"/>
      <c r="GKC65" s="1304"/>
      <c r="GKD65" s="1304"/>
      <c r="GKE65" s="1304"/>
      <c r="GKF65" s="1304"/>
      <c r="GKG65" s="1304"/>
      <c r="GKH65" s="1304"/>
      <c r="GKI65" s="1304"/>
      <c r="GKJ65" s="1304"/>
      <c r="GKK65" s="1305"/>
      <c r="GKL65" s="1305"/>
      <c r="GKM65" s="1304"/>
      <c r="GKN65" s="1304"/>
      <c r="GKO65" s="1304"/>
      <c r="GKP65" s="1304"/>
      <c r="GKQ65" s="1304"/>
      <c r="GKR65" s="1304"/>
      <c r="GKS65" s="1304"/>
      <c r="GKT65" s="1304"/>
      <c r="GKU65" s="1305"/>
      <c r="GKV65" s="1305"/>
      <c r="GKW65" s="1304"/>
      <c r="GKX65" s="1304"/>
      <c r="GKY65" s="1304"/>
      <c r="GKZ65" s="1304"/>
      <c r="GLA65" s="1304"/>
      <c r="GLB65" s="1304"/>
      <c r="GLC65" s="1304"/>
      <c r="GLD65" s="1304"/>
      <c r="GLE65" s="1305"/>
      <c r="GLF65" s="1305"/>
      <c r="GLG65" s="1304"/>
      <c r="GLH65" s="1304"/>
      <c r="GLI65" s="1304"/>
      <c r="GLJ65" s="1304"/>
      <c r="GLK65" s="1304"/>
      <c r="GLL65" s="1304"/>
      <c r="GLM65" s="1304"/>
      <c r="GLN65" s="1304"/>
      <c r="GLO65" s="1305"/>
      <c r="GLP65" s="1305"/>
      <c r="GLQ65" s="1304"/>
      <c r="GLR65" s="1304"/>
      <c r="GLS65" s="1304"/>
      <c r="GLT65" s="1304"/>
      <c r="GLU65" s="1304"/>
      <c r="GLV65" s="1304"/>
      <c r="GLW65" s="1304"/>
      <c r="GLX65" s="1304"/>
      <c r="GLY65" s="1305"/>
      <c r="GLZ65" s="1305"/>
      <c r="GMA65" s="1304"/>
      <c r="GMB65" s="1304"/>
      <c r="GMC65" s="1304"/>
      <c r="GMD65" s="1304"/>
      <c r="GME65" s="1304"/>
      <c r="GMF65" s="1304"/>
      <c r="GMG65" s="1304"/>
      <c r="GMH65" s="1304"/>
      <c r="GMI65" s="1305"/>
      <c r="GMJ65" s="1305"/>
      <c r="GMK65" s="1304"/>
      <c r="GML65" s="1304"/>
      <c r="GMM65" s="1304"/>
      <c r="GMN65" s="1304"/>
      <c r="GMO65" s="1304"/>
      <c r="GMP65" s="1304"/>
      <c r="GMQ65" s="1304"/>
      <c r="GMR65" s="1304"/>
      <c r="GMS65" s="1305"/>
      <c r="GMT65" s="1305"/>
      <c r="GMU65" s="1304"/>
      <c r="GMV65" s="1304"/>
      <c r="GMW65" s="1304"/>
      <c r="GMX65" s="1304"/>
      <c r="GMY65" s="1304"/>
      <c r="GMZ65" s="1304"/>
      <c r="GNA65" s="1304"/>
      <c r="GNB65" s="1304"/>
      <c r="GNC65" s="1305"/>
      <c r="GND65" s="1305"/>
      <c r="GNE65" s="1304"/>
      <c r="GNF65" s="1304"/>
      <c r="GNG65" s="1304"/>
      <c r="GNH65" s="1304"/>
      <c r="GNI65" s="1304"/>
      <c r="GNJ65" s="1304"/>
      <c r="GNK65" s="1304"/>
      <c r="GNL65" s="1304"/>
      <c r="GNM65" s="1305"/>
      <c r="GNN65" s="1305"/>
      <c r="GNO65" s="1304"/>
      <c r="GNP65" s="1304"/>
      <c r="GNQ65" s="1304"/>
      <c r="GNR65" s="1304"/>
      <c r="GNS65" s="1304"/>
      <c r="GNT65" s="1304"/>
      <c r="GNU65" s="1304"/>
      <c r="GNV65" s="1304"/>
      <c r="GNW65" s="1305"/>
      <c r="GNX65" s="1305"/>
      <c r="GNY65" s="1304"/>
      <c r="GNZ65" s="1304"/>
      <c r="GOA65" s="1304"/>
      <c r="GOB65" s="1304"/>
      <c r="GOC65" s="1304"/>
      <c r="GOD65" s="1304"/>
      <c r="GOE65" s="1304"/>
      <c r="GOF65" s="1304"/>
      <c r="GOG65" s="1305"/>
      <c r="GOH65" s="1305"/>
      <c r="GOI65" s="1304"/>
      <c r="GOJ65" s="1304"/>
      <c r="GOK65" s="1304"/>
      <c r="GOL65" s="1304"/>
      <c r="GOM65" s="1304"/>
      <c r="GON65" s="1304"/>
      <c r="GOO65" s="1304"/>
      <c r="GOP65" s="1304"/>
      <c r="GOQ65" s="1305"/>
      <c r="GOR65" s="1305"/>
      <c r="GOS65" s="1304"/>
      <c r="GOT65" s="1304"/>
      <c r="GOU65" s="1304"/>
      <c r="GOV65" s="1304"/>
      <c r="GOW65" s="1304"/>
      <c r="GOX65" s="1304"/>
      <c r="GOY65" s="1304"/>
      <c r="GOZ65" s="1304"/>
      <c r="GPA65" s="1305"/>
      <c r="GPB65" s="1305"/>
      <c r="GPC65" s="1304"/>
      <c r="GPD65" s="1304"/>
      <c r="GPE65" s="1304"/>
      <c r="GPF65" s="1304"/>
      <c r="GPG65" s="1304"/>
      <c r="GPH65" s="1304"/>
      <c r="GPI65" s="1304"/>
      <c r="GPJ65" s="1304"/>
      <c r="GPK65" s="1305"/>
      <c r="GPL65" s="1305"/>
      <c r="GPM65" s="1304"/>
      <c r="GPN65" s="1304"/>
      <c r="GPO65" s="1304"/>
      <c r="GPP65" s="1304"/>
      <c r="GPQ65" s="1304"/>
      <c r="GPR65" s="1304"/>
      <c r="GPS65" s="1304"/>
      <c r="GPT65" s="1304"/>
      <c r="GPU65" s="1305"/>
      <c r="GPV65" s="1305"/>
      <c r="GPW65" s="1304"/>
      <c r="GPX65" s="1304"/>
      <c r="GPY65" s="1304"/>
      <c r="GPZ65" s="1304"/>
      <c r="GQA65" s="1304"/>
      <c r="GQB65" s="1304"/>
      <c r="GQC65" s="1304"/>
      <c r="GQD65" s="1304"/>
      <c r="GQE65" s="1305"/>
      <c r="GQF65" s="1305"/>
      <c r="GQG65" s="1304"/>
      <c r="GQH65" s="1304"/>
      <c r="GQI65" s="1304"/>
      <c r="GQJ65" s="1304"/>
      <c r="GQK65" s="1304"/>
      <c r="GQL65" s="1304"/>
      <c r="GQM65" s="1304"/>
      <c r="GQN65" s="1304"/>
      <c r="GQO65" s="1305"/>
      <c r="GQP65" s="1305"/>
      <c r="GQQ65" s="1304"/>
      <c r="GQR65" s="1304"/>
      <c r="GQS65" s="1304"/>
      <c r="GQT65" s="1304"/>
      <c r="GQU65" s="1304"/>
      <c r="GQV65" s="1304"/>
      <c r="GQW65" s="1304"/>
      <c r="GQX65" s="1304"/>
      <c r="GQY65" s="1305"/>
      <c r="GQZ65" s="1305"/>
      <c r="GRA65" s="1304"/>
      <c r="GRB65" s="1304"/>
      <c r="GRC65" s="1304"/>
      <c r="GRD65" s="1304"/>
      <c r="GRE65" s="1304"/>
      <c r="GRF65" s="1304"/>
      <c r="GRG65" s="1304"/>
      <c r="GRH65" s="1304"/>
      <c r="GRI65" s="1305"/>
      <c r="GRJ65" s="1305"/>
      <c r="GRK65" s="1304"/>
      <c r="GRL65" s="1304"/>
      <c r="GRM65" s="1304"/>
      <c r="GRN65" s="1304"/>
      <c r="GRO65" s="1304"/>
      <c r="GRP65" s="1304"/>
      <c r="GRQ65" s="1304"/>
      <c r="GRR65" s="1304"/>
      <c r="GRS65" s="1305"/>
      <c r="GRT65" s="1305"/>
      <c r="GRU65" s="1304"/>
      <c r="GRV65" s="1304"/>
      <c r="GRW65" s="1304"/>
      <c r="GRX65" s="1304"/>
      <c r="GRY65" s="1304"/>
      <c r="GRZ65" s="1304"/>
      <c r="GSA65" s="1304"/>
      <c r="GSB65" s="1304"/>
      <c r="GSC65" s="1305"/>
      <c r="GSD65" s="1305"/>
      <c r="GSE65" s="1304"/>
      <c r="GSF65" s="1304"/>
      <c r="GSG65" s="1304"/>
      <c r="GSH65" s="1304"/>
      <c r="GSI65" s="1304"/>
      <c r="GSJ65" s="1304"/>
      <c r="GSK65" s="1304"/>
      <c r="GSL65" s="1304"/>
      <c r="GSM65" s="1305"/>
      <c r="GSN65" s="1305"/>
      <c r="GSO65" s="1304"/>
      <c r="GSP65" s="1304"/>
      <c r="GSQ65" s="1304"/>
      <c r="GSR65" s="1304"/>
      <c r="GSS65" s="1304"/>
      <c r="GST65" s="1304"/>
      <c r="GSU65" s="1304"/>
      <c r="GSV65" s="1304"/>
      <c r="GSW65" s="1305"/>
      <c r="GSX65" s="1305"/>
      <c r="GSY65" s="1304"/>
      <c r="GSZ65" s="1304"/>
      <c r="GTA65" s="1304"/>
      <c r="GTB65" s="1304"/>
      <c r="GTC65" s="1304"/>
      <c r="GTD65" s="1304"/>
      <c r="GTE65" s="1304"/>
      <c r="GTF65" s="1304"/>
      <c r="GTG65" s="1305"/>
      <c r="GTH65" s="1305"/>
      <c r="GTI65" s="1304"/>
      <c r="GTJ65" s="1304"/>
      <c r="GTK65" s="1304"/>
      <c r="GTL65" s="1304"/>
      <c r="GTM65" s="1304"/>
      <c r="GTN65" s="1304"/>
      <c r="GTO65" s="1304"/>
      <c r="GTP65" s="1304"/>
      <c r="GTQ65" s="1305"/>
      <c r="GTR65" s="1305"/>
      <c r="GTS65" s="1304"/>
      <c r="GTT65" s="1304"/>
      <c r="GTU65" s="1304"/>
      <c r="GTV65" s="1304"/>
      <c r="GTW65" s="1304"/>
      <c r="GTX65" s="1304"/>
      <c r="GTY65" s="1304"/>
      <c r="GTZ65" s="1304"/>
      <c r="GUA65" s="1305"/>
      <c r="GUB65" s="1305"/>
      <c r="GUC65" s="1304"/>
      <c r="GUD65" s="1304"/>
      <c r="GUE65" s="1304"/>
      <c r="GUF65" s="1304"/>
      <c r="GUG65" s="1304"/>
      <c r="GUH65" s="1304"/>
      <c r="GUI65" s="1304"/>
      <c r="GUJ65" s="1304"/>
      <c r="GUK65" s="1305"/>
      <c r="GUL65" s="1305"/>
      <c r="GUM65" s="1304"/>
      <c r="GUN65" s="1304"/>
      <c r="GUO65" s="1304"/>
      <c r="GUP65" s="1304"/>
      <c r="GUQ65" s="1304"/>
      <c r="GUR65" s="1304"/>
      <c r="GUS65" s="1304"/>
      <c r="GUT65" s="1304"/>
      <c r="GUU65" s="1305"/>
      <c r="GUV65" s="1305"/>
      <c r="GUW65" s="1304"/>
      <c r="GUX65" s="1304"/>
      <c r="GUY65" s="1304"/>
      <c r="GUZ65" s="1304"/>
      <c r="GVA65" s="1304"/>
      <c r="GVB65" s="1304"/>
      <c r="GVC65" s="1304"/>
      <c r="GVD65" s="1304"/>
      <c r="GVE65" s="1305"/>
      <c r="GVF65" s="1305"/>
      <c r="GVG65" s="1304"/>
      <c r="GVH65" s="1304"/>
      <c r="GVI65" s="1304"/>
      <c r="GVJ65" s="1304"/>
      <c r="GVK65" s="1304"/>
      <c r="GVL65" s="1304"/>
      <c r="GVM65" s="1304"/>
      <c r="GVN65" s="1304"/>
      <c r="GVO65" s="1305"/>
      <c r="GVP65" s="1305"/>
      <c r="GVQ65" s="1304"/>
      <c r="GVR65" s="1304"/>
      <c r="GVS65" s="1304"/>
      <c r="GVT65" s="1304"/>
      <c r="GVU65" s="1304"/>
      <c r="GVV65" s="1304"/>
      <c r="GVW65" s="1304"/>
      <c r="GVX65" s="1304"/>
      <c r="GVY65" s="1305"/>
      <c r="GVZ65" s="1305"/>
      <c r="GWA65" s="1304"/>
      <c r="GWB65" s="1304"/>
      <c r="GWC65" s="1304"/>
      <c r="GWD65" s="1304"/>
      <c r="GWE65" s="1304"/>
      <c r="GWF65" s="1304"/>
      <c r="GWG65" s="1304"/>
      <c r="GWH65" s="1304"/>
      <c r="GWI65" s="1305"/>
      <c r="GWJ65" s="1305"/>
      <c r="GWK65" s="1304"/>
      <c r="GWL65" s="1304"/>
      <c r="GWM65" s="1304"/>
      <c r="GWN65" s="1304"/>
      <c r="GWO65" s="1304"/>
      <c r="GWP65" s="1304"/>
      <c r="GWQ65" s="1304"/>
      <c r="GWR65" s="1304"/>
      <c r="GWS65" s="1305"/>
      <c r="GWT65" s="1305"/>
      <c r="GWU65" s="1304"/>
      <c r="GWV65" s="1304"/>
      <c r="GWW65" s="1304"/>
      <c r="GWX65" s="1304"/>
      <c r="GWY65" s="1304"/>
      <c r="GWZ65" s="1304"/>
      <c r="GXA65" s="1304"/>
      <c r="GXB65" s="1304"/>
      <c r="GXC65" s="1305"/>
      <c r="GXD65" s="1305"/>
      <c r="GXE65" s="1304"/>
      <c r="GXF65" s="1304"/>
      <c r="GXG65" s="1304"/>
      <c r="GXH65" s="1304"/>
      <c r="GXI65" s="1304"/>
      <c r="GXJ65" s="1304"/>
      <c r="GXK65" s="1304"/>
      <c r="GXL65" s="1304"/>
      <c r="GXM65" s="1305"/>
      <c r="GXN65" s="1305"/>
      <c r="GXO65" s="1304"/>
      <c r="GXP65" s="1304"/>
      <c r="GXQ65" s="1304"/>
      <c r="GXR65" s="1304"/>
      <c r="GXS65" s="1304"/>
      <c r="GXT65" s="1304"/>
      <c r="GXU65" s="1304"/>
      <c r="GXV65" s="1304"/>
      <c r="GXW65" s="1305"/>
      <c r="GXX65" s="1305"/>
      <c r="GXY65" s="1304"/>
      <c r="GXZ65" s="1304"/>
      <c r="GYA65" s="1304"/>
      <c r="GYB65" s="1304"/>
      <c r="GYC65" s="1304"/>
      <c r="GYD65" s="1304"/>
      <c r="GYE65" s="1304"/>
      <c r="GYF65" s="1304"/>
      <c r="GYG65" s="1305"/>
      <c r="GYH65" s="1305"/>
      <c r="GYI65" s="1304"/>
      <c r="GYJ65" s="1304"/>
      <c r="GYK65" s="1304"/>
      <c r="GYL65" s="1304"/>
      <c r="GYM65" s="1304"/>
      <c r="GYN65" s="1304"/>
      <c r="GYO65" s="1304"/>
      <c r="GYP65" s="1304"/>
      <c r="GYQ65" s="1305"/>
      <c r="GYR65" s="1305"/>
      <c r="GYS65" s="1304"/>
      <c r="GYT65" s="1304"/>
      <c r="GYU65" s="1304"/>
      <c r="GYV65" s="1304"/>
      <c r="GYW65" s="1304"/>
      <c r="GYX65" s="1304"/>
      <c r="GYY65" s="1304"/>
      <c r="GYZ65" s="1304"/>
      <c r="GZA65" s="1305"/>
      <c r="GZB65" s="1305"/>
      <c r="GZC65" s="1304"/>
      <c r="GZD65" s="1304"/>
      <c r="GZE65" s="1304"/>
      <c r="GZF65" s="1304"/>
      <c r="GZG65" s="1304"/>
      <c r="GZH65" s="1304"/>
      <c r="GZI65" s="1304"/>
      <c r="GZJ65" s="1304"/>
      <c r="GZK65" s="1305"/>
      <c r="GZL65" s="1305"/>
      <c r="GZM65" s="1304"/>
      <c r="GZN65" s="1304"/>
      <c r="GZO65" s="1304"/>
      <c r="GZP65" s="1304"/>
      <c r="GZQ65" s="1304"/>
      <c r="GZR65" s="1304"/>
      <c r="GZS65" s="1304"/>
      <c r="GZT65" s="1304"/>
      <c r="GZU65" s="1305"/>
      <c r="GZV65" s="1305"/>
      <c r="GZW65" s="1304"/>
      <c r="GZX65" s="1304"/>
      <c r="GZY65" s="1304"/>
      <c r="GZZ65" s="1304"/>
      <c r="HAA65" s="1304"/>
      <c r="HAB65" s="1304"/>
      <c r="HAC65" s="1304"/>
      <c r="HAD65" s="1304"/>
      <c r="HAE65" s="1305"/>
      <c r="HAF65" s="1305"/>
      <c r="HAG65" s="1304"/>
      <c r="HAH65" s="1304"/>
      <c r="HAI65" s="1304"/>
      <c r="HAJ65" s="1304"/>
      <c r="HAK65" s="1304"/>
      <c r="HAL65" s="1304"/>
      <c r="HAM65" s="1304"/>
      <c r="HAN65" s="1304"/>
      <c r="HAO65" s="1305"/>
      <c r="HAP65" s="1305"/>
      <c r="HAQ65" s="1304"/>
      <c r="HAR65" s="1304"/>
      <c r="HAS65" s="1304"/>
      <c r="HAT65" s="1304"/>
      <c r="HAU65" s="1304"/>
      <c r="HAV65" s="1304"/>
      <c r="HAW65" s="1304"/>
      <c r="HAX65" s="1304"/>
      <c r="HAY65" s="1305"/>
      <c r="HAZ65" s="1305"/>
      <c r="HBA65" s="1304"/>
      <c r="HBB65" s="1304"/>
      <c r="HBC65" s="1304"/>
      <c r="HBD65" s="1304"/>
      <c r="HBE65" s="1304"/>
      <c r="HBF65" s="1304"/>
      <c r="HBG65" s="1304"/>
      <c r="HBH65" s="1304"/>
      <c r="HBI65" s="1305"/>
      <c r="HBJ65" s="1305"/>
      <c r="HBK65" s="1304"/>
      <c r="HBL65" s="1304"/>
      <c r="HBM65" s="1304"/>
      <c r="HBN65" s="1304"/>
      <c r="HBO65" s="1304"/>
      <c r="HBP65" s="1304"/>
      <c r="HBQ65" s="1304"/>
      <c r="HBR65" s="1304"/>
      <c r="HBS65" s="1305"/>
      <c r="HBT65" s="1305"/>
      <c r="HBU65" s="1304"/>
      <c r="HBV65" s="1304"/>
      <c r="HBW65" s="1304"/>
      <c r="HBX65" s="1304"/>
      <c r="HBY65" s="1304"/>
      <c r="HBZ65" s="1304"/>
      <c r="HCA65" s="1304"/>
      <c r="HCB65" s="1304"/>
      <c r="HCC65" s="1305"/>
      <c r="HCD65" s="1305"/>
      <c r="HCE65" s="1304"/>
      <c r="HCF65" s="1304"/>
      <c r="HCG65" s="1304"/>
      <c r="HCH65" s="1304"/>
      <c r="HCI65" s="1304"/>
      <c r="HCJ65" s="1304"/>
      <c r="HCK65" s="1304"/>
      <c r="HCL65" s="1304"/>
      <c r="HCM65" s="1305"/>
      <c r="HCN65" s="1305"/>
      <c r="HCO65" s="1304"/>
      <c r="HCP65" s="1304"/>
      <c r="HCQ65" s="1304"/>
      <c r="HCR65" s="1304"/>
      <c r="HCS65" s="1304"/>
      <c r="HCT65" s="1304"/>
      <c r="HCU65" s="1304"/>
      <c r="HCV65" s="1304"/>
      <c r="HCW65" s="1305"/>
      <c r="HCX65" s="1305"/>
      <c r="HCY65" s="1304"/>
      <c r="HCZ65" s="1304"/>
      <c r="HDA65" s="1304"/>
      <c r="HDB65" s="1304"/>
      <c r="HDC65" s="1304"/>
      <c r="HDD65" s="1304"/>
      <c r="HDE65" s="1304"/>
      <c r="HDF65" s="1304"/>
      <c r="HDG65" s="1305"/>
      <c r="HDH65" s="1305"/>
      <c r="HDI65" s="1304"/>
      <c r="HDJ65" s="1304"/>
      <c r="HDK65" s="1304"/>
      <c r="HDL65" s="1304"/>
      <c r="HDM65" s="1304"/>
      <c r="HDN65" s="1304"/>
      <c r="HDO65" s="1304"/>
      <c r="HDP65" s="1304"/>
      <c r="HDQ65" s="1305"/>
      <c r="HDR65" s="1305"/>
      <c r="HDS65" s="1304"/>
      <c r="HDT65" s="1304"/>
      <c r="HDU65" s="1304"/>
      <c r="HDV65" s="1304"/>
      <c r="HDW65" s="1304"/>
      <c r="HDX65" s="1304"/>
      <c r="HDY65" s="1304"/>
      <c r="HDZ65" s="1304"/>
      <c r="HEA65" s="1305"/>
      <c r="HEB65" s="1305"/>
      <c r="HEC65" s="1304"/>
      <c r="HED65" s="1304"/>
      <c r="HEE65" s="1304"/>
      <c r="HEF65" s="1304"/>
      <c r="HEG65" s="1304"/>
      <c r="HEH65" s="1304"/>
      <c r="HEI65" s="1304"/>
      <c r="HEJ65" s="1304"/>
      <c r="HEK65" s="1305"/>
      <c r="HEL65" s="1305"/>
      <c r="HEM65" s="1304"/>
      <c r="HEN65" s="1304"/>
      <c r="HEO65" s="1304"/>
      <c r="HEP65" s="1304"/>
      <c r="HEQ65" s="1304"/>
      <c r="HER65" s="1304"/>
      <c r="HES65" s="1304"/>
      <c r="HET65" s="1304"/>
      <c r="HEU65" s="1305"/>
      <c r="HEV65" s="1305"/>
      <c r="HEW65" s="1304"/>
      <c r="HEX65" s="1304"/>
      <c r="HEY65" s="1304"/>
      <c r="HEZ65" s="1304"/>
      <c r="HFA65" s="1304"/>
      <c r="HFB65" s="1304"/>
      <c r="HFC65" s="1304"/>
      <c r="HFD65" s="1304"/>
      <c r="HFE65" s="1305"/>
      <c r="HFF65" s="1305"/>
      <c r="HFG65" s="1304"/>
      <c r="HFH65" s="1304"/>
      <c r="HFI65" s="1304"/>
      <c r="HFJ65" s="1304"/>
      <c r="HFK65" s="1304"/>
      <c r="HFL65" s="1304"/>
      <c r="HFM65" s="1304"/>
      <c r="HFN65" s="1304"/>
      <c r="HFO65" s="1305"/>
      <c r="HFP65" s="1305"/>
      <c r="HFQ65" s="1304"/>
      <c r="HFR65" s="1304"/>
      <c r="HFS65" s="1304"/>
      <c r="HFT65" s="1304"/>
      <c r="HFU65" s="1304"/>
      <c r="HFV65" s="1304"/>
      <c r="HFW65" s="1304"/>
      <c r="HFX65" s="1304"/>
      <c r="HFY65" s="1305"/>
      <c r="HFZ65" s="1305"/>
      <c r="HGA65" s="1304"/>
      <c r="HGB65" s="1304"/>
      <c r="HGC65" s="1304"/>
      <c r="HGD65" s="1304"/>
      <c r="HGE65" s="1304"/>
      <c r="HGF65" s="1304"/>
      <c r="HGG65" s="1304"/>
      <c r="HGH65" s="1304"/>
      <c r="HGI65" s="1305"/>
      <c r="HGJ65" s="1305"/>
      <c r="HGK65" s="1304"/>
      <c r="HGL65" s="1304"/>
      <c r="HGM65" s="1304"/>
      <c r="HGN65" s="1304"/>
      <c r="HGO65" s="1304"/>
      <c r="HGP65" s="1304"/>
      <c r="HGQ65" s="1304"/>
      <c r="HGR65" s="1304"/>
      <c r="HGS65" s="1305"/>
      <c r="HGT65" s="1305"/>
      <c r="HGU65" s="1304"/>
      <c r="HGV65" s="1304"/>
      <c r="HGW65" s="1304"/>
      <c r="HGX65" s="1304"/>
      <c r="HGY65" s="1304"/>
      <c r="HGZ65" s="1304"/>
      <c r="HHA65" s="1304"/>
      <c r="HHB65" s="1304"/>
      <c r="HHC65" s="1305"/>
      <c r="HHD65" s="1305"/>
      <c r="HHE65" s="1304"/>
      <c r="HHF65" s="1304"/>
      <c r="HHG65" s="1304"/>
      <c r="HHH65" s="1304"/>
      <c r="HHI65" s="1304"/>
      <c r="HHJ65" s="1304"/>
      <c r="HHK65" s="1304"/>
      <c r="HHL65" s="1304"/>
      <c r="HHM65" s="1305"/>
      <c r="HHN65" s="1305"/>
      <c r="HHO65" s="1304"/>
      <c r="HHP65" s="1304"/>
      <c r="HHQ65" s="1304"/>
      <c r="HHR65" s="1304"/>
      <c r="HHS65" s="1304"/>
      <c r="HHT65" s="1304"/>
      <c r="HHU65" s="1304"/>
      <c r="HHV65" s="1304"/>
      <c r="HHW65" s="1305"/>
      <c r="HHX65" s="1305"/>
      <c r="HHY65" s="1304"/>
      <c r="HHZ65" s="1304"/>
      <c r="HIA65" s="1304"/>
      <c r="HIB65" s="1304"/>
      <c r="HIC65" s="1304"/>
      <c r="HID65" s="1304"/>
      <c r="HIE65" s="1304"/>
      <c r="HIF65" s="1304"/>
      <c r="HIG65" s="1305"/>
      <c r="HIH65" s="1305"/>
      <c r="HII65" s="1304"/>
      <c r="HIJ65" s="1304"/>
      <c r="HIK65" s="1304"/>
      <c r="HIL65" s="1304"/>
      <c r="HIM65" s="1304"/>
      <c r="HIN65" s="1304"/>
      <c r="HIO65" s="1304"/>
      <c r="HIP65" s="1304"/>
      <c r="HIQ65" s="1305"/>
      <c r="HIR65" s="1305"/>
      <c r="HIS65" s="1304"/>
      <c r="HIT65" s="1304"/>
      <c r="HIU65" s="1304"/>
      <c r="HIV65" s="1304"/>
      <c r="HIW65" s="1304"/>
      <c r="HIX65" s="1304"/>
      <c r="HIY65" s="1304"/>
      <c r="HIZ65" s="1304"/>
      <c r="HJA65" s="1305"/>
      <c r="HJB65" s="1305"/>
      <c r="HJC65" s="1304"/>
      <c r="HJD65" s="1304"/>
      <c r="HJE65" s="1304"/>
      <c r="HJF65" s="1304"/>
      <c r="HJG65" s="1304"/>
      <c r="HJH65" s="1304"/>
      <c r="HJI65" s="1304"/>
      <c r="HJJ65" s="1304"/>
      <c r="HJK65" s="1305"/>
      <c r="HJL65" s="1305"/>
      <c r="HJM65" s="1304"/>
      <c r="HJN65" s="1304"/>
      <c r="HJO65" s="1304"/>
      <c r="HJP65" s="1304"/>
      <c r="HJQ65" s="1304"/>
      <c r="HJR65" s="1304"/>
      <c r="HJS65" s="1304"/>
      <c r="HJT65" s="1304"/>
      <c r="HJU65" s="1305"/>
      <c r="HJV65" s="1305"/>
      <c r="HJW65" s="1304"/>
      <c r="HJX65" s="1304"/>
      <c r="HJY65" s="1304"/>
      <c r="HJZ65" s="1304"/>
      <c r="HKA65" s="1304"/>
      <c r="HKB65" s="1304"/>
      <c r="HKC65" s="1304"/>
      <c r="HKD65" s="1304"/>
      <c r="HKE65" s="1305"/>
      <c r="HKF65" s="1305"/>
      <c r="HKG65" s="1304"/>
      <c r="HKH65" s="1304"/>
      <c r="HKI65" s="1304"/>
      <c r="HKJ65" s="1304"/>
      <c r="HKK65" s="1304"/>
      <c r="HKL65" s="1304"/>
      <c r="HKM65" s="1304"/>
      <c r="HKN65" s="1304"/>
      <c r="HKO65" s="1305"/>
      <c r="HKP65" s="1305"/>
      <c r="HKQ65" s="1304"/>
      <c r="HKR65" s="1304"/>
      <c r="HKS65" s="1304"/>
      <c r="HKT65" s="1304"/>
      <c r="HKU65" s="1304"/>
      <c r="HKV65" s="1304"/>
      <c r="HKW65" s="1304"/>
      <c r="HKX65" s="1304"/>
      <c r="HKY65" s="1305"/>
      <c r="HKZ65" s="1305"/>
      <c r="HLA65" s="1304"/>
      <c r="HLB65" s="1304"/>
      <c r="HLC65" s="1304"/>
      <c r="HLD65" s="1304"/>
      <c r="HLE65" s="1304"/>
      <c r="HLF65" s="1304"/>
      <c r="HLG65" s="1304"/>
      <c r="HLH65" s="1304"/>
      <c r="HLI65" s="1305"/>
      <c r="HLJ65" s="1305"/>
      <c r="HLK65" s="1304"/>
      <c r="HLL65" s="1304"/>
      <c r="HLM65" s="1304"/>
      <c r="HLN65" s="1304"/>
      <c r="HLO65" s="1304"/>
      <c r="HLP65" s="1304"/>
      <c r="HLQ65" s="1304"/>
      <c r="HLR65" s="1304"/>
      <c r="HLS65" s="1305"/>
      <c r="HLT65" s="1305"/>
      <c r="HLU65" s="1304"/>
      <c r="HLV65" s="1304"/>
      <c r="HLW65" s="1304"/>
      <c r="HLX65" s="1304"/>
      <c r="HLY65" s="1304"/>
      <c r="HLZ65" s="1304"/>
      <c r="HMA65" s="1304"/>
      <c r="HMB65" s="1304"/>
      <c r="HMC65" s="1305"/>
      <c r="HMD65" s="1305"/>
      <c r="HME65" s="1304"/>
      <c r="HMF65" s="1304"/>
      <c r="HMG65" s="1304"/>
      <c r="HMH65" s="1304"/>
      <c r="HMI65" s="1304"/>
      <c r="HMJ65" s="1304"/>
      <c r="HMK65" s="1304"/>
      <c r="HML65" s="1304"/>
      <c r="HMM65" s="1305"/>
      <c r="HMN65" s="1305"/>
      <c r="HMO65" s="1304"/>
      <c r="HMP65" s="1304"/>
      <c r="HMQ65" s="1304"/>
      <c r="HMR65" s="1304"/>
      <c r="HMS65" s="1304"/>
      <c r="HMT65" s="1304"/>
      <c r="HMU65" s="1304"/>
      <c r="HMV65" s="1304"/>
      <c r="HMW65" s="1305"/>
      <c r="HMX65" s="1305"/>
      <c r="HMY65" s="1304"/>
      <c r="HMZ65" s="1304"/>
      <c r="HNA65" s="1304"/>
      <c r="HNB65" s="1304"/>
      <c r="HNC65" s="1304"/>
      <c r="HND65" s="1304"/>
      <c r="HNE65" s="1304"/>
      <c r="HNF65" s="1304"/>
      <c r="HNG65" s="1305"/>
      <c r="HNH65" s="1305"/>
      <c r="HNI65" s="1304"/>
      <c r="HNJ65" s="1304"/>
      <c r="HNK65" s="1304"/>
      <c r="HNL65" s="1304"/>
      <c r="HNM65" s="1304"/>
      <c r="HNN65" s="1304"/>
      <c r="HNO65" s="1304"/>
      <c r="HNP65" s="1304"/>
      <c r="HNQ65" s="1305"/>
      <c r="HNR65" s="1305"/>
      <c r="HNS65" s="1304"/>
      <c r="HNT65" s="1304"/>
      <c r="HNU65" s="1304"/>
      <c r="HNV65" s="1304"/>
      <c r="HNW65" s="1304"/>
      <c r="HNX65" s="1304"/>
      <c r="HNY65" s="1304"/>
      <c r="HNZ65" s="1304"/>
      <c r="HOA65" s="1305"/>
      <c r="HOB65" s="1305"/>
      <c r="HOC65" s="1304"/>
      <c r="HOD65" s="1304"/>
      <c r="HOE65" s="1304"/>
      <c r="HOF65" s="1304"/>
      <c r="HOG65" s="1304"/>
      <c r="HOH65" s="1304"/>
      <c r="HOI65" s="1304"/>
      <c r="HOJ65" s="1304"/>
      <c r="HOK65" s="1305"/>
      <c r="HOL65" s="1305"/>
      <c r="HOM65" s="1304"/>
      <c r="HON65" s="1304"/>
      <c r="HOO65" s="1304"/>
      <c r="HOP65" s="1304"/>
      <c r="HOQ65" s="1304"/>
      <c r="HOR65" s="1304"/>
      <c r="HOS65" s="1304"/>
      <c r="HOT65" s="1304"/>
      <c r="HOU65" s="1305"/>
      <c r="HOV65" s="1305"/>
      <c r="HOW65" s="1304"/>
      <c r="HOX65" s="1304"/>
      <c r="HOY65" s="1304"/>
      <c r="HOZ65" s="1304"/>
      <c r="HPA65" s="1304"/>
      <c r="HPB65" s="1304"/>
      <c r="HPC65" s="1304"/>
      <c r="HPD65" s="1304"/>
      <c r="HPE65" s="1305"/>
      <c r="HPF65" s="1305"/>
      <c r="HPG65" s="1304"/>
      <c r="HPH65" s="1304"/>
      <c r="HPI65" s="1304"/>
      <c r="HPJ65" s="1304"/>
      <c r="HPK65" s="1304"/>
      <c r="HPL65" s="1304"/>
      <c r="HPM65" s="1304"/>
      <c r="HPN65" s="1304"/>
      <c r="HPO65" s="1305"/>
      <c r="HPP65" s="1305"/>
      <c r="HPQ65" s="1304"/>
      <c r="HPR65" s="1304"/>
      <c r="HPS65" s="1304"/>
      <c r="HPT65" s="1304"/>
      <c r="HPU65" s="1304"/>
      <c r="HPV65" s="1304"/>
      <c r="HPW65" s="1304"/>
      <c r="HPX65" s="1304"/>
      <c r="HPY65" s="1305"/>
      <c r="HPZ65" s="1305"/>
      <c r="HQA65" s="1304"/>
      <c r="HQB65" s="1304"/>
      <c r="HQC65" s="1304"/>
      <c r="HQD65" s="1304"/>
      <c r="HQE65" s="1304"/>
      <c r="HQF65" s="1304"/>
      <c r="HQG65" s="1304"/>
      <c r="HQH65" s="1304"/>
      <c r="HQI65" s="1305"/>
      <c r="HQJ65" s="1305"/>
      <c r="HQK65" s="1304"/>
      <c r="HQL65" s="1304"/>
      <c r="HQM65" s="1304"/>
      <c r="HQN65" s="1304"/>
      <c r="HQO65" s="1304"/>
      <c r="HQP65" s="1304"/>
      <c r="HQQ65" s="1304"/>
      <c r="HQR65" s="1304"/>
      <c r="HQS65" s="1305"/>
      <c r="HQT65" s="1305"/>
      <c r="HQU65" s="1304"/>
      <c r="HQV65" s="1304"/>
      <c r="HQW65" s="1304"/>
      <c r="HQX65" s="1304"/>
      <c r="HQY65" s="1304"/>
      <c r="HQZ65" s="1304"/>
      <c r="HRA65" s="1304"/>
      <c r="HRB65" s="1304"/>
      <c r="HRC65" s="1305"/>
      <c r="HRD65" s="1305"/>
      <c r="HRE65" s="1304"/>
      <c r="HRF65" s="1304"/>
      <c r="HRG65" s="1304"/>
      <c r="HRH65" s="1304"/>
      <c r="HRI65" s="1304"/>
      <c r="HRJ65" s="1304"/>
      <c r="HRK65" s="1304"/>
      <c r="HRL65" s="1304"/>
      <c r="HRM65" s="1305"/>
      <c r="HRN65" s="1305"/>
      <c r="HRO65" s="1304"/>
      <c r="HRP65" s="1304"/>
      <c r="HRQ65" s="1304"/>
      <c r="HRR65" s="1304"/>
      <c r="HRS65" s="1304"/>
      <c r="HRT65" s="1304"/>
      <c r="HRU65" s="1304"/>
      <c r="HRV65" s="1304"/>
      <c r="HRW65" s="1305"/>
      <c r="HRX65" s="1305"/>
      <c r="HRY65" s="1304"/>
      <c r="HRZ65" s="1304"/>
      <c r="HSA65" s="1304"/>
      <c r="HSB65" s="1304"/>
      <c r="HSC65" s="1304"/>
      <c r="HSD65" s="1304"/>
      <c r="HSE65" s="1304"/>
      <c r="HSF65" s="1304"/>
      <c r="HSG65" s="1305"/>
      <c r="HSH65" s="1305"/>
      <c r="HSI65" s="1304"/>
      <c r="HSJ65" s="1304"/>
      <c r="HSK65" s="1304"/>
      <c r="HSL65" s="1304"/>
      <c r="HSM65" s="1304"/>
      <c r="HSN65" s="1304"/>
      <c r="HSO65" s="1304"/>
      <c r="HSP65" s="1304"/>
      <c r="HSQ65" s="1305"/>
      <c r="HSR65" s="1305"/>
      <c r="HSS65" s="1304"/>
      <c r="HST65" s="1304"/>
      <c r="HSU65" s="1304"/>
      <c r="HSV65" s="1304"/>
      <c r="HSW65" s="1304"/>
      <c r="HSX65" s="1304"/>
      <c r="HSY65" s="1304"/>
      <c r="HSZ65" s="1304"/>
      <c r="HTA65" s="1305"/>
      <c r="HTB65" s="1305"/>
      <c r="HTC65" s="1304"/>
      <c r="HTD65" s="1304"/>
      <c r="HTE65" s="1304"/>
      <c r="HTF65" s="1304"/>
      <c r="HTG65" s="1304"/>
      <c r="HTH65" s="1304"/>
      <c r="HTI65" s="1304"/>
      <c r="HTJ65" s="1304"/>
      <c r="HTK65" s="1305"/>
      <c r="HTL65" s="1305"/>
      <c r="HTM65" s="1304"/>
      <c r="HTN65" s="1304"/>
      <c r="HTO65" s="1304"/>
      <c r="HTP65" s="1304"/>
      <c r="HTQ65" s="1304"/>
      <c r="HTR65" s="1304"/>
      <c r="HTS65" s="1304"/>
      <c r="HTT65" s="1304"/>
      <c r="HTU65" s="1305"/>
      <c r="HTV65" s="1305"/>
      <c r="HTW65" s="1304"/>
      <c r="HTX65" s="1304"/>
      <c r="HTY65" s="1304"/>
      <c r="HTZ65" s="1304"/>
      <c r="HUA65" s="1304"/>
      <c r="HUB65" s="1304"/>
      <c r="HUC65" s="1304"/>
      <c r="HUD65" s="1304"/>
      <c r="HUE65" s="1305"/>
      <c r="HUF65" s="1305"/>
      <c r="HUG65" s="1304"/>
      <c r="HUH65" s="1304"/>
      <c r="HUI65" s="1304"/>
      <c r="HUJ65" s="1304"/>
      <c r="HUK65" s="1304"/>
      <c r="HUL65" s="1304"/>
      <c r="HUM65" s="1304"/>
      <c r="HUN65" s="1304"/>
      <c r="HUO65" s="1305"/>
      <c r="HUP65" s="1305"/>
      <c r="HUQ65" s="1304"/>
      <c r="HUR65" s="1304"/>
      <c r="HUS65" s="1304"/>
      <c r="HUT65" s="1304"/>
      <c r="HUU65" s="1304"/>
      <c r="HUV65" s="1304"/>
      <c r="HUW65" s="1304"/>
      <c r="HUX65" s="1304"/>
      <c r="HUY65" s="1305"/>
      <c r="HUZ65" s="1305"/>
      <c r="HVA65" s="1304"/>
      <c r="HVB65" s="1304"/>
      <c r="HVC65" s="1304"/>
      <c r="HVD65" s="1304"/>
      <c r="HVE65" s="1304"/>
      <c r="HVF65" s="1304"/>
      <c r="HVG65" s="1304"/>
      <c r="HVH65" s="1304"/>
      <c r="HVI65" s="1305"/>
      <c r="HVJ65" s="1305"/>
      <c r="HVK65" s="1304"/>
      <c r="HVL65" s="1304"/>
      <c r="HVM65" s="1304"/>
      <c r="HVN65" s="1304"/>
      <c r="HVO65" s="1304"/>
      <c r="HVP65" s="1304"/>
      <c r="HVQ65" s="1304"/>
      <c r="HVR65" s="1304"/>
      <c r="HVS65" s="1305"/>
      <c r="HVT65" s="1305"/>
      <c r="HVU65" s="1304"/>
      <c r="HVV65" s="1304"/>
      <c r="HVW65" s="1304"/>
      <c r="HVX65" s="1304"/>
      <c r="HVY65" s="1304"/>
      <c r="HVZ65" s="1304"/>
      <c r="HWA65" s="1304"/>
      <c r="HWB65" s="1304"/>
      <c r="HWC65" s="1305"/>
      <c r="HWD65" s="1305"/>
      <c r="HWE65" s="1304"/>
      <c r="HWF65" s="1304"/>
      <c r="HWG65" s="1304"/>
      <c r="HWH65" s="1304"/>
      <c r="HWI65" s="1304"/>
      <c r="HWJ65" s="1304"/>
      <c r="HWK65" s="1304"/>
      <c r="HWL65" s="1304"/>
      <c r="HWM65" s="1305"/>
      <c r="HWN65" s="1305"/>
      <c r="HWO65" s="1304"/>
      <c r="HWP65" s="1304"/>
      <c r="HWQ65" s="1304"/>
      <c r="HWR65" s="1304"/>
      <c r="HWS65" s="1304"/>
      <c r="HWT65" s="1304"/>
      <c r="HWU65" s="1304"/>
      <c r="HWV65" s="1304"/>
      <c r="HWW65" s="1305"/>
      <c r="HWX65" s="1305"/>
      <c r="HWY65" s="1304"/>
      <c r="HWZ65" s="1304"/>
      <c r="HXA65" s="1304"/>
      <c r="HXB65" s="1304"/>
      <c r="HXC65" s="1304"/>
      <c r="HXD65" s="1304"/>
      <c r="HXE65" s="1304"/>
      <c r="HXF65" s="1304"/>
      <c r="HXG65" s="1305"/>
      <c r="HXH65" s="1305"/>
      <c r="HXI65" s="1304"/>
      <c r="HXJ65" s="1304"/>
      <c r="HXK65" s="1304"/>
      <c r="HXL65" s="1304"/>
      <c r="HXM65" s="1304"/>
      <c r="HXN65" s="1304"/>
      <c r="HXO65" s="1304"/>
      <c r="HXP65" s="1304"/>
      <c r="HXQ65" s="1305"/>
      <c r="HXR65" s="1305"/>
      <c r="HXS65" s="1304"/>
      <c r="HXT65" s="1304"/>
      <c r="HXU65" s="1304"/>
      <c r="HXV65" s="1304"/>
      <c r="HXW65" s="1304"/>
      <c r="HXX65" s="1304"/>
      <c r="HXY65" s="1304"/>
      <c r="HXZ65" s="1304"/>
      <c r="HYA65" s="1305"/>
      <c r="HYB65" s="1305"/>
      <c r="HYC65" s="1304"/>
      <c r="HYD65" s="1304"/>
      <c r="HYE65" s="1304"/>
      <c r="HYF65" s="1304"/>
      <c r="HYG65" s="1304"/>
      <c r="HYH65" s="1304"/>
      <c r="HYI65" s="1304"/>
      <c r="HYJ65" s="1304"/>
      <c r="HYK65" s="1305"/>
      <c r="HYL65" s="1305"/>
      <c r="HYM65" s="1304"/>
      <c r="HYN65" s="1304"/>
      <c r="HYO65" s="1304"/>
      <c r="HYP65" s="1304"/>
      <c r="HYQ65" s="1304"/>
      <c r="HYR65" s="1304"/>
      <c r="HYS65" s="1304"/>
      <c r="HYT65" s="1304"/>
      <c r="HYU65" s="1305"/>
      <c r="HYV65" s="1305"/>
      <c r="HYW65" s="1304"/>
      <c r="HYX65" s="1304"/>
      <c r="HYY65" s="1304"/>
      <c r="HYZ65" s="1304"/>
      <c r="HZA65" s="1304"/>
      <c r="HZB65" s="1304"/>
      <c r="HZC65" s="1304"/>
      <c r="HZD65" s="1304"/>
      <c r="HZE65" s="1305"/>
      <c r="HZF65" s="1305"/>
      <c r="HZG65" s="1304"/>
      <c r="HZH65" s="1304"/>
      <c r="HZI65" s="1304"/>
      <c r="HZJ65" s="1304"/>
      <c r="HZK65" s="1304"/>
      <c r="HZL65" s="1304"/>
      <c r="HZM65" s="1304"/>
      <c r="HZN65" s="1304"/>
      <c r="HZO65" s="1305"/>
      <c r="HZP65" s="1305"/>
      <c r="HZQ65" s="1304"/>
      <c r="HZR65" s="1304"/>
      <c r="HZS65" s="1304"/>
      <c r="HZT65" s="1304"/>
      <c r="HZU65" s="1304"/>
      <c r="HZV65" s="1304"/>
      <c r="HZW65" s="1304"/>
      <c r="HZX65" s="1304"/>
      <c r="HZY65" s="1305"/>
      <c r="HZZ65" s="1305"/>
      <c r="IAA65" s="1304"/>
      <c r="IAB65" s="1304"/>
      <c r="IAC65" s="1304"/>
      <c r="IAD65" s="1304"/>
      <c r="IAE65" s="1304"/>
      <c r="IAF65" s="1304"/>
      <c r="IAG65" s="1304"/>
      <c r="IAH65" s="1304"/>
      <c r="IAI65" s="1305"/>
      <c r="IAJ65" s="1305"/>
      <c r="IAK65" s="1304"/>
      <c r="IAL65" s="1304"/>
      <c r="IAM65" s="1304"/>
      <c r="IAN65" s="1304"/>
      <c r="IAO65" s="1304"/>
      <c r="IAP65" s="1304"/>
      <c r="IAQ65" s="1304"/>
      <c r="IAR65" s="1304"/>
      <c r="IAS65" s="1305"/>
      <c r="IAT65" s="1305"/>
      <c r="IAU65" s="1304"/>
      <c r="IAV65" s="1304"/>
      <c r="IAW65" s="1304"/>
      <c r="IAX65" s="1304"/>
      <c r="IAY65" s="1304"/>
      <c r="IAZ65" s="1304"/>
      <c r="IBA65" s="1304"/>
      <c r="IBB65" s="1304"/>
      <c r="IBC65" s="1305"/>
      <c r="IBD65" s="1305"/>
      <c r="IBE65" s="1304"/>
      <c r="IBF65" s="1304"/>
      <c r="IBG65" s="1304"/>
      <c r="IBH65" s="1304"/>
      <c r="IBI65" s="1304"/>
      <c r="IBJ65" s="1304"/>
      <c r="IBK65" s="1304"/>
      <c r="IBL65" s="1304"/>
      <c r="IBM65" s="1305"/>
      <c r="IBN65" s="1305"/>
      <c r="IBO65" s="1304"/>
      <c r="IBP65" s="1304"/>
      <c r="IBQ65" s="1304"/>
      <c r="IBR65" s="1304"/>
      <c r="IBS65" s="1304"/>
      <c r="IBT65" s="1304"/>
      <c r="IBU65" s="1304"/>
      <c r="IBV65" s="1304"/>
      <c r="IBW65" s="1305"/>
      <c r="IBX65" s="1305"/>
      <c r="IBY65" s="1304"/>
      <c r="IBZ65" s="1304"/>
      <c r="ICA65" s="1304"/>
      <c r="ICB65" s="1304"/>
      <c r="ICC65" s="1304"/>
      <c r="ICD65" s="1304"/>
      <c r="ICE65" s="1304"/>
      <c r="ICF65" s="1304"/>
      <c r="ICG65" s="1305"/>
      <c r="ICH65" s="1305"/>
      <c r="ICI65" s="1304"/>
      <c r="ICJ65" s="1304"/>
      <c r="ICK65" s="1304"/>
      <c r="ICL65" s="1304"/>
      <c r="ICM65" s="1304"/>
      <c r="ICN65" s="1304"/>
      <c r="ICO65" s="1304"/>
      <c r="ICP65" s="1304"/>
      <c r="ICQ65" s="1305"/>
      <c r="ICR65" s="1305"/>
      <c r="ICS65" s="1304"/>
      <c r="ICT65" s="1304"/>
      <c r="ICU65" s="1304"/>
      <c r="ICV65" s="1304"/>
      <c r="ICW65" s="1304"/>
      <c r="ICX65" s="1304"/>
      <c r="ICY65" s="1304"/>
      <c r="ICZ65" s="1304"/>
      <c r="IDA65" s="1305"/>
      <c r="IDB65" s="1305"/>
      <c r="IDC65" s="1304"/>
      <c r="IDD65" s="1304"/>
      <c r="IDE65" s="1304"/>
      <c r="IDF65" s="1304"/>
      <c r="IDG65" s="1304"/>
      <c r="IDH65" s="1304"/>
      <c r="IDI65" s="1304"/>
      <c r="IDJ65" s="1304"/>
      <c r="IDK65" s="1305"/>
      <c r="IDL65" s="1305"/>
      <c r="IDM65" s="1304"/>
      <c r="IDN65" s="1304"/>
      <c r="IDO65" s="1304"/>
      <c r="IDP65" s="1304"/>
      <c r="IDQ65" s="1304"/>
      <c r="IDR65" s="1304"/>
      <c r="IDS65" s="1304"/>
      <c r="IDT65" s="1304"/>
      <c r="IDU65" s="1305"/>
      <c r="IDV65" s="1305"/>
      <c r="IDW65" s="1304"/>
      <c r="IDX65" s="1304"/>
      <c r="IDY65" s="1304"/>
      <c r="IDZ65" s="1304"/>
      <c r="IEA65" s="1304"/>
      <c r="IEB65" s="1304"/>
      <c r="IEC65" s="1304"/>
      <c r="IED65" s="1304"/>
      <c r="IEE65" s="1305"/>
      <c r="IEF65" s="1305"/>
      <c r="IEG65" s="1304"/>
      <c r="IEH65" s="1304"/>
      <c r="IEI65" s="1304"/>
      <c r="IEJ65" s="1304"/>
      <c r="IEK65" s="1304"/>
      <c r="IEL65" s="1304"/>
      <c r="IEM65" s="1304"/>
      <c r="IEN65" s="1304"/>
      <c r="IEO65" s="1305"/>
      <c r="IEP65" s="1305"/>
      <c r="IEQ65" s="1304"/>
      <c r="IER65" s="1304"/>
      <c r="IES65" s="1304"/>
      <c r="IET65" s="1304"/>
      <c r="IEU65" s="1304"/>
      <c r="IEV65" s="1304"/>
      <c r="IEW65" s="1304"/>
      <c r="IEX65" s="1304"/>
      <c r="IEY65" s="1305"/>
      <c r="IEZ65" s="1305"/>
      <c r="IFA65" s="1304"/>
      <c r="IFB65" s="1304"/>
      <c r="IFC65" s="1304"/>
      <c r="IFD65" s="1304"/>
      <c r="IFE65" s="1304"/>
      <c r="IFF65" s="1304"/>
      <c r="IFG65" s="1304"/>
      <c r="IFH65" s="1304"/>
      <c r="IFI65" s="1305"/>
      <c r="IFJ65" s="1305"/>
      <c r="IFK65" s="1304"/>
      <c r="IFL65" s="1304"/>
      <c r="IFM65" s="1304"/>
      <c r="IFN65" s="1304"/>
      <c r="IFO65" s="1304"/>
      <c r="IFP65" s="1304"/>
      <c r="IFQ65" s="1304"/>
      <c r="IFR65" s="1304"/>
      <c r="IFS65" s="1305"/>
      <c r="IFT65" s="1305"/>
      <c r="IFU65" s="1304"/>
      <c r="IFV65" s="1304"/>
      <c r="IFW65" s="1304"/>
      <c r="IFX65" s="1304"/>
      <c r="IFY65" s="1304"/>
      <c r="IFZ65" s="1304"/>
      <c r="IGA65" s="1304"/>
      <c r="IGB65" s="1304"/>
      <c r="IGC65" s="1305"/>
      <c r="IGD65" s="1305"/>
      <c r="IGE65" s="1304"/>
      <c r="IGF65" s="1304"/>
      <c r="IGG65" s="1304"/>
      <c r="IGH65" s="1304"/>
      <c r="IGI65" s="1304"/>
      <c r="IGJ65" s="1304"/>
      <c r="IGK65" s="1304"/>
      <c r="IGL65" s="1304"/>
      <c r="IGM65" s="1305"/>
      <c r="IGN65" s="1305"/>
      <c r="IGO65" s="1304"/>
      <c r="IGP65" s="1304"/>
      <c r="IGQ65" s="1304"/>
      <c r="IGR65" s="1304"/>
      <c r="IGS65" s="1304"/>
      <c r="IGT65" s="1304"/>
      <c r="IGU65" s="1304"/>
      <c r="IGV65" s="1304"/>
      <c r="IGW65" s="1305"/>
      <c r="IGX65" s="1305"/>
      <c r="IGY65" s="1304"/>
      <c r="IGZ65" s="1304"/>
      <c r="IHA65" s="1304"/>
      <c r="IHB65" s="1304"/>
      <c r="IHC65" s="1304"/>
      <c r="IHD65" s="1304"/>
      <c r="IHE65" s="1304"/>
      <c r="IHF65" s="1304"/>
      <c r="IHG65" s="1305"/>
      <c r="IHH65" s="1305"/>
      <c r="IHI65" s="1304"/>
      <c r="IHJ65" s="1304"/>
      <c r="IHK65" s="1304"/>
      <c r="IHL65" s="1304"/>
      <c r="IHM65" s="1304"/>
      <c r="IHN65" s="1304"/>
      <c r="IHO65" s="1304"/>
      <c r="IHP65" s="1304"/>
      <c r="IHQ65" s="1305"/>
      <c r="IHR65" s="1305"/>
      <c r="IHS65" s="1304"/>
      <c r="IHT65" s="1304"/>
      <c r="IHU65" s="1304"/>
      <c r="IHV65" s="1304"/>
      <c r="IHW65" s="1304"/>
      <c r="IHX65" s="1304"/>
      <c r="IHY65" s="1304"/>
      <c r="IHZ65" s="1304"/>
      <c r="IIA65" s="1305"/>
      <c r="IIB65" s="1305"/>
      <c r="IIC65" s="1304"/>
      <c r="IID65" s="1304"/>
      <c r="IIE65" s="1304"/>
      <c r="IIF65" s="1304"/>
      <c r="IIG65" s="1304"/>
      <c r="IIH65" s="1304"/>
      <c r="III65" s="1304"/>
      <c r="IIJ65" s="1304"/>
      <c r="IIK65" s="1305"/>
      <c r="IIL65" s="1305"/>
      <c r="IIM65" s="1304"/>
      <c r="IIN65" s="1304"/>
      <c r="IIO65" s="1304"/>
      <c r="IIP65" s="1304"/>
      <c r="IIQ65" s="1304"/>
      <c r="IIR65" s="1304"/>
      <c r="IIS65" s="1304"/>
      <c r="IIT65" s="1304"/>
      <c r="IIU65" s="1305"/>
      <c r="IIV65" s="1305"/>
      <c r="IIW65" s="1304"/>
      <c r="IIX65" s="1304"/>
      <c r="IIY65" s="1304"/>
      <c r="IIZ65" s="1304"/>
      <c r="IJA65" s="1304"/>
      <c r="IJB65" s="1304"/>
      <c r="IJC65" s="1304"/>
      <c r="IJD65" s="1304"/>
      <c r="IJE65" s="1305"/>
      <c r="IJF65" s="1305"/>
      <c r="IJG65" s="1304"/>
      <c r="IJH65" s="1304"/>
      <c r="IJI65" s="1304"/>
      <c r="IJJ65" s="1304"/>
      <c r="IJK65" s="1304"/>
      <c r="IJL65" s="1304"/>
      <c r="IJM65" s="1304"/>
      <c r="IJN65" s="1304"/>
      <c r="IJO65" s="1305"/>
      <c r="IJP65" s="1305"/>
      <c r="IJQ65" s="1304"/>
      <c r="IJR65" s="1304"/>
      <c r="IJS65" s="1304"/>
      <c r="IJT65" s="1304"/>
      <c r="IJU65" s="1304"/>
      <c r="IJV65" s="1304"/>
      <c r="IJW65" s="1304"/>
      <c r="IJX65" s="1304"/>
      <c r="IJY65" s="1305"/>
      <c r="IJZ65" s="1305"/>
      <c r="IKA65" s="1304"/>
      <c r="IKB65" s="1304"/>
      <c r="IKC65" s="1304"/>
      <c r="IKD65" s="1304"/>
      <c r="IKE65" s="1304"/>
      <c r="IKF65" s="1304"/>
      <c r="IKG65" s="1304"/>
      <c r="IKH65" s="1304"/>
      <c r="IKI65" s="1305"/>
      <c r="IKJ65" s="1305"/>
      <c r="IKK65" s="1304"/>
      <c r="IKL65" s="1304"/>
      <c r="IKM65" s="1304"/>
      <c r="IKN65" s="1304"/>
      <c r="IKO65" s="1304"/>
      <c r="IKP65" s="1304"/>
      <c r="IKQ65" s="1304"/>
      <c r="IKR65" s="1304"/>
      <c r="IKS65" s="1305"/>
      <c r="IKT65" s="1305"/>
      <c r="IKU65" s="1304"/>
      <c r="IKV65" s="1304"/>
      <c r="IKW65" s="1304"/>
      <c r="IKX65" s="1304"/>
      <c r="IKY65" s="1304"/>
      <c r="IKZ65" s="1304"/>
      <c r="ILA65" s="1304"/>
      <c r="ILB65" s="1304"/>
      <c r="ILC65" s="1305"/>
      <c r="ILD65" s="1305"/>
      <c r="ILE65" s="1304"/>
      <c r="ILF65" s="1304"/>
      <c r="ILG65" s="1304"/>
      <c r="ILH65" s="1304"/>
      <c r="ILI65" s="1304"/>
      <c r="ILJ65" s="1304"/>
      <c r="ILK65" s="1304"/>
      <c r="ILL65" s="1304"/>
      <c r="ILM65" s="1305"/>
      <c r="ILN65" s="1305"/>
      <c r="ILO65" s="1304"/>
      <c r="ILP65" s="1304"/>
      <c r="ILQ65" s="1304"/>
      <c r="ILR65" s="1304"/>
      <c r="ILS65" s="1304"/>
      <c r="ILT65" s="1304"/>
      <c r="ILU65" s="1304"/>
      <c r="ILV65" s="1304"/>
      <c r="ILW65" s="1305"/>
      <c r="ILX65" s="1305"/>
      <c r="ILY65" s="1304"/>
      <c r="ILZ65" s="1304"/>
      <c r="IMA65" s="1304"/>
      <c r="IMB65" s="1304"/>
      <c r="IMC65" s="1304"/>
      <c r="IMD65" s="1304"/>
      <c r="IME65" s="1304"/>
      <c r="IMF65" s="1304"/>
      <c r="IMG65" s="1305"/>
      <c r="IMH65" s="1305"/>
      <c r="IMI65" s="1304"/>
      <c r="IMJ65" s="1304"/>
      <c r="IMK65" s="1304"/>
      <c r="IML65" s="1304"/>
      <c r="IMM65" s="1304"/>
      <c r="IMN65" s="1304"/>
      <c r="IMO65" s="1304"/>
      <c r="IMP65" s="1304"/>
      <c r="IMQ65" s="1305"/>
      <c r="IMR65" s="1305"/>
      <c r="IMS65" s="1304"/>
      <c r="IMT65" s="1304"/>
      <c r="IMU65" s="1304"/>
      <c r="IMV65" s="1304"/>
      <c r="IMW65" s="1304"/>
      <c r="IMX65" s="1304"/>
      <c r="IMY65" s="1304"/>
      <c r="IMZ65" s="1304"/>
      <c r="INA65" s="1305"/>
      <c r="INB65" s="1305"/>
      <c r="INC65" s="1304"/>
      <c r="IND65" s="1304"/>
      <c r="INE65" s="1304"/>
      <c r="INF65" s="1304"/>
      <c r="ING65" s="1304"/>
      <c r="INH65" s="1304"/>
      <c r="INI65" s="1304"/>
      <c r="INJ65" s="1304"/>
      <c r="INK65" s="1305"/>
      <c r="INL65" s="1305"/>
      <c r="INM65" s="1304"/>
      <c r="INN65" s="1304"/>
      <c r="INO65" s="1304"/>
      <c r="INP65" s="1304"/>
      <c r="INQ65" s="1304"/>
      <c r="INR65" s="1304"/>
      <c r="INS65" s="1304"/>
      <c r="INT65" s="1304"/>
      <c r="INU65" s="1305"/>
      <c r="INV65" s="1305"/>
      <c r="INW65" s="1304"/>
      <c r="INX65" s="1304"/>
      <c r="INY65" s="1304"/>
      <c r="INZ65" s="1304"/>
      <c r="IOA65" s="1304"/>
      <c r="IOB65" s="1304"/>
      <c r="IOC65" s="1304"/>
      <c r="IOD65" s="1304"/>
      <c r="IOE65" s="1305"/>
      <c r="IOF65" s="1305"/>
      <c r="IOG65" s="1304"/>
      <c r="IOH65" s="1304"/>
      <c r="IOI65" s="1304"/>
      <c r="IOJ65" s="1304"/>
      <c r="IOK65" s="1304"/>
      <c r="IOL65" s="1304"/>
      <c r="IOM65" s="1304"/>
      <c r="ION65" s="1304"/>
      <c r="IOO65" s="1305"/>
      <c r="IOP65" s="1305"/>
      <c r="IOQ65" s="1304"/>
      <c r="IOR65" s="1304"/>
      <c r="IOS65" s="1304"/>
      <c r="IOT65" s="1304"/>
      <c r="IOU65" s="1304"/>
      <c r="IOV65" s="1304"/>
      <c r="IOW65" s="1304"/>
      <c r="IOX65" s="1304"/>
      <c r="IOY65" s="1305"/>
      <c r="IOZ65" s="1305"/>
      <c r="IPA65" s="1304"/>
      <c r="IPB65" s="1304"/>
      <c r="IPC65" s="1304"/>
      <c r="IPD65" s="1304"/>
      <c r="IPE65" s="1304"/>
      <c r="IPF65" s="1304"/>
      <c r="IPG65" s="1304"/>
      <c r="IPH65" s="1304"/>
      <c r="IPI65" s="1305"/>
      <c r="IPJ65" s="1305"/>
      <c r="IPK65" s="1304"/>
      <c r="IPL65" s="1304"/>
      <c r="IPM65" s="1304"/>
      <c r="IPN65" s="1304"/>
      <c r="IPO65" s="1304"/>
      <c r="IPP65" s="1304"/>
      <c r="IPQ65" s="1304"/>
      <c r="IPR65" s="1304"/>
      <c r="IPS65" s="1305"/>
      <c r="IPT65" s="1305"/>
      <c r="IPU65" s="1304"/>
      <c r="IPV65" s="1304"/>
      <c r="IPW65" s="1304"/>
      <c r="IPX65" s="1304"/>
      <c r="IPY65" s="1304"/>
      <c r="IPZ65" s="1304"/>
      <c r="IQA65" s="1304"/>
      <c r="IQB65" s="1304"/>
      <c r="IQC65" s="1305"/>
      <c r="IQD65" s="1305"/>
      <c r="IQE65" s="1304"/>
      <c r="IQF65" s="1304"/>
      <c r="IQG65" s="1304"/>
      <c r="IQH65" s="1304"/>
      <c r="IQI65" s="1304"/>
      <c r="IQJ65" s="1304"/>
      <c r="IQK65" s="1304"/>
      <c r="IQL65" s="1304"/>
      <c r="IQM65" s="1305"/>
      <c r="IQN65" s="1305"/>
      <c r="IQO65" s="1304"/>
      <c r="IQP65" s="1304"/>
      <c r="IQQ65" s="1304"/>
      <c r="IQR65" s="1304"/>
      <c r="IQS65" s="1304"/>
      <c r="IQT65" s="1304"/>
      <c r="IQU65" s="1304"/>
      <c r="IQV65" s="1304"/>
      <c r="IQW65" s="1305"/>
      <c r="IQX65" s="1305"/>
      <c r="IQY65" s="1304"/>
      <c r="IQZ65" s="1304"/>
      <c r="IRA65" s="1304"/>
      <c r="IRB65" s="1304"/>
      <c r="IRC65" s="1304"/>
      <c r="IRD65" s="1304"/>
      <c r="IRE65" s="1304"/>
      <c r="IRF65" s="1304"/>
      <c r="IRG65" s="1305"/>
      <c r="IRH65" s="1305"/>
      <c r="IRI65" s="1304"/>
      <c r="IRJ65" s="1304"/>
      <c r="IRK65" s="1304"/>
      <c r="IRL65" s="1304"/>
      <c r="IRM65" s="1304"/>
      <c r="IRN65" s="1304"/>
      <c r="IRO65" s="1304"/>
      <c r="IRP65" s="1304"/>
      <c r="IRQ65" s="1305"/>
      <c r="IRR65" s="1305"/>
      <c r="IRS65" s="1304"/>
      <c r="IRT65" s="1304"/>
      <c r="IRU65" s="1304"/>
      <c r="IRV65" s="1304"/>
      <c r="IRW65" s="1304"/>
      <c r="IRX65" s="1304"/>
      <c r="IRY65" s="1304"/>
      <c r="IRZ65" s="1304"/>
      <c r="ISA65" s="1305"/>
      <c r="ISB65" s="1305"/>
      <c r="ISC65" s="1304"/>
      <c r="ISD65" s="1304"/>
      <c r="ISE65" s="1304"/>
      <c r="ISF65" s="1304"/>
      <c r="ISG65" s="1304"/>
      <c r="ISH65" s="1304"/>
      <c r="ISI65" s="1304"/>
      <c r="ISJ65" s="1304"/>
      <c r="ISK65" s="1305"/>
      <c r="ISL65" s="1305"/>
      <c r="ISM65" s="1304"/>
      <c r="ISN65" s="1304"/>
      <c r="ISO65" s="1304"/>
      <c r="ISP65" s="1304"/>
      <c r="ISQ65" s="1304"/>
      <c r="ISR65" s="1304"/>
      <c r="ISS65" s="1304"/>
      <c r="IST65" s="1304"/>
      <c r="ISU65" s="1305"/>
      <c r="ISV65" s="1305"/>
      <c r="ISW65" s="1304"/>
      <c r="ISX65" s="1304"/>
      <c r="ISY65" s="1304"/>
      <c r="ISZ65" s="1304"/>
      <c r="ITA65" s="1304"/>
      <c r="ITB65" s="1304"/>
      <c r="ITC65" s="1304"/>
      <c r="ITD65" s="1304"/>
      <c r="ITE65" s="1305"/>
      <c r="ITF65" s="1305"/>
      <c r="ITG65" s="1304"/>
      <c r="ITH65" s="1304"/>
      <c r="ITI65" s="1304"/>
      <c r="ITJ65" s="1304"/>
      <c r="ITK65" s="1304"/>
      <c r="ITL65" s="1304"/>
      <c r="ITM65" s="1304"/>
      <c r="ITN65" s="1304"/>
      <c r="ITO65" s="1305"/>
      <c r="ITP65" s="1305"/>
      <c r="ITQ65" s="1304"/>
      <c r="ITR65" s="1304"/>
      <c r="ITS65" s="1304"/>
      <c r="ITT65" s="1304"/>
      <c r="ITU65" s="1304"/>
      <c r="ITV65" s="1304"/>
      <c r="ITW65" s="1304"/>
      <c r="ITX65" s="1304"/>
      <c r="ITY65" s="1305"/>
      <c r="ITZ65" s="1305"/>
      <c r="IUA65" s="1304"/>
      <c r="IUB65" s="1304"/>
      <c r="IUC65" s="1304"/>
      <c r="IUD65" s="1304"/>
      <c r="IUE65" s="1304"/>
      <c r="IUF65" s="1304"/>
      <c r="IUG65" s="1304"/>
      <c r="IUH65" s="1304"/>
      <c r="IUI65" s="1305"/>
      <c r="IUJ65" s="1305"/>
      <c r="IUK65" s="1304"/>
      <c r="IUL65" s="1304"/>
      <c r="IUM65" s="1304"/>
      <c r="IUN65" s="1304"/>
      <c r="IUO65" s="1304"/>
      <c r="IUP65" s="1304"/>
      <c r="IUQ65" s="1304"/>
      <c r="IUR65" s="1304"/>
      <c r="IUS65" s="1305"/>
      <c r="IUT65" s="1305"/>
      <c r="IUU65" s="1304"/>
      <c r="IUV65" s="1304"/>
      <c r="IUW65" s="1304"/>
      <c r="IUX65" s="1304"/>
      <c r="IUY65" s="1304"/>
      <c r="IUZ65" s="1304"/>
      <c r="IVA65" s="1304"/>
      <c r="IVB65" s="1304"/>
      <c r="IVC65" s="1305"/>
      <c r="IVD65" s="1305"/>
      <c r="IVE65" s="1304"/>
      <c r="IVF65" s="1304"/>
      <c r="IVG65" s="1304"/>
      <c r="IVH65" s="1304"/>
      <c r="IVI65" s="1304"/>
      <c r="IVJ65" s="1304"/>
      <c r="IVK65" s="1304"/>
      <c r="IVL65" s="1304"/>
      <c r="IVM65" s="1305"/>
      <c r="IVN65" s="1305"/>
      <c r="IVO65" s="1304"/>
      <c r="IVP65" s="1304"/>
      <c r="IVQ65" s="1304"/>
      <c r="IVR65" s="1304"/>
      <c r="IVS65" s="1304"/>
      <c r="IVT65" s="1304"/>
      <c r="IVU65" s="1304"/>
      <c r="IVV65" s="1304"/>
      <c r="IVW65" s="1305"/>
      <c r="IVX65" s="1305"/>
      <c r="IVY65" s="1304"/>
      <c r="IVZ65" s="1304"/>
      <c r="IWA65" s="1304"/>
      <c r="IWB65" s="1304"/>
      <c r="IWC65" s="1304"/>
      <c r="IWD65" s="1304"/>
      <c r="IWE65" s="1304"/>
      <c r="IWF65" s="1304"/>
      <c r="IWG65" s="1305"/>
      <c r="IWH65" s="1305"/>
      <c r="IWI65" s="1304"/>
      <c r="IWJ65" s="1304"/>
      <c r="IWK65" s="1304"/>
      <c r="IWL65" s="1304"/>
      <c r="IWM65" s="1304"/>
      <c r="IWN65" s="1304"/>
      <c r="IWO65" s="1304"/>
      <c r="IWP65" s="1304"/>
      <c r="IWQ65" s="1305"/>
      <c r="IWR65" s="1305"/>
      <c r="IWS65" s="1304"/>
      <c r="IWT65" s="1304"/>
      <c r="IWU65" s="1304"/>
      <c r="IWV65" s="1304"/>
      <c r="IWW65" s="1304"/>
      <c r="IWX65" s="1304"/>
      <c r="IWY65" s="1304"/>
      <c r="IWZ65" s="1304"/>
      <c r="IXA65" s="1305"/>
      <c r="IXB65" s="1305"/>
      <c r="IXC65" s="1304"/>
      <c r="IXD65" s="1304"/>
      <c r="IXE65" s="1304"/>
      <c r="IXF65" s="1304"/>
      <c r="IXG65" s="1304"/>
      <c r="IXH65" s="1304"/>
      <c r="IXI65" s="1304"/>
      <c r="IXJ65" s="1304"/>
      <c r="IXK65" s="1305"/>
      <c r="IXL65" s="1305"/>
      <c r="IXM65" s="1304"/>
      <c r="IXN65" s="1304"/>
      <c r="IXO65" s="1304"/>
      <c r="IXP65" s="1304"/>
      <c r="IXQ65" s="1304"/>
      <c r="IXR65" s="1304"/>
      <c r="IXS65" s="1304"/>
      <c r="IXT65" s="1304"/>
      <c r="IXU65" s="1305"/>
      <c r="IXV65" s="1305"/>
      <c r="IXW65" s="1304"/>
      <c r="IXX65" s="1304"/>
      <c r="IXY65" s="1304"/>
      <c r="IXZ65" s="1304"/>
      <c r="IYA65" s="1304"/>
      <c r="IYB65" s="1304"/>
      <c r="IYC65" s="1304"/>
      <c r="IYD65" s="1304"/>
      <c r="IYE65" s="1305"/>
      <c r="IYF65" s="1305"/>
      <c r="IYG65" s="1304"/>
      <c r="IYH65" s="1304"/>
      <c r="IYI65" s="1304"/>
      <c r="IYJ65" s="1304"/>
      <c r="IYK65" s="1304"/>
      <c r="IYL65" s="1304"/>
      <c r="IYM65" s="1304"/>
      <c r="IYN65" s="1304"/>
      <c r="IYO65" s="1305"/>
      <c r="IYP65" s="1305"/>
      <c r="IYQ65" s="1304"/>
      <c r="IYR65" s="1304"/>
      <c r="IYS65" s="1304"/>
      <c r="IYT65" s="1304"/>
      <c r="IYU65" s="1304"/>
      <c r="IYV65" s="1304"/>
      <c r="IYW65" s="1304"/>
      <c r="IYX65" s="1304"/>
      <c r="IYY65" s="1305"/>
      <c r="IYZ65" s="1305"/>
      <c r="IZA65" s="1304"/>
      <c r="IZB65" s="1304"/>
      <c r="IZC65" s="1304"/>
      <c r="IZD65" s="1304"/>
      <c r="IZE65" s="1304"/>
      <c r="IZF65" s="1304"/>
      <c r="IZG65" s="1304"/>
      <c r="IZH65" s="1304"/>
      <c r="IZI65" s="1305"/>
      <c r="IZJ65" s="1305"/>
      <c r="IZK65" s="1304"/>
      <c r="IZL65" s="1304"/>
      <c r="IZM65" s="1304"/>
      <c r="IZN65" s="1304"/>
      <c r="IZO65" s="1304"/>
      <c r="IZP65" s="1304"/>
      <c r="IZQ65" s="1304"/>
      <c r="IZR65" s="1304"/>
      <c r="IZS65" s="1305"/>
      <c r="IZT65" s="1305"/>
      <c r="IZU65" s="1304"/>
      <c r="IZV65" s="1304"/>
      <c r="IZW65" s="1304"/>
      <c r="IZX65" s="1304"/>
      <c r="IZY65" s="1304"/>
      <c r="IZZ65" s="1304"/>
      <c r="JAA65" s="1304"/>
      <c r="JAB65" s="1304"/>
      <c r="JAC65" s="1305"/>
      <c r="JAD65" s="1305"/>
      <c r="JAE65" s="1304"/>
      <c r="JAF65" s="1304"/>
      <c r="JAG65" s="1304"/>
      <c r="JAH65" s="1304"/>
      <c r="JAI65" s="1304"/>
      <c r="JAJ65" s="1304"/>
      <c r="JAK65" s="1304"/>
      <c r="JAL65" s="1304"/>
      <c r="JAM65" s="1305"/>
      <c r="JAN65" s="1305"/>
      <c r="JAO65" s="1304"/>
      <c r="JAP65" s="1304"/>
      <c r="JAQ65" s="1304"/>
      <c r="JAR65" s="1304"/>
      <c r="JAS65" s="1304"/>
      <c r="JAT65" s="1304"/>
      <c r="JAU65" s="1304"/>
      <c r="JAV65" s="1304"/>
      <c r="JAW65" s="1305"/>
      <c r="JAX65" s="1305"/>
      <c r="JAY65" s="1304"/>
      <c r="JAZ65" s="1304"/>
      <c r="JBA65" s="1304"/>
      <c r="JBB65" s="1304"/>
      <c r="JBC65" s="1304"/>
      <c r="JBD65" s="1304"/>
      <c r="JBE65" s="1304"/>
      <c r="JBF65" s="1304"/>
      <c r="JBG65" s="1305"/>
      <c r="JBH65" s="1305"/>
      <c r="JBI65" s="1304"/>
      <c r="JBJ65" s="1304"/>
      <c r="JBK65" s="1304"/>
      <c r="JBL65" s="1304"/>
      <c r="JBM65" s="1304"/>
      <c r="JBN65" s="1304"/>
      <c r="JBO65" s="1304"/>
      <c r="JBP65" s="1304"/>
      <c r="JBQ65" s="1305"/>
      <c r="JBR65" s="1305"/>
      <c r="JBS65" s="1304"/>
      <c r="JBT65" s="1304"/>
      <c r="JBU65" s="1304"/>
      <c r="JBV65" s="1304"/>
      <c r="JBW65" s="1304"/>
      <c r="JBX65" s="1304"/>
      <c r="JBY65" s="1304"/>
      <c r="JBZ65" s="1304"/>
      <c r="JCA65" s="1305"/>
      <c r="JCB65" s="1305"/>
      <c r="JCC65" s="1304"/>
      <c r="JCD65" s="1304"/>
      <c r="JCE65" s="1304"/>
      <c r="JCF65" s="1304"/>
      <c r="JCG65" s="1304"/>
      <c r="JCH65" s="1304"/>
      <c r="JCI65" s="1304"/>
      <c r="JCJ65" s="1304"/>
      <c r="JCK65" s="1305"/>
      <c r="JCL65" s="1305"/>
      <c r="JCM65" s="1304"/>
      <c r="JCN65" s="1304"/>
      <c r="JCO65" s="1304"/>
      <c r="JCP65" s="1304"/>
      <c r="JCQ65" s="1304"/>
      <c r="JCR65" s="1304"/>
      <c r="JCS65" s="1304"/>
      <c r="JCT65" s="1304"/>
      <c r="JCU65" s="1305"/>
      <c r="JCV65" s="1305"/>
      <c r="JCW65" s="1304"/>
      <c r="JCX65" s="1304"/>
      <c r="JCY65" s="1304"/>
      <c r="JCZ65" s="1304"/>
      <c r="JDA65" s="1304"/>
      <c r="JDB65" s="1304"/>
      <c r="JDC65" s="1304"/>
      <c r="JDD65" s="1304"/>
      <c r="JDE65" s="1305"/>
      <c r="JDF65" s="1305"/>
      <c r="JDG65" s="1304"/>
      <c r="JDH65" s="1304"/>
      <c r="JDI65" s="1304"/>
      <c r="JDJ65" s="1304"/>
      <c r="JDK65" s="1304"/>
      <c r="JDL65" s="1304"/>
      <c r="JDM65" s="1304"/>
      <c r="JDN65" s="1304"/>
      <c r="JDO65" s="1305"/>
      <c r="JDP65" s="1305"/>
      <c r="JDQ65" s="1304"/>
      <c r="JDR65" s="1304"/>
      <c r="JDS65" s="1304"/>
      <c r="JDT65" s="1304"/>
      <c r="JDU65" s="1304"/>
      <c r="JDV65" s="1304"/>
      <c r="JDW65" s="1304"/>
      <c r="JDX65" s="1304"/>
      <c r="JDY65" s="1305"/>
      <c r="JDZ65" s="1305"/>
      <c r="JEA65" s="1304"/>
      <c r="JEB65" s="1304"/>
      <c r="JEC65" s="1304"/>
      <c r="JED65" s="1304"/>
      <c r="JEE65" s="1304"/>
      <c r="JEF65" s="1304"/>
      <c r="JEG65" s="1304"/>
      <c r="JEH65" s="1304"/>
      <c r="JEI65" s="1305"/>
      <c r="JEJ65" s="1305"/>
      <c r="JEK65" s="1304"/>
      <c r="JEL65" s="1304"/>
      <c r="JEM65" s="1304"/>
      <c r="JEN65" s="1304"/>
      <c r="JEO65" s="1304"/>
      <c r="JEP65" s="1304"/>
      <c r="JEQ65" s="1304"/>
      <c r="JER65" s="1304"/>
      <c r="JES65" s="1305"/>
      <c r="JET65" s="1305"/>
      <c r="JEU65" s="1304"/>
      <c r="JEV65" s="1304"/>
      <c r="JEW65" s="1304"/>
      <c r="JEX65" s="1304"/>
      <c r="JEY65" s="1304"/>
      <c r="JEZ65" s="1304"/>
      <c r="JFA65" s="1304"/>
      <c r="JFB65" s="1304"/>
      <c r="JFC65" s="1305"/>
      <c r="JFD65" s="1305"/>
      <c r="JFE65" s="1304"/>
      <c r="JFF65" s="1304"/>
      <c r="JFG65" s="1304"/>
      <c r="JFH65" s="1304"/>
      <c r="JFI65" s="1304"/>
      <c r="JFJ65" s="1304"/>
      <c r="JFK65" s="1304"/>
      <c r="JFL65" s="1304"/>
      <c r="JFM65" s="1305"/>
      <c r="JFN65" s="1305"/>
      <c r="JFO65" s="1304"/>
      <c r="JFP65" s="1304"/>
      <c r="JFQ65" s="1304"/>
      <c r="JFR65" s="1304"/>
      <c r="JFS65" s="1304"/>
      <c r="JFT65" s="1304"/>
      <c r="JFU65" s="1304"/>
      <c r="JFV65" s="1304"/>
      <c r="JFW65" s="1305"/>
      <c r="JFX65" s="1305"/>
      <c r="JFY65" s="1304"/>
      <c r="JFZ65" s="1304"/>
      <c r="JGA65" s="1304"/>
      <c r="JGB65" s="1304"/>
      <c r="JGC65" s="1304"/>
      <c r="JGD65" s="1304"/>
      <c r="JGE65" s="1304"/>
      <c r="JGF65" s="1304"/>
      <c r="JGG65" s="1305"/>
      <c r="JGH65" s="1305"/>
      <c r="JGI65" s="1304"/>
      <c r="JGJ65" s="1304"/>
      <c r="JGK65" s="1304"/>
      <c r="JGL65" s="1304"/>
      <c r="JGM65" s="1304"/>
      <c r="JGN65" s="1304"/>
      <c r="JGO65" s="1304"/>
      <c r="JGP65" s="1304"/>
      <c r="JGQ65" s="1305"/>
      <c r="JGR65" s="1305"/>
      <c r="JGS65" s="1304"/>
      <c r="JGT65" s="1304"/>
      <c r="JGU65" s="1304"/>
      <c r="JGV65" s="1304"/>
      <c r="JGW65" s="1304"/>
      <c r="JGX65" s="1304"/>
      <c r="JGY65" s="1304"/>
      <c r="JGZ65" s="1304"/>
      <c r="JHA65" s="1305"/>
      <c r="JHB65" s="1305"/>
      <c r="JHC65" s="1304"/>
      <c r="JHD65" s="1304"/>
      <c r="JHE65" s="1304"/>
      <c r="JHF65" s="1304"/>
      <c r="JHG65" s="1304"/>
      <c r="JHH65" s="1304"/>
      <c r="JHI65" s="1304"/>
      <c r="JHJ65" s="1304"/>
      <c r="JHK65" s="1305"/>
      <c r="JHL65" s="1305"/>
      <c r="JHM65" s="1304"/>
      <c r="JHN65" s="1304"/>
      <c r="JHO65" s="1304"/>
      <c r="JHP65" s="1304"/>
      <c r="JHQ65" s="1304"/>
      <c r="JHR65" s="1304"/>
      <c r="JHS65" s="1304"/>
      <c r="JHT65" s="1304"/>
      <c r="JHU65" s="1305"/>
      <c r="JHV65" s="1305"/>
      <c r="JHW65" s="1304"/>
      <c r="JHX65" s="1304"/>
      <c r="JHY65" s="1304"/>
      <c r="JHZ65" s="1304"/>
      <c r="JIA65" s="1304"/>
      <c r="JIB65" s="1304"/>
      <c r="JIC65" s="1304"/>
      <c r="JID65" s="1304"/>
      <c r="JIE65" s="1305"/>
      <c r="JIF65" s="1305"/>
      <c r="JIG65" s="1304"/>
      <c r="JIH65" s="1304"/>
      <c r="JII65" s="1304"/>
      <c r="JIJ65" s="1304"/>
      <c r="JIK65" s="1304"/>
      <c r="JIL65" s="1304"/>
      <c r="JIM65" s="1304"/>
      <c r="JIN65" s="1304"/>
      <c r="JIO65" s="1305"/>
      <c r="JIP65" s="1305"/>
      <c r="JIQ65" s="1304"/>
      <c r="JIR65" s="1304"/>
      <c r="JIS65" s="1304"/>
      <c r="JIT65" s="1304"/>
      <c r="JIU65" s="1304"/>
      <c r="JIV65" s="1304"/>
      <c r="JIW65" s="1304"/>
      <c r="JIX65" s="1304"/>
      <c r="JIY65" s="1305"/>
      <c r="JIZ65" s="1305"/>
      <c r="JJA65" s="1304"/>
      <c r="JJB65" s="1304"/>
      <c r="JJC65" s="1304"/>
      <c r="JJD65" s="1304"/>
      <c r="JJE65" s="1304"/>
      <c r="JJF65" s="1304"/>
      <c r="JJG65" s="1304"/>
      <c r="JJH65" s="1304"/>
      <c r="JJI65" s="1305"/>
      <c r="JJJ65" s="1305"/>
      <c r="JJK65" s="1304"/>
      <c r="JJL65" s="1304"/>
      <c r="JJM65" s="1304"/>
      <c r="JJN65" s="1304"/>
      <c r="JJO65" s="1304"/>
      <c r="JJP65" s="1304"/>
      <c r="JJQ65" s="1304"/>
      <c r="JJR65" s="1304"/>
      <c r="JJS65" s="1305"/>
      <c r="JJT65" s="1305"/>
      <c r="JJU65" s="1304"/>
      <c r="JJV65" s="1304"/>
      <c r="JJW65" s="1304"/>
      <c r="JJX65" s="1304"/>
      <c r="JJY65" s="1304"/>
      <c r="JJZ65" s="1304"/>
      <c r="JKA65" s="1304"/>
      <c r="JKB65" s="1304"/>
      <c r="JKC65" s="1305"/>
      <c r="JKD65" s="1305"/>
      <c r="JKE65" s="1304"/>
      <c r="JKF65" s="1304"/>
      <c r="JKG65" s="1304"/>
      <c r="JKH65" s="1304"/>
      <c r="JKI65" s="1304"/>
      <c r="JKJ65" s="1304"/>
      <c r="JKK65" s="1304"/>
      <c r="JKL65" s="1304"/>
      <c r="JKM65" s="1305"/>
      <c r="JKN65" s="1305"/>
      <c r="JKO65" s="1304"/>
      <c r="JKP65" s="1304"/>
      <c r="JKQ65" s="1304"/>
      <c r="JKR65" s="1304"/>
      <c r="JKS65" s="1304"/>
      <c r="JKT65" s="1304"/>
      <c r="JKU65" s="1304"/>
      <c r="JKV65" s="1304"/>
      <c r="JKW65" s="1305"/>
      <c r="JKX65" s="1305"/>
      <c r="JKY65" s="1304"/>
      <c r="JKZ65" s="1304"/>
      <c r="JLA65" s="1304"/>
      <c r="JLB65" s="1304"/>
      <c r="JLC65" s="1304"/>
      <c r="JLD65" s="1304"/>
      <c r="JLE65" s="1304"/>
      <c r="JLF65" s="1304"/>
      <c r="JLG65" s="1305"/>
      <c r="JLH65" s="1305"/>
      <c r="JLI65" s="1304"/>
      <c r="JLJ65" s="1304"/>
      <c r="JLK65" s="1304"/>
      <c r="JLL65" s="1304"/>
      <c r="JLM65" s="1304"/>
      <c r="JLN65" s="1304"/>
      <c r="JLO65" s="1304"/>
      <c r="JLP65" s="1304"/>
      <c r="JLQ65" s="1305"/>
      <c r="JLR65" s="1305"/>
      <c r="JLS65" s="1304"/>
      <c r="JLT65" s="1304"/>
      <c r="JLU65" s="1304"/>
      <c r="JLV65" s="1304"/>
      <c r="JLW65" s="1304"/>
      <c r="JLX65" s="1304"/>
      <c r="JLY65" s="1304"/>
      <c r="JLZ65" s="1304"/>
      <c r="JMA65" s="1305"/>
      <c r="JMB65" s="1305"/>
      <c r="JMC65" s="1304"/>
      <c r="JMD65" s="1304"/>
      <c r="JME65" s="1304"/>
      <c r="JMF65" s="1304"/>
      <c r="JMG65" s="1304"/>
      <c r="JMH65" s="1304"/>
      <c r="JMI65" s="1304"/>
      <c r="JMJ65" s="1304"/>
      <c r="JMK65" s="1305"/>
      <c r="JML65" s="1305"/>
      <c r="JMM65" s="1304"/>
      <c r="JMN65" s="1304"/>
      <c r="JMO65" s="1304"/>
      <c r="JMP65" s="1304"/>
      <c r="JMQ65" s="1304"/>
      <c r="JMR65" s="1304"/>
      <c r="JMS65" s="1304"/>
      <c r="JMT65" s="1304"/>
      <c r="JMU65" s="1305"/>
      <c r="JMV65" s="1305"/>
      <c r="JMW65" s="1304"/>
      <c r="JMX65" s="1304"/>
      <c r="JMY65" s="1304"/>
      <c r="JMZ65" s="1304"/>
      <c r="JNA65" s="1304"/>
      <c r="JNB65" s="1304"/>
      <c r="JNC65" s="1304"/>
      <c r="JND65" s="1304"/>
      <c r="JNE65" s="1305"/>
      <c r="JNF65" s="1305"/>
      <c r="JNG65" s="1304"/>
      <c r="JNH65" s="1304"/>
      <c r="JNI65" s="1304"/>
      <c r="JNJ65" s="1304"/>
      <c r="JNK65" s="1304"/>
      <c r="JNL65" s="1304"/>
      <c r="JNM65" s="1304"/>
      <c r="JNN65" s="1304"/>
      <c r="JNO65" s="1305"/>
      <c r="JNP65" s="1305"/>
      <c r="JNQ65" s="1304"/>
      <c r="JNR65" s="1304"/>
      <c r="JNS65" s="1304"/>
      <c r="JNT65" s="1304"/>
      <c r="JNU65" s="1304"/>
      <c r="JNV65" s="1304"/>
      <c r="JNW65" s="1304"/>
      <c r="JNX65" s="1304"/>
      <c r="JNY65" s="1305"/>
      <c r="JNZ65" s="1305"/>
      <c r="JOA65" s="1304"/>
      <c r="JOB65" s="1304"/>
      <c r="JOC65" s="1304"/>
      <c r="JOD65" s="1304"/>
      <c r="JOE65" s="1304"/>
      <c r="JOF65" s="1304"/>
      <c r="JOG65" s="1304"/>
      <c r="JOH65" s="1304"/>
      <c r="JOI65" s="1305"/>
      <c r="JOJ65" s="1305"/>
      <c r="JOK65" s="1304"/>
      <c r="JOL65" s="1304"/>
      <c r="JOM65" s="1304"/>
      <c r="JON65" s="1304"/>
      <c r="JOO65" s="1304"/>
      <c r="JOP65" s="1304"/>
      <c r="JOQ65" s="1304"/>
      <c r="JOR65" s="1304"/>
      <c r="JOS65" s="1305"/>
      <c r="JOT65" s="1305"/>
      <c r="JOU65" s="1304"/>
      <c r="JOV65" s="1304"/>
      <c r="JOW65" s="1304"/>
      <c r="JOX65" s="1304"/>
      <c r="JOY65" s="1304"/>
      <c r="JOZ65" s="1304"/>
      <c r="JPA65" s="1304"/>
      <c r="JPB65" s="1304"/>
      <c r="JPC65" s="1305"/>
      <c r="JPD65" s="1305"/>
      <c r="JPE65" s="1304"/>
      <c r="JPF65" s="1304"/>
      <c r="JPG65" s="1304"/>
      <c r="JPH65" s="1304"/>
      <c r="JPI65" s="1304"/>
      <c r="JPJ65" s="1304"/>
      <c r="JPK65" s="1304"/>
      <c r="JPL65" s="1304"/>
      <c r="JPM65" s="1305"/>
      <c r="JPN65" s="1305"/>
      <c r="JPO65" s="1304"/>
      <c r="JPP65" s="1304"/>
      <c r="JPQ65" s="1304"/>
      <c r="JPR65" s="1304"/>
      <c r="JPS65" s="1304"/>
      <c r="JPT65" s="1304"/>
      <c r="JPU65" s="1304"/>
      <c r="JPV65" s="1304"/>
      <c r="JPW65" s="1305"/>
      <c r="JPX65" s="1305"/>
      <c r="JPY65" s="1304"/>
      <c r="JPZ65" s="1304"/>
      <c r="JQA65" s="1304"/>
      <c r="JQB65" s="1304"/>
      <c r="JQC65" s="1304"/>
      <c r="JQD65" s="1304"/>
      <c r="JQE65" s="1304"/>
      <c r="JQF65" s="1304"/>
      <c r="JQG65" s="1305"/>
      <c r="JQH65" s="1305"/>
      <c r="JQI65" s="1304"/>
      <c r="JQJ65" s="1304"/>
      <c r="JQK65" s="1304"/>
      <c r="JQL65" s="1304"/>
      <c r="JQM65" s="1304"/>
      <c r="JQN65" s="1304"/>
      <c r="JQO65" s="1304"/>
      <c r="JQP65" s="1304"/>
      <c r="JQQ65" s="1305"/>
      <c r="JQR65" s="1305"/>
      <c r="JQS65" s="1304"/>
      <c r="JQT65" s="1304"/>
      <c r="JQU65" s="1304"/>
      <c r="JQV65" s="1304"/>
      <c r="JQW65" s="1304"/>
      <c r="JQX65" s="1304"/>
      <c r="JQY65" s="1304"/>
      <c r="JQZ65" s="1304"/>
      <c r="JRA65" s="1305"/>
      <c r="JRB65" s="1305"/>
      <c r="JRC65" s="1304"/>
      <c r="JRD65" s="1304"/>
      <c r="JRE65" s="1304"/>
      <c r="JRF65" s="1304"/>
      <c r="JRG65" s="1304"/>
      <c r="JRH65" s="1304"/>
      <c r="JRI65" s="1304"/>
      <c r="JRJ65" s="1304"/>
      <c r="JRK65" s="1305"/>
      <c r="JRL65" s="1305"/>
      <c r="JRM65" s="1304"/>
      <c r="JRN65" s="1304"/>
      <c r="JRO65" s="1304"/>
      <c r="JRP65" s="1304"/>
      <c r="JRQ65" s="1304"/>
      <c r="JRR65" s="1304"/>
      <c r="JRS65" s="1304"/>
      <c r="JRT65" s="1304"/>
      <c r="JRU65" s="1305"/>
      <c r="JRV65" s="1305"/>
      <c r="JRW65" s="1304"/>
      <c r="JRX65" s="1304"/>
      <c r="JRY65" s="1304"/>
      <c r="JRZ65" s="1304"/>
      <c r="JSA65" s="1304"/>
      <c r="JSB65" s="1304"/>
      <c r="JSC65" s="1304"/>
      <c r="JSD65" s="1304"/>
      <c r="JSE65" s="1305"/>
      <c r="JSF65" s="1305"/>
      <c r="JSG65" s="1304"/>
      <c r="JSH65" s="1304"/>
      <c r="JSI65" s="1304"/>
      <c r="JSJ65" s="1304"/>
      <c r="JSK65" s="1304"/>
      <c r="JSL65" s="1304"/>
      <c r="JSM65" s="1304"/>
      <c r="JSN65" s="1304"/>
      <c r="JSO65" s="1305"/>
      <c r="JSP65" s="1305"/>
      <c r="JSQ65" s="1304"/>
      <c r="JSR65" s="1304"/>
      <c r="JSS65" s="1304"/>
      <c r="JST65" s="1304"/>
      <c r="JSU65" s="1304"/>
      <c r="JSV65" s="1304"/>
      <c r="JSW65" s="1304"/>
      <c r="JSX65" s="1304"/>
      <c r="JSY65" s="1305"/>
      <c r="JSZ65" s="1305"/>
      <c r="JTA65" s="1304"/>
      <c r="JTB65" s="1304"/>
      <c r="JTC65" s="1304"/>
      <c r="JTD65" s="1304"/>
      <c r="JTE65" s="1304"/>
      <c r="JTF65" s="1304"/>
      <c r="JTG65" s="1304"/>
      <c r="JTH65" s="1304"/>
      <c r="JTI65" s="1305"/>
      <c r="JTJ65" s="1305"/>
      <c r="JTK65" s="1304"/>
      <c r="JTL65" s="1304"/>
      <c r="JTM65" s="1304"/>
      <c r="JTN65" s="1304"/>
      <c r="JTO65" s="1304"/>
      <c r="JTP65" s="1304"/>
      <c r="JTQ65" s="1304"/>
      <c r="JTR65" s="1304"/>
      <c r="JTS65" s="1305"/>
      <c r="JTT65" s="1305"/>
      <c r="JTU65" s="1304"/>
      <c r="JTV65" s="1304"/>
      <c r="JTW65" s="1304"/>
      <c r="JTX65" s="1304"/>
      <c r="JTY65" s="1304"/>
      <c r="JTZ65" s="1304"/>
      <c r="JUA65" s="1304"/>
      <c r="JUB65" s="1304"/>
      <c r="JUC65" s="1305"/>
      <c r="JUD65" s="1305"/>
      <c r="JUE65" s="1304"/>
      <c r="JUF65" s="1304"/>
      <c r="JUG65" s="1304"/>
      <c r="JUH65" s="1304"/>
      <c r="JUI65" s="1304"/>
      <c r="JUJ65" s="1304"/>
      <c r="JUK65" s="1304"/>
      <c r="JUL65" s="1304"/>
      <c r="JUM65" s="1305"/>
      <c r="JUN65" s="1305"/>
      <c r="JUO65" s="1304"/>
      <c r="JUP65" s="1304"/>
      <c r="JUQ65" s="1304"/>
      <c r="JUR65" s="1304"/>
      <c r="JUS65" s="1304"/>
      <c r="JUT65" s="1304"/>
      <c r="JUU65" s="1304"/>
      <c r="JUV65" s="1304"/>
      <c r="JUW65" s="1305"/>
      <c r="JUX65" s="1305"/>
      <c r="JUY65" s="1304"/>
      <c r="JUZ65" s="1304"/>
      <c r="JVA65" s="1304"/>
      <c r="JVB65" s="1304"/>
      <c r="JVC65" s="1304"/>
      <c r="JVD65" s="1304"/>
      <c r="JVE65" s="1304"/>
      <c r="JVF65" s="1304"/>
      <c r="JVG65" s="1305"/>
      <c r="JVH65" s="1305"/>
      <c r="JVI65" s="1304"/>
      <c r="JVJ65" s="1304"/>
      <c r="JVK65" s="1304"/>
      <c r="JVL65" s="1304"/>
      <c r="JVM65" s="1304"/>
      <c r="JVN65" s="1304"/>
      <c r="JVO65" s="1304"/>
      <c r="JVP65" s="1304"/>
      <c r="JVQ65" s="1305"/>
      <c r="JVR65" s="1305"/>
      <c r="JVS65" s="1304"/>
      <c r="JVT65" s="1304"/>
      <c r="JVU65" s="1304"/>
      <c r="JVV65" s="1304"/>
      <c r="JVW65" s="1304"/>
      <c r="JVX65" s="1304"/>
      <c r="JVY65" s="1304"/>
      <c r="JVZ65" s="1304"/>
      <c r="JWA65" s="1305"/>
      <c r="JWB65" s="1305"/>
      <c r="JWC65" s="1304"/>
      <c r="JWD65" s="1304"/>
      <c r="JWE65" s="1304"/>
      <c r="JWF65" s="1304"/>
      <c r="JWG65" s="1304"/>
      <c r="JWH65" s="1304"/>
      <c r="JWI65" s="1304"/>
      <c r="JWJ65" s="1304"/>
      <c r="JWK65" s="1305"/>
      <c r="JWL65" s="1305"/>
      <c r="JWM65" s="1304"/>
      <c r="JWN65" s="1304"/>
      <c r="JWO65" s="1304"/>
      <c r="JWP65" s="1304"/>
      <c r="JWQ65" s="1304"/>
      <c r="JWR65" s="1304"/>
      <c r="JWS65" s="1304"/>
      <c r="JWT65" s="1304"/>
      <c r="JWU65" s="1305"/>
      <c r="JWV65" s="1305"/>
      <c r="JWW65" s="1304"/>
      <c r="JWX65" s="1304"/>
      <c r="JWY65" s="1304"/>
      <c r="JWZ65" s="1304"/>
      <c r="JXA65" s="1304"/>
      <c r="JXB65" s="1304"/>
      <c r="JXC65" s="1304"/>
      <c r="JXD65" s="1304"/>
      <c r="JXE65" s="1305"/>
      <c r="JXF65" s="1305"/>
      <c r="JXG65" s="1304"/>
      <c r="JXH65" s="1304"/>
      <c r="JXI65" s="1304"/>
      <c r="JXJ65" s="1304"/>
      <c r="JXK65" s="1304"/>
      <c r="JXL65" s="1304"/>
      <c r="JXM65" s="1304"/>
      <c r="JXN65" s="1304"/>
      <c r="JXO65" s="1305"/>
      <c r="JXP65" s="1305"/>
      <c r="JXQ65" s="1304"/>
      <c r="JXR65" s="1304"/>
      <c r="JXS65" s="1304"/>
      <c r="JXT65" s="1304"/>
      <c r="JXU65" s="1304"/>
      <c r="JXV65" s="1304"/>
      <c r="JXW65" s="1304"/>
      <c r="JXX65" s="1304"/>
      <c r="JXY65" s="1305"/>
      <c r="JXZ65" s="1305"/>
      <c r="JYA65" s="1304"/>
      <c r="JYB65" s="1304"/>
      <c r="JYC65" s="1304"/>
      <c r="JYD65" s="1304"/>
      <c r="JYE65" s="1304"/>
      <c r="JYF65" s="1304"/>
      <c r="JYG65" s="1304"/>
      <c r="JYH65" s="1304"/>
      <c r="JYI65" s="1305"/>
      <c r="JYJ65" s="1305"/>
      <c r="JYK65" s="1304"/>
      <c r="JYL65" s="1304"/>
      <c r="JYM65" s="1304"/>
      <c r="JYN65" s="1304"/>
      <c r="JYO65" s="1304"/>
      <c r="JYP65" s="1304"/>
      <c r="JYQ65" s="1304"/>
      <c r="JYR65" s="1304"/>
      <c r="JYS65" s="1305"/>
      <c r="JYT65" s="1305"/>
      <c r="JYU65" s="1304"/>
      <c r="JYV65" s="1304"/>
      <c r="JYW65" s="1304"/>
      <c r="JYX65" s="1304"/>
      <c r="JYY65" s="1304"/>
      <c r="JYZ65" s="1304"/>
      <c r="JZA65" s="1304"/>
      <c r="JZB65" s="1304"/>
      <c r="JZC65" s="1305"/>
      <c r="JZD65" s="1305"/>
      <c r="JZE65" s="1304"/>
      <c r="JZF65" s="1304"/>
      <c r="JZG65" s="1304"/>
      <c r="JZH65" s="1304"/>
      <c r="JZI65" s="1304"/>
      <c r="JZJ65" s="1304"/>
      <c r="JZK65" s="1304"/>
      <c r="JZL65" s="1304"/>
      <c r="JZM65" s="1305"/>
      <c r="JZN65" s="1305"/>
      <c r="JZO65" s="1304"/>
      <c r="JZP65" s="1304"/>
      <c r="JZQ65" s="1304"/>
      <c r="JZR65" s="1304"/>
      <c r="JZS65" s="1304"/>
      <c r="JZT65" s="1304"/>
      <c r="JZU65" s="1304"/>
      <c r="JZV65" s="1304"/>
      <c r="JZW65" s="1305"/>
      <c r="JZX65" s="1305"/>
      <c r="JZY65" s="1304"/>
      <c r="JZZ65" s="1304"/>
      <c r="KAA65" s="1304"/>
      <c r="KAB65" s="1304"/>
      <c r="KAC65" s="1304"/>
      <c r="KAD65" s="1304"/>
      <c r="KAE65" s="1304"/>
      <c r="KAF65" s="1304"/>
      <c r="KAG65" s="1305"/>
      <c r="KAH65" s="1305"/>
      <c r="KAI65" s="1304"/>
      <c r="KAJ65" s="1304"/>
      <c r="KAK65" s="1304"/>
      <c r="KAL65" s="1304"/>
      <c r="KAM65" s="1304"/>
      <c r="KAN65" s="1304"/>
      <c r="KAO65" s="1304"/>
      <c r="KAP65" s="1304"/>
      <c r="KAQ65" s="1305"/>
      <c r="KAR65" s="1305"/>
      <c r="KAS65" s="1304"/>
      <c r="KAT65" s="1304"/>
      <c r="KAU65" s="1304"/>
      <c r="KAV65" s="1304"/>
      <c r="KAW65" s="1304"/>
      <c r="KAX65" s="1304"/>
      <c r="KAY65" s="1304"/>
      <c r="KAZ65" s="1304"/>
      <c r="KBA65" s="1305"/>
      <c r="KBB65" s="1305"/>
      <c r="KBC65" s="1304"/>
      <c r="KBD65" s="1304"/>
      <c r="KBE65" s="1304"/>
      <c r="KBF65" s="1304"/>
      <c r="KBG65" s="1304"/>
      <c r="KBH65" s="1304"/>
      <c r="KBI65" s="1304"/>
      <c r="KBJ65" s="1304"/>
      <c r="KBK65" s="1305"/>
      <c r="KBL65" s="1305"/>
      <c r="KBM65" s="1304"/>
      <c r="KBN65" s="1304"/>
      <c r="KBO65" s="1304"/>
      <c r="KBP65" s="1304"/>
      <c r="KBQ65" s="1304"/>
      <c r="KBR65" s="1304"/>
      <c r="KBS65" s="1304"/>
      <c r="KBT65" s="1304"/>
      <c r="KBU65" s="1305"/>
      <c r="KBV65" s="1305"/>
      <c r="KBW65" s="1304"/>
      <c r="KBX65" s="1304"/>
      <c r="KBY65" s="1304"/>
      <c r="KBZ65" s="1304"/>
      <c r="KCA65" s="1304"/>
      <c r="KCB65" s="1304"/>
      <c r="KCC65" s="1304"/>
      <c r="KCD65" s="1304"/>
      <c r="KCE65" s="1305"/>
      <c r="KCF65" s="1305"/>
      <c r="KCG65" s="1304"/>
      <c r="KCH65" s="1304"/>
      <c r="KCI65" s="1304"/>
      <c r="KCJ65" s="1304"/>
      <c r="KCK65" s="1304"/>
      <c r="KCL65" s="1304"/>
      <c r="KCM65" s="1304"/>
      <c r="KCN65" s="1304"/>
      <c r="KCO65" s="1305"/>
      <c r="KCP65" s="1305"/>
      <c r="KCQ65" s="1304"/>
      <c r="KCR65" s="1304"/>
      <c r="KCS65" s="1304"/>
      <c r="KCT65" s="1304"/>
      <c r="KCU65" s="1304"/>
      <c r="KCV65" s="1304"/>
      <c r="KCW65" s="1304"/>
      <c r="KCX65" s="1304"/>
      <c r="KCY65" s="1305"/>
      <c r="KCZ65" s="1305"/>
      <c r="KDA65" s="1304"/>
      <c r="KDB65" s="1304"/>
      <c r="KDC65" s="1304"/>
      <c r="KDD65" s="1304"/>
      <c r="KDE65" s="1304"/>
      <c r="KDF65" s="1304"/>
      <c r="KDG65" s="1304"/>
      <c r="KDH65" s="1304"/>
      <c r="KDI65" s="1305"/>
      <c r="KDJ65" s="1305"/>
      <c r="KDK65" s="1304"/>
      <c r="KDL65" s="1304"/>
      <c r="KDM65" s="1304"/>
      <c r="KDN65" s="1304"/>
      <c r="KDO65" s="1304"/>
      <c r="KDP65" s="1304"/>
      <c r="KDQ65" s="1304"/>
      <c r="KDR65" s="1304"/>
      <c r="KDS65" s="1305"/>
      <c r="KDT65" s="1305"/>
      <c r="KDU65" s="1304"/>
      <c r="KDV65" s="1304"/>
      <c r="KDW65" s="1304"/>
      <c r="KDX65" s="1304"/>
      <c r="KDY65" s="1304"/>
      <c r="KDZ65" s="1304"/>
      <c r="KEA65" s="1304"/>
      <c r="KEB65" s="1304"/>
      <c r="KEC65" s="1305"/>
      <c r="KED65" s="1305"/>
      <c r="KEE65" s="1304"/>
      <c r="KEF65" s="1304"/>
      <c r="KEG65" s="1304"/>
      <c r="KEH65" s="1304"/>
      <c r="KEI65" s="1304"/>
      <c r="KEJ65" s="1304"/>
      <c r="KEK65" s="1304"/>
      <c r="KEL65" s="1304"/>
      <c r="KEM65" s="1305"/>
      <c r="KEN65" s="1305"/>
      <c r="KEO65" s="1304"/>
      <c r="KEP65" s="1304"/>
      <c r="KEQ65" s="1304"/>
      <c r="KER65" s="1304"/>
      <c r="KES65" s="1304"/>
      <c r="KET65" s="1304"/>
      <c r="KEU65" s="1304"/>
      <c r="KEV65" s="1304"/>
      <c r="KEW65" s="1305"/>
      <c r="KEX65" s="1305"/>
      <c r="KEY65" s="1304"/>
      <c r="KEZ65" s="1304"/>
      <c r="KFA65" s="1304"/>
      <c r="KFB65" s="1304"/>
      <c r="KFC65" s="1304"/>
      <c r="KFD65" s="1304"/>
      <c r="KFE65" s="1304"/>
      <c r="KFF65" s="1304"/>
      <c r="KFG65" s="1305"/>
      <c r="KFH65" s="1305"/>
      <c r="KFI65" s="1304"/>
      <c r="KFJ65" s="1304"/>
      <c r="KFK65" s="1304"/>
      <c r="KFL65" s="1304"/>
      <c r="KFM65" s="1304"/>
      <c r="KFN65" s="1304"/>
      <c r="KFO65" s="1304"/>
      <c r="KFP65" s="1304"/>
      <c r="KFQ65" s="1305"/>
      <c r="KFR65" s="1305"/>
      <c r="KFS65" s="1304"/>
      <c r="KFT65" s="1304"/>
      <c r="KFU65" s="1304"/>
      <c r="KFV65" s="1304"/>
      <c r="KFW65" s="1304"/>
      <c r="KFX65" s="1304"/>
      <c r="KFY65" s="1304"/>
      <c r="KFZ65" s="1304"/>
      <c r="KGA65" s="1305"/>
      <c r="KGB65" s="1305"/>
      <c r="KGC65" s="1304"/>
      <c r="KGD65" s="1304"/>
      <c r="KGE65" s="1304"/>
      <c r="KGF65" s="1304"/>
      <c r="KGG65" s="1304"/>
      <c r="KGH65" s="1304"/>
      <c r="KGI65" s="1304"/>
      <c r="KGJ65" s="1304"/>
      <c r="KGK65" s="1305"/>
      <c r="KGL65" s="1305"/>
      <c r="KGM65" s="1304"/>
      <c r="KGN65" s="1304"/>
      <c r="KGO65" s="1304"/>
      <c r="KGP65" s="1304"/>
      <c r="KGQ65" s="1304"/>
      <c r="KGR65" s="1304"/>
      <c r="KGS65" s="1304"/>
      <c r="KGT65" s="1304"/>
      <c r="KGU65" s="1305"/>
      <c r="KGV65" s="1305"/>
      <c r="KGW65" s="1304"/>
      <c r="KGX65" s="1304"/>
      <c r="KGY65" s="1304"/>
      <c r="KGZ65" s="1304"/>
      <c r="KHA65" s="1304"/>
      <c r="KHB65" s="1304"/>
      <c r="KHC65" s="1304"/>
      <c r="KHD65" s="1304"/>
      <c r="KHE65" s="1305"/>
      <c r="KHF65" s="1305"/>
      <c r="KHG65" s="1304"/>
      <c r="KHH65" s="1304"/>
      <c r="KHI65" s="1304"/>
      <c r="KHJ65" s="1304"/>
      <c r="KHK65" s="1304"/>
      <c r="KHL65" s="1304"/>
      <c r="KHM65" s="1304"/>
      <c r="KHN65" s="1304"/>
      <c r="KHO65" s="1305"/>
      <c r="KHP65" s="1305"/>
      <c r="KHQ65" s="1304"/>
      <c r="KHR65" s="1304"/>
      <c r="KHS65" s="1304"/>
      <c r="KHT65" s="1304"/>
      <c r="KHU65" s="1304"/>
      <c r="KHV65" s="1304"/>
      <c r="KHW65" s="1304"/>
      <c r="KHX65" s="1304"/>
      <c r="KHY65" s="1305"/>
      <c r="KHZ65" s="1305"/>
      <c r="KIA65" s="1304"/>
      <c r="KIB65" s="1304"/>
      <c r="KIC65" s="1304"/>
      <c r="KID65" s="1304"/>
      <c r="KIE65" s="1304"/>
      <c r="KIF65" s="1304"/>
      <c r="KIG65" s="1304"/>
      <c r="KIH65" s="1304"/>
      <c r="KII65" s="1305"/>
      <c r="KIJ65" s="1305"/>
      <c r="KIK65" s="1304"/>
      <c r="KIL65" s="1304"/>
      <c r="KIM65" s="1304"/>
      <c r="KIN65" s="1304"/>
      <c r="KIO65" s="1304"/>
      <c r="KIP65" s="1304"/>
      <c r="KIQ65" s="1304"/>
      <c r="KIR65" s="1304"/>
      <c r="KIS65" s="1305"/>
      <c r="KIT65" s="1305"/>
      <c r="KIU65" s="1304"/>
      <c r="KIV65" s="1304"/>
      <c r="KIW65" s="1304"/>
      <c r="KIX65" s="1304"/>
      <c r="KIY65" s="1304"/>
      <c r="KIZ65" s="1304"/>
      <c r="KJA65" s="1304"/>
      <c r="KJB65" s="1304"/>
      <c r="KJC65" s="1305"/>
      <c r="KJD65" s="1305"/>
      <c r="KJE65" s="1304"/>
      <c r="KJF65" s="1304"/>
      <c r="KJG65" s="1304"/>
      <c r="KJH65" s="1304"/>
      <c r="KJI65" s="1304"/>
      <c r="KJJ65" s="1304"/>
      <c r="KJK65" s="1304"/>
      <c r="KJL65" s="1304"/>
      <c r="KJM65" s="1305"/>
      <c r="KJN65" s="1305"/>
      <c r="KJO65" s="1304"/>
      <c r="KJP65" s="1304"/>
      <c r="KJQ65" s="1304"/>
      <c r="KJR65" s="1304"/>
      <c r="KJS65" s="1304"/>
      <c r="KJT65" s="1304"/>
      <c r="KJU65" s="1304"/>
      <c r="KJV65" s="1304"/>
      <c r="KJW65" s="1305"/>
      <c r="KJX65" s="1305"/>
      <c r="KJY65" s="1304"/>
      <c r="KJZ65" s="1304"/>
      <c r="KKA65" s="1304"/>
      <c r="KKB65" s="1304"/>
      <c r="KKC65" s="1304"/>
      <c r="KKD65" s="1304"/>
      <c r="KKE65" s="1304"/>
      <c r="KKF65" s="1304"/>
      <c r="KKG65" s="1305"/>
      <c r="KKH65" s="1305"/>
      <c r="KKI65" s="1304"/>
      <c r="KKJ65" s="1304"/>
      <c r="KKK65" s="1304"/>
      <c r="KKL65" s="1304"/>
      <c r="KKM65" s="1304"/>
      <c r="KKN65" s="1304"/>
      <c r="KKO65" s="1304"/>
      <c r="KKP65" s="1304"/>
      <c r="KKQ65" s="1305"/>
      <c r="KKR65" s="1305"/>
      <c r="KKS65" s="1304"/>
      <c r="KKT65" s="1304"/>
      <c r="KKU65" s="1304"/>
      <c r="KKV65" s="1304"/>
      <c r="KKW65" s="1304"/>
      <c r="KKX65" s="1304"/>
      <c r="KKY65" s="1304"/>
      <c r="KKZ65" s="1304"/>
      <c r="KLA65" s="1305"/>
      <c r="KLB65" s="1305"/>
      <c r="KLC65" s="1304"/>
      <c r="KLD65" s="1304"/>
      <c r="KLE65" s="1304"/>
      <c r="KLF65" s="1304"/>
      <c r="KLG65" s="1304"/>
      <c r="KLH65" s="1304"/>
      <c r="KLI65" s="1304"/>
      <c r="KLJ65" s="1304"/>
      <c r="KLK65" s="1305"/>
      <c r="KLL65" s="1305"/>
      <c r="KLM65" s="1304"/>
      <c r="KLN65" s="1304"/>
      <c r="KLO65" s="1304"/>
      <c r="KLP65" s="1304"/>
      <c r="KLQ65" s="1304"/>
      <c r="KLR65" s="1304"/>
      <c r="KLS65" s="1304"/>
      <c r="KLT65" s="1304"/>
      <c r="KLU65" s="1305"/>
      <c r="KLV65" s="1305"/>
      <c r="KLW65" s="1304"/>
      <c r="KLX65" s="1304"/>
      <c r="KLY65" s="1304"/>
      <c r="KLZ65" s="1304"/>
      <c r="KMA65" s="1304"/>
      <c r="KMB65" s="1304"/>
      <c r="KMC65" s="1304"/>
      <c r="KMD65" s="1304"/>
      <c r="KME65" s="1305"/>
      <c r="KMF65" s="1305"/>
      <c r="KMG65" s="1304"/>
      <c r="KMH65" s="1304"/>
      <c r="KMI65" s="1304"/>
      <c r="KMJ65" s="1304"/>
      <c r="KMK65" s="1304"/>
      <c r="KML65" s="1304"/>
      <c r="KMM65" s="1304"/>
      <c r="KMN65" s="1304"/>
      <c r="KMO65" s="1305"/>
      <c r="KMP65" s="1305"/>
      <c r="KMQ65" s="1304"/>
      <c r="KMR65" s="1304"/>
      <c r="KMS65" s="1304"/>
      <c r="KMT65" s="1304"/>
      <c r="KMU65" s="1304"/>
      <c r="KMV65" s="1304"/>
      <c r="KMW65" s="1304"/>
      <c r="KMX65" s="1304"/>
      <c r="KMY65" s="1305"/>
      <c r="KMZ65" s="1305"/>
      <c r="KNA65" s="1304"/>
      <c r="KNB65" s="1304"/>
      <c r="KNC65" s="1304"/>
      <c r="KND65" s="1304"/>
      <c r="KNE65" s="1304"/>
      <c r="KNF65" s="1304"/>
      <c r="KNG65" s="1304"/>
      <c r="KNH65" s="1304"/>
      <c r="KNI65" s="1305"/>
      <c r="KNJ65" s="1305"/>
      <c r="KNK65" s="1304"/>
      <c r="KNL65" s="1304"/>
      <c r="KNM65" s="1304"/>
      <c r="KNN65" s="1304"/>
      <c r="KNO65" s="1304"/>
      <c r="KNP65" s="1304"/>
      <c r="KNQ65" s="1304"/>
      <c r="KNR65" s="1304"/>
      <c r="KNS65" s="1305"/>
      <c r="KNT65" s="1305"/>
      <c r="KNU65" s="1304"/>
      <c r="KNV65" s="1304"/>
      <c r="KNW65" s="1304"/>
      <c r="KNX65" s="1304"/>
      <c r="KNY65" s="1304"/>
      <c r="KNZ65" s="1304"/>
      <c r="KOA65" s="1304"/>
      <c r="KOB65" s="1304"/>
      <c r="KOC65" s="1305"/>
      <c r="KOD65" s="1305"/>
      <c r="KOE65" s="1304"/>
      <c r="KOF65" s="1304"/>
      <c r="KOG65" s="1304"/>
      <c r="KOH65" s="1304"/>
      <c r="KOI65" s="1304"/>
      <c r="KOJ65" s="1304"/>
      <c r="KOK65" s="1304"/>
      <c r="KOL65" s="1304"/>
      <c r="KOM65" s="1305"/>
      <c r="KON65" s="1305"/>
      <c r="KOO65" s="1304"/>
      <c r="KOP65" s="1304"/>
      <c r="KOQ65" s="1304"/>
      <c r="KOR65" s="1304"/>
      <c r="KOS65" s="1304"/>
      <c r="KOT65" s="1304"/>
      <c r="KOU65" s="1304"/>
      <c r="KOV65" s="1304"/>
      <c r="KOW65" s="1305"/>
      <c r="KOX65" s="1305"/>
      <c r="KOY65" s="1304"/>
      <c r="KOZ65" s="1304"/>
      <c r="KPA65" s="1304"/>
      <c r="KPB65" s="1304"/>
      <c r="KPC65" s="1304"/>
      <c r="KPD65" s="1304"/>
      <c r="KPE65" s="1304"/>
      <c r="KPF65" s="1304"/>
      <c r="KPG65" s="1305"/>
      <c r="KPH65" s="1305"/>
      <c r="KPI65" s="1304"/>
      <c r="KPJ65" s="1304"/>
      <c r="KPK65" s="1304"/>
      <c r="KPL65" s="1304"/>
      <c r="KPM65" s="1304"/>
      <c r="KPN65" s="1304"/>
      <c r="KPO65" s="1304"/>
      <c r="KPP65" s="1304"/>
      <c r="KPQ65" s="1305"/>
      <c r="KPR65" s="1305"/>
      <c r="KPS65" s="1304"/>
      <c r="KPT65" s="1304"/>
      <c r="KPU65" s="1304"/>
      <c r="KPV65" s="1304"/>
      <c r="KPW65" s="1304"/>
      <c r="KPX65" s="1304"/>
      <c r="KPY65" s="1304"/>
      <c r="KPZ65" s="1304"/>
      <c r="KQA65" s="1305"/>
      <c r="KQB65" s="1305"/>
      <c r="KQC65" s="1304"/>
      <c r="KQD65" s="1304"/>
      <c r="KQE65" s="1304"/>
      <c r="KQF65" s="1304"/>
      <c r="KQG65" s="1304"/>
      <c r="KQH65" s="1304"/>
      <c r="KQI65" s="1304"/>
      <c r="KQJ65" s="1304"/>
      <c r="KQK65" s="1305"/>
      <c r="KQL65" s="1305"/>
      <c r="KQM65" s="1304"/>
      <c r="KQN65" s="1304"/>
      <c r="KQO65" s="1304"/>
      <c r="KQP65" s="1304"/>
      <c r="KQQ65" s="1304"/>
      <c r="KQR65" s="1304"/>
      <c r="KQS65" s="1304"/>
      <c r="KQT65" s="1304"/>
      <c r="KQU65" s="1305"/>
      <c r="KQV65" s="1305"/>
      <c r="KQW65" s="1304"/>
      <c r="KQX65" s="1304"/>
      <c r="KQY65" s="1304"/>
      <c r="KQZ65" s="1304"/>
      <c r="KRA65" s="1304"/>
      <c r="KRB65" s="1304"/>
      <c r="KRC65" s="1304"/>
      <c r="KRD65" s="1304"/>
      <c r="KRE65" s="1305"/>
      <c r="KRF65" s="1305"/>
      <c r="KRG65" s="1304"/>
      <c r="KRH65" s="1304"/>
      <c r="KRI65" s="1304"/>
      <c r="KRJ65" s="1304"/>
      <c r="KRK65" s="1304"/>
      <c r="KRL65" s="1304"/>
      <c r="KRM65" s="1304"/>
      <c r="KRN65" s="1304"/>
      <c r="KRO65" s="1305"/>
      <c r="KRP65" s="1305"/>
      <c r="KRQ65" s="1304"/>
      <c r="KRR65" s="1304"/>
      <c r="KRS65" s="1304"/>
      <c r="KRT65" s="1304"/>
      <c r="KRU65" s="1304"/>
      <c r="KRV65" s="1304"/>
      <c r="KRW65" s="1304"/>
      <c r="KRX65" s="1304"/>
      <c r="KRY65" s="1305"/>
      <c r="KRZ65" s="1305"/>
      <c r="KSA65" s="1304"/>
      <c r="KSB65" s="1304"/>
      <c r="KSC65" s="1304"/>
      <c r="KSD65" s="1304"/>
      <c r="KSE65" s="1304"/>
      <c r="KSF65" s="1304"/>
      <c r="KSG65" s="1304"/>
      <c r="KSH65" s="1304"/>
      <c r="KSI65" s="1305"/>
      <c r="KSJ65" s="1305"/>
      <c r="KSK65" s="1304"/>
      <c r="KSL65" s="1304"/>
      <c r="KSM65" s="1304"/>
      <c r="KSN65" s="1304"/>
      <c r="KSO65" s="1304"/>
      <c r="KSP65" s="1304"/>
      <c r="KSQ65" s="1304"/>
      <c r="KSR65" s="1304"/>
      <c r="KSS65" s="1305"/>
      <c r="KST65" s="1305"/>
      <c r="KSU65" s="1304"/>
      <c r="KSV65" s="1304"/>
      <c r="KSW65" s="1304"/>
      <c r="KSX65" s="1304"/>
      <c r="KSY65" s="1304"/>
      <c r="KSZ65" s="1304"/>
      <c r="KTA65" s="1304"/>
      <c r="KTB65" s="1304"/>
      <c r="KTC65" s="1305"/>
      <c r="KTD65" s="1305"/>
      <c r="KTE65" s="1304"/>
      <c r="KTF65" s="1304"/>
      <c r="KTG65" s="1304"/>
      <c r="KTH65" s="1304"/>
      <c r="KTI65" s="1304"/>
      <c r="KTJ65" s="1304"/>
      <c r="KTK65" s="1304"/>
      <c r="KTL65" s="1304"/>
      <c r="KTM65" s="1305"/>
      <c r="KTN65" s="1305"/>
      <c r="KTO65" s="1304"/>
      <c r="KTP65" s="1304"/>
      <c r="KTQ65" s="1304"/>
      <c r="KTR65" s="1304"/>
      <c r="KTS65" s="1304"/>
      <c r="KTT65" s="1304"/>
      <c r="KTU65" s="1304"/>
      <c r="KTV65" s="1304"/>
      <c r="KTW65" s="1305"/>
      <c r="KTX65" s="1305"/>
      <c r="KTY65" s="1304"/>
      <c r="KTZ65" s="1304"/>
      <c r="KUA65" s="1304"/>
      <c r="KUB65" s="1304"/>
      <c r="KUC65" s="1304"/>
      <c r="KUD65" s="1304"/>
      <c r="KUE65" s="1304"/>
      <c r="KUF65" s="1304"/>
      <c r="KUG65" s="1305"/>
      <c r="KUH65" s="1305"/>
      <c r="KUI65" s="1304"/>
      <c r="KUJ65" s="1304"/>
      <c r="KUK65" s="1304"/>
      <c r="KUL65" s="1304"/>
      <c r="KUM65" s="1304"/>
      <c r="KUN65" s="1304"/>
      <c r="KUO65" s="1304"/>
      <c r="KUP65" s="1304"/>
      <c r="KUQ65" s="1305"/>
      <c r="KUR65" s="1305"/>
      <c r="KUS65" s="1304"/>
      <c r="KUT65" s="1304"/>
      <c r="KUU65" s="1304"/>
      <c r="KUV65" s="1304"/>
      <c r="KUW65" s="1304"/>
      <c r="KUX65" s="1304"/>
      <c r="KUY65" s="1304"/>
      <c r="KUZ65" s="1304"/>
      <c r="KVA65" s="1305"/>
      <c r="KVB65" s="1305"/>
      <c r="KVC65" s="1304"/>
      <c r="KVD65" s="1304"/>
      <c r="KVE65" s="1304"/>
      <c r="KVF65" s="1304"/>
      <c r="KVG65" s="1304"/>
      <c r="KVH65" s="1304"/>
      <c r="KVI65" s="1304"/>
      <c r="KVJ65" s="1304"/>
      <c r="KVK65" s="1305"/>
      <c r="KVL65" s="1305"/>
      <c r="KVM65" s="1304"/>
      <c r="KVN65" s="1304"/>
      <c r="KVO65" s="1304"/>
      <c r="KVP65" s="1304"/>
      <c r="KVQ65" s="1304"/>
      <c r="KVR65" s="1304"/>
      <c r="KVS65" s="1304"/>
      <c r="KVT65" s="1304"/>
      <c r="KVU65" s="1305"/>
      <c r="KVV65" s="1305"/>
      <c r="KVW65" s="1304"/>
      <c r="KVX65" s="1304"/>
      <c r="KVY65" s="1304"/>
      <c r="KVZ65" s="1304"/>
      <c r="KWA65" s="1304"/>
      <c r="KWB65" s="1304"/>
      <c r="KWC65" s="1304"/>
      <c r="KWD65" s="1304"/>
      <c r="KWE65" s="1305"/>
      <c r="KWF65" s="1305"/>
      <c r="KWG65" s="1304"/>
      <c r="KWH65" s="1304"/>
      <c r="KWI65" s="1304"/>
      <c r="KWJ65" s="1304"/>
      <c r="KWK65" s="1304"/>
      <c r="KWL65" s="1304"/>
      <c r="KWM65" s="1304"/>
      <c r="KWN65" s="1304"/>
      <c r="KWO65" s="1305"/>
      <c r="KWP65" s="1305"/>
      <c r="KWQ65" s="1304"/>
      <c r="KWR65" s="1304"/>
      <c r="KWS65" s="1304"/>
      <c r="KWT65" s="1304"/>
      <c r="KWU65" s="1304"/>
      <c r="KWV65" s="1304"/>
      <c r="KWW65" s="1304"/>
      <c r="KWX65" s="1304"/>
      <c r="KWY65" s="1305"/>
      <c r="KWZ65" s="1305"/>
      <c r="KXA65" s="1304"/>
      <c r="KXB65" s="1304"/>
      <c r="KXC65" s="1304"/>
      <c r="KXD65" s="1304"/>
      <c r="KXE65" s="1304"/>
      <c r="KXF65" s="1304"/>
      <c r="KXG65" s="1304"/>
      <c r="KXH65" s="1304"/>
      <c r="KXI65" s="1305"/>
      <c r="KXJ65" s="1305"/>
      <c r="KXK65" s="1304"/>
      <c r="KXL65" s="1304"/>
      <c r="KXM65" s="1304"/>
      <c r="KXN65" s="1304"/>
      <c r="KXO65" s="1304"/>
      <c r="KXP65" s="1304"/>
      <c r="KXQ65" s="1304"/>
      <c r="KXR65" s="1304"/>
      <c r="KXS65" s="1305"/>
      <c r="KXT65" s="1305"/>
      <c r="KXU65" s="1304"/>
      <c r="KXV65" s="1304"/>
      <c r="KXW65" s="1304"/>
      <c r="KXX65" s="1304"/>
      <c r="KXY65" s="1304"/>
      <c r="KXZ65" s="1304"/>
      <c r="KYA65" s="1304"/>
      <c r="KYB65" s="1304"/>
      <c r="KYC65" s="1305"/>
      <c r="KYD65" s="1305"/>
      <c r="KYE65" s="1304"/>
      <c r="KYF65" s="1304"/>
      <c r="KYG65" s="1304"/>
      <c r="KYH65" s="1304"/>
      <c r="KYI65" s="1304"/>
      <c r="KYJ65" s="1304"/>
      <c r="KYK65" s="1304"/>
      <c r="KYL65" s="1304"/>
      <c r="KYM65" s="1305"/>
      <c r="KYN65" s="1305"/>
      <c r="KYO65" s="1304"/>
      <c r="KYP65" s="1304"/>
      <c r="KYQ65" s="1304"/>
      <c r="KYR65" s="1304"/>
      <c r="KYS65" s="1304"/>
      <c r="KYT65" s="1304"/>
      <c r="KYU65" s="1304"/>
      <c r="KYV65" s="1304"/>
      <c r="KYW65" s="1305"/>
      <c r="KYX65" s="1305"/>
      <c r="KYY65" s="1304"/>
      <c r="KYZ65" s="1304"/>
      <c r="KZA65" s="1304"/>
      <c r="KZB65" s="1304"/>
      <c r="KZC65" s="1304"/>
      <c r="KZD65" s="1304"/>
      <c r="KZE65" s="1304"/>
      <c r="KZF65" s="1304"/>
      <c r="KZG65" s="1305"/>
      <c r="KZH65" s="1305"/>
      <c r="KZI65" s="1304"/>
      <c r="KZJ65" s="1304"/>
      <c r="KZK65" s="1304"/>
      <c r="KZL65" s="1304"/>
      <c r="KZM65" s="1304"/>
      <c r="KZN65" s="1304"/>
      <c r="KZO65" s="1304"/>
      <c r="KZP65" s="1304"/>
      <c r="KZQ65" s="1305"/>
      <c r="KZR65" s="1305"/>
      <c r="KZS65" s="1304"/>
      <c r="KZT65" s="1304"/>
      <c r="KZU65" s="1304"/>
      <c r="KZV65" s="1304"/>
      <c r="KZW65" s="1304"/>
      <c r="KZX65" s="1304"/>
      <c r="KZY65" s="1304"/>
      <c r="KZZ65" s="1304"/>
      <c r="LAA65" s="1305"/>
      <c r="LAB65" s="1305"/>
      <c r="LAC65" s="1304"/>
      <c r="LAD65" s="1304"/>
      <c r="LAE65" s="1304"/>
      <c r="LAF65" s="1304"/>
      <c r="LAG65" s="1304"/>
      <c r="LAH65" s="1304"/>
      <c r="LAI65" s="1304"/>
      <c r="LAJ65" s="1304"/>
      <c r="LAK65" s="1305"/>
      <c r="LAL65" s="1305"/>
      <c r="LAM65" s="1304"/>
      <c r="LAN65" s="1304"/>
      <c r="LAO65" s="1304"/>
      <c r="LAP65" s="1304"/>
      <c r="LAQ65" s="1304"/>
      <c r="LAR65" s="1304"/>
      <c r="LAS65" s="1304"/>
      <c r="LAT65" s="1304"/>
      <c r="LAU65" s="1305"/>
      <c r="LAV65" s="1305"/>
      <c r="LAW65" s="1304"/>
      <c r="LAX65" s="1304"/>
      <c r="LAY65" s="1304"/>
      <c r="LAZ65" s="1304"/>
      <c r="LBA65" s="1304"/>
      <c r="LBB65" s="1304"/>
      <c r="LBC65" s="1304"/>
      <c r="LBD65" s="1304"/>
      <c r="LBE65" s="1305"/>
      <c r="LBF65" s="1305"/>
      <c r="LBG65" s="1304"/>
      <c r="LBH65" s="1304"/>
      <c r="LBI65" s="1304"/>
      <c r="LBJ65" s="1304"/>
      <c r="LBK65" s="1304"/>
      <c r="LBL65" s="1304"/>
      <c r="LBM65" s="1304"/>
      <c r="LBN65" s="1304"/>
      <c r="LBO65" s="1305"/>
      <c r="LBP65" s="1305"/>
      <c r="LBQ65" s="1304"/>
      <c r="LBR65" s="1304"/>
      <c r="LBS65" s="1304"/>
      <c r="LBT65" s="1304"/>
      <c r="LBU65" s="1304"/>
      <c r="LBV65" s="1304"/>
      <c r="LBW65" s="1304"/>
      <c r="LBX65" s="1304"/>
      <c r="LBY65" s="1305"/>
      <c r="LBZ65" s="1305"/>
      <c r="LCA65" s="1304"/>
      <c r="LCB65" s="1304"/>
      <c r="LCC65" s="1304"/>
      <c r="LCD65" s="1304"/>
      <c r="LCE65" s="1304"/>
      <c r="LCF65" s="1304"/>
      <c r="LCG65" s="1304"/>
      <c r="LCH65" s="1304"/>
      <c r="LCI65" s="1305"/>
      <c r="LCJ65" s="1305"/>
      <c r="LCK65" s="1304"/>
      <c r="LCL65" s="1304"/>
      <c r="LCM65" s="1304"/>
      <c r="LCN65" s="1304"/>
      <c r="LCO65" s="1304"/>
      <c r="LCP65" s="1304"/>
      <c r="LCQ65" s="1304"/>
      <c r="LCR65" s="1304"/>
      <c r="LCS65" s="1305"/>
      <c r="LCT65" s="1305"/>
      <c r="LCU65" s="1304"/>
      <c r="LCV65" s="1304"/>
      <c r="LCW65" s="1304"/>
      <c r="LCX65" s="1304"/>
      <c r="LCY65" s="1304"/>
      <c r="LCZ65" s="1304"/>
      <c r="LDA65" s="1304"/>
      <c r="LDB65" s="1304"/>
      <c r="LDC65" s="1305"/>
      <c r="LDD65" s="1305"/>
      <c r="LDE65" s="1304"/>
      <c r="LDF65" s="1304"/>
      <c r="LDG65" s="1304"/>
      <c r="LDH65" s="1304"/>
      <c r="LDI65" s="1304"/>
      <c r="LDJ65" s="1304"/>
      <c r="LDK65" s="1304"/>
      <c r="LDL65" s="1304"/>
      <c r="LDM65" s="1305"/>
      <c r="LDN65" s="1305"/>
      <c r="LDO65" s="1304"/>
      <c r="LDP65" s="1304"/>
      <c r="LDQ65" s="1304"/>
      <c r="LDR65" s="1304"/>
      <c r="LDS65" s="1304"/>
      <c r="LDT65" s="1304"/>
      <c r="LDU65" s="1304"/>
      <c r="LDV65" s="1304"/>
      <c r="LDW65" s="1305"/>
      <c r="LDX65" s="1305"/>
      <c r="LDY65" s="1304"/>
      <c r="LDZ65" s="1304"/>
      <c r="LEA65" s="1304"/>
      <c r="LEB65" s="1304"/>
      <c r="LEC65" s="1304"/>
      <c r="LED65" s="1304"/>
      <c r="LEE65" s="1304"/>
      <c r="LEF65" s="1304"/>
      <c r="LEG65" s="1305"/>
      <c r="LEH65" s="1305"/>
      <c r="LEI65" s="1304"/>
      <c r="LEJ65" s="1304"/>
      <c r="LEK65" s="1304"/>
      <c r="LEL65" s="1304"/>
      <c r="LEM65" s="1304"/>
      <c r="LEN65" s="1304"/>
      <c r="LEO65" s="1304"/>
      <c r="LEP65" s="1304"/>
      <c r="LEQ65" s="1305"/>
      <c r="LER65" s="1305"/>
      <c r="LES65" s="1304"/>
      <c r="LET65" s="1304"/>
      <c r="LEU65" s="1304"/>
      <c r="LEV65" s="1304"/>
      <c r="LEW65" s="1304"/>
      <c r="LEX65" s="1304"/>
      <c r="LEY65" s="1304"/>
      <c r="LEZ65" s="1304"/>
      <c r="LFA65" s="1305"/>
      <c r="LFB65" s="1305"/>
      <c r="LFC65" s="1304"/>
      <c r="LFD65" s="1304"/>
      <c r="LFE65" s="1304"/>
      <c r="LFF65" s="1304"/>
      <c r="LFG65" s="1304"/>
      <c r="LFH65" s="1304"/>
      <c r="LFI65" s="1304"/>
      <c r="LFJ65" s="1304"/>
      <c r="LFK65" s="1305"/>
      <c r="LFL65" s="1305"/>
      <c r="LFM65" s="1304"/>
      <c r="LFN65" s="1304"/>
      <c r="LFO65" s="1304"/>
      <c r="LFP65" s="1304"/>
      <c r="LFQ65" s="1304"/>
      <c r="LFR65" s="1304"/>
      <c r="LFS65" s="1304"/>
      <c r="LFT65" s="1304"/>
      <c r="LFU65" s="1305"/>
      <c r="LFV65" s="1305"/>
      <c r="LFW65" s="1304"/>
      <c r="LFX65" s="1304"/>
      <c r="LFY65" s="1304"/>
      <c r="LFZ65" s="1304"/>
      <c r="LGA65" s="1304"/>
      <c r="LGB65" s="1304"/>
      <c r="LGC65" s="1304"/>
      <c r="LGD65" s="1304"/>
      <c r="LGE65" s="1305"/>
      <c r="LGF65" s="1305"/>
      <c r="LGG65" s="1304"/>
      <c r="LGH65" s="1304"/>
      <c r="LGI65" s="1304"/>
      <c r="LGJ65" s="1304"/>
      <c r="LGK65" s="1304"/>
      <c r="LGL65" s="1304"/>
      <c r="LGM65" s="1304"/>
      <c r="LGN65" s="1304"/>
      <c r="LGO65" s="1305"/>
      <c r="LGP65" s="1305"/>
      <c r="LGQ65" s="1304"/>
      <c r="LGR65" s="1304"/>
      <c r="LGS65" s="1304"/>
      <c r="LGT65" s="1304"/>
      <c r="LGU65" s="1304"/>
      <c r="LGV65" s="1304"/>
      <c r="LGW65" s="1304"/>
      <c r="LGX65" s="1304"/>
      <c r="LGY65" s="1305"/>
      <c r="LGZ65" s="1305"/>
      <c r="LHA65" s="1304"/>
      <c r="LHB65" s="1304"/>
      <c r="LHC65" s="1304"/>
      <c r="LHD65" s="1304"/>
      <c r="LHE65" s="1304"/>
      <c r="LHF65" s="1304"/>
      <c r="LHG65" s="1304"/>
      <c r="LHH65" s="1304"/>
      <c r="LHI65" s="1305"/>
      <c r="LHJ65" s="1305"/>
      <c r="LHK65" s="1304"/>
      <c r="LHL65" s="1304"/>
      <c r="LHM65" s="1304"/>
      <c r="LHN65" s="1304"/>
      <c r="LHO65" s="1304"/>
      <c r="LHP65" s="1304"/>
      <c r="LHQ65" s="1304"/>
      <c r="LHR65" s="1304"/>
      <c r="LHS65" s="1305"/>
      <c r="LHT65" s="1305"/>
      <c r="LHU65" s="1304"/>
      <c r="LHV65" s="1304"/>
      <c r="LHW65" s="1304"/>
      <c r="LHX65" s="1304"/>
      <c r="LHY65" s="1304"/>
      <c r="LHZ65" s="1304"/>
      <c r="LIA65" s="1304"/>
      <c r="LIB65" s="1304"/>
      <c r="LIC65" s="1305"/>
      <c r="LID65" s="1305"/>
      <c r="LIE65" s="1304"/>
      <c r="LIF65" s="1304"/>
      <c r="LIG65" s="1304"/>
      <c r="LIH65" s="1304"/>
      <c r="LII65" s="1304"/>
      <c r="LIJ65" s="1304"/>
      <c r="LIK65" s="1304"/>
      <c r="LIL65" s="1304"/>
      <c r="LIM65" s="1305"/>
      <c r="LIN65" s="1305"/>
      <c r="LIO65" s="1304"/>
      <c r="LIP65" s="1304"/>
      <c r="LIQ65" s="1304"/>
      <c r="LIR65" s="1304"/>
      <c r="LIS65" s="1304"/>
      <c r="LIT65" s="1304"/>
      <c r="LIU65" s="1304"/>
      <c r="LIV65" s="1304"/>
      <c r="LIW65" s="1305"/>
      <c r="LIX65" s="1305"/>
      <c r="LIY65" s="1304"/>
      <c r="LIZ65" s="1304"/>
      <c r="LJA65" s="1304"/>
      <c r="LJB65" s="1304"/>
      <c r="LJC65" s="1304"/>
      <c r="LJD65" s="1304"/>
      <c r="LJE65" s="1304"/>
      <c r="LJF65" s="1304"/>
      <c r="LJG65" s="1305"/>
      <c r="LJH65" s="1305"/>
      <c r="LJI65" s="1304"/>
      <c r="LJJ65" s="1304"/>
      <c r="LJK65" s="1304"/>
      <c r="LJL65" s="1304"/>
      <c r="LJM65" s="1304"/>
      <c r="LJN65" s="1304"/>
      <c r="LJO65" s="1304"/>
      <c r="LJP65" s="1304"/>
      <c r="LJQ65" s="1305"/>
      <c r="LJR65" s="1305"/>
      <c r="LJS65" s="1304"/>
      <c r="LJT65" s="1304"/>
      <c r="LJU65" s="1304"/>
      <c r="LJV65" s="1304"/>
      <c r="LJW65" s="1304"/>
      <c r="LJX65" s="1304"/>
      <c r="LJY65" s="1304"/>
      <c r="LJZ65" s="1304"/>
      <c r="LKA65" s="1305"/>
      <c r="LKB65" s="1305"/>
      <c r="LKC65" s="1304"/>
      <c r="LKD65" s="1304"/>
      <c r="LKE65" s="1304"/>
      <c r="LKF65" s="1304"/>
      <c r="LKG65" s="1304"/>
      <c r="LKH65" s="1304"/>
      <c r="LKI65" s="1304"/>
      <c r="LKJ65" s="1304"/>
      <c r="LKK65" s="1305"/>
      <c r="LKL65" s="1305"/>
      <c r="LKM65" s="1304"/>
      <c r="LKN65" s="1304"/>
      <c r="LKO65" s="1304"/>
      <c r="LKP65" s="1304"/>
      <c r="LKQ65" s="1304"/>
      <c r="LKR65" s="1304"/>
      <c r="LKS65" s="1304"/>
      <c r="LKT65" s="1304"/>
      <c r="LKU65" s="1305"/>
      <c r="LKV65" s="1305"/>
      <c r="LKW65" s="1304"/>
      <c r="LKX65" s="1304"/>
      <c r="LKY65" s="1304"/>
      <c r="LKZ65" s="1304"/>
      <c r="LLA65" s="1304"/>
      <c r="LLB65" s="1304"/>
      <c r="LLC65" s="1304"/>
      <c r="LLD65" s="1304"/>
      <c r="LLE65" s="1305"/>
      <c r="LLF65" s="1305"/>
      <c r="LLG65" s="1304"/>
      <c r="LLH65" s="1304"/>
      <c r="LLI65" s="1304"/>
      <c r="LLJ65" s="1304"/>
      <c r="LLK65" s="1304"/>
      <c r="LLL65" s="1304"/>
      <c r="LLM65" s="1304"/>
      <c r="LLN65" s="1304"/>
      <c r="LLO65" s="1305"/>
      <c r="LLP65" s="1305"/>
      <c r="LLQ65" s="1304"/>
      <c r="LLR65" s="1304"/>
      <c r="LLS65" s="1304"/>
      <c r="LLT65" s="1304"/>
      <c r="LLU65" s="1304"/>
      <c r="LLV65" s="1304"/>
      <c r="LLW65" s="1304"/>
      <c r="LLX65" s="1304"/>
      <c r="LLY65" s="1305"/>
      <c r="LLZ65" s="1305"/>
      <c r="LMA65" s="1304"/>
      <c r="LMB65" s="1304"/>
      <c r="LMC65" s="1304"/>
      <c r="LMD65" s="1304"/>
      <c r="LME65" s="1304"/>
      <c r="LMF65" s="1304"/>
      <c r="LMG65" s="1304"/>
      <c r="LMH65" s="1304"/>
      <c r="LMI65" s="1305"/>
      <c r="LMJ65" s="1305"/>
      <c r="LMK65" s="1304"/>
      <c r="LML65" s="1304"/>
      <c r="LMM65" s="1304"/>
      <c r="LMN65" s="1304"/>
      <c r="LMO65" s="1304"/>
      <c r="LMP65" s="1304"/>
      <c r="LMQ65" s="1304"/>
      <c r="LMR65" s="1304"/>
      <c r="LMS65" s="1305"/>
      <c r="LMT65" s="1305"/>
      <c r="LMU65" s="1304"/>
      <c r="LMV65" s="1304"/>
      <c r="LMW65" s="1304"/>
      <c r="LMX65" s="1304"/>
      <c r="LMY65" s="1304"/>
      <c r="LMZ65" s="1304"/>
      <c r="LNA65" s="1304"/>
      <c r="LNB65" s="1304"/>
      <c r="LNC65" s="1305"/>
      <c r="LND65" s="1305"/>
      <c r="LNE65" s="1304"/>
      <c r="LNF65" s="1304"/>
      <c r="LNG65" s="1304"/>
      <c r="LNH65" s="1304"/>
      <c r="LNI65" s="1304"/>
      <c r="LNJ65" s="1304"/>
      <c r="LNK65" s="1304"/>
      <c r="LNL65" s="1304"/>
      <c r="LNM65" s="1305"/>
      <c r="LNN65" s="1305"/>
      <c r="LNO65" s="1304"/>
      <c r="LNP65" s="1304"/>
      <c r="LNQ65" s="1304"/>
      <c r="LNR65" s="1304"/>
      <c r="LNS65" s="1304"/>
      <c r="LNT65" s="1304"/>
      <c r="LNU65" s="1304"/>
      <c r="LNV65" s="1304"/>
      <c r="LNW65" s="1305"/>
      <c r="LNX65" s="1305"/>
      <c r="LNY65" s="1304"/>
      <c r="LNZ65" s="1304"/>
      <c r="LOA65" s="1304"/>
      <c r="LOB65" s="1304"/>
      <c r="LOC65" s="1304"/>
      <c r="LOD65" s="1304"/>
      <c r="LOE65" s="1304"/>
      <c r="LOF65" s="1304"/>
      <c r="LOG65" s="1305"/>
      <c r="LOH65" s="1305"/>
      <c r="LOI65" s="1304"/>
      <c r="LOJ65" s="1304"/>
      <c r="LOK65" s="1304"/>
      <c r="LOL65" s="1304"/>
      <c r="LOM65" s="1304"/>
      <c r="LON65" s="1304"/>
      <c r="LOO65" s="1304"/>
      <c r="LOP65" s="1304"/>
      <c r="LOQ65" s="1305"/>
      <c r="LOR65" s="1305"/>
      <c r="LOS65" s="1304"/>
      <c r="LOT65" s="1304"/>
      <c r="LOU65" s="1304"/>
      <c r="LOV65" s="1304"/>
      <c r="LOW65" s="1304"/>
      <c r="LOX65" s="1304"/>
      <c r="LOY65" s="1304"/>
      <c r="LOZ65" s="1304"/>
      <c r="LPA65" s="1305"/>
      <c r="LPB65" s="1305"/>
      <c r="LPC65" s="1304"/>
      <c r="LPD65" s="1304"/>
      <c r="LPE65" s="1304"/>
      <c r="LPF65" s="1304"/>
      <c r="LPG65" s="1304"/>
      <c r="LPH65" s="1304"/>
      <c r="LPI65" s="1304"/>
      <c r="LPJ65" s="1304"/>
      <c r="LPK65" s="1305"/>
      <c r="LPL65" s="1305"/>
      <c r="LPM65" s="1304"/>
      <c r="LPN65" s="1304"/>
      <c r="LPO65" s="1304"/>
      <c r="LPP65" s="1304"/>
      <c r="LPQ65" s="1304"/>
      <c r="LPR65" s="1304"/>
      <c r="LPS65" s="1304"/>
      <c r="LPT65" s="1304"/>
      <c r="LPU65" s="1305"/>
      <c r="LPV65" s="1305"/>
      <c r="LPW65" s="1304"/>
      <c r="LPX65" s="1304"/>
      <c r="LPY65" s="1304"/>
      <c r="LPZ65" s="1304"/>
      <c r="LQA65" s="1304"/>
      <c r="LQB65" s="1304"/>
      <c r="LQC65" s="1304"/>
      <c r="LQD65" s="1304"/>
      <c r="LQE65" s="1305"/>
      <c r="LQF65" s="1305"/>
      <c r="LQG65" s="1304"/>
      <c r="LQH65" s="1304"/>
      <c r="LQI65" s="1304"/>
      <c r="LQJ65" s="1304"/>
      <c r="LQK65" s="1304"/>
      <c r="LQL65" s="1304"/>
      <c r="LQM65" s="1304"/>
      <c r="LQN65" s="1304"/>
      <c r="LQO65" s="1305"/>
      <c r="LQP65" s="1305"/>
      <c r="LQQ65" s="1304"/>
      <c r="LQR65" s="1304"/>
      <c r="LQS65" s="1304"/>
      <c r="LQT65" s="1304"/>
      <c r="LQU65" s="1304"/>
      <c r="LQV65" s="1304"/>
      <c r="LQW65" s="1304"/>
      <c r="LQX65" s="1304"/>
      <c r="LQY65" s="1305"/>
      <c r="LQZ65" s="1305"/>
      <c r="LRA65" s="1304"/>
      <c r="LRB65" s="1304"/>
      <c r="LRC65" s="1304"/>
      <c r="LRD65" s="1304"/>
      <c r="LRE65" s="1304"/>
      <c r="LRF65" s="1304"/>
      <c r="LRG65" s="1304"/>
      <c r="LRH65" s="1304"/>
      <c r="LRI65" s="1305"/>
      <c r="LRJ65" s="1305"/>
      <c r="LRK65" s="1304"/>
      <c r="LRL65" s="1304"/>
      <c r="LRM65" s="1304"/>
      <c r="LRN65" s="1304"/>
      <c r="LRO65" s="1304"/>
      <c r="LRP65" s="1304"/>
      <c r="LRQ65" s="1304"/>
      <c r="LRR65" s="1304"/>
      <c r="LRS65" s="1305"/>
      <c r="LRT65" s="1305"/>
      <c r="LRU65" s="1304"/>
      <c r="LRV65" s="1304"/>
      <c r="LRW65" s="1304"/>
      <c r="LRX65" s="1304"/>
      <c r="LRY65" s="1304"/>
      <c r="LRZ65" s="1304"/>
      <c r="LSA65" s="1304"/>
      <c r="LSB65" s="1304"/>
      <c r="LSC65" s="1305"/>
      <c r="LSD65" s="1305"/>
      <c r="LSE65" s="1304"/>
      <c r="LSF65" s="1304"/>
      <c r="LSG65" s="1304"/>
      <c r="LSH65" s="1304"/>
      <c r="LSI65" s="1304"/>
      <c r="LSJ65" s="1304"/>
      <c r="LSK65" s="1304"/>
      <c r="LSL65" s="1304"/>
      <c r="LSM65" s="1305"/>
      <c r="LSN65" s="1305"/>
      <c r="LSO65" s="1304"/>
      <c r="LSP65" s="1304"/>
      <c r="LSQ65" s="1304"/>
      <c r="LSR65" s="1304"/>
      <c r="LSS65" s="1304"/>
      <c r="LST65" s="1304"/>
      <c r="LSU65" s="1304"/>
      <c r="LSV65" s="1304"/>
      <c r="LSW65" s="1305"/>
      <c r="LSX65" s="1305"/>
      <c r="LSY65" s="1304"/>
      <c r="LSZ65" s="1304"/>
      <c r="LTA65" s="1304"/>
      <c r="LTB65" s="1304"/>
      <c r="LTC65" s="1304"/>
      <c r="LTD65" s="1304"/>
      <c r="LTE65" s="1304"/>
      <c r="LTF65" s="1304"/>
      <c r="LTG65" s="1305"/>
      <c r="LTH65" s="1305"/>
      <c r="LTI65" s="1304"/>
      <c r="LTJ65" s="1304"/>
      <c r="LTK65" s="1304"/>
      <c r="LTL65" s="1304"/>
      <c r="LTM65" s="1304"/>
      <c r="LTN65" s="1304"/>
      <c r="LTO65" s="1304"/>
      <c r="LTP65" s="1304"/>
      <c r="LTQ65" s="1305"/>
      <c r="LTR65" s="1305"/>
      <c r="LTS65" s="1304"/>
      <c r="LTT65" s="1304"/>
      <c r="LTU65" s="1304"/>
      <c r="LTV65" s="1304"/>
      <c r="LTW65" s="1304"/>
      <c r="LTX65" s="1304"/>
      <c r="LTY65" s="1304"/>
      <c r="LTZ65" s="1304"/>
      <c r="LUA65" s="1305"/>
      <c r="LUB65" s="1305"/>
      <c r="LUC65" s="1304"/>
      <c r="LUD65" s="1304"/>
      <c r="LUE65" s="1304"/>
      <c r="LUF65" s="1304"/>
      <c r="LUG65" s="1304"/>
      <c r="LUH65" s="1304"/>
      <c r="LUI65" s="1304"/>
      <c r="LUJ65" s="1304"/>
      <c r="LUK65" s="1305"/>
      <c r="LUL65" s="1305"/>
      <c r="LUM65" s="1304"/>
      <c r="LUN65" s="1304"/>
      <c r="LUO65" s="1304"/>
      <c r="LUP65" s="1304"/>
      <c r="LUQ65" s="1304"/>
      <c r="LUR65" s="1304"/>
      <c r="LUS65" s="1304"/>
      <c r="LUT65" s="1304"/>
      <c r="LUU65" s="1305"/>
      <c r="LUV65" s="1305"/>
      <c r="LUW65" s="1304"/>
      <c r="LUX65" s="1304"/>
      <c r="LUY65" s="1304"/>
      <c r="LUZ65" s="1304"/>
      <c r="LVA65" s="1304"/>
      <c r="LVB65" s="1304"/>
      <c r="LVC65" s="1304"/>
      <c r="LVD65" s="1304"/>
      <c r="LVE65" s="1305"/>
      <c r="LVF65" s="1305"/>
      <c r="LVG65" s="1304"/>
      <c r="LVH65" s="1304"/>
      <c r="LVI65" s="1304"/>
      <c r="LVJ65" s="1304"/>
      <c r="LVK65" s="1304"/>
      <c r="LVL65" s="1304"/>
      <c r="LVM65" s="1304"/>
      <c r="LVN65" s="1304"/>
      <c r="LVO65" s="1305"/>
      <c r="LVP65" s="1305"/>
      <c r="LVQ65" s="1304"/>
      <c r="LVR65" s="1304"/>
      <c r="LVS65" s="1304"/>
      <c r="LVT65" s="1304"/>
      <c r="LVU65" s="1304"/>
      <c r="LVV65" s="1304"/>
      <c r="LVW65" s="1304"/>
      <c r="LVX65" s="1304"/>
      <c r="LVY65" s="1305"/>
      <c r="LVZ65" s="1305"/>
      <c r="LWA65" s="1304"/>
      <c r="LWB65" s="1304"/>
      <c r="LWC65" s="1304"/>
      <c r="LWD65" s="1304"/>
      <c r="LWE65" s="1304"/>
      <c r="LWF65" s="1304"/>
      <c r="LWG65" s="1304"/>
      <c r="LWH65" s="1304"/>
      <c r="LWI65" s="1305"/>
      <c r="LWJ65" s="1305"/>
      <c r="LWK65" s="1304"/>
      <c r="LWL65" s="1304"/>
      <c r="LWM65" s="1304"/>
      <c r="LWN65" s="1304"/>
      <c r="LWO65" s="1304"/>
      <c r="LWP65" s="1304"/>
      <c r="LWQ65" s="1304"/>
      <c r="LWR65" s="1304"/>
      <c r="LWS65" s="1305"/>
      <c r="LWT65" s="1305"/>
      <c r="LWU65" s="1304"/>
      <c r="LWV65" s="1304"/>
      <c r="LWW65" s="1304"/>
      <c r="LWX65" s="1304"/>
      <c r="LWY65" s="1304"/>
      <c r="LWZ65" s="1304"/>
      <c r="LXA65" s="1304"/>
      <c r="LXB65" s="1304"/>
      <c r="LXC65" s="1305"/>
      <c r="LXD65" s="1305"/>
      <c r="LXE65" s="1304"/>
      <c r="LXF65" s="1304"/>
      <c r="LXG65" s="1304"/>
      <c r="LXH65" s="1304"/>
      <c r="LXI65" s="1304"/>
      <c r="LXJ65" s="1304"/>
      <c r="LXK65" s="1304"/>
      <c r="LXL65" s="1304"/>
      <c r="LXM65" s="1305"/>
      <c r="LXN65" s="1305"/>
      <c r="LXO65" s="1304"/>
      <c r="LXP65" s="1304"/>
      <c r="LXQ65" s="1304"/>
      <c r="LXR65" s="1304"/>
      <c r="LXS65" s="1304"/>
      <c r="LXT65" s="1304"/>
      <c r="LXU65" s="1304"/>
      <c r="LXV65" s="1304"/>
      <c r="LXW65" s="1305"/>
      <c r="LXX65" s="1305"/>
      <c r="LXY65" s="1304"/>
      <c r="LXZ65" s="1304"/>
      <c r="LYA65" s="1304"/>
      <c r="LYB65" s="1304"/>
      <c r="LYC65" s="1304"/>
      <c r="LYD65" s="1304"/>
      <c r="LYE65" s="1304"/>
      <c r="LYF65" s="1304"/>
      <c r="LYG65" s="1305"/>
      <c r="LYH65" s="1305"/>
      <c r="LYI65" s="1304"/>
      <c r="LYJ65" s="1304"/>
      <c r="LYK65" s="1304"/>
      <c r="LYL65" s="1304"/>
      <c r="LYM65" s="1304"/>
      <c r="LYN65" s="1304"/>
      <c r="LYO65" s="1304"/>
      <c r="LYP65" s="1304"/>
      <c r="LYQ65" s="1305"/>
      <c r="LYR65" s="1305"/>
      <c r="LYS65" s="1304"/>
      <c r="LYT65" s="1304"/>
      <c r="LYU65" s="1304"/>
      <c r="LYV65" s="1304"/>
      <c r="LYW65" s="1304"/>
      <c r="LYX65" s="1304"/>
      <c r="LYY65" s="1304"/>
      <c r="LYZ65" s="1304"/>
      <c r="LZA65" s="1305"/>
      <c r="LZB65" s="1305"/>
      <c r="LZC65" s="1304"/>
      <c r="LZD65" s="1304"/>
      <c r="LZE65" s="1304"/>
      <c r="LZF65" s="1304"/>
      <c r="LZG65" s="1304"/>
      <c r="LZH65" s="1304"/>
      <c r="LZI65" s="1304"/>
      <c r="LZJ65" s="1304"/>
      <c r="LZK65" s="1305"/>
      <c r="LZL65" s="1305"/>
      <c r="LZM65" s="1304"/>
      <c r="LZN65" s="1304"/>
      <c r="LZO65" s="1304"/>
      <c r="LZP65" s="1304"/>
      <c r="LZQ65" s="1304"/>
      <c r="LZR65" s="1304"/>
      <c r="LZS65" s="1304"/>
      <c r="LZT65" s="1304"/>
      <c r="LZU65" s="1305"/>
      <c r="LZV65" s="1305"/>
      <c r="LZW65" s="1304"/>
      <c r="LZX65" s="1304"/>
      <c r="LZY65" s="1304"/>
      <c r="LZZ65" s="1304"/>
      <c r="MAA65" s="1304"/>
      <c r="MAB65" s="1304"/>
      <c r="MAC65" s="1304"/>
      <c r="MAD65" s="1304"/>
      <c r="MAE65" s="1305"/>
      <c r="MAF65" s="1305"/>
      <c r="MAG65" s="1304"/>
      <c r="MAH65" s="1304"/>
      <c r="MAI65" s="1304"/>
      <c r="MAJ65" s="1304"/>
      <c r="MAK65" s="1304"/>
      <c r="MAL65" s="1304"/>
      <c r="MAM65" s="1304"/>
      <c r="MAN65" s="1304"/>
      <c r="MAO65" s="1305"/>
      <c r="MAP65" s="1305"/>
      <c r="MAQ65" s="1304"/>
      <c r="MAR65" s="1304"/>
      <c r="MAS65" s="1304"/>
      <c r="MAT65" s="1304"/>
      <c r="MAU65" s="1304"/>
      <c r="MAV65" s="1304"/>
      <c r="MAW65" s="1304"/>
      <c r="MAX65" s="1304"/>
      <c r="MAY65" s="1305"/>
      <c r="MAZ65" s="1305"/>
      <c r="MBA65" s="1304"/>
      <c r="MBB65" s="1304"/>
      <c r="MBC65" s="1304"/>
      <c r="MBD65" s="1304"/>
      <c r="MBE65" s="1304"/>
      <c r="MBF65" s="1304"/>
      <c r="MBG65" s="1304"/>
      <c r="MBH65" s="1304"/>
      <c r="MBI65" s="1305"/>
      <c r="MBJ65" s="1305"/>
      <c r="MBK65" s="1304"/>
      <c r="MBL65" s="1304"/>
      <c r="MBM65" s="1304"/>
      <c r="MBN65" s="1304"/>
      <c r="MBO65" s="1304"/>
      <c r="MBP65" s="1304"/>
      <c r="MBQ65" s="1304"/>
      <c r="MBR65" s="1304"/>
      <c r="MBS65" s="1305"/>
      <c r="MBT65" s="1305"/>
      <c r="MBU65" s="1304"/>
      <c r="MBV65" s="1304"/>
      <c r="MBW65" s="1304"/>
      <c r="MBX65" s="1304"/>
      <c r="MBY65" s="1304"/>
      <c r="MBZ65" s="1304"/>
      <c r="MCA65" s="1304"/>
      <c r="MCB65" s="1304"/>
      <c r="MCC65" s="1305"/>
      <c r="MCD65" s="1305"/>
      <c r="MCE65" s="1304"/>
      <c r="MCF65" s="1304"/>
      <c r="MCG65" s="1304"/>
      <c r="MCH65" s="1304"/>
      <c r="MCI65" s="1304"/>
      <c r="MCJ65" s="1304"/>
      <c r="MCK65" s="1304"/>
      <c r="MCL65" s="1304"/>
      <c r="MCM65" s="1305"/>
      <c r="MCN65" s="1305"/>
      <c r="MCO65" s="1304"/>
      <c r="MCP65" s="1304"/>
      <c r="MCQ65" s="1304"/>
      <c r="MCR65" s="1304"/>
      <c r="MCS65" s="1304"/>
      <c r="MCT65" s="1304"/>
      <c r="MCU65" s="1304"/>
      <c r="MCV65" s="1304"/>
      <c r="MCW65" s="1305"/>
      <c r="MCX65" s="1305"/>
      <c r="MCY65" s="1304"/>
      <c r="MCZ65" s="1304"/>
      <c r="MDA65" s="1304"/>
      <c r="MDB65" s="1304"/>
      <c r="MDC65" s="1304"/>
      <c r="MDD65" s="1304"/>
      <c r="MDE65" s="1304"/>
      <c r="MDF65" s="1304"/>
      <c r="MDG65" s="1305"/>
      <c r="MDH65" s="1305"/>
      <c r="MDI65" s="1304"/>
      <c r="MDJ65" s="1304"/>
      <c r="MDK65" s="1304"/>
      <c r="MDL65" s="1304"/>
      <c r="MDM65" s="1304"/>
      <c r="MDN65" s="1304"/>
      <c r="MDO65" s="1304"/>
      <c r="MDP65" s="1304"/>
      <c r="MDQ65" s="1305"/>
      <c r="MDR65" s="1305"/>
      <c r="MDS65" s="1304"/>
      <c r="MDT65" s="1304"/>
      <c r="MDU65" s="1304"/>
      <c r="MDV65" s="1304"/>
      <c r="MDW65" s="1304"/>
      <c r="MDX65" s="1304"/>
      <c r="MDY65" s="1304"/>
      <c r="MDZ65" s="1304"/>
      <c r="MEA65" s="1305"/>
      <c r="MEB65" s="1305"/>
      <c r="MEC65" s="1304"/>
      <c r="MED65" s="1304"/>
      <c r="MEE65" s="1304"/>
      <c r="MEF65" s="1304"/>
      <c r="MEG65" s="1304"/>
      <c r="MEH65" s="1304"/>
      <c r="MEI65" s="1304"/>
      <c r="MEJ65" s="1304"/>
      <c r="MEK65" s="1305"/>
      <c r="MEL65" s="1305"/>
      <c r="MEM65" s="1304"/>
      <c r="MEN65" s="1304"/>
      <c r="MEO65" s="1304"/>
      <c r="MEP65" s="1304"/>
      <c r="MEQ65" s="1304"/>
      <c r="MER65" s="1304"/>
      <c r="MES65" s="1304"/>
      <c r="MET65" s="1304"/>
      <c r="MEU65" s="1305"/>
      <c r="MEV65" s="1305"/>
      <c r="MEW65" s="1304"/>
      <c r="MEX65" s="1304"/>
      <c r="MEY65" s="1304"/>
      <c r="MEZ65" s="1304"/>
      <c r="MFA65" s="1304"/>
      <c r="MFB65" s="1304"/>
      <c r="MFC65" s="1304"/>
      <c r="MFD65" s="1304"/>
      <c r="MFE65" s="1305"/>
      <c r="MFF65" s="1305"/>
      <c r="MFG65" s="1304"/>
      <c r="MFH65" s="1304"/>
      <c r="MFI65" s="1304"/>
      <c r="MFJ65" s="1304"/>
      <c r="MFK65" s="1304"/>
      <c r="MFL65" s="1304"/>
      <c r="MFM65" s="1304"/>
      <c r="MFN65" s="1304"/>
      <c r="MFO65" s="1305"/>
      <c r="MFP65" s="1305"/>
      <c r="MFQ65" s="1304"/>
      <c r="MFR65" s="1304"/>
      <c r="MFS65" s="1304"/>
      <c r="MFT65" s="1304"/>
      <c r="MFU65" s="1304"/>
      <c r="MFV65" s="1304"/>
      <c r="MFW65" s="1304"/>
      <c r="MFX65" s="1304"/>
      <c r="MFY65" s="1305"/>
      <c r="MFZ65" s="1305"/>
      <c r="MGA65" s="1304"/>
      <c r="MGB65" s="1304"/>
      <c r="MGC65" s="1304"/>
      <c r="MGD65" s="1304"/>
      <c r="MGE65" s="1304"/>
      <c r="MGF65" s="1304"/>
      <c r="MGG65" s="1304"/>
      <c r="MGH65" s="1304"/>
      <c r="MGI65" s="1305"/>
      <c r="MGJ65" s="1305"/>
      <c r="MGK65" s="1304"/>
      <c r="MGL65" s="1304"/>
      <c r="MGM65" s="1304"/>
      <c r="MGN65" s="1304"/>
      <c r="MGO65" s="1304"/>
      <c r="MGP65" s="1304"/>
      <c r="MGQ65" s="1304"/>
      <c r="MGR65" s="1304"/>
      <c r="MGS65" s="1305"/>
      <c r="MGT65" s="1305"/>
      <c r="MGU65" s="1304"/>
      <c r="MGV65" s="1304"/>
      <c r="MGW65" s="1304"/>
      <c r="MGX65" s="1304"/>
      <c r="MGY65" s="1304"/>
      <c r="MGZ65" s="1304"/>
      <c r="MHA65" s="1304"/>
      <c r="MHB65" s="1304"/>
      <c r="MHC65" s="1305"/>
      <c r="MHD65" s="1305"/>
      <c r="MHE65" s="1304"/>
      <c r="MHF65" s="1304"/>
      <c r="MHG65" s="1304"/>
      <c r="MHH65" s="1304"/>
      <c r="MHI65" s="1304"/>
      <c r="MHJ65" s="1304"/>
      <c r="MHK65" s="1304"/>
      <c r="MHL65" s="1304"/>
      <c r="MHM65" s="1305"/>
      <c r="MHN65" s="1305"/>
      <c r="MHO65" s="1304"/>
      <c r="MHP65" s="1304"/>
      <c r="MHQ65" s="1304"/>
      <c r="MHR65" s="1304"/>
      <c r="MHS65" s="1304"/>
      <c r="MHT65" s="1304"/>
      <c r="MHU65" s="1304"/>
      <c r="MHV65" s="1304"/>
      <c r="MHW65" s="1305"/>
      <c r="MHX65" s="1305"/>
      <c r="MHY65" s="1304"/>
      <c r="MHZ65" s="1304"/>
      <c r="MIA65" s="1304"/>
      <c r="MIB65" s="1304"/>
      <c r="MIC65" s="1304"/>
      <c r="MID65" s="1304"/>
      <c r="MIE65" s="1304"/>
      <c r="MIF65" s="1304"/>
      <c r="MIG65" s="1305"/>
      <c r="MIH65" s="1305"/>
      <c r="MII65" s="1304"/>
      <c r="MIJ65" s="1304"/>
      <c r="MIK65" s="1304"/>
      <c r="MIL65" s="1304"/>
      <c r="MIM65" s="1304"/>
      <c r="MIN65" s="1304"/>
      <c r="MIO65" s="1304"/>
      <c r="MIP65" s="1304"/>
      <c r="MIQ65" s="1305"/>
      <c r="MIR65" s="1305"/>
      <c r="MIS65" s="1304"/>
      <c r="MIT65" s="1304"/>
      <c r="MIU65" s="1304"/>
      <c r="MIV65" s="1304"/>
      <c r="MIW65" s="1304"/>
      <c r="MIX65" s="1304"/>
      <c r="MIY65" s="1304"/>
      <c r="MIZ65" s="1304"/>
      <c r="MJA65" s="1305"/>
      <c r="MJB65" s="1305"/>
      <c r="MJC65" s="1304"/>
      <c r="MJD65" s="1304"/>
      <c r="MJE65" s="1304"/>
      <c r="MJF65" s="1304"/>
      <c r="MJG65" s="1304"/>
      <c r="MJH65" s="1304"/>
      <c r="MJI65" s="1304"/>
      <c r="MJJ65" s="1304"/>
      <c r="MJK65" s="1305"/>
      <c r="MJL65" s="1305"/>
      <c r="MJM65" s="1304"/>
      <c r="MJN65" s="1304"/>
      <c r="MJO65" s="1304"/>
      <c r="MJP65" s="1304"/>
      <c r="MJQ65" s="1304"/>
      <c r="MJR65" s="1304"/>
      <c r="MJS65" s="1304"/>
      <c r="MJT65" s="1304"/>
      <c r="MJU65" s="1305"/>
      <c r="MJV65" s="1305"/>
      <c r="MJW65" s="1304"/>
      <c r="MJX65" s="1304"/>
      <c r="MJY65" s="1304"/>
      <c r="MJZ65" s="1304"/>
      <c r="MKA65" s="1304"/>
      <c r="MKB65" s="1304"/>
      <c r="MKC65" s="1304"/>
      <c r="MKD65" s="1304"/>
      <c r="MKE65" s="1305"/>
      <c r="MKF65" s="1305"/>
      <c r="MKG65" s="1304"/>
      <c r="MKH65" s="1304"/>
      <c r="MKI65" s="1304"/>
      <c r="MKJ65" s="1304"/>
      <c r="MKK65" s="1304"/>
      <c r="MKL65" s="1304"/>
      <c r="MKM65" s="1304"/>
      <c r="MKN65" s="1304"/>
      <c r="MKO65" s="1305"/>
      <c r="MKP65" s="1305"/>
      <c r="MKQ65" s="1304"/>
      <c r="MKR65" s="1304"/>
      <c r="MKS65" s="1304"/>
      <c r="MKT65" s="1304"/>
      <c r="MKU65" s="1304"/>
      <c r="MKV65" s="1304"/>
      <c r="MKW65" s="1304"/>
      <c r="MKX65" s="1304"/>
      <c r="MKY65" s="1305"/>
      <c r="MKZ65" s="1305"/>
      <c r="MLA65" s="1304"/>
      <c r="MLB65" s="1304"/>
      <c r="MLC65" s="1304"/>
      <c r="MLD65" s="1304"/>
      <c r="MLE65" s="1304"/>
      <c r="MLF65" s="1304"/>
      <c r="MLG65" s="1304"/>
      <c r="MLH65" s="1304"/>
      <c r="MLI65" s="1305"/>
      <c r="MLJ65" s="1305"/>
      <c r="MLK65" s="1304"/>
      <c r="MLL65" s="1304"/>
      <c r="MLM65" s="1304"/>
      <c r="MLN65" s="1304"/>
      <c r="MLO65" s="1304"/>
      <c r="MLP65" s="1304"/>
      <c r="MLQ65" s="1304"/>
      <c r="MLR65" s="1304"/>
      <c r="MLS65" s="1305"/>
      <c r="MLT65" s="1305"/>
      <c r="MLU65" s="1304"/>
      <c r="MLV65" s="1304"/>
      <c r="MLW65" s="1304"/>
      <c r="MLX65" s="1304"/>
      <c r="MLY65" s="1304"/>
      <c r="MLZ65" s="1304"/>
      <c r="MMA65" s="1304"/>
      <c r="MMB65" s="1304"/>
      <c r="MMC65" s="1305"/>
      <c r="MMD65" s="1305"/>
      <c r="MME65" s="1304"/>
      <c r="MMF65" s="1304"/>
      <c r="MMG65" s="1304"/>
      <c r="MMH65" s="1304"/>
      <c r="MMI65" s="1304"/>
      <c r="MMJ65" s="1304"/>
      <c r="MMK65" s="1304"/>
      <c r="MML65" s="1304"/>
      <c r="MMM65" s="1305"/>
      <c r="MMN65" s="1305"/>
      <c r="MMO65" s="1304"/>
      <c r="MMP65" s="1304"/>
      <c r="MMQ65" s="1304"/>
      <c r="MMR65" s="1304"/>
      <c r="MMS65" s="1304"/>
      <c r="MMT65" s="1304"/>
      <c r="MMU65" s="1304"/>
      <c r="MMV65" s="1304"/>
      <c r="MMW65" s="1305"/>
      <c r="MMX65" s="1305"/>
      <c r="MMY65" s="1304"/>
      <c r="MMZ65" s="1304"/>
      <c r="MNA65" s="1304"/>
      <c r="MNB65" s="1304"/>
      <c r="MNC65" s="1304"/>
      <c r="MND65" s="1304"/>
      <c r="MNE65" s="1304"/>
      <c r="MNF65" s="1304"/>
      <c r="MNG65" s="1305"/>
      <c r="MNH65" s="1305"/>
      <c r="MNI65" s="1304"/>
      <c r="MNJ65" s="1304"/>
      <c r="MNK65" s="1304"/>
      <c r="MNL65" s="1304"/>
      <c r="MNM65" s="1304"/>
      <c r="MNN65" s="1304"/>
      <c r="MNO65" s="1304"/>
      <c r="MNP65" s="1304"/>
      <c r="MNQ65" s="1305"/>
      <c r="MNR65" s="1305"/>
      <c r="MNS65" s="1304"/>
      <c r="MNT65" s="1304"/>
      <c r="MNU65" s="1304"/>
      <c r="MNV65" s="1304"/>
      <c r="MNW65" s="1304"/>
      <c r="MNX65" s="1304"/>
      <c r="MNY65" s="1304"/>
      <c r="MNZ65" s="1304"/>
      <c r="MOA65" s="1305"/>
      <c r="MOB65" s="1305"/>
      <c r="MOC65" s="1304"/>
      <c r="MOD65" s="1304"/>
      <c r="MOE65" s="1304"/>
      <c r="MOF65" s="1304"/>
      <c r="MOG65" s="1304"/>
      <c r="MOH65" s="1304"/>
      <c r="MOI65" s="1304"/>
      <c r="MOJ65" s="1304"/>
      <c r="MOK65" s="1305"/>
      <c r="MOL65" s="1305"/>
      <c r="MOM65" s="1304"/>
      <c r="MON65" s="1304"/>
      <c r="MOO65" s="1304"/>
      <c r="MOP65" s="1304"/>
      <c r="MOQ65" s="1304"/>
      <c r="MOR65" s="1304"/>
      <c r="MOS65" s="1304"/>
      <c r="MOT65" s="1304"/>
      <c r="MOU65" s="1305"/>
      <c r="MOV65" s="1305"/>
      <c r="MOW65" s="1304"/>
      <c r="MOX65" s="1304"/>
      <c r="MOY65" s="1304"/>
      <c r="MOZ65" s="1304"/>
      <c r="MPA65" s="1304"/>
      <c r="MPB65" s="1304"/>
      <c r="MPC65" s="1304"/>
      <c r="MPD65" s="1304"/>
      <c r="MPE65" s="1305"/>
      <c r="MPF65" s="1305"/>
      <c r="MPG65" s="1304"/>
      <c r="MPH65" s="1304"/>
      <c r="MPI65" s="1304"/>
      <c r="MPJ65" s="1304"/>
      <c r="MPK65" s="1304"/>
      <c r="MPL65" s="1304"/>
      <c r="MPM65" s="1304"/>
      <c r="MPN65" s="1304"/>
      <c r="MPO65" s="1305"/>
      <c r="MPP65" s="1305"/>
      <c r="MPQ65" s="1304"/>
      <c r="MPR65" s="1304"/>
      <c r="MPS65" s="1304"/>
      <c r="MPT65" s="1304"/>
      <c r="MPU65" s="1304"/>
      <c r="MPV65" s="1304"/>
      <c r="MPW65" s="1304"/>
      <c r="MPX65" s="1304"/>
      <c r="MPY65" s="1305"/>
      <c r="MPZ65" s="1305"/>
      <c r="MQA65" s="1304"/>
      <c r="MQB65" s="1304"/>
      <c r="MQC65" s="1304"/>
      <c r="MQD65" s="1304"/>
      <c r="MQE65" s="1304"/>
      <c r="MQF65" s="1304"/>
      <c r="MQG65" s="1304"/>
      <c r="MQH65" s="1304"/>
      <c r="MQI65" s="1305"/>
      <c r="MQJ65" s="1305"/>
      <c r="MQK65" s="1304"/>
      <c r="MQL65" s="1304"/>
      <c r="MQM65" s="1304"/>
      <c r="MQN65" s="1304"/>
      <c r="MQO65" s="1304"/>
      <c r="MQP65" s="1304"/>
      <c r="MQQ65" s="1304"/>
      <c r="MQR65" s="1304"/>
      <c r="MQS65" s="1305"/>
      <c r="MQT65" s="1305"/>
      <c r="MQU65" s="1304"/>
      <c r="MQV65" s="1304"/>
      <c r="MQW65" s="1304"/>
      <c r="MQX65" s="1304"/>
      <c r="MQY65" s="1304"/>
      <c r="MQZ65" s="1304"/>
      <c r="MRA65" s="1304"/>
      <c r="MRB65" s="1304"/>
      <c r="MRC65" s="1305"/>
      <c r="MRD65" s="1305"/>
      <c r="MRE65" s="1304"/>
      <c r="MRF65" s="1304"/>
      <c r="MRG65" s="1304"/>
      <c r="MRH65" s="1304"/>
      <c r="MRI65" s="1304"/>
      <c r="MRJ65" s="1304"/>
      <c r="MRK65" s="1304"/>
      <c r="MRL65" s="1304"/>
      <c r="MRM65" s="1305"/>
      <c r="MRN65" s="1305"/>
      <c r="MRO65" s="1304"/>
      <c r="MRP65" s="1304"/>
      <c r="MRQ65" s="1304"/>
      <c r="MRR65" s="1304"/>
      <c r="MRS65" s="1304"/>
      <c r="MRT65" s="1304"/>
      <c r="MRU65" s="1304"/>
      <c r="MRV65" s="1304"/>
      <c r="MRW65" s="1305"/>
      <c r="MRX65" s="1305"/>
      <c r="MRY65" s="1304"/>
      <c r="MRZ65" s="1304"/>
      <c r="MSA65" s="1304"/>
      <c r="MSB65" s="1304"/>
      <c r="MSC65" s="1304"/>
      <c r="MSD65" s="1304"/>
      <c r="MSE65" s="1304"/>
      <c r="MSF65" s="1304"/>
      <c r="MSG65" s="1305"/>
      <c r="MSH65" s="1305"/>
      <c r="MSI65" s="1304"/>
      <c r="MSJ65" s="1304"/>
      <c r="MSK65" s="1304"/>
      <c r="MSL65" s="1304"/>
      <c r="MSM65" s="1304"/>
      <c r="MSN65" s="1304"/>
      <c r="MSO65" s="1304"/>
      <c r="MSP65" s="1304"/>
      <c r="MSQ65" s="1305"/>
      <c r="MSR65" s="1305"/>
      <c r="MSS65" s="1304"/>
      <c r="MST65" s="1304"/>
      <c r="MSU65" s="1304"/>
      <c r="MSV65" s="1304"/>
      <c r="MSW65" s="1304"/>
      <c r="MSX65" s="1304"/>
      <c r="MSY65" s="1304"/>
      <c r="MSZ65" s="1304"/>
      <c r="MTA65" s="1305"/>
      <c r="MTB65" s="1305"/>
      <c r="MTC65" s="1304"/>
      <c r="MTD65" s="1304"/>
      <c r="MTE65" s="1304"/>
      <c r="MTF65" s="1304"/>
      <c r="MTG65" s="1304"/>
      <c r="MTH65" s="1304"/>
      <c r="MTI65" s="1304"/>
      <c r="MTJ65" s="1304"/>
      <c r="MTK65" s="1305"/>
      <c r="MTL65" s="1305"/>
      <c r="MTM65" s="1304"/>
      <c r="MTN65" s="1304"/>
      <c r="MTO65" s="1304"/>
      <c r="MTP65" s="1304"/>
      <c r="MTQ65" s="1304"/>
      <c r="MTR65" s="1304"/>
      <c r="MTS65" s="1304"/>
      <c r="MTT65" s="1304"/>
      <c r="MTU65" s="1305"/>
      <c r="MTV65" s="1305"/>
      <c r="MTW65" s="1304"/>
      <c r="MTX65" s="1304"/>
      <c r="MTY65" s="1304"/>
      <c r="MTZ65" s="1304"/>
      <c r="MUA65" s="1304"/>
      <c r="MUB65" s="1304"/>
      <c r="MUC65" s="1304"/>
      <c r="MUD65" s="1304"/>
      <c r="MUE65" s="1305"/>
      <c r="MUF65" s="1305"/>
      <c r="MUG65" s="1304"/>
      <c r="MUH65" s="1304"/>
      <c r="MUI65" s="1304"/>
      <c r="MUJ65" s="1304"/>
      <c r="MUK65" s="1304"/>
      <c r="MUL65" s="1304"/>
      <c r="MUM65" s="1304"/>
      <c r="MUN65" s="1304"/>
      <c r="MUO65" s="1305"/>
      <c r="MUP65" s="1305"/>
      <c r="MUQ65" s="1304"/>
      <c r="MUR65" s="1304"/>
      <c r="MUS65" s="1304"/>
      <c r="MUT65" s="1304"/>
      <c r="MUU65" s="1304"/>
      <c r="MUV65" s="1304"/>
      <c r="MUW65" s="1304"/>
      <c r="MUX65" s="1304"/>
      <c r="MUY65" s="1305"/>
      <c r="MUZ65" s="1305"/>
      <c r="MVA65" s="1304"/>
      <c r="MVB65" s="1304"/>
      <c r="MVC65" s="1304"/>
      <c r="MVD65" s="1304"/>
      <c r="MVE65" s="1304"/>
      <c r="MVF65" s="1304"/>
      <c r="MVG65" s="1304"/>
      <c r="MVH65" s="1304"/>
      <c r="MVI65" s="1305"/>
      <c r="MVJ65" s="1305"/>
      <c r="MVK65" s="1304"/>
      <c r="MVL65" s="1304"/>
      <c r="MVM65" s="1304"/>
      <c r="MVN65" s="1304"/>
      <c r="MVO65" s="1304"/>
      <c r="MVP65" s="1304"/>
      <c r="MVQ65" s="1304"/>
      <c r="MVR65" s="1304"/>
      <c r="MVS65" s="1305"/>
      <c r="MVT65" s="1305"/>
      <c r="MVU65" s="1304"/>
      <c r="MVV65" s="1304"/>
      <c r="MVW65" s="1304"/>
      <c r="MVX65" s="1304"/>
      <c r="MVY65" s="1304"/>
      <c r="MVZ65" s="1304"/>
      <c r="MWA65" s="1304"/>
      <c r="MWB65" s="1304"/>
      <c r="MWC65" s="1305"/>
      <c r="MWD65" s="1305"/>
      <c r="MWE65" s="1304"/>
      <c r="MWF65" s="1304"/>
      <c r="MWG65" s="1304"/>
      <c r="MWH65" s="1304"/>
      <c r="MWI65" s="1304"/>
      <c r="MWJ65" s="1304"/>
      <c r="MWK65" s="1304"/>
      <c r="MWL65" s="1304"/>
      <c r="MWM65" s="1305"/>
      <c r="MWN65" s="1305"/>
      <c r="MWO65" s="1304"/>
      <c r="MWP65" s="1304"/>
      <c r="MWQ65" s="1304"/>
      <c r="MWR65" s="1304"/>
      <c r="MWS65" s="1304"/>
      <c r="MWT65" s="1304"/>
      <c r="MWU65" s="1304"/>
      <c r="MWV65" s="1304"/>
      <c r="MWW65" s="1305"/>
      <c r="MWX65" s="1305"/>
      <c r="MWY65" s="1304"/>
      <c r="MWZ65" s="1304"/>
      <c r="MXA65" s="1304"/>
      <c r="MXB65" s="1304"/>
      <c r="MXC65" s="1304"/>
      <c r="MXD65" s="1304"/>
      <c r="MXE65" s="1304"/>
      <c r="MXF65" s="1304"/>
      <c r="MXG65" s="1305"/>
      <c r="MXH65" s="1305"/>
      <c r="MXI65" s="1304"/>
      <c r="MXJ65" s="1304"/>
      <c r="MXK65" s="1304"/>
      <c r="MXL65" s="1304"/>
      <c r="MXM65" s="1304"/>
      <c r="MXN65" s="1304"/>
      <c r="MXO65" s="1304"/>
      <c r="MXP65" s="1304"/>
      <c r="MXQ65" s="1305"/>
      <c r="MXR65" s="1305"/>
      <c r="MXS65" s="1304"/>
      <c r="MXT65" s="1304"/>
      <c r="MXU65" s="1304"/>
      <c r="MXV65" s="1304"/>
      <c r="MXW65" s="1304"/>
      <c r="MXX65" s="1304"/>
      <c r="MXY65" s="1304"/>
      <c r="MXZ65" s="1304"/>
      <c r="MYA65" s="1305"/>
      <c r="MYB65" s="1305"/>
      <c r="MYC65" s="1304"/>
      <c r="MYD65" s="1304"/>
      <c r="MYE65" s="1304"/>
      <c r="MYF65" s="1304"/>
      <c r="MYG65" s="1304"/>
      <c r="MYH65" s="1304"/>
      <c r="MYI65" s="1304"/>
      <c r="MYJ65" s="1304"/>
      <c r="MYK65" s="1305"/>
      <c r="MYL65" s="1305"/>
      <c r="MYM65" s="1304"/>
      <c r="MYN65" s="1304"/>
      <c r="MYO65" s="1304"/>
      <c r="MYP65" s="1304"/>
      <c r="MYQ65" s="1304"/>
      <c r="MYR65" s="1304"/>
      <c r="MYS65" s="1304"/>
      <c r="MYT65" s="1304"/>
      <c r="MYU65" s="1305"/>
      <c r="MYV65" s="1305"/>
      <c r="MYW65" s="1304"/>
      <c r="MYX65" s="1304"/>
      <c r="MYY65" s="1304"/>
      <c r="MYZ65" s="1304"/>
      <c r="MZA65" s="1304"/>
      <c r="MZB65" s="1304"/>
      <c r="MZC65" s="1304"/>
      <c r="MZD65" s="1304"/>
      <c r="MZE65" s="1305"/>
      <c r="MZF65" s="1305"/>
      <c r="MZG65" s="1304"/>
      <c r="MZH65" s="1304"/>
      <c r="MZI65" s="1304"/>
      <c r="MZJ65" s="1304"/>
      <c r="MZK65" s="1304"/>
      <c r="MZL65" s="1304"/>
      <c r="MZM65" s="1304"/>
      <c r="MZN65" s="1304"/>
      <c r="MZO65" s="1305"/>
      <c r="MZP65" s="1305"/>
      <c r="MZQ65" s="1304"/>
      <c r="MZR65" s="1304"/>
      <c r="MZS65" s="1304"/>
      <c r="MZT65" s="1304"/>
      <c r="MZU65" s="1304"/>
      <c r="MZV65" s="1304"/>
      <c r="MZW65" s="1304"/>
      <c r="MZX65" s="1304"/>
      <c r="MZY65" s="1305"/>
      <c r="MZZ65" s="1305"/>
      <c r="NAA65" s="1304"/>
      <c r="NAB65" s="1304"/>
      <c r="NAC65" s="1304"/>
      <c r="NAD65" s="1304"/>
      <c r="NAE65" s="1304"/>
      <c r="NAF65" s="1304"/>
      <c r="NAG65" s="1304"/>
      <c r="NAH65" s="1304"/>
      <c r="NAI65" s="1305"/>
      <c r="NAJ65" s="1305"/>
      <c r="NAK65" s="1304"/>
      <c r="NAL65" s="1304"/>
      <c r="NAM65" s="1304"/>
      <c r="NAN65" s="1304"/>
      <c r="NAO65" s="1304"/>
      <c r="NAP65" s="1304"/>
      <c r="NAQ65" s="1304"/>
      <c r="NAR65" s="1304"/>
      <c r="NAS65" s="1305"/>
      <c r="NAT65" s="1305"/>
      <c r="NAU65" s="1304"/>
      <c r="NAV65" s="1304"/>
      <c r="NAW65" s="1304"/>
      <c r="NAX65" s="1304"/>
      <c r="NAY65" s="1304"/>
      <c r="NAZ65" s="1304"/>
      <c r="NBA65" s="1304"/>
      <c r="NBB65" s="1304"/>
      <c r="NBC65" s="1305"/>
      <c r="NBD65" s="1305"/>
      <c r="NBE65" s="1304"/>
      <c r="NBF65" s="1304"/>
      <c r="NBG65" s="1304"/>
      <c r="NBH65" s="1304"/>
      <c r="NBI65" s="1304"/>
      <c r="NBJ65" s="1304"/>
      <c r="NBK65" s="1304"/>
      <c r="NBL65" s="1304"/>
      <c r="NBM65" s="1305"/>
      <c r="NBN65" s="1305"/>
      <c r="NBO65" s="1304"/>
      <c r="NBP65" s="1304"/>
      <c r="NBQ65" s="1304"/>
      <c r="NBR65" s="1304"/>
      <c r="NBS65" s="1304"/>
      <c r="NBT65" s="1304"/>
      <c r="NBU65" s="1304"/>
      <c r="NBV65" s="1304"/>
      <c r="NBW65" s="1305"/>
      <c r="NBX65" s="1305"/>
      <c r="NBY65" s="1304"/>
      <c r="NBZ65" s="1304"/>
      <c r="NCA65" s="1304"/>
      <c r="NCB65" s="1304"/>
      <c r="NCC65" s="1304"/>
      <c r="NCD65" s="1304"/>
      <c r="NCE65" s="1304"/>
      <c r="NCF65" s="1304"/>
      <c r="NCG65" s="1305"/>
      <c r="NCH65" s="1305"/>
      <c r="NCI65" s="1304"/>
      <c r="NCJ65" s="1304"/>
      <c r="NCK65" s="1304"/>
      <c r="NCL65" s="1304"/>
      <c r="NCM65" s="1304"/>
      <c r="NCN65" s="1304"/>
      <c r="NCO65" s="1304"/>
      <c r="NCP65" s="1304"/>
      <c r="NCQ65" s="1305"/>
      <c r="NCR65" s="1305"/>
      <c r="NCS65" s="1304"/>
      <c r="NCT65" s="1304"/>
      <c r="NCU65" s="1304"/>
      <c r="NCV65" s="1304"/>
      <c r="NCW65" s="1304"/>
      <c r="NCX65" s="1304"/>
      <c r="NCY65" s="1304"/>
      <c r="NCZ65" s="1304"/>
      <c r="NDA65" s="1305"/>
      <c r="NDB65" s="1305"/>
      <c r="NDC65" s="1304"/>
      <c r="NDD65" s="1304"/>
      <c r="NDE65" s="1304"/>
      <c r="NDF65" s="1304"/>
      <c r="NDG65" s="1304"/>
      <c r="NDH65" s="1304"/>
      <c r="NDI65" s="1304"/>
      <c r="NDJ65" s="1304"/>
      <c r="NDK65" s="1305"/>
      <c r="NDL65" s="1305"/>
      <c r="NDM65" s="1304"/>
      <c r="NDN65" s="1304"/>
      <c r="NDO65" s="1304"/>
      <c r="NDP65" s="1304"/>
      <c r="NDQ65" s="1304"/>
      <c r="NDR65" s="1304"/>
      <c r="NDS65" s="1304"/>
      <c r="NDT65" s="1304"/>
      <c r="NDU65" s="1305"/>
      <c r="NDV65" s="1305"/>
      <c r="NDW65" s="1304"/>
      <c r="NDX65" s="1304"/>
      <c r="NDY65" s="1304"/>
      <c r="NDZ65" s="1304"/>
      <c r="NEA65" s="1304"/>
      <c r="NEB65" s="1304"/>
      <c r="NEC65" s="1304"/>
      <c r="NED65" s="1304"/>
      <c r="NEE65" s="1305"/>
      <c r="NEF65" s="1305"/>
      <c r="NEG65" s="1304"/>
      <c r="NEH65" s="1304"/>
      <c r="NEI65" s="1304"/>
      <c r="NEJ65" s="1304"/>
      <c r="NEK65" s="1304"/>
      <c r="NEL65" s="1304"/>
      <c r="NEM65" s="1304"/>
      <c r="NEN65" s="1304"/>
      <c r="NEO65" s="1305"/>
      <c r="NEP65" s="1305"/>
      <c r="NEQ65" s="1304"/>
      <c r="NER65" s="1304"/>
      <c r="NES65" s="1304"/>
      <c r="NET65" s="1304"/>
      <c r="NEU65" s="1304"/>
      <c r="NEV65" s="1304"/>
      <c r="NEW65" s="1304"/>
      <c r="NEX65" s="1304"/>
      <c r="NEY65" s="1305"/>
      <c r="NEZ65" s="1305"/>
      <c r="NFA65" s="1304"/>
      <c r="NFB65" s="1304"/>
      <c r="NFC65" s="1304"/>
      <c r="NFD65" s="1304"/>
      <c r="NFE65" s="1304"/>
      <c r="NFF65" s="1304"/>
      <c r="NFG65" s="1304"/>
      <c r="NFH65" s="1304"/>
      <c r="NFI65" s="1305"/>
      <c r="NFJ65" s="1305"/>
      <c r="NFK65" s="1304"/>
      <c r="NFL65" s="1304"/>
      <c r="NFM65" s="1304"/>
      <c r="NFN65" s="1304"/>
      <c r="NFO65" s="1304"/>
      <c r="NFP65" s="1304"/>
      <c r="NFQ65" s="1304"/>
      <c r="NFR65" s="1304"/>
      <c r="NFS65" s="1305"/>
      <c r="NFT65" s="1305"/>
      <c r="NFU65" s="1304"/>
      <c r="NFV65" s="1304"/>
      <c r="NFW65" s="1304"/>
      <c r="NFX65" s="1304"/>
      <c r="NFY65" s="1304"/>
      <c r="NFZ65" s="1304"/>
      <c r="NGA65" s="1304"/>
      <c r="NGB65" s="1304"/>
      <c r="NGC65" s="1305"/>
      <c r="NGD65" s="1305"/>
      <c r="NGE65" s="1304"/>
      <c r="NGF65" s="1304"/>
      <c r="NGG65" s="1304"/>
      <c r="NGH65" s="1304"/>
      <c r="NGI65" s="1304"/>
      <c r="NGJ65" s="1304"/>
      <c r="NGK65" s="1304"/>
      <c r="NGL65" s="1304"/>
      <c r="NGM65" s="1305"/>
      <c r="NGN65" s="1305"/>
      <c r="NGO65" s="1304"/>
      <c r="NGP65" s="1304"/>
      <c r="NGQ65" s="1304"/>
      <c r="NGR65" s="1304"/>
      <c r="NGS65" s="1304"/>
      <c r="NGT65" s="1304"/>
      <c r="NGU65" s="1304"/>
      <c r="NGV65" s="1304"/>
      <c r="NGW65" s="1305"/>
      <c r="NGX65" s="1305"/>
      <c r="NGY65" s="1304"/>
      <c r="NGZ65" s="1304"/>
      <c r="NHA65" s="1304"/>
      <c r="NHB65" s="1304"/>
      <c r="NHC65" s="1304"/>
      <c r="NHD65" s="1304"/>
      <c r="NHE65" s="1304"/>
      <c r="NHF65" s="1304"/>
      <c r="NHG65" s="1305"/>
      <c r="NHH65" s="1305"/>
      <c r="NHI65" s="1304"/>
      <c r="NHJ65" s="1304"/>
      <c r="NHK65" s="1304"/>
      <c r="NHL65" s="1304"/>
      <c r="NHM65" s="1304"/>
      <c r="NHN65" s="1304"/>
      <c r="NHO65" s="1304"/>
      <c r="NHP65" s="1304"/>
      <c r="NHQ65" s="1305"/>
      <c r="NHR65" s="1305"/>
      <c r="NHS65" s="1304"/>
      <c r="NHT65" s="1304"/>
      <c r="NHU65" s="1304"/>
      <c r="NHV65" s="1304"/>
      <c r="NHW65" s="1304"/>
      <c r="NHX65" s="1304"/>
      <c r="NHY65" s="1304"/>
      <c r="NHZ65" s="1304"/>
      <c r="NIA65" s="1305"/>
      <c r="NIB65" s="1305"/>
      <c r="NIC65" s="1304"/>
      <c r="NID65" s="1304"/>
      <c r="NIE65" s="1304"/>
      <c r="NIF65" s="1304"/>
      <c r="NIG65" s="1304"/>
      <c r="NIH65" s="1304"/>
      <c r="NII65" s="1304"/>
      <c r="NIJ65" s="1304"/>
      <c r="NIK65" s="1305"/>
      <c r="NIL65" s="1305"/>
      <c r="NIM65" s="1304"/>
      <c r="NIN65" s="1304"/>
      <c r="NIO65" s="1304"/>
      <c r="NIP65" s="1304"/>
      <c r="NIQ65" s="1304"/>
      <c r="NIR65" s="1304"/>
      <c r="NIS65" s="1304"/>
      <c r="NIT65" s="1304"/>
      <c r="NIU65" s="1305"/>
      <c r="NIV65" s="1305"/>
      <c r="NIW65" s="1304"/>
      <c r="NIX65" s="1304"/>
      <c r="NIY65" s="1304"/>
      <c r="NIZ65" s="1304"/>
      <c r="NJA65" s="1304"/>
      <c r="NJB65" s="1304"/>
      <c r="NJC65" s="1304"/>
      <c r="NJD65" s="1304"/>
      <c r="NJE65" s="1305"/>
      <c r="NJF65" s="1305"/>
      <c r="NJG65" s="1304"/>
      <c r="NJH65" s="1304"/>
      <c r="NJI65" s="1304"/>
      <c r="NJJ65" s="1304"/>
      <c r="NJK65" s="1304"/>
      <c r="NJL65" s="1304"/>
      <c r="NJM65" s="1304"/>
      <c r="NJN65" s="1304"/>
      <c r="NJO65" s="1305"/>
      <c r="NJP65" s="1305"/>
      <c r="NJQ65" s="1304"/>
      <c r="NJR65" s="1304"/>
      <c r="NJS65" s="1304"/>
      <c r="NJT65" s="1304"/>
      <c r="NJU65" s="1304"/>
      <c r="NJV65" s="1304"/>
      <c r="NJW65" s="1304"/>
      <c r="NJX65" s="1304"/>
      <c r="NJY65" s="1305"/>
      <c r="NJZ65" s="1305"/>
      <c r="NKA65" s="1304"/>
      <c r="NKB65" s="1304"/>
      <c r="NKC65" s="1304"/>
      <c r="NKD65" s="1304"/>
      <c r="NKE65" s="1304"/>
      <c r="NKF65" s="1304"/>
      <c r="NKG65" s="1304"/>
      <c r="NKH65" s="1304"/>
      <c r="NKI65" s="1305"/>
      <c r="NKJ65" s="1305"/>
      <c r="NKK65" s="1304"/>
      <c r="NKL65" s="1304"/>
      <c r="NKM65" s="1304"/>
      <c r="NKN65" s="1304"/>
      <c r="NKO65" s="1304"/>
      <c r="NKP65" s="1304"/>
      <c r="NKQ65" s="1304"/>
      <c r="NKR65" s="1304"/>
      <c r="NKS65" s="1305"/>
      <c r="NKT65" s="1305"/>
      <c r="NKU65" s="1304"/>
      <c r="NKV65" s="1304"/>
      <c r="NKW65" s="1304"/>
      <c r="NKX65" s="1304"/>
      <c r="NKY65" s="1304"/>
      <c r="NKZ65" s="1304"/>
      <c r="NLA65" s="1304"/>
      <c r="NLB65" s="1304"/>
      <c r="NLC65" s="1305"/>
      <c r="NLD65" s="1305"/>
      <c r="NLE65" s="1304"/>
      <c r="NLF65" s="1304"/>
      <c r="NLG65" s="1304"/>
      <c r="NLH65" s="1304"/>
      <c r="NLI65" s="1304"/>
      <c r="NLJ65" s="1304"/>
      <c r="NLK65" s="1304"/>
      <c r="NLL65" s="1304"/>
      <c r="NLM65" s="1305"/>
      <c r="NLN65" s="1305"/>
      <c r="NLO65" s="1304"/>
      <c r="NLP65" s="1304"/>
      <c r="NLQ65" s="1304"/>
      <c r="NLR65" s="1304"/>
      <c r="NLS65" s="1304"/>
      <c r="NLT65" s="1304"/>
      <c r="NLU65" s="1304"/>
      <c r="NLV65" s="1304"/>
      <c r="NLW65" s="1305"/>
      <c r="NLX65" s="1305"/>
      <c r="NLY65" s="1304"/>
      <c r="NLZ65" s="1304"/>
      <c r="NMA65" s="1304"/>
      <c r="NMB65" s="1304"/>
      <c r="NMC65" s="1304"/>
      <c r="NMD65" s="1304"/>
      <c r="NME65" s="1304"/>
      <c r="NMF65" s="1304"/>
      <c r="NMG65" s="1305"/>
      <c r="NMH65" s="1305"/>
      <c r="NMI65" s="1304"/>
      <c r="NMJ65" s="1304"/>
      <c r="NMK65" s="1304"/>
      <c r="NML65" s="1304"/>
      <c r="NMM65" s="1304"/>
      <c r="NMN65" s="1304"/>
      <c r="NMO65" s="1304"/>
      <c r="NMP65" s="1304"/>
      <c r="NMQ65" s="1305"/>
      <c r="NMR65" s="1305"/>
      <c r="NMS65" s="1304"/>
      <c r="NMT65" s="1304"/>
      <c r="NMU65" s="1304"/>
      <c r="NMV65" s="1304"/>
      <c r="NMW65" s="1304"/>
      <c r="NMX65" s="1304"/>
      <c r="NMY65" s="1304"/>
      <c r="NMZ65" s="1304"/>
      <c r="NNA65" s="1305"/>
      <c r="NNB65" s="1305"/>
      <c r="NNC65" s="1304"/>
      <c r="NND65" s="1304"/>
      <c r="NNE65" s="1304"/>
      <c r="NNF65" s="1304"/>
      <c r="NNG65" s="1304"/>
      <c r="NNH65" s="1304"/>
      <c r="NNI65" s="1304"/>
      <c r="NNJ65" s="1304"/>
      <c r="NNK65" s="1305"/>
      <c r="NNL65" s="1305"/>
      <c r="NNM65" s="1304"/>
      <c r="NNN65" s="1304"/>
      <c r="NNO65" s="1304"/>
      <c r="NNP65" s="1304"/>
      <c r="NNQ65" s="1304"/>
      <c r="NNR65" s="1304"/>
      <c r="NNS65" s="1304"/>
      <c r="NNT65" s="1304"/>
      <c r="NNU65" s="1305"/>
      <c r="NNV65" s="1305"/>
      <c r="NNW65" s="1304"/>
      <c r="NNX65" s="1304"/>
      <c r="NNY65" s="1304"/>
      <c r="NNZ65" s="1304"/>
      <c r="NOA65" s="1304"/>
      <c r="NOB65" s="1304"/>
      <c r="NOC65" s="1304"/>
      <c r="NOD65" s="1304"/>
      <c r="NOE65" s="1305"/>
      <c r="NOF65" s="1305"/>
      <c r="NOG65" s="1304"/>
      <c r="NOH65" s="1304"/>
      <c r="NOI65" s="1304"/>
      <c r="NOJ65" s="1304"/>
      <c r="NOK65" s="1304"/>
      <c r="NOL65" s="1304"/>
      <c r="NOM65" s="1304"/>
      <c r="NON65" s="1304"/>
      <c r="NOO65" s="1305"/>
      <c r="NOP65" s="1305"/>
      <c r="NOQ65" s="1304"/>
      <c r="NOR65" s="1304"/>
      <c r="NOS65" s="1304"/>
      <c r="NOT65" s="1304"/>
      <c r="NOU65" s="1304"/>
      <c r="NOV65" s="1304"/>
      <c r="NOW65" s="1304"/>
      <c r="NOX65" s="1304"/>
      <c r="NOY65" s="1305"/>
      <c r="NOZ65" s="1305"/>
      <c r="NPA65" s="1304"/>
      <c r="NPB65" s="1304"/>
      <c r="NPC65" s="1304"/>
      <c r="NPD65" s="1304"/>
      <c r="NPE65" s="1304"/>
      <c r="NPF65" s="1304"/>
      <c r="NPG65" s="1304"/>
      <c r="NPH65" s="1304"/>
      <c r="NPI65" s="1305"/>
      <c r="NPJ65" s="1305"/>
      <c r="NPK65" s="1304"/>
      <c r="NPL65" s="1304"/>
      <c r="NPM65" s="1304"/>
      <c r="NPN65" s="1304"/>
      <c r="NPO65" s="1304"/>
      <c r="NPP65" s="1304"/>
      <c r="NPQ65" s="1304"/>
      <c r="NPR65" s="1304"/>
      <c r="NPS65" s="1305"/>
      <c r="NPT65" s="1305"/>
      <c r="NPU65" s="1304"/>
      <c r="NPV65" s="1304"/>
      <c r="NPW65" s="1304"/>
      <c r="NPX65" s="1304"/>
      <c r="NPY65" s="1304"/>
      <c r="NPZ65" s="1304"/>
      <c r="NQA65" s="1304"/>
      <c r="NQB65" s="1304"/>
      <c r="NQC65" s="1305"/>
      <c r="NQD65" s="1305"/>
      <c r="NQE65" s="1304"/>
      <c r="NQF65" s="1304"/>
      <c r="NQG65" s="1304"/>
      <c r="NQH65" s="1304"/>
      <c r="NQI65" s="1304"/>
      <c r="NQJ65" s="1304"/>
      <c r="NQK65" s="1304"/>
      <c r="NQL65" s="1304"/>
      <c r="NQM65" s="1305"/>
      <c r="NQN65" s="1305"/>
      <c r="NQO65" s="1304"/>
      <c r="NQP65" s="1304"/>
      <c r="NQQ65" s="1304"/>
      <c r="NQR65" s="1304"/>
      <c r="NQS65" s="1304"/>
      <c r="NQT65" s="1304"/>
      <c r="NQU65" s="1304"/>
      <c r="NQV65" s="1304"/>
      <c r="NQW65" s="1305"/>
      <c r="NQX65" s="1305"/>
      <c r="NQY65" s="1304"/>
      <c r="NQZ65" s="1304"/>
      <c r="NRA65" s="1304"/>
      <c r="NRB65" s="1304"/>
      <c r="NRC65" s="1304"/>
      <c r="NRD65" s="1304"/>
      <c r="NRE65" s="1304"/>
      <c r="NRF65" s="1304"/>
      <c r="NRG65" s="1305"/>
      <c r="NRH65" s="1305"/>
      <c r="NRI65" s="1304"/>
      <c r="NRJ65" s="1304"/>
      <c r="NRK65" s="1304"/>
      <c r="NRL65" s="1304"/>
      <c r="NRM65" s="1304"/>
      <c r="NRN65" s="1304"/>
      <c r="NRO65" s="1304"/>
      <c r="NRP65" s="1304"/>
      <c r="NRQ65" s="1305"/>
      <c r="NRR65" s="1305"/>
      <c r="NRS65" s="1304"/>
      <c r="NRT65" s="1304"/>
      <c r="NRU65" s="1304"/>
      <c r="NRV65" s="1304"/>
      <c r="NRW65" s="1304"/>
      <c r="NRX65" s="1304"/>
      <c r="NRY65" s="1304"/>
      <c r="NRZ65" s="1304"/>
      <c r="NSA65" s="1305"/>
      <c r="NSB65" s="1305"/>
      <c r="NSC65" s="1304"/>
      <c r="NSD65" s="1304"/>
      <c r="NSE65" s="1304"/>
      <c r="NSF65" s="1304"/>
      <c r="NSG65" s="1304"/>
      <c r="NSH65" s="1304"/>
      <c r="NSI65" s="1304"/>
      <c r="NSJ65" s="1304"/>
      <c r="NSK65" s="1305"/>
      <c r="NSL65" s="1305"/>
      <c r="NSM65" s="1304"/>
      <c r="NSN65" s="1304"/>
      <c r="NSO65" s="1304"/>
      <c r="NSP65" s="1304"/>
      <c r="NSQ65" s="1304"/>
      <c r="NSR65" s="1304"/>
      <c r="NSS65" s="1304"/>
      <c r="NST65" s="1304"/>
      <c r="NSU65" s="1305"/>
      <c r="NSV65" s="1305"/>
      <c r="NSW65" s="1304"/>
      <c r="NSX65" s="1304"/>
      <c r="NSY65" s="1304"/>
      <c r="NSZ65" s="1304"/>
      <c r="NTA65" s="1304"/>
      <c r="NTB65" s="1304"/>
      <c r="NTC65" s="1304"/>
      <c r="NTD65" s="1304"/>
      <c r="NTE65" s="1305"/>
      <c r="NTF65" s="1305"/>
      <c r="NTG65" s="1304"/>
      <c r="NTH65" s="1304"/>
      <c r="NTI65" s="1304"/>
      <c r="NTJ65" s="1304"/>
      <c r="NTK65" s="1304"/>
      <c r="NTL65" s="1304"/>
      <c r="NTM65" s="1304"/>
      <c r="NTN65" s="1304"/>
      <c r="NTO65" s="1305"/>
      <c r="NTP65" s="1305"/>
      <c r="NTQ65" s="1304"/>
      <c r="NTR65" s="1304"/>
      <c r="NTS65" s="1304"/>
      <c r="NTT65" s="1304"/>
      <c r="NTU65" s="1304"/>
      <c r="NTV65" s="1304"/>
      <c r="NTW65" s="1304"/>
      <c r="NTX65" s="1304"/>
      <c r="NTY65" s="1305"/>
      <c r="NTZ65" s="1305"/>
      <c r="NUA65" s="1304"/>
      <c r="NUB65" s="1304"/>
      <c r="NUC65" s="1304"/>
      <c r="NUD65" s="1304"/>
      <c r="NUE65" s="1304"/>
      <c r="NUF65" s="1304"/>
      <c r="NUG65" s="1304"/>
      <c r="NUH65" s="1304"/>
      <c r="NUI65" s="1305"/>
      <c r="NUJ65" s="1305"/>
      <c r="NUK65" s="1304"/>
      <c r="NUL65" s="1304"/>
      <c r="NUM65" s="1304"/>
      <c r="NUN65" s="1304"/>
      <c r="NUO65" s="1304"/>
      <c r="NUP65" s="1304"/>
      <c r="NUQ65" s="1304"/>
      <c r="NUR65" s="1304"/>
      <c r="NUS65" s="1305"/>
      <c r="NUT65" s="1305"/>
      <c r="NUU65" s="1304"/>
      <c r="NUV65" s="1304"/>
      <c r="NUW65" s="1304"/>
      <c r="NUX65" s="1304"/>
      <c r="NUY65" s="1304"/>
      <c r="NUZ65" s="1304"/>
      <c r="NVA65" s="1304"/>
      <c r="NVB65" s="1304"/>
      <c r="NVC65" s="1305"/>
      <c r="NVD65" s="1305"/>
      <c r="NVE65" s="1304"/>
      <c r="NVF65" s="1304"/>
      <c r="NVG65" s="1304"/>
      <c r="NVH65" s="1304"/>
      <c r="NVI65" s="1304"/>
      <c r="NVJ65" s="1304"/>
      <c r="NVK65" s="1304"/>
      <c r="NVL65" s="1304"/>
      <c r="NVM65" s="1305"/>
      <c r="NVN65" s="1305"/>
      <c r="NVO65" s="1304"/>
      <c r="NVP65" s="1304"/>
      <c r="NVQ65" s="1304"/>
      <c r="NVR65" s="1304"/>
      <c r="NVS65" s="1304"/>
      <c r="NVT65" s="1304"/>
      <c r="NVU65" s="1304"/>
      <c r="NVV65" s="1304"/>
      <c r="NVW65" s="1305"/>
      <c r="NVX65" s="1305"/>
      <c r="NVY65" s="1304"/>
      <c r="NVZ65" s="1304"/>
      <c r="NWA65" s="1304"/>
      <c r="NWB65" s="1304"/>
      <c r="NWC65" s="1304"/>
      <c r="NWD65" s="1304"/>
      <c r="NWE65" s="1304"/>
      <c r="NWF65" s="1304"/>
      <c r="NWG65" s="1305"/>
      <c r="NWH65" s="1305"/>
      <c r="NWI65" s="1304"/>
      <c r="NWJ65" s="1304"/>
      <c r="NWK65" s="1304"/>
      <c r="NWL65" s="1304"/>
      <c r="NWM65" s="1304"/>
      <c r="NWN65" s="1304"/>
      <c r="NWO65" s="1304"/>
      <c r="NWP65" s="1304"/>
      <c r="NWQ65" s="1305"/>
      <c r="NWR65" s="1305"/>
      <c r="NWS65" s="1304"/>
      <c r="NWT65" s="1304"/>
      <c r="NWU65" s="1304"/>
      <c r="NWV65" s="1304"/>
      <c r="NWW65" s="1304"/>
      <c r="NWX65" s="1304"/>
      <c r="NWY65" s="1304"/>
      <c r="NWZ65" s="1304"/>
      <c r="NXA65" s="1305"/>
      <c r="NXB65" s="1305"/>
      <c r="NXC65" s="1304"/>
      <c r="NXD65" s="1304"/>
      <c r="NXE65" s="1304"/>
      <c r="NXF65" s="1304"/>
      <c r="NXG65" s="1304"/>
      <c r="NXH65" s="1304"/>
      <c r="NXI65" s="1304"/>
      <c r="NXJ65" s="1304"/>
      <c r="NXK65" s="1305"/>
      <c r="NXL65" s="1305"/>
      <c r="NXM65" s="1304"/>
      <c r="NXN65" s="1304"/>
      <c r="NXO65" s="1304"/>
      <c r="NXP65" s="1304"/>
      <c r="NXQ65" s="1304"/>
      <c r="NXR65" s="1304"/>
      <c r="NXS65" s="1304"/>
      <c r="NXT65" s="1304"/>
      <c r="NXU65" s="1305"/>
      <c r="NXV65" s="1305"/>
      <c r="NXW65" s="1304"/>
      <c r="NXX65" s="1304"/>
      <c r="NXY65" s="1304"/>
      <c r="NXZ65" s="1304"/>
      <c r="NYA65" s="1304"/>
      <c r="NYB65" s="1304"/>
      <c r="NYC65" s="1304"/>
      <c r="NYD65" s="1304"/>
      <c r="NYE65" s="1305"/>
      <c r="NYF65" s="1305"/>
      <c r="NYG65" s="1304"/>
      <c r="NYH65" s="1304"/>
      <c r="NYI65" s="1304"/>
      <c r="NYJ65" s="1304"/>
      <c r="NYK65" s="1304"/>
      <c r="NYL65" s="1304"/>
      <c r="NYM65" s="1304"/>
      <c r="NYN65" s="1304"/>
      <c r="NYO65" s="1305"/>
      <c r="NYP65" s="1305"/>
      <c r="NYQ65" s="1304"/>
      <c r="NYR65" s="1304"/>
      <c r="NYS65" s="1304"/>
      <c r="NYT65" s="1304"/>
      <c r="NYU65" s="1304"/>
      <c r="NYV65" s="1304"/>
      <c r="NYW65" s="1304"/>
      <c r="NYX65" s="1304"/>
      <c r="NYY65" s="1305"/>
      <c r="NYZ65" s="1305"/>
      <c r="NZA65" s="1304"/>
      <c r="NZB65" s="1304"/>
      <c r="NZC65" s="1304"/>
      <c r="NZD65" s="1304"/>
      <c r="NZE65" s="1304"/>
      <c r="NZF65" s="1304"/>
      <c r="NZG65" s="1304"/>
      <c r="NZH65" s="1304"/>
      <c r="NZI65" s="1305"/>
      <c r="NZJ65" s="1305"/>
      <c r="NZK65" s="1304"/>
      <c r="NZL65" s="1304"/>
      <c r="NZM65" s="1304"/>
      <c r="NZN65" s="1304"/>
      <c r="NZO65" s="1304"/>
      <c r="NZP65" s="1304"/>
      <c r="NZQ65" s="1304"/>
      <c r="NZR65" s="1304"/>
      <c r="NZS65" s="1305"/>
      <c r="NZT65" s="1305"/>
      <c r="NZU65" s="1304"/>
      <c r="NZV65" s="1304"/>
      <c r="NZW65" s="1304"/>
      <c r="NZX65" s="1304"/>
      <c r="NZY65" s="1304"/>
      <c r="NZZ65" s="1304"/>
      <c r="OAA65" s="1304"/>
      <c r="OAB65" s="1304"/>
      <c r="OAC65" s="1305"/>
      <c r="OAD65" s="1305"/>
      <c r="OAE65" s="1304"/>
      <c r="OAF65" s="1304"/>
      <c r="OAG65" s="1304"/>
      <c r="OAH65" s="1304"/>
      <c r="OAI65" s="1304"/>
      <c r="OAJ65" s="1304"/>
      <c r="OAK65" s="1304"/>
      <c r="OAL65" s="1304"/>
      <c r="OAM65" s="1305"/>
      <c r="OAN65" s="1305"/>
      <c r="OAO65" s="1304"/>
      <c r="OAP65" s="1304"/>
      <c r="OAQ65" s="1304"/>
      <c r="OAR65" s="1304"/>
      <c r="OAS65" s="1304"/>
      <c r="OAT65" s="1304"/>
      <c r="OAU65" s="1304"/>
      <c r="OAV65" s="1304"/>
      <c r="OAW65" s="1305"/>
      <c r="OAX65" s="1305"/>
      <c r="OAY65" s="1304"/>
      <c r="OAZ65" s="1304"/>
      <c r="OBA65" s="1304"/>
      <c r="OBB65" s="1304"/>
      <c r="OBC65" s="1304"/>
      <c r="OBD65" s="1304"/>
      <c r="OBE65" s="1304"/>
      <c r="OBF65" s="1304"/>
      <c r="OBG65" s="1305"/>
      <c r="OBH65" s="1305"/>
      <c r="OBI65" s="1304"/>
      <c r="OBJ65" s="1304"/>
      <c r="OBK65" s="1304"/>
      <c r="OBL65" s="1304"/>
      <c r="OBM65" s="1304"/>
      <c r="OBN65" s="1304"/>
      <c r="OBO65" s="1304"/>
      <c r="OBP65" s="1304"/>
      <c r="OBQ65" s="1305"/>
      <c r="OBR65" s="1305"/>
      <c r="OBS65" s="1304"/>
      <c r="OBT65" s="1304"/>
      <c r="OBU65" s="1304"/>
      <c r="OBV65" s="1304"/>
      <c r="OBW65" s="1304"/>
      <c r="OBX65" s="1304"/>
      <c r="OBY65" s="1304"/>
      <c r="OBZ65" s="1304"/>
      <c r="OCA65" s="1305"/>
      <c r="OCB65" s="1305"/>
      <c r="OCC65" s="1304"/>
      <c r="OCD65" s="1304"/>
      <c r="OCE65" s="1304"/>
      <c r="OCF65" s="1304"/>
      <c r="OCG65" s="1304"/>
      <c r="OCH65" s="1304"/>
      <c r="OCI65" s="1304"/>
      <c r="OCJ65" s="1304"/>
      <c r="OCK65" s="1305"/>
      <c r="OCL65" s="1305"/>
      <c r="OCM65" s="1304"/>
      <c r="OCN65" s="1304"/>
      <c r="OCO65" s="1304"/>
      <c r="OCP65" s="1304"/>
      <c r="OCQ65" s="1304"/>
      <c r="OCR65" s="1304"/>
      <c r="OCS65" s="1304"/>
      <c r="OCT65" s="1304"/>
      <c r="OCU65" s="1305"/>
      <c r="OCV65" s="1305"/>
      <c r="OCW65" s="1304"/>
      <c r="OCX65" s="1304"/>
      <c r="OCY65" s="1304"/>
      <c r="OCZ65" s="1304"/>
      <c r="ODA65" s="1304"/>
      <c r="ODB65" s="1304"/>
      <c r="ODC65" s="1304"/>
      <c r="ODD65" s="1304"/>
      <c r="ODE65" s="1305"/>
      <c r="ODF65" s="1305"/>
      <c r="ODG65" s="1304"/>
      <c r="ODH65" s="1304"/>
      <c r="ODI65" s="1304"/>
      <c r="ODJ65" s="1304"/>
      <c r="ODK65" s="1304"/>
      <c r="ODL65" s="1304"/>
      <c r="ODM65" s="1304"/>
      <c r="ODN65" s="1304"/>
      <c r="ODO65" s="1305"/>
      <c r="ODP65" s="1305"/>
      <c r="ODQ65" s="1304"/>
      <c r="ODR65" s="1304"/>
      <c r="ODS65" s="1304"/>
      <c r="ODT65" s="1304"/>
      <c r="ODU65" s="1304"/>
      <c r="ODV65" s="1304"/>
      <c r="ODW65" s="1304"/>
      <c r="ODX65" s="1304"/>
      <c r="ODY65" s="1305"/>
      <c r="ODZ65" s="1305"/>
      <c r="OEA65" s="1304"/>
      <c r="OEB65" s="1304"/>
      <c r="OEC65" s="1304"/>
      <c r="OED65" s="1304"/>
      <c r="OEE65" s="1304"/>
      <c r="OEF65" s="1304"/>
      <c r="OEG65" s="1304"/>
      <c r="OEH65" s="1304"/>
      <c r="OEI65" s="1305"/>
      <c r="OEJ65" s="1305"/>
      <c r="OEK65" s="1304"/>
      <c r="OEL65" s="1304"/>
      <c r="OEM65" s="1304"/>
      <c r="OEN65" s="1304"/>
      <c r="OEO65" s="1304"/>
      <c r="OEP65" s="1304"/>
      <c r="OEQ65" s="1304"/>
      <c r="OER65" s="1304"/>
      <c r="OES65" s="1305"/>
      <c r="OET65" s="1305"/>
      <c r="OEU65" s="1304"/>
      <c r="OEV65" s="1304"/>
      <c r="OEW65" s="1304"/>
      <c r="OEX65" s="1304"/>
      <c r="OEY65" s="1304"/>
      <c r="OEZ65" s="1304"/>
      <c r="OFA65" s="1304"/>
      <c r="OFB65" s="1304"/>
      <c r="OFC65" s="1305"/>
      <c r="OFD65" s="1305"/>
      <c r="OFE65" s="1304"/>
      <c r="OFF65" s="1304"/>
      <c r="OFG65" s="1304"/>
      <c r="OFH65" s="1304"/>
      <c r="OFI65" s="1304"/>
      <c r="OFJ65" s="1304"/>
      <c r="OFK65" s="1304"/>
      <c r="OFL65" s="1304"/>
      <c r="OFM65" s="1305"/>
      <c r="OFN65" s="1305"/>
      <c r="OFO65" s="1304"/>
      <c r="OFP65" s="1304"/>
      <c r="OFQ65" s="1304"/>
      <c r="OFR65" s="1304"/>
      <c r="OFS65" s="1304"/>
      <c r="OFT65" s="1304"/>
      <c r="OFU65" s="1304"/>
      <c r="OFV65" s="1304"/>
      <c r="OFW65" s="1305"/>
      <c r="OFX65" s="1305"/>
      <c r="OFY65" s="1304"/>
      <c r="OFZ65" s="1304"/>
      <c r="OGA65" s="1304"/>
      <c r="OGB65" s="1304"/>
      <c r="OGC65" s="1304"/>
      <c r="OGD65" s="1304"/>
      <c r="OGE65" s="1304"/>
      <c r="OGF65" s="1304"/>
      <c r="OGG65" s="1305"/>
      <c r="OGH65" s="1305"/>
      <c r="OGI65" s="1304"/>
      <c r="OGJ65" s="1304"/>
      <c r="OGK65" s="1304"/>
      <c r="OGL65" s="1304"/>
      <c r="OGM65" s="1304"/>
      <c r="OGN65" s="1304"/>
      <c r="OGO65" s="1304"/>
      <c r="OGP65" s="1304"/>
      <c r="OGQ65" s="1305"/>
      <c r="OGR65" s="1305"/>
      <c r="OGS65" s="1304"/>
      <c r="OGT65" s="1304"/>
      <c r="OGU65" s="1304"/>
      <c r="OGV65" s="1304"/>
      <c r="OGW65" s="1304"/>
      <c r="OGX65" s="1304"/>
      <c r="OGY65" s="1304"/>
      <c r="OGZ65" s="1304"/>
      <c r="OHA65" s="1305"/>
      <c r="OHB65" s="1305"/>
      <c r="OHC65" s="1304"/>
      <c r="OHD65" s="1304"/>
      <c r="OHE65" s="1304"/>
      <c r="OHF65" s="1304"/>
      <c r="OHG65" s="1304"/>
      <c r="OHH65" s="1304"/>
      <c r="OHI65" s="1304"/>
      <c r="OHJ65" s="1304"/>
      <c r="OHK65" s="1305"/>
      <c r="OHL65" s="1305"/>
      <c r="OHM65" s="1304"/>
      <c r="OHN65" s="1304"/>
      <c r="OHO65" s="1304"/>
      <c r="OHP65" s="1304"/>
      <c r="OHQ65" s="1304"/>
      <c r="OHR65" s="1304"/>
      <c r="OHS65" s="1304"/>
      <c r="OHT65" s="1304"/>
      <c r="OHU65" s="1305"/>
      <c r="OHV65" s="1305"/>
      <c r="OHW65" s="1304"/>
      <c r="OHX65" s="1304"/>
      <c r="OHY65" s="1304"/>
      <c r="OHZ65" s="1304"/>
      <c r="OIA65" s="1304"/>
      <c r="OIB65" s="1304"/>
      <c r="OIC65" s="1304"/>
      <c r="OID65" s="1304"/>
      <c r="OIE65" s="1305"/>
      <c r="OIF65" s="1305"/>
      <c r="OIG65" s="1304"/>
      <c r="OIH65" s="1304"/>
      <c r="OII65" s="1304"/>
      <c r="OIJ65" s="1304"/>
      <c r="OIK65" s="1304"/>
      <c r="OIL65" s="1304"/>
      <c r="OIM65" s="1304"/>
      <c r="OIN65" s="1304"/>
      <c r="OIO65" s="1305"/>
      <c r="OIP65" s="1305"/>
      <c r="OIQ65" s="1304"/>
      <c r="OIR65" s="1304"/>
      <c r="OIS65" s="1304"/>
      <c r="OIT65" s="1304"/>
      <c r="OIU65" s="1304"/>
      <c r="OIV65" s="1304"/>
      <c r="OIW65" s="1304"/>
      <c r="OIX65" s="1304"/>
      <c r="OIY65" s="1305"/>
      <c r="OIZ65" s="1305"/>
      <c r="OJA65" s="1304"/>
      <c r="OJB65" s="1304"/>
      <c r="OJC65" s="1304"/>
      <c r="OJD65" s="1304"/>
      <c r="OJE65" s="1304"/>
      <c r="OJF65" s="1304"/>
      <c r="OJG65" s="1304"/>
      <c r="OJH65" s="1304"/>
      <c r="OJI65" s="1305"/>
      <c r="OJJ65" s="1305"/>
      <c r="OJK65" s="1304"/>
      <c r="OJL65" s="1304"/>
      <c r="OJM65" s="1304"/>
      <c r="OJN65" s="1304"/>
      <c r="OJO65" s="1304"/>
      <c r="OJP65" s="1304"/>
      <c r="OJQ65" s="1304"/>
      <c r="OJR65" s="1304"/>
      <c r="OJS65" s="1305"/>
      <c r="OJT65" s="1305"/>
      <c r="OJU65" s="1304"/>
      <c r="OJV65" s="1304"/>
      <c r="OJW65" s="1304"/>
      <c r="OJX65" s="1304"/>
      <c r="OJY65" s="1304"/>
      <c r="OJZ65" s="1304"/>
      <c r="OKA65" s="1304"/>
      <c r="OKB65" s="1304"/>
      <c r="OKC65" s="1305"/>
      <c r="OKD65" s="1305"/>
      <c r="OKE65" s="1304"/>
      <c r="OKF65" s="1304"/>
      <c r="OKG65" s="1304"/>
      <c r="OKH65" s="1304"/>
      <c r="OKI65" s="1304"/>
      <c r="OKJ65" s="1304"/>
      <c r="OKK65" s="1304"/>
      <c r="OKL65" s="1304"/>
      <c r="OKM65" s="1305"/>
      <c r="OKN65" s="1305"/>
      <c r="OKO65" s="1304"/>
      <c r="OKP65" s="1304"/>
      <c r="OKQ65" s="1304"/>
      <c r="OKR65" s="1304"/>
      <c r="OKS65" s="1304"/>
      <c r="OKT65" s="1304"/>
      <c r="OKU65" s="1304"/>
      <c r="OKV65" s="1304"/>
      <c r="OKW65" s="1305"/>
      <c r="OKX65" s="1305"/>
      <c r="OKY65" s="1304"/>
      <c r="OKZ65" s="1304"/>
      <c r="OLA65" s="1304"/>
      <c r="OLB65" s="1304"/>
      <c r="OLC65" s="1304"/>
      <c r="OLD65" s="1304"/>
      <c r="OLE65" s="1304"/>
      <c r="OLF65" s="1304"/>
      <c r="OLG65" s="1305"/>
      <c r="OLH65" s="1305"/>
      <c r="OLI65" s="1304"/>
      <c r="OLJ65" s="1304"/>
      <c r="OLK65" s="1304"/>
      <c r="OLL65" s="1304"/>
      <c r="OLM65" s="1304"/>
      <c r="OLN65" s="1304"/>
      <c r="OLO65" s="1304"/>
      <c r="OLP65" s="1304"/>
      <c r="OLQ65" s="1305"/>
      <c r="OLR65" s="1305"/>
      <c r="OLS65" s="1304"/>
      <c r="OLT65" s="1304"/>
      <c r="OLU65" s="1304"/>
      <c r="OLV65" s="1304"/>
      <c r="OLW65" s="1304"/>
      <c r="OLX65" s="1304"/>
      <c r="OLY65" s="1304"/>
      <c r="OLZ65" s="1304"/>
      <c r="OMA65" s="1305"/>
      <c r="OMB65" s="1305"/>
      <c r="OMC65" s="1304"/>
      <c r="OMD65" s="1304"/>
      <c r="OME65" s="1304"/>
      <c r="OMF65" s="1304"/>
      <c r="OMG65" s="1304"/>
      <c r="OMH65" s="1304"/>
      <c r="OMI65" s="1304"/>
      <c r="OMJ65" s="1304"/>
      <c r="OMK65" s="1305"/>
      <c r="OML65" s="1305"/>
      <c r="OMM65" s="1304"/>
      <c r="OMN65" s="1304"/>
      <c r="OMO65" s="1304"/>
      <c r="OMP65" s="1304"/>
      <c r="OMQ65" s="1304"/>
      <c r="OMR65" s="1304"/>
      <c r="OMS65" s="1304"/>
      <c r="OMT65" s="1304"/>
      <c r="OMU65" s="1305"/>
      <c r="OMV65" s="1305"/>
      <c r="OMW65" s="1304"/>
      <c r="OMX65" s="1304"/>
      <c r="OMY65" s="1304"/>
      <c r="OMZ65" s="1304"/>
      <c r="ONA65" s="1304"/>
      <c r="ONB65" s="1304"/>
      <c r="ONC65" s="1304"/>
      <c r="OND65" s="1304"/>
      <c r="ONE65" s="1305"/>
      <c r="ONF65" s="1305"/>
      <c r="ONG65" s="1304"/>
      <c r="ONH65" s="1304"/>
      <c r="ONI65" s="1304"/>
      <c r="ONJ65" s="1304"/>
      <c r="ONK65" s="1304"/>
      <c r="ONL65" s="1304"/>
      <c r="ONM65" s="1304"/>
      <c r="ONN65" s="1304"/>
      <c r="ONO65" s="1305"/>
      <c r="ONP65" s="1305"/>
      <c r="ONQ65" s="1304"/>
      <c r="ONR65" s="1304"/>
      <c r="ONS65" s="1304"/>
      <c r="ONT65" s="1304"/>
      <c r="ONU65" s="1304"/>
      <c r="ONV65" s="1304"/>
      <c r="ONW65" s="1304"/>
      <c r="ONX65" s="1304"/>
      <c r="ONY65" s="1305"/>
      <c r="ONZ65" s="1305"/>
      <c r="OOA65" s="1304"/>
      <c r="OOB65" s="1304"/>
      <c r="OOC65" s="1304"/>
      <c r="OOD65" s="1304"/>
      <c r="OOE65" s="1304"/>
      <c r="OOF65" s="1304"/>
      <c r="OOG65" s="1304"/>
      <c r="OOH65" s="1304"/>
      <c r="OOI65" s="1305"/>
      <c r="OOJ65" s="1305"/>
      <c r="OOK65" s="1304"/>
      <c r="OOL65" s="1304"/>
      <c r="OOM65" s="1304"/>
      <c r="OON65" s="1304"/>
      <c r="OOO65" s="1304"/>
      <c r="OOP65" s="1304"/>
      <c r="OOQ65" s="1304"/>
      <c r="OOR65" s="1304"/>
      <c r="OOS65" s="1305"/>
      <c r="OOT65" s="1305"/>
      <c r="OOU65" s="1304"/>
      <c r="OOV65" s="1304"/>
      <c r="OOW65" s="1304"/>
      <c r="OOX65" s="1304"/>
      <c r="OOY65" s="1304"/>
      <c r="OOZ65" s="1304"/>
      <c r="OPA65" s="1304"/>
      <c r="OPB65" s="1304"/>
      <c r="OPC65" s="1305"/>
      <c r="OPD65" s="1305"/>
      <c r="OPE65" s="1304"/>
      <c r="OPF65" s="1304"/>
      <c r="OPG65" s="1304"/>
      <c r="OPH65" s="1304"/>
      <c r="OPI65" s="1304"/>
      <c r="OPJ65" s="1304"/>
      <c r="OPK65" s="1304"/>
      <c r="OPL65" s="1304"/>
      <c r="OPM65" s="1305"/>
      <c r="OPN65" s="1305"/>
      <c r="OPO65" s="1304"/>
      <c r="OPP65" s="1304"/>
      <c r="OPQ65" s="1304"/>
      <c r="OPR65" s="1304"/>
      <c r="OPS65" s="1304"/>
      <c r="OPT65" s="1304"/>
      <c r="OPU65" s="1304"/>
      <c r="OPV65" s="1304"/>
      <c r="OPW65" s="1305"/>
      <c r="OPX65" s="1305"/>
      <c r="OPY65" s="1304"/>
      <c r="OPZ65" s="1304"/>
      <c r="OQA65" s="1304"/>
      <c r="OQB65" s="1304"/>
      <c r="OQC65" s="1304"/>
      <c r="OQD65" s="1304"/>
      <c r="OQE65" s="1304"/>
      <c r="OQF65" s="1304"/>
      <c r="OQG65" s="1305"/>
      <c r="OQH65" s="1305"/>
      <c r="OQI65" s="1304"/>
      <c r="OQJ65" s="1304"/>
      <c r="OQK65" s="1304"/>
      <c r="OQL65" s="1304"/>
      <c r="OQM65" s="1304"/>
      <c r="OQN65" s="1304"/>
      <c r="OQO65" s="1304"/>
      <c r="OQP65" s="1304"/>
      <c r="OQQ65" s="1305"/>
      <c r="OQR65" s="1305"/>
      <c r="OQS65" s="1304"/>
      <c r="OQT65" s="1304"/>
      <c r="OQU65" s="1304"/>
      <c r="OQV65" s="1304"/>
      <c r="OQW65" s="1304"/>
      <c r="OQX65" s="1304"/>
      <c r="OQY65" s="1304"/>
      <c r="OQZ65" s="1304"/>
      <c r="ORA65" s="1305"/>
      <c r="ORB65" s="1305"/>
      <c r="ORC65" s="1304"/>
      <c r="ORD65" s="1304"/>
      <c r="ORE65" s="1304"/>
      <c r="ORF65" s="1304"/>
      <c r="ORG65" s="1304"/>
      <c r="ORH65" s="1304"/>
      <c r="ORI65" s="1304"/>
      <c r="ORJ65" s="1304"/>
      <c r="ORK65" s="1305"/>
      <c r="ORL65" s="1305"/>
      <c r="ORM65" s="1304"/>
      <c r="ORN65" s="1304"/>
      <c r="ORO65" s="1304"/>
      <c r="ORP65" s="1304"/>
      <c r="ORQ65" s="1304"/>
      <c r="ORR65" s="1304"/>
      <c r="ORS65" s="1304"/>
      <c r="ORT65" s="1304"/>
      <c r="ORU65" s="1305"/>
      <c r="ORV65" s="1305"/>
      <c r="ORW65" s="1304"/>
      <c r="ORX65" s="1304"/>
      <c r="ORY65" s="1304"/>
      <c r="ORZ65" s="1304"/>
      <c r="OSA65" s="1304"/>
      <c r="OSB65" s="1304"/>
      <c r="OSC65" s="1304"/>
      <c r="OSD65" s="1304"/>
      <c r="OSE65" s="1305"/>
      <c r="OSF65" s="1305"/>
      <c r="OSG65" s="1304"/>
      <c r="OSH65" s="1304"/>
      <c r="OSI65" s="1304"/>
      <c r="OSJ65" s="1304"/>
      <c r="OSK65" s="1304"/>
      <c r="OSL65" s="1304"/>
      <c r="OSM65" s="1304"/>
      <c r="OSN65" s="1304"/>
      <c r="OSO65" s="1305"/>
      <c r="OSP65" s="1305"/>
      <c r="OSQ65" s="1304"/>
      <c r="OSR65" s="1304"/>
      <c r="OSS65" s="1304"/>
      <c r="OST65" s="1304"/>
      <c r="OSU65" s="1304"/>
      <c r="OSV65" s="1304"/>
      <c r="OSW65" s="1304"/>
      <c r="OSX65" s="1304"/>
      <c r="OSY65" s="1305"/>
      <c r="OSZ65" s="1305"/>
      <c r="OTA65" s="1304"/>
      <c r="OTB65" s="1304"/>
      <c r="OTC65" s="1304"/>
      <c r="OTD65" s="1304"/>
      <c r="OTE65" s="1304"/>
      <c r="OTF65" s="1304"/>
      <c r="OTG65" s="1304"/>
      <c r="OTH65" s="1304"/>
      <c r="OTI65" s="1305"/>
      <c r="OTJ65" s="1305"/>
      <c r="OTK65" s="1304"/>
      <c r="OTL65" s="1304"/>
      <c r="OTM65" s="1304"/>
      <c r="OTN65" s="1304"/>
      <c r="OTO65" s="1304"/>
      <c r="OTP65" s="1304"/>
      <c r="OTQ65" s="1304"/>
      <c r="OTR65" s="1304"/>
      <c r="OTS65" s="1305"/>
      <c r="OTT65" s="1305"/>
      <c r="OTU65" s="1304"/>
      <c r="OTV65" s="1304"/>
      <c r="OTW65" s="1304"/>
      <c r="OTX65" s="1304"/>
      <c r="OTY65" s="1304"/>
      <c r="OTZ65" s="1304"/>
      <c r="OUA65" s="1304"/>
      <c r="OUB65" s="1304"/>
      <c r="OUC65" s="1305"/>
      <c r="OUD65" s="1305"/>
      <c r="OUE65" s="1304"/>
      <c r="OUF65" s="1304"/>
      <c r="OUG65" s="1304"/>
      <c r="OUH65" s="1304"/>
      <c r="OUI65" s="1304"/>
      <c r="OUJ65" s="1304"/>
      <c r="OUK65" s="1304"/>
      <c r="OUL65" s="1304"/>
      <c r="OUM65" s="1305"/>
      <c r="OUN65" s="1305"/>
      <c r="OUO65" s="1304"/>
      <c r="OUP65" s="1304"/>
      <c r="OUQ65" s="1304"/>
      <c r="OUR65" s="1304"/>
      <c r="OUS65" s="1304"/>
      <c r="OUT65" s="1304"/>
      <c r="OUU65" s="1304"/>
      <c r="OUV65" s="1304"/>
      <c r="OUW65" s="1305"/>
      <c r="OUX65" s="1305"/>
      <c r="OUY65" s="1304"/>
      <c r="OUZ65" s="1304"/>
      <c r="OVA65" s="1304"/>
      <c r="OVB65" s="1304"/>
      <c r="OVC65" s="1304"/>
      <c r="OVD65" s="1304"/>
      <c r="OVE65" s="1304"/>
      <c r="OVF65" s="1304"/>
      <c r="OVG65" s="1305"/>
      <c r="OVH65" s="1305"/>
      <c r="OVI65" s="1304"/>
      <c r="OVJ65" s="1304"/>
      <c r="OVK65" s="1304"/>
      <c r="OVL65" s="1304"/>
      <c r="OVM65" s="1304"/>
      <c r="OVN65" s="1304"/>
      <c r="OVO65" s="1304"/>
      <c r="OVP65" s="1304"/>
      <c r="OVQ65" s="1305"/>
      <c r="OVR65" s="1305"/>
      <c r="OVS65" s="1304"/>
      <c r="OVT65" s="1304"/>
      <c r="OVU65" s="1304"/>
      <c r="OVV65" s="1304"/>
      <c r="OVW65" s="1304"/>
      <c r="OVX65" s="1304"/>
      <c r="OVY65" s="1304"/>
      <c r="OVZ65" s="1304"/>
      <c r="OWA65" s="1305"/>
      <c r="OWB65" s="1305"/>
      <c r="OWC65" s="1304"/>
      <c r="OWD65" s="1304"/>
      <c r="OWE65" s="1304"/>
      <c r="OWF65" s="1304"/>
      <c r="OWG65" s="1304"/>
      <c r="OWH65" s="1304"/>
      <c r="OWI65" s="1304"/>
      <c r="OWJ65" s="1304"/>
      <c r="OWK65" s="1305"/>
      <c r="OWL65" s="1305"/>
      <c r="OWM65" s="1304"/>
      <c r="OWN65" s="1304"/>
      <c r="OWO65" s="1304"/>
      <c r="OWP65" s="1304"/>
      <c r="OWQ65" s="1304"/>
      <c r="OWR65" s="1304"/>
      <c r="OWS65" s="1304"/>
      <c r="OWT65" s="1304"/>
      <c r="OWU65" s="1305"/>
      <c r="OWV65" s="1305"/>
      <c r="OWW65" s="1304"/>
      <c r="OWX65" s="1304"/>
      <c r="OWY65" s="1304"/>
      <c r="OWZ65" s="1304"/>
      <c r="OXA65" s="1304"/>
      <c r="OXB65" s="1304"/>
      <c r="OXC65" s="1304"/>
      <c r="OXD65" s="1304"/>
      <c r="OXE65" s="1305"/>
      <c r="OXF65" s="1305"/>
      <c r="OXG65" s="1304"/>
      <c r="OXH65" s="1304"/>
      <c r="OXI65" s="1304"/>
      <c r="OXJ65" s="1304"/>
      <c r="OXK65" s="1304"/>
      <c r="OXL65" s="1304"/>
      <c r="OXM65" s="1304"/>
      <c r="OXN65" s="1304"/>
      <c r="OXO65" s="1305"/>
      <c r="OXP65" s="1305"/>
      <c r="OXQ65" s="1304"/>
      <c r="OXR65" s="1304"/>
      <c r="OXS65" s="1304"/>
      <c r="OXT65" s="1304"/>
      <c r="OXU65" s="1304"/>
      <c r="OXV65" s="1304"/>
      <c r="OXW65" s="1304"/>
      <c r="OXX65" s="1304"/>
      <c r="OXY65" s="1305"/>
      <c r="OXZ65" s="1305"/>
      <c r="OYA65" s="1304"/>
      <c r="OYB65" s="1304"/>
      <c r="OYC65" s="1304"/>
      <c r="OYD65" s="1304"/>
      <c r="OYE65" s="1304"/>
      <c r="OYF65" s="1304"/>
      <c r="OYG65" s="1304"/>
      <c r="OYH65" s="1304"/>
      <c r="OYI65" s="1305"/>
      <c r="OYJ65" s="1305"/>
      <c r="OYK65" s="1304"/>
      <c r="OYL65" s="1304"/>
      <c r="OYM65" s="1304"/>
      <c r="OYN65" s="1304"/>
      <c r="OYO65" s="1304"/>
      <c r="OYP65" s="1304"/>
      <c r="OYQ65" s="1304"/>
      <c r="OYR65" s="1304"/>
      <c r="OYS65" s="1305"/>
      <c r="OYT65" s="1305"/>
      <c r="OYU65" s="1304"/>
      <c r="OYV65" s="1304"/>
      <c r="OYW65" s="1304"/>
      <c r="OYX65" s="1304"/>
      <c r="OYY65" s="1304"/>
      <c r="OYZ65" s="1304"/>
      <c r="OZA65" s="1304"/>
      <c r="OZB65" s="1304"/>
      <c r="OZC65" s="1305"/>
      <c r="OZD65" s="1305"/>
      <c r="OZE65" s="1304"/>
      <c r="OZF65" s="1304"/>
      <c r="OZG65" s="1304"/>
      <c r="OZH65" s="1304"/>
      <c r="OZI65" s="1304"/>
      <c r="OZJ65" s="1304"/>
      <c r="OZK65" s="1304"/>
      <c r="OZL65" s="1304"/>
      <c r="OZM65" s="1305"/>
      <c r="OZN65" s="1305"/>
      <c r="OZO65" s="1304"/>
      <c r="OZP65" s="1304"/>
      <c r="OZQ65" s="1304"/>
      <c r="OZR65" s="1304"/>
      <c r="OZS65" s="1304"/>
      <c r="OZT65" s="1304"/>
      <c r="OZU65" s="1304"/>
      <c r="OZV65" s="1304"/>
      <c r="OZW65" s="1305"/>
      <c r="OZX65" s="1305"/>
      <c r="OZY65" s="1304"/>
      <c r="OZZ65" s="1304"/>
      <c r="PAA65" s="1304"/>
      <c r="PAB65" s="1304"/>
      <c r="PAC65" s="1304"/>
      <c r="PAD65" s="1304"/>
      <c r="PAE65" s="1304"/>
      <c r="PAF65" s="1304"/>
      <c r="PAG65" s="1305"/>
      <c r="PAH65" s="1305"/>
      <c r="PAI65" s="1304"/>
      <c r="PAJ65" s="1304"/>
      <c r="PAK65" s="1304"/>
      <c r="PAL65" s="1304"/>
      <c r="PAM65" s="1304"/>
      <c r="PAN65" s="1304"/>
      <c r="PAO65" s="1304"/>
      <c r="PAP65" s="1304"/>
      <c r="PAQ65" s="1305"/>
      <c r="PAR65" s="1305"/>
      <c r="PAS65" s="1304"/>
      <c r="PAT65" s="1304"/>
      <c r="PAU65" s="1304"/>
      <c r="PAV65" s="1304"/>
      <c r="PAW65" s="1304"/>
      <c r="PAX65" s="1304"/>
      <c r="PAY65" s="1304"/>
      <c r="PAZ65" s="1304"/>
      <c r="PBA65" s="1305"/>
      <c r="PBB65" s="1305"/>
      <c r="PBC65" s="1304"/>
      <c r="PBD65" s="1304"/>
      <c r="PBE65" s="1304"/>
      <c r="PBF65" s="1304"/>
      <c r="PBG65" s="1304"/>
      <c r="PBH65" s="1304"/>
      <c r="PBI65" s="1304"/>
      <c r="PBJ65" s="1304"/>
      <c r="PBK65" s="1305"/>
      <c r="PBL65" s="1305"/>
      <c r="PBM65" s="1304"/>
      <c r="PBN65" s="1304"/>
      <c r="PBO65" s="1304"/>
      <c r="PBP65" s="1304"/>
      <c r="PBQ65" s="1304"/>
      <c r="PBR65" s="1304"/>
      <c r="PBS65" s="1304"/>
      <c r="PBT65" s="1304"/>
      <c r="PBU65" s="1305"/>
      <c r="PBV65" s="1305"/>
      <c r="PBW65" s="1304"/>
      <c r="PBX65" s="1304"/>
      <c r="PBY65" s="1304"/>
      <c r="PBZ65" s="1304"/>
      <c r="PCA65" s="1304"/>
      <c r="PCB65" s="1304"/>
      <c r="PCC65" s="1304"/>
      <c r="PCD65" s="1304"/>
      <c r="PCE65" s="1305"/>
      <c r="PCF65" s="1305"/>
      <c r="PCG65" s="1304"/>
      <c r="PCH65" s="1304"/>
      <c r="PCI65" s="1304"/>
      <c r="PCJ65" s="1304"/>
      <c r="PCK65" s="1304"/>
      <c r="PCL65" s="1304"/>
      <c r="PCM65" s="1304"/>
      <c r="PCN65" s="1304"/>
      <c r="PCO65" s="1305"/>
      <c r="PCP65" s="1305"/>
      <c r="PCQ65" s="1304"/>
      <c r="PCR65" s="1304"/>
      <c r="PCS65" s="1304"/>
      <c r="PCT65" s="1304"/>
      <c r="PCU65" s="1304"/>
      <c r="PCV65" s="1304"/>
      <c r="PCW65" s="1304"/>
      <c r="PCX65" s="1304"/>
      <c r="PCY65" s="1305"/>
      <c r="PCZ65" s="1305"/>
      <c r="PDA65" s="1304"/>
      <c r="PDB65" s="1304"/>
      <c r="PDC65" s="1304"/>
      <c r="PDD65" s="1304"/>
      <c r="PDE65" s="1304"/>
      <c r="PDF65" s="1304"/>
      <c r="PDG65" s="1304"/>
      <c r="PDH65" s="1304"/>
      <c r="PDI65" s="1305"/>
      <c r="PDJ65" s="1305"/>
      <c r="PDK65" s="1304"/>
      <c r="PDL65" s="1304"/>
      <c r="PDM65" s="1304"/>
      <c r="PDN65" s="1304"/>
      <c r="PDO65" s="1304"/>
      <c r="PDP65" s="1304"/>
      <c r="PDQ65" s="1304"/>
      <c r="PDR65" s="1304"/>
      <c r="PDS65" s="1305"/>
      <c r="PDT65" s="1305"/>
      <c r="PDU65" s="1304"/>
      <c r="PDV65" s="1304"/>
      <c r="PDW65" s="1304"/>
      <c r="PDX65" s="1304"/>
      <c r="PDY65" s="1304"/>
      <c r="PDZ65" s="1304"/>
      <c r="PEA65" s="1304"/>
      <c r="PEB65" s="1304"/>
      <c r="PEC65" s="1305"/>
      <c r="PED65" s="1305"/>
      <c r="PEE65" s="1304"/>
      <c r="PEF65" s="1304"/>
      <c r="PEG65" s="1304"/>
      <c r="PEH65" s="1304"/>
      <c r="PEI65" s="1304"/>
      <c r="PEJ65" s="1304"/>
      <c r="PEK65" s="1304"/>
      <c r="PEL65" s="1304"/>
      <c r="PEM65" s="1305"/>
      <c r="PEN65" s="1305"/>
      <c r="PEO65" s="1304"/>
      <c r="PEP65" s="1304"/>
      <c r="PEQ65" s="1304"/>
      <c r="PER65" s="1304"/>
      <c r="PES65" s="1304"/>
      <c r="PET65" s="1304"/>
      <c r="PEU65" s="1304"/>
      <c r="PEV65" s="1304"/>
      <c r="PEW65" s="1305"/>
      <c r="PEX65" s="1305"/>
      <c r="PEY65" s="1304"/>
      <c r="PEZ65" s="1304"/>
      <c r="PFA65" s="1304"/>
      <c r="PFB65" s="1304"/>
      <c r="PFC65" s="1304"/>
      <c r="PFD65" s="1304"/>
      <c r="PFE65" s="1304"/>
      <c r="PFF65" s="1304"/>
      <c r="PFG65" s="1305"/>
      <c r="PFH65" s="1305"/>
      <c r="PFI65" s="1304"/>
      <c r="PFJ65" s="1304"/>
      <c r="PFK65" s="1304"/>
      <c r="PFL65" s="1304"/>
      <c r="PFM65" s="1304"/>
      <c r="PFN65" s="1304"/>
      <c r="PFO65" s="1304"/>
      <c r="PFP65" s="1304"/>
      <c r="PFQ65" s="1305"/>
      <c r="PFR65" s="1305"/>
      <c r="PFS65" s="1304"/>
      <c r="PFT65" s="1304"/>
      <c r="PFU65" s="1304"/>
      <c r="PFV65" s="1304"/>
      <c r="PFW65" s="1304"/>
      <c r="PFX65" s="1304"/>
      <c r="PFY65" s="1304"/>
      <c r="PFZ65" s="1304"/>
      <c r="PGA65" s="1305"/>
      <c r="PGB65" s="1305"/>
      <c r="PGC65" s="1304"/>
      <c r="PGD65" s="1304"/>
      <c r="PGE65" s="1304"/>
      <c r="PGF65" s="1304"/>
      <c r="PGG65" s="1304"/>
      <c r="PGH65" s="1304"/>
      <c r="PGI65" s="1304"/>
      <c r="PGJ65" s="1304"/>
      <c r="PGK65" s="1305"/>
      <c r="PGL65" s="1305"/>
      <c r="PGM65" s="1304"/>
      <c r="PGN65" s="1304"/>
      <c r="PGO65" s="1304"/>
      <c r="PGP65" s="1304"/>
      <c r="PGQ65" s="1304"/>
      <c r="PGR65" s="1304"/>
      <c r="PGS65" s="1304"/>
      <c r="PGT65" s="1304"/>
      <c r="PGU65" s="1305"/>
      <c r="PGV65" s="1305"/>
      <c r="PGW65" s="1304"/>
      <c r="PGX65" s="1304"/>
      <c r="PGY65" s="1304"/>
      <c r="PGZ65" s="1304"/>
      <c r="PHA65" s="1304"/>
      <c r="PHB65" s="1304"/>
      <c r="PHC65" s="1304"/>
      <c r="PHD65" s="1304"/>
      <c r="PHE65" s="1305"/>
      <c r="PHF65" s="1305"/>
      <c r="PHG65" s="1304"/>
      <c r="PHH65" s="1304"/>
      <c r="PHI65" s="1304"/>
      <c r="PHJ65" s="1304"/>
      <c r="PHK65" s="1304"/>
      <c r="PHL65" s="1304"/>
      <c r="PHM65" s="1304"/>
      <c r="PHN65" s="1304"/>
      <c r="PHO65" s="1305"/>
      <c r="PHP65" s="1305"/>
      <c r="PHQ65" s="1304"/>
      <c r="PHR65" s="1304"/>
      <c r="PHS65" s="1304"/>
      <c r="PHT65" s="1304"/>
      <c r="PHU65" s="1304"/>
      <c r="PHV65" s="1304"/>
      <c r="PHW65" s="1304"/>
      <c r="PHX65" s="1304"/>
      <c r="PHY65" s="1305"/>
      <c r="PHZ65" s="1305"/>
      <c r="PIA65" s="1304"/>
      <c r="PIB65" s="1304"/>
      <c r="PIC65" s="1304"/>
      <c r="PID65" s="1304"/>
      <c r="PIE65" s="1304"/>
      <c r="PIF65" s="1304"/>
      <c r="PIG65" s="1304"/>
      <c r="PIH65" s="1304"/>
      <c r="PII65" s="1305"/>
      <c r="PIJ65" s="1305"/>
      <c r="PIK65" s="1304"/>
      <c r="PIL65" s="1304"/>
      <c r="PIM65" s="1304"/>
      <c r="PIN65" s="1304"/>
      <c r="PIO65" s="1304"/>
      <c r="PIP65" s="1304"/>
      <c r="PIQ65" s="1304"/>
      <c r="PIR65" s="1304"/>
      <c r="PIS65" s="1305"/>
      <c r="PIT65" s="1305"/>
      <c r="PIU65" s="1304"/>
      <c r="PIV65" s="1304"/>
      <c r="PIW65" s="1304"/>
      <c r="PIX65" s="1304"/>
      <c r="PIY65" s="1304"/>
      <c r="PIZ65" s="1304"/>
      <c r="PJA65" s="1304"/>
      <c r="PJB65" s="1304"/>
      <c r="PJC65" s="1305"/>
      <c r="PJD65" s="1305"/>
      <c r="PJE65" s="1304"/>
      <c r="PJF65" s="1304"/>
      <c r="PJG65" s="1304"/>
      <c r="PJH65" s="1304"/>
      <c r="PJI65" s="1304"/>
      <c r="PJJ65" s="1304"/>
      <c r="PJK65" s="1304"/>
      <c r="PJL65" s="1304"/>
      <c r="PJM65" s="1305"/>
      <c r="PJN65" s="1305"/>
      <c r="PJO65" s="1304"/>
      <c r="PJP65" s="1304"/>
      <c r="PJQ65" s="1304"/>
      <c r="PJR65" s="1304"/>
      <c r="PJS65" s="1304"/>
      <c r="PJT65" s="1304"/>
      <c r="PJU65" s="1304"/>
      <c r="PJV65" s="1304"/>
      <c r="PJW65" s="1305"/>
      <c r="PJX65" s="1305"/>
      <c r="PJY65" s="1304"/>
      <c r="PJZ65" s="1304"/>
      <c r="PKA65" s="1304"/>
      <c r="PKB65" s="1304"/>
      <c r="PKC65" s="1304"/>
      <c r="PKD65" s="1304"/>
      <c r="PKE65" s="1304"/>
      <c r="PKF65" s="1304"/>
      <c r="PKG65" s="1305"/>
      <c r="PKH65" s="1305"/>
      <c r="PKI65" s="1304"/>
      <c r="PKJ65" s="1304"/>
      <c r="PKK65" s="1304"/>
      <c r="PKL65" s="1304"/>
      <c r="PKM65" s="1304"/>
      <c r="PKN65" s="1304"/>
      <c r="PKO65" s="1304"/>
      <c r="PKP65" s="1304"/>
      <c r="PKQ65" s="1305"/>
      <c r="PKR65" s="1305"/>
      <c r="PKS65" s="1304"/>
      <c r="PKT65" s="1304"/>
      <c r="PKU65" s="1304"/>
      <c r="PKV65" s="1304"/>
      <c r="PKW65" s="1304"/>
      <c r="PKX65" s="1304"/>
      <c r="PKY65" s="1304"/>
      <c r="PKZ65" s="1304"/>
      <c r="PLA65" s="1305"/>
      <c r="PLB65" s="1305"/>
      <c r="PLC65" s="1304"/>
      <c r="PLD65" s="1304"/>
      <c r="PLE65" s="1304"/>
      <c r="PLF65" s="1304"/>
      <c r="PLG65" s="1304"/>
      <c r="PLH65" s="1304"/>
      <c r="PLI65" s="1304"/>
      <c r="PLJ65" s="1304"/>
      <c r="PLK65" s="1305"/>
      <c r="PLL65" s="1305"/>
      <c r="PLM65" s="1304"/>
      <c r="PLN65" s="1304"/>
      <c r="PLO65" s="1304"/>
      <c r="PLP65" s="1304"/>
      <c r="PLQ65" s="1304"/>
      <c r="PLR65" s="1304"/>
      <c r="PLS65" s="1304"/>
      <c r="PLT65" s="1304"/>
      <c r="PLU65" s="1305"/>
      <c r="PLV65" s="1305"/>
      <c r="PLW65" s="1304"/>
      <c r="PLX65" s="1304"/>
      <c r="PLY65" s="1304"/>
      <c r="PLZ65" s="1304"/>
      <c r="PMA65" s="1304"/>
      <c r="PMB65" s="1304"/>
      <c r="PMC65" s="1304"/>
      <c r="PMD65" s="1304"/>
      <c r="PME65" s="1305"/>
      <c r="PMF65" s="1305"/>
      <c r="PMG65" s="1304"/>
      <c r="PMH65" s="1304"/>
      <c r="PMI65" s="1304"/>
      <c r="PMJ65" s="1304"/>
      <c r="PMK65" s="1304"/>
      <c r="PML65" s="1304"/>
      <c r="PMM65" s="1304"/>
      <c r="PMN65" s="1304"/>
      <c r="PMO65" s="1305"/>
      <c r="PMP65" s="1305"/>
      <c r="PMQ65" s="1304"/>
      <c r="PMR65" s="1304"/>
      <c r="PMS65" s="1304"/>
      <c r="PMT65" s="1304"/>
      <c r="PMU65" s="1304"/>
      <c r="PMV65" s="1304"/>
      <c r="PMW65" s="1304"/>
      <c r="PMX65" s="1304"/>
      <c r="PMY65" s="1305"/>
      <c r="PMZ65" s="1305"/>
      <c r="PNA65" s="1304"/>
      <c r="PNB65" s="1304"/>
      <c r="PNC65" s="1304"/>
      <c r="PND65" s="1304"/>
      <c r="PNE65" s="1304"/>
      <c r="PNF65" s="1304"/>
      <c r="PNG65" s="1304"/>
      <c r="PNH65" s="1304"/>
      <c r="PNI65" s="1305"/>
      <c r="PNJ65" s="1305"/>
      <c r="PNK65" s="1304"/>
      <c r="PNL65" s="1304"/>
      <c r="PNM65" s="1304"/>
      <c r="PNN65" s="1304"/>
      <c r="PNO65" s="1304"/>
      <c r="PNP65" s="1304"/>
      <c r="PNQ65" s="1304"/>
      <c r="PNR65" s="1304"/>
      <c r="PNS65" s="1305"/>
      <c r="PNT65" s="1305"/>
      <c r="PNU65" s="1304"/>
      <c r="PNV65" s="1304"/>
      <c r="PNW65" s="1304"/>
      <c r="PNX65" s="1304"/>
      <c r="PNY65" s="1304"/>
      <c r="PNZ65" s="1304"/>
      <c r="POA65" s="1304"/>
      <c r="POB65" s="1304"/>
      <c r="POC65" s="1305"/>
      <c r="POD65" s="1305"/>
      <c r="POE65" s="1304"/>
      <c r="POF65" s="1304"/>
      <c r="POG65" s="1304"/>
      <c r="POH65" s="1304"/>
      <c r="POI65" s="1304"/>
      <c r="POJ65" s="1304"/>
      <c r="POK65" s="1304"/>
      <c r="POL65" s="1304"/>
      <c r="POM65" s="1305"/>
      <c r="PON65" s="1305"/>
      <c r="POO65" s="1304"/>
      <c r="POP65" s="1304"/>
      <c r="POQ65" s="1304"/>
      <c r="POR65" s="1304"/>
      <c r="POS65" s="1304"/>
      <c r="POT65" s="1304"/>
      <c r="POU65" s="1304"/>
      <c r="POV65" s="1304"/>
      <c r="POW65" s="1305"/>
      <c r="POX65" s="1305"/>
      <c r="POY65" s="1304"/>
      <c r="POZ65" s="1304"/>
      <c r="PPA65" s="1304"/>
      <c r="PPB65" s="1304"/>
      <c r="PPC65" s="1304"/>
      <c r="PPD65" s="1304"/>
      <c r="PPE65" s="1304"/>
      <c r="PPF65" s="1304"/>
      <c r="PPG65" s="1305"/>
      <c r="PPH65" s="1305"/>
      <c r="PPI65" s="1304"/>
      <c r="PPJ65" s="1304"/>
      <c r="PPK65" s="1304"/>
      <c r="PPL65" s="1304"/>
      <c r="PPM65" s="1304"/>
      <c r="PPN65" s="1304"/>
      <c r="PPO65" s="1304"/>
      <c r="PPP65" s="1304"/>
      <c r="PPQ65" s="1305"/>
      <c r="PPR65" s="1305"/>
      <c r="PPS65" s="1304"/>
      <c r="PPT65" s="1304"/>
      <c r="PPU65" s="1304"/>
      <c r="PPV65" s="1304"/>
      <c r="PPW65" s="1304"/>
      <c r="PPX65" s="1304"/>
      <c r="PPY65" s="1304"/>
      <c r="PPZ65" s="1304"/>
      <c r="PQA65" s="1305"/>
      <c r="PQB65" s="1305"/>
      <c r="PQC65" s="1304"/>
      <c r="PQD65" s="1304"/>
      <c r="PQE65" s="1304"/>
      <c r="PQF65" s="1304"/>
      <c r="PQG65" s="1304"/>
      <c r="PQH65" s="1304"/>
      <c r="PQI65" s="1304"/>
      <c r="PQJ65" s="1304"/>
      <c r="PQK65" s="1305"/>
      <c r="PQL65" s="1305"/>
      <c r="PQM65" s="1304"/>
      <c r="PQN65" s="1304"/>
      <c r="PQO65" s="1304"/>
      <c r="PQP65" s="1304"/>
      <c r="PQQ65" s="1304"/>
      <c r="PQR65" s="1304"/>
      <c r="PQS65" s="1304"/>
      <c r="PQT65" s="1304"/>
      <c r="PQU65" s="1305"/>
      <c r="PQV65" s="1305"/>
      <c r="PQW65" s="1304"/>
      <c r="PQX65" s="1304"/>
      <c r="PQY65" s="1304"/>
      <c r="PQZ65" s="1304"/>
      <c r="PRA65" s="1304"/>
      <c r="PRB65" s="1304"/>
      <c r="PRC65" s="1304"/>
      <c r="PRD65" s="1304"/>
      <c r="PRE65" s="1305"/>
      <c r="PRF65" s="1305"/>
      <c r="PRG65" s="1304"/>
      <c r="PRH65" s="1304"/>
      <c r="PRI65" s="1304"/>
      <c r="PRJ65" s="1304"/>
      <c r="PRK65" s="1304"/>
      <c r="PRL65" s="1304"/>
      <c r="PRM65" s="1304"/>
      <c r="PRN65" s="1304"/>
      <c r="PRO65" s="1305"/>
      <c r="PRP65" s="1305"/>
      <c r="PRQ65" s="1304"/>
      <c r="PRR65" s="1304"/>
      <c r="PRS65" s="1304"/>
      <c r="PRT65" s="1304"/>
      <c r="PRU65" s="1304"/>
      <c r="PRV65" s="1304"/>
      <c r="PRW65" s="1304"/>
      <c r="PRX65" s="1304"/>
      <c r="PRY65" s="1305"/>
      <c r="PRZ65" s="1305"/>
      <c r="PSA65" s="1304"/>
      <c r="PSB65" s="1304"/>
      <c r="PSC65" s="1304"/>
      <c r="PSD65" s="1304"/>
      <c r="PSE65" s="1304"/>
      <c r="PSF65" s="1304"/>
      <c r="PSG65" s="1304"/>
      <c r="PSH65" s="1304"/>
      <c r="PSI65" s="1305"/>
      <c r="PSJ65" s="1305"/>
      <c r="PSK65" s="1304"/>
      <c r="PSL65" s="1304"/>
      <c r="PSM65" s="1304"/>
      <c r="PSN65" s="1304"/>
      <c r="PSO65" s="1304"/>
      <c r="PSP65" s="1304"/>
      <c r="PSQ65" s="1304"/>
      <c r="PSR65" s="1304"/>
      <c r="PSS65" s="1305"/>
      <c r="PST65" s="1305"/>
      <c r="PSU65" s="1304"/>
      <c r="PSV65" s="1304"/>
      <c r="PSW65" s="1304"/>
      <c r="PSX65" s="1304"/>
      <c r="PSY65" s="1304"/>
      <c r="PSZ65" s="1304"/>
      <c r="PTA65" s="1304"/>
      <c r="PTB65" s="1304"/>
      <c r="PTC65" s="1305"/>
      <c r="PTD65" s="1305"/>
      <c r="PTE65" s="1304"/>
      <c r="PTF65" s="1304"/>
      <c r="PTG65" s="1304"/>
      <c r="PTH65" s="1304"/>
      <c r="PTI65" s="1304"/>
      <c r="PTJ65" s="1304"/>
      <c r="PTK65" s="1304"/>
      <c r="PTL65" s="1304"/>
      <c r="PTM65" s="1305"/>
      <c r="PTN65" s="1305"/>
      <c r="PTO65" s="1304"/>
      <c r="PTP65" s="1304"/>
      <c r="PTQ65" s="1304"/>
      <c r="PTR65" s="1304"/>
      <c r="PTS65" s="1304"/>
      <c r="PTT65" s="1304"/>
      <c r="PTU65" s="1304"/>
      <c r="PTV65" s="1304"/>
      <c r="PTW65" s="1305"/>
      <c r="PTX65" s="1305"/>
      <c r="PTY65" s="1304"/>
      <c r="PTZ65" s="1304"/>
      <c r="PUA65" s="1304"/>
      <c r="PUB65" s="1304"/>
      <c r="PUC65" s="1304"/>
      <c r="PUD65" s="1304"/>
      <c r="PUE65" s="1304"/>
      <c r="PUF65" s="1304"/>
      <c r="PUG65" s="1305"/>
      <c r="PUH65" s="1305"/>
      <c r="PUI65" s="1304"/>
      <c r="PUJ65" s="1304"/>
      <c r="PUK65" s="1304"/>
      <c r="PUL65" s="1304"/>
      <c r="PUM65" s="1304"/>
      <c r="PUN65" s="1304"/>
      <c r="PUO65" s="1304"/>
      <c r="PUP65" s="1304"/>
      <c r="PUQ65" s="1305"/>
      <c r="PUR65" s="1305"/>
      <c r="PUS65" s="1304"/>
      <c r="PUT65" s="1304"/>
      <c r="PUU65" s="1304"/>
      <c r="PUV65" s="1304"/>
      <c r="PUW65" s="1304"/>
      <c r="PUX65" s="1304"/>
      <c r="PUY65" s="1304"/>
      <c r="PUZ65" s="1304"/>
      <c r="PVA65" s="1305"/>
      <c r="PVB65" s="1305"/>
      <c r="PVC65" s="1304"/>
      <c r="PVD65" s="1304"/>
      <c r="PVE65" s="1304"/>
      <c r="PVF65" s="1304"/>
      <c r="PVG65" s="1304"/>
      <c r="PVH65" s="1304"/>
      <c r="PVI65" s="1304"/>
      <c r="PVJ65" s="1304"/>
      <c r="PVK65" s="1305"/>
      <c r="PVL65" s="1305"/>
      <c r="PVM65" s="1304"/>
      <c r="PVN65" s="1304"/>
      <c r="PVO65" s="1304"/>
      <c r="PVP65" s="1304"/>
      <c r="PVQ65" s="1304"/>
      <c r="PVR65" s="1304"/>
      <c r="PVS65" s="1304"/>
      <c r="PVT65" s="1304"/>
      <c r="PVU65" s="1305"/>
      <c r="PVV65" s="1305"/>
      <c r="PVW65" s="1304"/>
      <c r="PVX65" s="1304"/>
      <c r="PVY65" s="1304"/>
      <c r="PVZ65" s="1304"/>
      <c r="PWA65" s="1304"/>
      <c r="PWB65" s="1304"/>
      <c r="PWC65" s="1304"/>
      <c r="PWD65" s="1304"/>
      <c r="PWE65" s="1305"/>
      <c r="PWF65" s="1305"/>
      <c r="PWG65" s="1304"/>
      <c r="PWH65" s="1304"/>
      <c r="PWI65" s="1304"/>
      <c r="PWJ65" s="1304"/>
      <c r="PWK65" s="1304"/>
      <c r="PWL65" s="1304"/>
      <c r="PWM65" s="1304"/>
      <c r="PWN65" s="1304"/>
      <c r="PWO65" s="1305"/>
      <c r="PWP65" s="1305"/>
      <c r="PWQ65" s="1304"/>
      <c r="PWR65" s="1304"/>
      <c r="PWS65" s="1304"/>
      <c r="PWT65" s="1304"/>
      <c r="PWU65" s="1304"/>
      <c r="PWV65" s="1304"/>
      <c r="PWW65" s="1304"/>
      <c r="PWX65" s="1304"/>
      <c r="PWY65" s="1305"/>
      <c r="PWZ65" s="1305"/>
      <c r="PXA65" s="1304"/>
      <c r="PXB65" s="1304"/>
      <c r="PXC65" s="1304"/>
      <c r="PXD65" s="1304"/>
      <c r="PXE65" s="1304"/>
      <c r="PXF65" s="1304"/>
      <c r="PXG65" s="1304"/>
      <c r="PXH65" s="1304"/>
      <c r="PXI65" s="1305"/>
      <c r="PXJ65" s="1305"/>
      <c r="PXK65" s="1304"/>
      <c r="PXL65" s="1304"/>
      <c r="PXM65" s="1304"/>
      <c r="PXN65" s="1304"/>
      <c r="PXO65" s="1304"/>
      <c r="PXP65" s="1304"/>
      <c r="PXQ65" s="1304"/>
      <c r="PXR65" s="1304"/>
      <c r="PXS65" s="1305"/>
      <c r="PXT65" s="1305"/>
      <c r="PXU65" s="1304"/>
      <c r="PXV65" s="1304"/>
      <c r="PXW65" s="1304"/>
      <c r="PXX65" s="1304"/>
      <c r="PXY65" s="1304"/>
      <c r="PXZ65" s="1304"/>
      <c r="PYA65" s="1304"/>
      <c r="PYB65" s="1304"/>
      <c r="PYC65" s="1305"/>
      <c r="PYD65" s="1305"/>
      <c r="PYE65" s="1304"/>
      <c r="PYF65" s="1304"/>
      <c r="PYG65" s="1304"/>
      <c r="PYH65" s="1304"/>
      <c r="PYI65" s="1304"/>
      <c r="PYJ65" s="1304"/>
      <c r="PYK65" s="1304"/>
      <c r="PYL65" s="1304"/>
      <c r="PYM65" s="1305"/>
      <c r="PYN65" s="1305"/>
      <c r="PYO65" s="1304"/>
      <c r="PYP65" s="1304"/>
      <c r="PYQ65" s="1304"/>
      <c r="PYR65" s="1304"/>
      <c r="PYS65" s="1304"/>
      <c r="PYT65" s="1304"/>
      <c r="PYU65" s="1304"/>
      <c r="PYV65" s="1304"/>
      <c r="PYW65" s="1305"/>
      <c r="PYX65" s="1305"/>
      <c r="PYY65" s="1304"/>
      <c r="PYZ65" s="1304"/>
      <c r="PZA65" s="1304"/>
      <c r="PZB65" s="1304"/>
      <c r="PZC65" s="1304"/>
      <c r="PZD65" s="1304"/>
      <c r="PZE65" s="1304"/>
      <c r="PZF65" s="1304"/>
      <c r="PZG65" s="1305"/>
      <c r="PZH65" s="1305"/>
      <c r="PZI65" s="1304"/>
      <c r="PZJ65" s="1304"/>
      <c r="PZK65" s="1304"/>
      <c r="PZL65" s="1304"/>
      <c r="PZM65" s="1304"/>
      <c r="PZN65" s="1304"/>
      <c r="PZO65" s="1304"/>
      <c r="PZP65" s="1304"/>
      <c r="PZQ65" s="1305"/>
      <c r="PZR65" s="1305"/>
      <c r="PZS65" s="1304"/>
      <c r="PZT65" s="1304"/>
      <c r="PZU65" s="1304"/>
      <c r="PZV65" s="1304"/>
      <c r="PZW65" s="1304"/>
      <c r="PZX65" s="1304"/>
      <c r="PZY65" s="1304"/>
      <c r="PZZ65" s="1304"/>
      <c r="QAA65" s="1305"/>
      <c r="QAB65" s="1305"/>
      <c r="QAC65" s="1304"/>
      <c r="QAD65" s="1304"/>
      <c r="QAE65" s="1304"/>
      <c r="QAF65" s="1304"/>
      <c r="QAG65" s="1304"/>
      <c r="QAH65" s="1304"/>
      <c r="QAI65" s="1304"/>
      <c r="QAJ65" s="1304"/>
      <c r="QAK65" s="1305"/>
      <c r="QAL65" s="1305"/>
      <c r="QAM65" s="1304"/>
      <c r="QAN65" s="1304"/>
      <c r="QAO65" s="1304"/>
      <c r="QAP65" s="1304"/>
      <c r="QAQ65" s="1304"/>
      <c r="QAR65" s="1304"/>
      <c r="QAS65" s="1304"/>
      <c r="QAT65" s="1304"/>
      <c r="QAU65" s="1305"/>
      <c r="QAV65" s="1305"/>
      <c r="QAW65" s="1304"/>
      <c r="QAX65" s="1304"/>
      <c r="QAY65" s="1304"/>
      <c r="QAZ65" s="1304"/>
      <c r="QBA65" s="1304"/>
      <c r="QBB65" s="1304"/>
      <c r="QBC65" s="1304"/>
      <c r="QBD65" s="1304"/>
      <c r="QBE65" s="1305"/>
      <c r="QBF65" s="1305"/>
      <c r="QBG65" s="1304"/>
      <c r="QBH65" s="1304"/>
      <c r="QBI65" s="1304"/>
      <c r="QBJ65" s="1304"/>
      <c r="QBK65" s="1304"/>
      <c r="QBL65" s="1304"/>
      <c r="QBM65" s="1304"/>
      <c r="QBN65" s="1304"/>
      <c r="QBO65" s="1305"/>
      <c r="QBP65" s="1305"/>
      <c r="QBQ65" s="1304"/>
      <c r="QBR65" s="1304"/>
      <c r="QBS65" s="1304"/>
      <c r="QBT65" s="1304"/>
      <c r="QBU65" s="1304"/>
      <c r="QBV65" s="1304"/>
      <c r="QBW65" s="1304"/>
      <c r="QBX65" s="1304"/>
      <c r="QBY65" s="1305"/>
      <c r="QBZ65" s="1305"/>
      <c r="QCA65" s="1304"/>
      <c r="QCB65" s="1304"/>
      <c r="QCC65" s="1304"/>
      <c r="QCD65" s="1304"/>
      <c r="QCE65" s="1304"/>
      <c r="QCF65" s="1304"/>
      <c r="QCG65" s="1304"/>
      <c r="QCH65" s="1304"/>
      <c r="QCI65" s="1305"/>
      <c r="QCJ65" s="1305"/>
      <c r="QCK65" s="1304"/>
      <c r="QCL65" s="1304"/>
      <c r="QCM65" s="1304"/>
      <c r="QCN65" s="1304"/>
      <c r="QCO65" s="1304"/>
      <c r="QCP65" s="1304"/>
      <c r="QCQ65" s="1304"/>
      <c r="QCR65" s="1304"/>
      <c r="QCS65" s="1305"/>
      <c r="QCT65" s="1305"/>
      <c r="QCU65" s="1304"/>
      <c r="QCV65" s="1304"/>
      <c r="QCW65" s="1304"/>
      <c r="QCX65" s="1304"/>
      <c r="QCY65" s="1304"/>
      <c r="QCZ65" s="1304"/>
      <c r="QDA65" s="1304"/>
      <c r="QDB65" s="1304"/>
      <c r="QDC65" s="1305"/>
      <c r="QDD65" s="1305"/>
      <c r="QDE65" s="1304"/>
      <c r="QDF65" s="1304"/>
      <c r="QDG65" s="1304"/>
      <c r="QDH65" s="1304"/>
      <c r="QDI65" s="1304"/>
      <c r="QDJ65" s="1304"/>
      <c r="QDK65" s="1304"/>
      <c r="QDL65" s="1304"/>
      <c r="QDM65" s="1305"/>
      <c r="QDN65" s="1305"/>
      <c r="QDO65" s="1304"/>
      <c r="QDP65" s="1304"/>
      <c r="QDQ65" s="1304"/>
      <c r="QDR65" s="1304"/>
      <c r="QDS65" s="1304"/>
      <c r="QDT65" s="1304"/>
      <c r="QDU65" s="1304"/>
      <c r="QDV65" s="1304"/>
      <c r="QDW65" s="1305"/>
      <c r="QDX65" s="1305"/>
      <c r="QDY65" s="1304"/>
      <c r="QDZ65" s="1304"/>
      <c r="QEA65" s="1304"/>
      <c r="QEB65" s="1304"/>
      <c r="QEC65" s="1304"/>
      <c r="QED65" s="1304"/>
      <c r="QEE65" s="1304"/>
      <c r="QEF65" s="1304"/>
      <c r="QEG65" s="1305"/>
      <c r="QEH65" s="1305"/>
      <c r="QEI65" s="1304"/>
      <c r="QEJ65" s="1304"/>
      <c r="QEK65" s="1304"/>
      <c r="QEL65" s="1304"/>
      <c r="QEM65" s="1304"/>
      <c r="QEN65" s="1304"/>
      <c r="QEO65" s="1304"/>
      <c r="QEP65" s="1304"/>
      <c r="QEQ65" s="1305"/>
      <c r="QER65" s="1305"/>
      <c r="QES65" s="1304"/>
      <c r="QET65" s="1304"/>
      <c r="QEU65" s="1304"/>
      <c r="QEV65" s="1304"/>
      <c r="QEW65" s="1304"/>
      <c r="QEX65" s="1304"/>
      <c r="QEY65" s="1304"/>
      <c r="QEZ65" s="1304"/>
      <c r="QFA65" s="1305"/>
      <c r="QFB65" s="1305"/>
      <c r="QFC65" s="1304"/>
      <c r="QFD65" s="1304"/>
      <c r="QFE65" s="1304"/>
      <c r="QFF65" s="1304"/>
      <c r="QFG65" s="1304"/>
      <c r="QFH65" s="1304"/>
      <c r="QFI65" s="1304"/>
      <c r="QFJ65" s="1304"/>
      <c r="QFK65" s="1305"/>
      <c r="QFL65" s="1305"/>
      <c r="QFM65" s="1304"/>
      <c r="QFN65" s="1304"/>
      <c r="QFO65" s="1304"/>
      <c r="QFP65" s="1304"/>
      <c r="QFQ65" s="1304"/>
      <c r="QFR65" s="1304"/>
      <c r="QFS65" s="1304"/>
      <c r="QFT65" s="1304"/>
      <c r="QFU65" s="1305"/>
      <c r="QFV65" s="1305"/>
      <c r="QFW65" s="1304"/>
      <c r="QFX65" s="1304"/>
      <c r="QFY65" s="1304"/>
      <c r="QFZ65" s="1304"/>
      <c r="QGA65" s="1304"/>
      <c r="QGB65" s="1304"/>
      <c r="QGC65" s="1304"/>
      <c r="QGD65" s="1304"/>
      <c r="QGE65" s="1305"/>
      <c r="QGF65" s="1305"/>
      <c r="QGG65" s="1304"/>
      <c r="QGH65" s="1304"/>
      <c r="QGI65" s="1304"/>
      <c r="QGJ65" s="1304"/>
      <c r="QGK65" s="1304"/>
      <c r="QGL65" s="1304"/>
      <c r="QGM65" s="1304"/>
      <c r="QGN65" s="1304"/>
      <c r="QGO65" s="1305"/>
      <c r="QGP65" s="1305"/>
      <c r="QGQ65" s="1304"/>
      <c r="QGR65" s="1304"/>
      <c r="QGS65" s="1304"/>
      <c r="QGT65" s="1304"/>
      <c r="QGU65" s="1304"/>
      <c r="QGV65" s="1304"/>
      <c r="QGW65" s="1304"/>
      <c r="QGX65" s="1304"/>
      <c r="QGY65" s="1305"/>
      <c r="QGZ65" s="1305"/>
      <c r="QHA65" s="1304"/>
      <c r="QHB65" s="1304"/>
      <c r="QHC65" s="1304"/>
      <c r="QHD65" s="1304"/>
      <c r="QHE65" s="1304"/>
      <c r="QHF65" s="1304"/>
      <c r="QHG65" s="1304"/>
      <c r="QHH65" s="1304"/>
      <c r="QHI65" s="1305"/>
      <c r="QHJ65" s="1305"/>
      <c r="QHK65" s="1304"/>
      <c r="QHL65" s="1304"/>
      <c r="QHM65" s="1304"/>
      <c r="QHN65" s="1304"/>
      <c r="QHO65" s="1304"/>
      <c r="QHP65" s="1304"/>
      <c r="QHQ65" s="1304"/>
      <c r="QHR65" s="1304"/>
      <c r="QHS65" s="1305"/>
      <c r="QHT65" s="1305"/>
      <c r="QHU65" s="1304"/>
      <c r="QHV65" s="1304"/>
      <c r="QHW65" s="1304"/>
      <c r="QHX65" s="1304"/>
      <c r="QHY65" s="1304"/>
      <c r="QHZ65" s="1304"/>
      <c r="QIA65" s="1304"/>
      <c r="QIB65" s="1304"/>
      <c r="QIC65" s="1305"/>
      <c r="QID65" s="1305"/>
      <c r="QIE65" s="1304"/>
      <c r="QIF65" s="1304"/>
      <c r="QIG65" s="1304"/>
      <c r="QIH65" s="1304"/>
      <c r="QII65" s="1304"/>
      <c r="QIJ65" s="1304"/>
      <c r="QIK65" s="1304"/>
      <c r="QIL65" s="1304"/>
      <c r="QIM65" s="1305"/>
      <c r="QIN65" s="1305"/>
      <c r="QIO65" s="1304"/>
      <c r="QIP65" s="1304"/>
      <c r="QIQ65" s="1304"/>
      <c r="QIR65" s="1304"/>
      <c r="QIS65" s="1304"/>
      <c r="QIT65" s="1304"/>
      <c r="QIU65" s="1304"/>
      <c r="QIV65" s="1304"/>
      <c r="QIW65" s="1305"/>
      <c r="QIX65" s="1305"/>
      <c r="QIY65" s="1304"/>
      <c r="QIZ65" s="1304"/>
      <c r="QJA65" s="1304"/>
      <c r="QJB65" s="1304"/>
      <c r="QJC65" s="1304"/>
      <c r="QJD65" s="1304"/>
      <c r="QJE65" s="1304"/>
      <c r="QJF65" s="1304"/>
      <c r="QJG65" s="1305"/>
      <c r="QJH65" s="1305"/>
      <c r="QJI65" s="1304"/>
      <c r="QJJ65" s="1304"/>
      <c r="QJK65" s="1304"/>
      <c r="QJL65" s="1304"/>
      <c r="QJM65" s="1304"/>
      <c r="QJN65" s="1304"/>
      <c r="QJO65" s="1304"/>
      <c r="QJP65" s="1304"/>
      <c r="QJQ65" s="1305"/>
      <c r="QJR65" s="1305"/>
      <c r="QJS65" s="1304"/>
      <c r="QJT65" s="1304"/>
      <c r="QJU65" s="1304"/>
      <c r="QJV65" s="1304"/>
      <c r="QJW65" s="1304"/>
      <c r="QJX65" s="1304"/>
      <c r="QJY65" s="1304"/>
      <c r="QJZ65" s="1304"/>
      <c r="QKA65" s="1305"/>
      <c r="QKB65" s="1305"/>
      <c r="QKC65" s="1304"/>
      <c r="QKD65" s="1304"/>
      <c r="QKE65" s="1304"/>
      <c r="QKF65" s="1304"/>
      <c r="QKG65" s="1304"/>
      <c r="QKH65" s="1304"/>
      <c r="QKI65" s="1304"/>
      <c r="QKJ65" s="1304"/>
      <c r="QKK65" s="1305"/>
      <c r="QKL65" s="1305"/>
      <c r="QKM65" s="1304"/>
      <c r="QKN65" s="1304"/>
      <c r="QKO65" s="1304"/>
      <c r="QKP65" s="1304"/>
      <c r="QKQ65" s="1304"/>
      <c r="QKR65" s="1304"/>
      <c r="QKS65" s="1304"/>
      <c r="QKT65" s="1304"/>
      <c r="QKU65" s="1305"/>
      <c r="QKV65" s="1305"/>
      <c r="QKW65" s="1304"/>
      <c r="QKX65" s="1304"/>
      <c r="QKY65" s="1304"/>
      <c r="QKZ65" s="1304"/>
      <c r="QLA65" s="1304"/>
      <c r="QLB65" s="1304"/>
      <c r="QLC65" s="1304"/>
      <c r="QLD65" s="1304"/>
      <c r="QLE65" s="1305"/>
      <c r="QLF65" s="1305"/>
      <c r="QLG65" s="1304"/>
      <c r="QLH65" s="1304"/>
      <c r="QLI65" s="1304"/>
      <c r="QLJ65" s="1304"/>
      <c r="QLK65" s="1304"/>
      <c r="QLL65" s="1304"/>
      <c r="QLM65" s="1304"/>
      <c r="QLN65" s="1304"/>
      <c r="QLO65" s="1305"/>
      <c r="QLP65" s="1305"/>
      <c r="QLQ65" s="1304"/>
      <c r="QLR65" s="1304"/>
      <c r="QLS65" s="1304"/>
      <c r="QLT65" s="1304"/>
      <c r="QLU65" s="1304"/>
      <c r="QLV65" s="1304"/>
      <c r="QLW65" s="1304"/>
      <c r="QLX65" s="1304"/>
      <c r="QLY65" s="1305"/>
      <c r="QLZ65" s="1305"/>
      <c r="QMA65" s="1304"/>
      <c r="QMB65" s="1304"/>
      <c r="QMC65" s="1304"/>
      <c r="QMD65" s="1304"/>
      <c r="QME65" s="1304"/>
      <c r="QMF65" s="1304"/>
      <c r="QMG65" s="1304"/>
      <c r="QMH65" s="1304"/>
      <c r="QMI65" s="1305"/>
      <c r="QMJ65" s="1305"/>
      <c r="QMK65" s="1304"/>
      <c r="QML65" s="1304"/>
      <c r="QMM65" s="1304"/>
      <c r="QMN65" s="1304"/>
      <c r="QMO65" s="1304"/>
      <c r="QMP65" s="1304"/>
      <c r="QMQ65" s="1304"/>
      <c r="QMR65" s="1304"/>
      <c r="QMS65" s="1305"/>
      <c r="QMT65" s="1305"/>
      <c r="QMU65" s="1304"/>
      <c r="QMV65" s="1304"/>
      <c r="QMW65" s="1304"/>
      <c r="QMX65" s="1304"/>
      <c r="QMY65" s="1304"/>
      <c r="QMZ65" s="1304"/>
      <c r="QNA65" s="1304"/>
      <c r="QNB65" s="1304"/>
      <c r="QNC65" s="1305"/>
      <c r="QND65" s="1305"/>
      <c r="QNE65" s="1304"/>
      <c r="QNF65" s="1304"/>
      <c r="QNG65" s="1304"/>
      <c r="QNH65" s="1304"/>
      <c r="QNI65" s="1304"/>
      <c r="QNJ65" s="1304"/>
      <c r="QNK65" s="1304"/>
      <c r="QNL65" s="1304"/>
      <c r="QNM65" s="1305"/>
      <c r="QNN65" s="1305"/>
      <c r="QNO65" s="1304"/>
      <c r="QNP65" s="1304"/>
      <c r="QNQ65" s="1304"/>
      <c r="QNR65" s="1304"/>
      <c r="QNS65" s="1304"/>
      <c r="QNT65" s="1304"/>
      <c r="QNU65" s="1304"/>
      <c r="QNV65" s="1304"/>
      <c r="QNW65" s="1305"/>
      <c r="QNX65" s="1305"/>
      <c r="QNY65" s="1304"/>
      <c r="QNZ65" s="1304"/>
      <c r="QOA65" s="1304"/>
      <c r="QOB65" s="1304"/>
      <c r="QOC65" s="1304"/>
      <c r="QOD65" s="1304"/>
      <c r="QOE65" s="1304"/>
      <c r="QOF65" s="1304"/>
      <c r="QOG65" s="1305"/>
      <c r="QOH65" s="1305"/>
      <c r="QOI65" s="1304"/>
      <c r="QOJ65" s="1304"/>
      <c r="QOK65" s="1304"/>
      <c r="QOL65" s="1304"/>
      <c r="QOM65" s="1304"/>
      <c r="QON65" s="1304"/>
      <c r="QOO65" s="1304"/>
      <c r="QOP65" s="1304"/>
      <c r="QOQ65" s="1305"/>
      <c r="QOR65" s="1305"/>
      <c r="QOS65" s="1304"/>
      <c r="QOT65" s="1304"/>
      <c r="QOU65" s="1304"/>
      <c r="QOV65" s="1304"/>
      <c r="QOW65" s="1304"/>
      <c r="QOX65" s="1304"/>
      <c r="QOY65" s="1304"/>
      <c r="QOZ65" s="1304"/>
      <c r="QPA65" s="1305"/>
      <c r="QPB65" s="1305"/>
      <c r="QPC65" s="1304"/>
      <c r="QPD65" s="1304"/>
      <c r="QPE65" s="1304"/>
      <c r="QPF65" s="1304"/>
      <c r="QPG65" s="1304"/>
      <c r="QPH65" s="1304"/>
      <c r="QPI65" s="1304"/>
      <c r="QPJ65" s="1304"/>
      <c r="QPK65" s="1305"/>
      <c r="QPL65" s="1305"/>
      <c r="QPM65" s="1304"/>
      <c r="QPN65" s="1304"/>
      <c r="QPO65" s="1304"/>
      <c r="QPP65" s="1304"/>
      <c r="QPQ65" s="1304"/>
      <c r="QPR65" s="1304"/>
      <c r="QPS65" s="1304"/>
      <c r="QPT65" s="1304"/>
      <c r="QPU65" s="1305"/>
      <c r="QPV65" s="1305"/>
      <c r="QPW65" s="1304"/>
      <c r="QPX65" s="1304"/>
      <c r="QPY65" s="1304"/>
      <c r="QPZ65" s="1304"/>
      <c r="QQA65" s="1304"/>
      <c r="QQB65" s="1304"/>
      <c r="QQC65" s="1304"/>
      <c r="QQD65" s="1304"/>
      <c r="QQE65" s="1305"/>
      <c r="QQF65" s="1305"/>
      <c r="QQG65" s="1304"/>
      <c r="QQH65" s="1304"/>
      <c r="QQI65" s="1304"/>
      <c r="QQJ65" s="1304"/>
      <c r="QQK65" s="1304"/>
      <c r="QQL65" s="1304"/>
      <c r="QQM65" s="1304"/>
      <c r="QQN65" s="1304"/>
      <c r="QQO65" s="1305"/>
      <c r="QQP65" s="1305"/>
      <c r="QQQ65" s="1304"/>
      <c r="QQR65" s="1304"/>
      <c r="QQS65" s="1304"/>
      <c r="QQT65" s="1304"/>
      <c r="QQU65" s="1304"/>
      <c r="QQV65" s="1304"/>
      <c r="QQW65" s="1304"/>
      <c r="QQX65" s="1304"/>
      <c r="QQY65" s="1305"/>
      <c r="QQZ65" s="1305"/>
      <c r="QRA65" s="1304"/>
      <c r="QRB65" s="1304"/>
      <c r="QRC65" s="1304"/>
      <c r="QRD65" s="1304"/>
      <c r="QRE65" s="1304"/>
      <c r="QRF65" s="1304"/>
      <c r="QRG65" s="1304"/>
      <c r="QRH65" s="1304"/>
      <c r="QRI65" s="1305"/>
      <c r="QRJ65" s="1305"/>
      <c r="QRK65" s="1304"/>
      <c r="QRL65" s="1304"/>
      <c r="QRM65" s="1304"/>
      <c r="QRN65" s="1304"/>
      <c r="QRO65" s="1304"/>
      <c r="QRP65" s="1304"/>
      <c r="QRQ65" s="1304"/>
      <c r="QRR65" s="1304"/>
      <c r="QRS65" s="1305"/>
      <c r="QRT65" s="1305"/>
      <c r="QRU65" s="1304"/>
      <c r="QRV65" s="1304"/>
      <c r="QRW65" s="1304"/>
      <c r="QRX65" s="1304"/>
      <c r="QRY65" s="1304"/>
      <c r="QRZ65" s="1304"/>
      <c r="QSA65" s="1304"/>
      <c r="QSB65" s="1304"/>
      <c r="QSC65" s="1305"/>
      <c r="QSD65" s="1305"/>
      <c r="QSE65" s="1304"/>
      <c r="QSF65" s="1304"/>
      <c r="QSG65" s="1304"/>
      <c r="QSH65" s="1304"/>
      <c r="QSI65" s="1304"/>
      <c r="QSJ65" s="1304"/>
      <c r="QSK65" s="1304"/>
      <c r="QSL65" s="1304"/>
      <c r="QSM65" s="1305"/>
      <c r="QSN65" s="1305"/>
      <c r="QSO65" s="1304"/>
      <c r="QSP65" s="1304"/>
      <c r="QSQ65" s="1304"/>
      <c r="QSR65" s="1304"/>
      <c r="QSS65" s="1304"/>
      <c r="QST65" s="1304"/>
      <c r="QSU65" s="1304"/>
      <c r="QSV65" s="1304"/>
      <c r="QSW65" s="1305"/>
      <c r="QSX65" s="1305"/>
      <c r="QSY65" s="1304"/>
      <c r="QSZ65" s="1304"/>
      <c r="QTA65" s="1304"/>
      <c r="QTB65" s="1304"/>
      <c r="QTC65" s="1304"/>
      <c r="QTD65" s="1304"/>
      <c r="QTE65" s="1304"/>
      <c r="QTF65" s="1304"/>
      <c r="QTG65" s="1305"/>
      <c r="QTH65" s="1305"/>
      <c r="QTI65" s="1304"/>
      <c r="QTJ65" s="1304"/>
      <c r="QTK65" s="1304"/>
      <c r="QTL65" s="1304"/>
      <c r="QTM65" s="1304"/>
      <c r="QTN65" s="1304"/>
      <c r="QTO65" s="1304"/>
      <c r="QTP65" s="1304"/>
      <c r="QTQ65" s="1305"/>
      <c r="QTR65" s="1305"/>
      <c r="QTS65" s="1304"/>
      <c r="QTT65" s="1304"/>
      <c r="QTU65" s="1304"/>
      <c r="QTV65" s="1304"/>
      <c r="QTW65" s="1304"/>
      <c r="QTX65" s="1304"/>
      <c r="QTY65" s="1304"/>
      <c r="QTZ65" s="1304"/>
      <c r="QUA65" s="1305"/>
      <c r="QUB65" s="1305"/>
      <c r="QUC65" s="1304"/>
      <c r="QUD65" s="1304"/>
      <c r="QUE65" s="1304"/>
      <c r="QUF65" s="1304"/>
      <c r="QUG65" s="1304"/>
      <c r="QUH65" s="1304"/>
      <c r="QUI65" s="1304"/>
      <c r="QUJ65" s="1304"/>
      <c r="QUK65" s="1305"/>
      <c r="QUL65" s="1305"/>
      <c r="QUM65" s="1304"/>
      <c r="QUN65" s="1304"/>
      <c r="QUO65" s="1304"/>
      <c r="QUP65" s="1304"/>
      <c r="QUQ65" s="1304"/>
      <c r="QUR65" s="1304"/>
      <c r="QUS65" s="1304"/>
      <c r="QUT65" s="1304"/>
      <c r="QUU65" s="1305"/>
      <c r="QUV65" s="1305"/>
      <c r="QUW65" s="1304"/>
      <c r="QUX65" s="1304"/>
      <c r="QUY65" s="1304"/>
      <c r="QUZ65" s="1304"/>
      <c r="QVA65" s="1304"/>
      <c r="QVB65" s="1304"/>
      <c r="QVC65" s="1304"/>
      <c r="QVD65" s="1304"/>
      <c r="QVE65" s="1305"/>
      <c r="QVF65" s="1305"/>
      <c r="QVG65" s="1304"/>
      <c r="QVH65" s="1304"/>
      <c r="QVI65" s="1304"/>
      <c r="QVJ65" s="1304"/>
      <c r="QVK65" s="1304"/>
      <c r="QVL65" s="1304"/>
      <c r="QVM65" s="1304"/>
      <c r="QVN65" s="1304"/>
      <c r="QVO65" s="1305"/>
      <c r="QVP65" s="1305"/>
      <c r="QVQ65" s="1304"/>
      <c r="QVR65" s="1304"/>
      <c r="QVS65" s="1304"/>
      <c r="QVT65" s="1304"/>
      <c r="QVU65" s="1304"/>
      <c r="QVV65" s="1304"/>
      <c r="QVW65" s="1304"/>
      <c r="QVX65" s="1304"/>
      <c r="QVY65" s="1305"/>
      <c r="QVZ65" s="1305"/>
      <c r="QWA65" s="1304"/>
      <c r="QWB65" s="1304"/>
      <c r="QWC65" s="1304"/>
      <c r="QWD65" s="1304"/>
      <c r="QWE65" s="1304"/>
      <c r="QWF65" s="1304"/>
      <c r="QWG65" s="1304"/>
      <c r="QWH65" s="1304"/>
      <c r="QWI65" s="1305"/>
      <c r="QWJ65" s="1305"/>
      <c r="QWK65" s="1304"/>
      <c r="QWL65" s="1304"/>
      <c r="QWM65" s="1304"/>
      <c r="QWN65" s="1304"/>
      <c r="QWO65" s="1304"/>
      <c r="QWP65" s="1304"/>
      <c r="QWQ65" s="1304"/>
      <c r="QWR65" s="1304"/>
      <c r="QWS65" s="1305"/>
      <c r="QWT65" s="1305"/>
      <c r="QWU65" s="1304"/>
      <c r="QWV65" s="1304"/>
      <c r="QWW65" s="1304"/>
      <c r="QWX65" s="1304"/>
      <c r="QWY65" s="1304"/>
      <c r="QWZ65" s="1304"/>
      <c r="QXA65" s="1304"/>
      <c r="QXB65" s="1304"/>
      <c r="QXC65" s="1305"/>
      <c r="QXD65" s="1305"/>
      <c r="QXE65" s="1304"/>
      <c r="QXF65" s="1304"/>
      <c r="QXG65" s="1304"/>
      <c r="QXH65" s="1304"/>
      <c r="QXI65" s="1304"/>
      <c r="QXJ65" s="1304"/>
      <c r="QXK65" s="1304"/>
      <c r="QXL65" s="1304"/>
      <c r="QXM65" s="1305"/>
      <c r="QXN65" s="1305"/>
      <c r="QXO65" s="1304"/>
      <c r="QXP65" s="1304"/>
      <c r="QXQ65" s="1304"/>
      <c r="QXR65" s="1304"/>
      <c r="QXS65" s="1304"/>
      <c r="QXT65" s="1304"/>
      <c r="QXU65" s="1304"/>
      <c r="QXV65" s="1304"/>
      <c r="QXW65" s="1305"/>
      <c r="QXX65" s="1305"/>
      <c r="QXY65" s="1304"/>
      <c r="QXZ65" s="1304"/>
      <c r="QYA65" s="1304"/>
      <c r="QYB65" s="1304"/>
      <c r="QYC65" s="1304"/>
      <c r="QYD65" s="1304"/>
      <c r="QYE65" s="1304"/>
      <c r="QYF65" s="1304"/>
      <c r="QYG65" s="1305"/>
      <c r="QYH65" s="1305"/>
      <c r="QYI65" s="1304"/>
      <c r="QYJ65" s="1304"/>
      <c r="QYK65" s="1304"/>
      <c r="QYL65" s="1304"/>
      <c r="QYM65" s="1304"/>
      <c r="QYN65" s="1304"/>
      <c r="QYO65" s="1304"/>
      <c r="QYP65" s="1304"/>
      <c r="QYQ65" s="1305"/>
      <c r="QYR65" s="1305"/>
      <c r="QYS65" s="1304"/>
      <c r="QYT65" s="1304"/>
      <c r="QYU65" s="1304"/>
      <c r="QYV65" s="1304"/>
      <c r="QYW65" s="1304"/>
      <c r="QYX65" s="1304"/>
      <c r="QYY65" s="1304"/>
      <c r="QYZ65" s="1304"/>
      <c r="QZA65" s="1305"/>
      <c r="QZB65" s="1305"/>
      <c r="QZC65" s="1304"/>
      <c r="QZD65" s="1304"/>
      <c r="QZE65" s="1304"/>
      <c r="QZF65" s="1304"/>
      <c r="QZG65" s="1304"/>
      <c r="QZH65" s="1304"/>
      <c r="QZI65" s="1304"/>
      <c r="QZJ65" s="1304"/>
      <c r="QZK65" s="1305"/>
      <c r="QZL65" s="1305"/>
      <c r="QZM65" s="1304"/>
      <c r="QZN65" s="1304"/>
      <c r="QZO65" s="1304"/>
      <c r="QZP65" s="1304"/>
      <c r="QZQ65" s="1304"/>
      <c r="QZR65" s="1304"/>
      <c r="QZS65" s="1304"/>
      <c r="QZT65" s="1304"/>
      <c r="QZU65" s="1305"/>
      <c r="QZV65" s="1305"/>
      <c r="QZW65" s="1304"/>
      <c r="QZX65" s="1304"/>
      <c r="QZY65" s="1304"/>
      <c r="QZZ65" s="1304"/>
      <c r="RAA65" s="1304"/>
      <c r="RAB65" s="1304"/>
      <c r="RAC65" s="1304"/>
      <c r="RAD65" s="1304"/>
      <c r="RAE65" s="1305"/>
      <c r="RAF65" s="1305"/>
      <c r="RAG65" s="1304"/>
      <c r="RAH65" s="1304"/>
      <c r="RAI65" s="1304"/>
      <c r="RAJ65" s="1304"/>
      <c r="RAK65" s="1304"/>
      <c r="RAL65" s="1304"/>
      <c r="RAM65" s="1304"/>
      <c r="RAN65" s="1304"/>
      <c r="RAO65" s="1305"/>
      <c r="RAP65" s="1305"/>
      <c r="RAQ65" s="1304"/>
      <c r="RAR65" s="1304"/>
      <c r="RAS65" s="1304"/>
      <c r="RAT65" s="1304"/>
      <c r="RAU65" s="1304"/>
      <c r="RAV65" s="1304"/>
      <c r="RAW65" s="1304"/>
      <c r="RAX65" s="1304"/>
      <c r="RAY65" s="1305"/>
      <c r="RAZ65" s="1305"/>
      <c r="RBA65" s="1304"/>
      <c r="RBB65" s="1304"/>
      <c r="RBC65" s="1304"/>
      <c r="RBD65" s="1304"/>
      <c r="RBE65" s="1304"/>
      <c r="RBF65" s="1304"/>
      <c r="RBG65" s="1304"/>
      <c r="RBH65" s="1304"/>
      <c r="RBI65" s="1305"/>
      <c r="RBJ65" s="1305"/>
      <c r="RBK65" s="1304"/>
      <c r="RBL65" s="1304"/>
      <c r="RBM65" s="1304"/>
      <c r="RBN65" s="1304"/>
      <c r="RBO65" s="1304"/>
      <c r="RBP65" s="1304"/>
      <c r="RBQ65" s="1304"/>
      <c r="RBR65" s="1304"/>
      <c r="RBS65" s="1305"/>
      <c r="RBT65" s="1305"/>
      <c r="RBU65" s="1304"/>
      <c r="RBV65" s="1304"/>
      <c r="RBW65" s="1304"/>
      <c r="RBX65" s="1304"/>
      <c r="RBY65" s="1304"/>
      <c r="RBZ65" s="1304"/>
      <c r="RCA65" s="1304"/>
      <c r="RCB65" s="1304"/>
      <c r="RCC65" s="1305"/>
      <c r="RCD65" s="1305"/>
      <c r="RCE65" s="1304"/>
      <c r="RCF65" s="1304"/>
      <c r="RCG65" s="1304"/>
      <c r="RCH65" s="1304"/>
      <c r="RCI65" s="1304"/>
      <c r="RCJ65" s="1304"/>
      <c r="RCK65" s="1304"/>
      <c r="RCL65" s="1304"/>
      <c r="RCM65" s="1305"/>
      <c r="RCN65" s="1305"/>
      <c r="RCO65" s="1304"/>
      <c r="RCP65" s="1304"/>
      <c r="RCQ65" s="1304"/>
      <c r="RCR65" s="1304"/>
      <c r="RCS65" s="1304"/>
      <c r="RCT65" s="1304"/>
      <c r="RCU65" s="1304"/>
      <c r="RCV65" s="1304"/>
      <c r="RCW65" s="1305"/>
      <c r="RCX65" s="1305"/>
      <c r="RCY65" s="1304"/>
      <c r="RCZ65" s="1304"/>
      <c r="RDA65" s="1304"/>
      <c r="RDB65" s="1304"/>
      <c r="RDC65" s="1304"/>
      <c r="RDD65" s="1304"/>
      <c r="RDE65" s="1304"/>
      <c r="RDF65" s="1304"/>
      <c r="RDG65" s="1305"/>
      <c r="RDH65" s="1305"/>
      <c r="RDI65" s="1304"/>
      <c r="RDJ65" s="1304"/>
      <c r="RDK65" s="1304"/>
      <c r="RDL65" s="1304"/>
      <c r="RDM65" s="1304"/>
      <c r="RDN65" s="1304"/>
      <c r="RDO65" s="1304"/>
      <c r="RDP65" s="1304"/>
      <c r="RDQ65" s="1305"/>
      <c r="RDR65" s="1305"/>
      <c r="RDS65" s="1304"/>
      <c r="RDT65" s="1304"/>
      <c r="RDU65" s="1304"/>
      <c r="RDV65" s="1304"/>
      <c r="RDW65" s="1304"/>
      <c r="RDX65" s="1304"/>
      <c r="RDY65" s="1304"/>
      <c r="RDZ65" s="1304"/>
      <c r="REA65" s="1305"/>
      <c r="REB65" s="1305"/>
      <c r="REC65" s="1304"/>
      <c r="RED65" s="1304"/>
      <c r="REE65" s="1304"/>
      <c r="REF65" s="1304"/>
      <c r="REG65" s="1304"/>
      <c r="REH65" s="1304"/>
      <c r="REI65" s="1304"/>
      <c r="REJ65" s="1304"/>
      <c r="REK65" s="1305"/>
      <c r="REL65" s="1305"/>
      <c r="REM65" s="1304"/>
      <c r="REN65" s="1304"/>
      <c r="REO65" s="1304"/>
      <c r="REP65" s="1304"/>
      <c r="REQ65" s="1304"/>
      <c r="RER65" s="1304"/>
      <c r="RES65" s="1304"/>
      <c r="RET65" s="1304"/>
      <c r="REU65" s="1305"/>
      <c r="REV65" s="1305"/>
      <c r="REW65" s="1304"/>
      <c r="REX65" s="1304"/>
      <c r="REY65" s="1304"/>
      <c r="REZ65" s="1304"/>
      <c r="RFA65" s="1304"/>
      <c r="RFB65" s="1304"/>
      <c r="RFC65" s="1304"/>
      <c r="RFD65" s="1304"/>
      <c r="RFE65" s="1305"/>
      <c r="RFF65" s="1305"/>
      <c r="RFG65" s="1304"/>
      <c r="RFH65" s="1304"/>
      <c r="RFI65" s="1304"/>
      <c r="RFJ65" s="1304"/>
      <c r="RFK65" s="1304"/>
      <c r="RFL65" s="1304"/>
      <c r="RFM65" s="1304"/>
      <c r="RFN65" s="1304"/>
      <c r="RFO65" s="1305"/>
      <c r="RFP65" s="1305"/>
      <c r="RFQ65" s="1304"/>
      <c r="RFR65" s="1304"/>
      <c r="RFS65" s="1304"/>
      <c r="RFT65" s="1304"/>
      <c r="RFU65" s="1304"/>
      <c r="RFV65" s="1304"/>
      <c r="RFW65" s="1304"/>
      <c r="RFX65" s="1304"/>
      <c r="RFY65" s="1305"/>
      <c r="RFZ65" s="1305"/>
      <c r="RGA65" s="1304"/>
      <c r="RGB65" s="1304"/>
      <c r="RGC65" s="1304"/>
      <c r="RGD65" s="1304"/>
      <c r="RGE65" s="1304"/>
      <c r="RGF65" s="1304"/>
      <c r="RGG65" s="1304"/>
      <c r="RGH65" s="1304"/>
      <c r="RGI65" s="1305"/>
      <c r="RGJ65" s="1305"/>
      <c r="RGK65" s="1304"/>
      <c r="RGL65" s="1304"/>
      <c r="RGM65" s="1304"/>
      <c r="RGN65" s="1304"/>
      <c r="RGO65" s="1304"/>
      <c r="RGP65" s="1304"/>
      <c r="RGQ65" s="1304"/>
      <c r="RGR65" s="1304"/>
      <c r="RGS65" s="1305"/>
      <c r="RGT65" s="1305"/>
      <c r="RGU65" s="1304"/>
      <c r="RGV65" s="1304"/>
      <c r="RGW65" s="1304"/>
      <c r="RGX65" s="1304"/>
      <c r="RGY65" s="1304"/>
      <c r="RGZ65" s="1304"/>
      <c r="RHA65" s="1304"/>
      <c r="RHB65" s="1304"/>
      <c r="RHC65" s="1305"/>
      <c r="RHD65" s="1305"/>
      <c r="RHE65" s="1304"/>
      <c r="RHF65" s="1304"/>
      <c r="RHG65" s="1304"/>
      <c r="RHH65" s="1304"/>
      <c r="RHI65" s="1304"/>
      <c r="RHJ65" s="1304"/>
      <c r="RHK65" s="1304"/>
      <c r="RHL65" s="1304"/>
      <c r="RHM65" s="1305"/>
      <c r="RHN65" s="1305"/>
      <c r="RHO65" s="1304"/>
      <c r="RHP65" s="1304"/>
      <c r="RHQ65" s="1304"/>
      <c r="RHR65" s="1304"/>
      <c r="RHS65" s="1304"/>
      <c r="RHT65" s="1304"/>
      <c r="RHU65" s="1304"/>
      <c r="RHV65" s="1304"/>
      <c r="RHW65" s="1305"/>
      <c r="RHX65" s="1305"/>
      <c r="RHY65" s="1304"/>
      <c r="RHZ65" s="1304"/>
      <c r="RIA65" s="1304"/>
      <c r="RIB65" s="1304"/>
      <c r="RIC65" s="1304"/>
      <c r="RID65" s="1304"/>
      <c r="RIE65" s="1304"/>
      <c r="RIF65" s="1304"/>
      <c r="RIG65" s="1305"/>
      <c r="RIH65" s="1305"/>
      <c r="RII65" s="1304"/>
      <c r="RIJ65" s="1304"/>
      <c r="RIK65" s="1304"/>
      <c r="RIL65" s="1304"/>
      <c r="RIM65" s="1304"/>
      <c r="RIN65" s="1304"/>
      <c r="RIO65" s="1304"/>
      <c r="RIP65" s="1304"/>
      <c r="RIQ65" s="1305"/>
      <c r="RIR65" s="1305"/>
      <c r="RIS65" s="1304"/>
      <c r="RIT65" s="1304"/>
      <c r="RIU65" s="1304"/>
      <c r="RIV65" s="1304"/>
      <c r="RIW65" s="1304"/>
      <c r="RIX65" s="1304"/>
      <c r="RIY65" s="1304"/>
      <c r="RIZ65" s="1304"/>
      <c r="RJA65" s="1305"/>
      <c r="RJB65" s="1305"/>
      <c r="RJC65" s="1304"/>
      <c r="RJD65" s="1304"/>
      <c r="RJE65" s="1304"/>
      <c r="RJF65" s="1304"/>
      <c r="RJG65" s="1304"/>
      <c r="RJH65" s="1304"/>
      <c r="RJI65" s="1304"/>
      <c r="RJJ65" s="1304"/>
      <c r="RJK65" s="1305"/>
      <c r="RJL65" s="1305"/>
      <c r="RJM65" s="1304"/>
      <c r="RJN65" s="1304"/>
      <c r="RJO65" s="1304"/>
      <c r="RJP65" s="1304"/>
      <c r="RJQ65" s="1304"/>
      <c r="RJR65" s="1304"/>
      <c r="RJS65" s="1304"/>
      <c r="RJT65" s="1304"/>
      <c r="RJU65" s="1305"/>
      <c r="RJV65" s="1305"/>
      <c r="RJW65" s="1304"/>
      <c r="RJX65" s="1304"/>
      <c r="RJY65" s="1304"/>
      <c r="RJZ65" s="1304"/>
      <c r="RKA65" s="1304"/>
      <c r="RKB65" s="1304"/>
      <c r="RKC65" s="1304"/>
      <c r="RKD65" s="1304"/>
      <c r="RKE65" s="1305"/>
      <c r="RKF65" s="1305"/>
      <c r="RKG65" s="1304"/>
      <c r="RKH65" s="1304"/>
      <c r="RKI65" s="1304"/>
      <c r="RKJ65" s="1304"/>
      <c r="RKK65" s="1304"/>
      <c r="RKL65" s="1304"/>
      <c r="RKM65" s="1304"/>
      <c r="RKN65" s="1304"/>
      <c r="RKO65" s="1305"/>
      <c r="RKP65" s="1305"/>
      <c r="RKQ65" s="1304"/>
      <c r="RKR65" s="1304"/>
      <c r="RKS65" s="1304"/>
      <c r="RKT65" s="1304"/>
      <c r="RKU65" s="1304"/>
      <c r="RKV65" s="1304"/>
      <c r="RKW65" s="1304"/>
      <c r="RKX65" s="1304"/>
      <c r="RKY65" s="1305"/>
      <c r="RKZ65" s="1305"/>
      <c r="RLA65" s="1304"/>
      <c r="RLB65" s="1304"/>
      <c r="RLC65" s="1304"/>
      <c r="RLD65" s="1304"/>
      <c r="RLE65" s="1304"/>
      <c r="RLF65" s="1304"/>
      <c r="RLG65" s="1304"/>
      <c r="RLH65" s="1304"/>
      <c r="RLI65" s="1305"/>
      <c r="RLJ65" s="1305"/>
      <c r="RLK65" s="1304"/>
      <c r="RLL65" s="1304"/>
      <c r="RLM65" s="1304"/>
      <c r="RLN65" s="1304"/>
      <c r="RLO65" s="1304"/>
      <c r="RLP65" s="1304"/>
      <c r="RLQ65" s="1304"/>
      <c r="RLR65" s="1304"/>
      <c r="RLS65" s="1305"/>
      <c r="RLT65" s="1305"/>
      <c r="RLU65" s="1304"/>
      <c r="RLV65" s="1304"/>
      <c r="RLW65" s="1304"/>
      <c r="RLX65" s="1304"/>
      <c r="RLY65" s="1304"/>
      <c r="RLZ65" s="1304"/>
      <c r="RMA65" s="1304"/>
      <c r="RMB65" s="1304"/>
      <c r="RMC65" s="1305"/>
      <c r="RMD65" s="1305"/>
      <c r="RME65" s="1304"/>
      <c r="RMF65" s="1304"/>
      <c r="RMG65" s="1304"/>
      <c r="RMH65" s="1304"/>
      <c r="RMI65" s="1304"/>
      <c r="RMJ65" s="1304"/>
      <c r="RMK65" s="1304"/>
      <c r="RML65" s="1304"/>
      <c r="RMM65" s="1305"/>
      <c r="RMN65" s="1305"/>
      <c r="RMO65" s="1304"/>
      <c r="RMP65" s="1304"/>
      <c r="RMQ65" s="1304"/>
      <c r="RMR65" s="1304"/>
      <c r="RMS65" s="1304"/>
      <c r="RMT65" s="1304"/>
      <c r="RMU65" s="1304"/>
      <c r="RMV65" s="1304"/>
      <c r="RMW65" s="1305"/>
      <c r="RMX65" s="1305"/>
      <c r="RMY65" s="1304"/>
      <c r="RMZ65" s="1304"/>
      <c r="RNA65" s="1304"/>
      <c r="RNB65" s="1304"/>
      <c r="RNC65" s="1304"/>
      <c r="RND65" s="1304"/>
      <c r="RNE65" s="1304"/>
      <c r="RNF65" s="1304"/>
      <c r="RNG65" s="1305"/>
      <c r="RNH65" s="1305"/>
      <c r="RNI65" s="1304"/>
      <c r="RNJ65" s="1304"/>
      <c r="RNK65" s="1304"/>
      <c r="RNL65" s="1304"/>
      <c r="RNM65" s="1304"/>
      <c r="RNN65" s="1304"/>
      <c r="RNO65" s="1304"/>
      <c r="RNP65" s="1304"/>
      <c r="RNQ65" s="1305"/>
      <c r="RNR65" s="1305"/>
      <c r="RNS65" s="1304"/>
      <c r="RNT65" s="1304"/>
      <c r="RNU65" s="1304"/>
      <c r="RNV65" s="1304"/>
      <c r="RNW65" s="1304"/>
      <c r="RNX65" s="1304"/>
      <c r="RNY65" s="1304"/>
      <c r="RNZ65" s="1304"/>
      <c r="ROA65" s="1305"/>
      <c r="ROB65" s="1305"/>
      <c r="ROC65" s="1304"/>
      <c r="ROD65" s="1304"/>
      <c r="ROE65" s="1304"/>
      <c r="ROF65" s="1304"/>
      <c r="ROG65" s="1304"/>
      <c r="ROH65" s="1304"/>
      <c r="ROI65" s="1304"/>
      <c r="ROJ65" s="1304"/>
      <c r="ROK65" s="1305"/>
      <c r="ROL65" s="1305"/>
      <c r="ROM65" s="1304"/>
      <c r="RON65" s="1304"/>
      <c r="ROO65" s="1304"/>
      <c r="ROP65" s="1304"/>
      <c r="ROQ65" s="1304"/>
      <c r="ROR65" s="1304"/>
      <c r="ROS65" s="1304"/>
      <c r="ROT65" s="1304"/>
      <c r="ROU65" s="1305"/>
      <c r="ROV65" s="1305"/>
      <c r="ROW65" s="1304"/>
      <c r="ROX65" s="1304"/>
      <c r="ROY65" s="1304"/>
      <c r="ROZ65" s="1304"/>
      <c r="RPA65" s="1304"/>
      <c r="RPB65" s="1304"/>
      <c r="RPC65" s="1304"/>
      <c r="RPD65" s="1304"/>
      <c r="RPE65" s="1305"/>
      <c r="RPF65" s="1305"/>
      <c r="RPG65" s="1304"/>
      <c r="RPH65" s="1304"/>
      <c r="RPI65" s="1304"/>
      <c r="RPJ65" s="1304"/>
      <c r="RPK65" s="1304"/>
      <c r="RPL65" s="1304"/>
      <c r="RPM65" s="1304"/>
      <c r="RPN65" s="1304"/>
      <c r="RPO65" s="1305"/>
      <c r="RPP65" s="1305"/>
      <c r="RPQ65" s="1304"/>
      <c r="RPR65" s="1304"/>
      <c r="RPS65" s="1304"/>
      <c r="RPT65" s="1304"/>
      <c r="RPU65" s="1304"/>
      <c r="RPV65" s="1304"/>
      <c r="RPW65" s="1304"/>
      <c r="RPX65" s="1304"/>
      <c r="RPY65" s="1305"/>
      <c r="RPZ65" s="1305"/>
      <c r="RQA65" s="1304"/>
      <c r="RQB65" s="1304"/>
      <c r="RQC65" s="1304"/>
      <c r="RQD65" s="1304"/>
      <c r="RQE65" s="1304"/>
      <c r="RQF65" s="1304"/>
      <c r="RQG65" s="1304"/>
      <c r="RQH65" s="1304"/>
      <c r="RQI65" s="1305"/>
      <c r="RQJ65" s="1305"/>
      <c r="RQK65" s="1304"/>
      <c r="RQL65" s="1304"/>
      <c r="RQM65" s="1304"/>
      <c r="RQN65" s="1304"/>
      <c r="RQO65" s="1304"/>
      <c r="RQP65" s="1304"/>
      <c r="RQQ65" s="1304"/>
      <c r="RQR65" s="1304"/>
      <c r="RQS65" s="1305"/>
      <c r="RQT65" s="1305"/>
      <c r="RQU65" s="1304"/>
      <c r="RQV65" s="1304"/>
      <c r="RQW65" s="1304"/>
      <c r="RQX65" s="1304"/>
      <c r="RQY65" s="1304"/>
      <c r="RQZ65" s="1304"/>
      <c r="RRA65" s="1304"/>
      <c r="RRB65" s="1304"/>
      <c r="RRC65" s="1305"/>
      <c r="RRD65" s="1305"/>
      <c r="RRE65" s="1304"/>
      <c r="RRF65" s="1304"/>
      <c r="RRG65" s="1304"/>
      <c r="RRH65" s="1304"/>
      <c r="RRI65" s="1304"/>
      <c r="RRJ65" s="1304"/>
      <c r="RRK65" s="1304"/>
      <c r="RRL65" s="1304"/>
      <c r="RRM65" s="1305"/>
      <c r="RRN65" s="1305"/>
      <c r="RRO65" s="1304"/>
      <c r="RRP65" s="1304"/>
      <c r="RRQ65" s="1304"/>
      <c r="RRR65" s="1304"/>
      <c r="RRS65" s="1304"/>
      <c r="RRT65" s="1304"/>
      <c r="RRU65" s="1304"/>
      <c r="RRV65" s="1304"/>
      <c r="RRW65" s="1305"/>
      <c r="RRX65" s="1305"/>
      <c r="RRY65" s="1304"/>
      <c r="RRZ65" s="1304"/>
      <c r="RSA65" s="1304"/>
      <c r="RSB65" s="1304"/>
      <c r="RSC65" s="1304"/>
      <c r="RSD65" s="1304"/>
      <c r="RSE65" s="1304"/>
      <c r="RSF65" s="1304"/>
      <c r="RSG65" s="1305"/>
      <c r="RSH65" s="1305"/>
      <c r="RSI65" s="1304"/>
      <c r="RSJ65" s="1304"/>
      <c r="RSK65" s="1304"/>
      <c r="RSL65" s="1304"/>
      <c r="RSM65" s="1304"/>
      <c r="RSN65" s="1304"/>
      <c r="RSO65" s="1304"/>
      <c r="RSP65" s="1304"/>
      <c r="RSQ65" s="1305"/>
      <c r="RSR65" s="1305"/>
      <c r="RSS65" s="1304"/>
      <c r="RST65" s="1304"/>
      <c r="RSU65" s="1304"/>
      <c r="RSV65" s="1304"/>
      <c r="RSW65" s="1304"/>
      <c r="RSX65" s="1304"/>
      <c r="RSY65" s="1304"/>
      <c r="RSZ65" s="1304"/>
      <c r="RTA65" s="1305"/>
      <c r="RTB65" s="1305"/>
      <c r="RTC65" s="1304"/>
      <c r="RTD65" s="1304"/>
      <c r="RTE65" s="1304"/>
      <c r="RTF65" s="1304"/>
      <c r="RTG65" s="1304"/>
      <c r="RTH65" s="1304"/>
      <c r="RTI65" s="1304"/>
      <c r="RTJ65" s="1304"/>
      <c r="RTK65" s="1305"/>
      <c r="RTL65" s="1305"/>
      <c r="RTM65" s="1304"/>
      <c r="RTN65" s="1304"/>
      <c r="RTO65" s="1304"/>
      <c r="RTP65" s="1304"/>
      <c r="RTQ65" s="1304"/>
      <c r="RTR65" s="1304"/>
      <c r="RTS65" s="1304"/>
      <c r="RTT65" s="1304"/>
      <c r="RTU65" s="1305"/>
      <c r="RTV65" s="1305"/>
      <c r="RTW65" s="1304"/>
      <c r="RTX65" s="1304"/>
      <c r="RTY65" s="1304"/>
      <c r="RTZ65" s="1304"/>
      <c r="RUA65" s="1304"/>
      <c r="RUB65" s="1304"/>
      <c r="RUC65" s="1304"/>
      <c r="RUD65" s="1304"/>
      <c r="RUE65" s="1305"/>
      <c r="RUF65" s="1305"/>
      <c r="RUG65" s="1304"/>
      <c r="RUH65" s="1304"/>
      <c r="RUI65" s="1304"/>
      <c r="RUJ65" s="1304"/>
      <c r="RUK65" s="1304"/>
      <c r="RUL65" s="1304"/>
      <c r="RUM65" s="1304"/>
      <c r="RUN65" s="1304"/>
      <c r="RUO65" s="1305"/>
      <c r="RUP65" s="1305"/>
      <c r="RUQ65" s="1304"/>
      <c r="RUR65" s="1304"/>
      <c r="RUS65" s="1304"/>
      <c r="RUT65" s="1304"/>
      <c r="RUU65" s="1304"/>
      <c r="RUV65" s="1304"/>
      <c r="RUW65" s="1304"/>
      <c r="RUX65" s="1304"/>
      <c r="RUY65" s="1305"/>
      <c r="RUZ65" s="1305"/>
      <c r="RVA65" s="1304"/>
      <c r="RVB65" s="1304"/>
      <c r="RVC65" s="1304"/>
      <c r="RVD65" s="1304"/>
      <c r="RVE65" s="1304"/>
      <c r="RVF65" s="1304"/>
      <c r="RVG65" s="1304"/>
      <c r="RVH65" s="1304"/>
      <c r="RVI65" s="1305"/>
      <c r="RVJ65" s="1305"/>
      <c r="RVK65" s="1304"/>
      <c r="RVL65" s="1304"/>
      <c r="RVM65" s="1304"/>
      <c r="RVN65" s="1304"/>
      <c r="RVO65" s="1304"/>
      <c r="RVP65" s="1304"/>
      <c r="RVQ65" s="1304"/>
      <c r="RVR65" s="1304"/>
      <c r="RVS65" s="1305"/>
      <c r="RVT65" s="1305"/>
      <c r="RVU65" s="1304"/>
      <c r="RVV65" s="1304"/>
      <c r="RVW65" s="1304"/>
      <c r="RVX65" s="1304"/>
      <c r="RVY65" s="1304"/>
      <c r="RVZ65" s="1304"/>
      <c r="RWA65" s="1304"/>
      <c r="RWB65" s="1304"/>
      <c r="RWC65" s="1305"/>
      <c r="RWD65" s="1305"/>
      <c r="RWE65" s="1304"/>
      <c r="RWF65" s="1304"/>
      <c r="RWG65" s="1304"/>
      <c r="RWH65" s="1304"/>
      <c r="RWI65" s="1304"/>
      <c r="RWJ65" s="1304"/>
      <c r="RWK65" s="1304"/>
      <c r="RWL65" s="1304"/>
      <c r="RWM65" s="1305"/>
      <c r="RWN65" s="1305"/>
      <c r="RWO65" s="1304"/>
      <c r="RWP65" s="1304"/>
      <c r="RWQ65" s="1304"/>
      <c r="RWR65" s="1304"/>
      <c r="RWS65" s="1304"/>
      <c r="RWT65" s="1304"/>
      <c r="RWU65" s="1304"/>
      <c r="RWV65" s="1304"/>
      <c r="RWW65" s="1305"/>
      <c r="RWX65" s="1305"/>
      <c r="RWY65" s="1304"/>
      <c r="RWZ65" s="1304"/>
      <c r="RXA65" s="1304"/>
      <c r="RXB65" s="1304"/>
      <c r="RXC65" s="1304"/>
      <c r="RXD65" s="1304"/>
      <c r="RXE65" s="1304"/>
      <c r="RXF65" s="1304"/>
      <c r="RXG65" s="1305"/>
      <c r="RXH65" s="1305"/>
      <c r="RXI65" s="1304"/>
      <c r="RXJ65" s="1304"/>
      <c r="RXK65" s="1304"/>
      <c r="RXL65" s="1304"/>
      <c r="RXM65" s="1304"/>
      <c r="RXN65" s="1304"/>
      <c r="RXO65" s="1304"/>
      <c r="RXP65" s="1304"/>
      <c r="RXQ65" s="1305"/>
      <c r="RXR65" s="1305"/>
      <c r="RXS65" s="1304"/>
      <c r="RXT65" s="1304"/>
      <c r="RXU65" s="1304"/>
      <c r="RXV65" s="1304"/>
      <c r="RXW65" s="1304"/>
      <c r="RXX65" s="1304"/>
      <c r="RXY65" s="1304"/>
      <c r="RXZ65" s="1304"/>
      <c r="RYA65" s="1305"/>
      <c r="RYB65" s="1305"/>
      <c r="RYC65" s="1304"/>
      <c r="RYD65" s="1304"/>
      <c r="RYE65" s="1304"/>
      <c r="RYF65" s="1304"/>
      <c r="RYG65" s="1304"/>
      <c r="RYH65" s="1304"/>
      <c r="RYI65" s="1304"/>
      <c r="RYJ65" s="1304"/>
      <c r="RYK65" s="1305"/>
      <c r="RYL65" s="1305"/>
      <c r="RYM65" s="1304"/>
      <c r="RYN65" s="1304"/>
      <c r="RYO65" s="1304"/>
      <c r="RYP65" s="1304"/>
      <c r="RYQ65" s="1304"/>
      <c r="RYR65" s="1304"/>
      <c r="RYS65" s="1304"/>
      <c r="RYT65" s="1304"/>
      <c r="RYU65" s="1305"/>
      <c r="RYV65" s="1305"/>
      <c r="RYW65" s="1304"/>
      <c r="RYX65" s="1304"/>
      <c r="RYY65" s="1304"/>
      <c r="RYZ65" s="1304"/>
      <c r="RZA65" s="1304"/>
      <c r="RZB65" s="1304"/>
      <c r="RZC65" s="1304"/>
      <c r="RZD65" s="1304"/>
      <c r="RZE65" s="1305"/>
      <c r="RZF65" s="1305"/>
      <c r="RZG65" s="1304"/>
      <c r="RZH65" s="1304"/>
      <c r="RZI65" s="1304"/>
      <c r="RZJ65" s="1304"/>
      <c r="RZK65" s="1304"/>
      <c r="RZL65" s="1304"/>
      <c r="RZM65" s="1304"/>
      <c r="RZN65" s="1304"/>
      <c r="RZO65" s="1305"/>
      <c r="RZP65" s="1305"/>
      <c r="RZQ65" s="1304"/>
      <c r="RZR65" s="1304"/>
      <c r="RZS65" s="1304"/>
      <c r="RZT65" s="1304"/>
      <c r="RZU65" s="1304"/>
      <c r="RZV65" s="1304"/>
      <c r="RZW65" s="1304"/>
      <c r="RZX65" s="1304"/>
      <c r="RZY65" s="1305"/>
      <c r="RZZ65" s="1305"/>
      <c r="SAA65" s="1304"/>
      <c r="SAB65" s="1304"/>
      <c r="SAC65" s="1304"/>
      <c r="SAD65" s="1304"/>
      <c r="SAE65" s="1304"/>
      <c r="SAF65" s="1304"/>
      <c r="SAG65" s="1304"/>
      <c r="SAH65" s="1304"/>
      <c r="SAI65" s="1305"/>
      <c r="SAJ65" s="1305"/>
      <c r="SAK65" s="1304"/>
      <c r="SAL65" s="1304"/>
      <c r="SAM65" s="1304"/>
      <c r="SAN65" s="1304"/>
      <c r="SAO65" s="1304"/>
      <c r="SAP65" s="1304"/>
      <c r="SAQ65" s="1304"/>
      <c r="SAR65" s="1304"/>
      <c r="SAS65" s="1305"/>
      <c r="SAT65" s="1305"/>
      <c r="SAU65" s="1304"/>
      <c r="SAV65" s="1304"/>
      <c r="SAW65" s="1304"/>
      <c r="SAX65" s="1304"/>
      <c r="SAY65" s="1304"/>
      <c r="SAZ65" s="1304"/>
      <c r="SBA65" s="1304"/>
      <c r="SBB65" s="1304"/>
      <c r="SBC65" s="1305"/>
      <c r="SBD65" s="1305"/>
      <c r="SBE65" s="1304"/>
      <c r="SBF65" s="1304"/>
      <c r="SBG65" s="1304"/>
      <c r="SBH65" s="1304"/>
      <c r="SBI65" s="1304"/>
      <c r="SBJ65" s="1304"/>
      <c r="SBK65" s="1304"/>
      <c r="SBL65" s="1304"/>
      <c r="SBM65" s="1305"/>
      <c r="SBN65" s="1305"/>
      <c r="SBO65" s="1304"/>
      <c r="SBP65" s="1304"/>
      <c r="SBQ65" s="1304"/>
      <c r="SBR65" s="1304"/>
      <c r="SBS65" s="1304"/>
      <c r="SBT65" s="1304"/>
      <c r="SBU65" s="1304"/>
      <c r="SBV65" s="1304"/>
      <c r="SBW65" s="1305"/>
      <c r="SBX65" s="1305"/>
      <c r="SBY65" s="1304"/>
      <c r="SBZ65" s="1304"/>
      <c r="SCA65" s="1304"/>
      <c r="SCB65" s="1304"/>
      <c r="SCC65" s="1304"/>
      <c r="SCD65" s="1304"/>
      <c r="SCE65" s="1304"/>
      <c r="SCF65" s="1304"/>
      <c r="SCG65" s="1305"/>
      <c r="SCH65" s="1305"/>
      <c r="SCI65" s="1304"/>
      <c r="SCJ65" s="1304"/>
      <c r="SCK65" s="1304"/>
      <c r="SCL65" s="1304"/>
      <c r="SCM65" s="1304"/>
      <c r="SCN65" s="1304"/>
      <c r="SCO65" s="1304"/>
      <c r="SCP65" s="1304"/>
      <c r="SCQ65" s="1305"/>
      <c r="SCR65" s="1305"/>
      <c r="SCS65" s="1304"/>
      <c r="SCT65" s="1304"/>
      <c r="SCU65" s="1304"/>
      <c r="SCV65" s="1304"/>
      <c r="SCW65" s="1304"/>
      <c r="SCX65" s="1304"/>
      <c r="SCY65" s="1304"/>
      <c r="SCZ65" s="1304"/>
      <c r="SDA65" s="1305"/>
      <c r="SDB65" s="1305"/>
      <c r="SDC65" s="1304"/>
      <c r="SDD65" s="1304"/>
      <c r="SDE65" s="1304"/>
      <c r="SDF65" s="1304"/>
      <c r="SDG65" s="1304"/>
      <c r="SDH65" s="1304"/>
      <c r="SDI65" s="1304"/>
      <c r="SDJ65" s="1304"/>
      <c r="SDK65" s="1305"/>
      <c r="SDL65" s="1305"/>
      <c r="SDM65" s="1304"/>
      <c r="SDN65" s="1304"/>
      <c r="SDO65" s="1304"/>
      <c r="SDP65" s="1304"/>
      <c r="SDQ65" s="1304"/>
      <c r="SDR65" s="1304"/>
      <c r="SDS65" s="1304"/>
      <c r="SDT65" s="1304"/>
      <c r="SDU65" s="1305"/>
      <c r="SDV65" s="1305"/>
      <c r="SDW65" s="1304"/>
      <c r="SDX65" s="1304"/>
      <c r="SDY65" s="1304"/>
      <c r="SDZ65" s="1304"/>
      <c r="SEA65" s="1304"/>
      <c r="SEB65" s="1304"/>
      <c r="SEC65" s="1304"/>
      <c r="SED65" s="1304"/>
      <c r="SEE65" s="1305"/>
      <c r="SEF65" s="1305"/>
      <c r="SEG65" s="1304"/>
      <c r="SEH65" s="1304"/>
      <c r="SEI65" s="1304"/>
      <c r="SEJ65" s="1304"/>
      <c r="SEK65" s="1304"/>
      <c r="SEL65" s="1304"/>
      <c r="SEM65" s="1304"/>
      <c r="SEN65" s="1304"/>
      <c r="SEO65" s="1305"/>
      <c r="SEP65" s="1305"/>
      <c r="SEQ65" s="1304"/>
      <c r="SER65" s="1304"/>
      <c r="SES65" s="1304"/>
      <c r="SET65" s="1304"/>
      <c r="SEU65" s="1304"/>
      <c r="SEV65" s="1304"/>
      <c r="SEW65" s="1304"/>
      <c r="SEX65" s="1304"/>
      <c r="SEY65" s="1305"/>
      <c r="SEZ65" s="1305"/>
      <c r="SFA65" s="1304"/>
      <c r="SFB65" s="1304"/>
      <c r="SFC65" s="1304"/>
      <c r="SFD65" s="1304"/>
      <c r="SFE65" s="1304"/>
      <c r="SFF65" s="1304"/>
      <c r="SFG65" s="1304"/>
      <c r="SFH65" s="1304"/>
      <c r="SFI65" s="1305"/>
      <c r="SFJ65" s="1305"/>
      <c r="SFK65" s="1304"/>
      <c r="SFL65" s="1304"/>
      <c r="SFM65" s="1304"/>
      <c r="SFN65" s="1304"/>
      <c r="SFO65" s="1304"/>
      <c r="SFP65" s="1304"/>
      <c r="SFQ65" s="1304"/>
      <c r="SFR65" s="1304"/>
      <c r="SFS65" s="1305"/>
      <c r="SFT65" s="1305"/>
      <c r="SFU65" s="1304"/>
      <c r="SFV65" s="1304"/>
      <c r="SFW65" s="1304"/>
      <c r="SFX65" s="1304"/>
      <c r="SFY65" s="1304"/>
      <c r="SFZ65" s="1304"/>
      <c r="SGA65" s="1304"/>
      <c r="SGB65" s="1304"/>
      <c r="SGC65" s="1305"/>
      <c r="SGD65" s="1305"/>
      <c r="SGE65" s="1304"/>
      <c r="SGF65" s="1304"/>
      <c r="SGG65" s="1304"/>
      <c r="SGH65" s="1304"/>
      <c r="SGI65" s="1304"/>
      <c r="SGJ65" s="1304"/>
      <c r="SGK65" s="1304"/>
      <c r="SGL65" s="1304"/>
      <c r="SGM65" s="1305"/>
      <c r="SGN65" s="1305"/>
      <c r="SGO65" s="1304"/>
      <c r="SGP65" s="1304"/>
      <c r="SGQ65" s="1304"/>
      <c r="SGR65" s="1304"/>
      <c r="SGS65" s="1304"/>
      <c r="SGT65" s="1304"/>
      <c r="SGU65" s="1304"/>
      <c r="SGV65" s="1304"/>
      <c r="SGW65" s="1305"/>
      <c r="SGX65" s="1305"/>
      <c r="SGY65" s="1304"/>
      <c r="SGZ65" s="1304"/>
      <c r="SHA65" s="1304"/>
      <c r="SHB65" s="1304"/>
      <c r="SHC65" s="1304"/>
      <c r="SHD65" s="1304"/>
      <c r="SHE65" s="1304"/>
      <c r="SHF65" s="1304"/>
      <c r="SHG65" s="1305"/>
      <c r="SHH65" s="1305"/>
      <c r="SHI65" s="1304"/>
      <c r="SHJ65" s="1304"/>
      <c r="SHK65" s="1304"/>
      <c r="SHL65" s="1304"/>
      <c r="SHM65" s="1304"/>
      <c r="SHN65" s="1304"/>
      <c r="SHO65" s="1304"/>
      <c r="SHP65" s="1304"/>
      <c r="SHQ65" s="1305"/>
      <c r="SHR65" s="1305"/>
      <c r="SHS65" s="1304"/>
      <c r="SHT65" s="1304"/>
      <c r="SHU65" s="1304"/>
      <c r="SHV65" s="1304"/>
      <c r="SHW65" s="1304"/>
      <c r="SHX65" s="1304"/>
      <c r="SHY65" s="1304"/>
      <c r="SHZ65" s="1304"/>
      <c r="SIA65" s="1305"/>
      <c r="SIB65" s="1305"/>
      <c r="SIC65" s="1304"/>
      <c r="SID65" s="1304"/>
      <c r="SIE65" s="1304"/>
      <c r="SIF65" s="1304"/>
      <c r="SIG65" s="1304"/>
      <c r="SIH65" s="1304"/>
      <c r="SII65" s="1304"/>
      <c r="SIJ65" s="1304"/>
      <c r="SIK65" s="1305"/>
      <c r="SIL65" s="1305"/>
      <c r="SIM65" s="1304"/>
      <c r="SIN65" s="1304"/>
      <c r="SIO65" s="1304"/>
      <c r="SIP65" s="1304"/>
      <c r="SIQ65" s="1304"/>
      <c r="SIR65" s="1304"/>
      <c r="SIS65" s="1304"/>
      <c r="SIT65" s="1304"/>
      <c r="SIU65" s="1305"/>
      <c r="SIV65" s="1305"/>
      <c r="SIW65" s="1304"/>
      <c r="SIX65" s="1304"/>
      <c r="SIY65" s="1304"/>
      <c r="SIZ65" s="1304"/>
      <c r="SJA65" s="1304"/>
      <c r="SJB65" s="1304"/>
      <c r="SJC65" s="1304"/>
      <c r="SJD65" s="1304"/>
      <c r="SJE65" s="1305"/>
      <c r="SJF65" s="1305"/>
      <c r="SJG65" s="1304"/>
      <c r="SJH65" s="1304"/>
      <c r="SJI65" s="1304"/>
      <c r="SJJ65" s="1304"/>
      <c r="SJK65" s="1304"/>
      <c r="SJL65" s="1304"/>
      <c r="SJM65" s="1304"/>
      <c r="SJN65" s="1304"/>
      <c r="SJO65" s="1305"/>
      <c r="SJP65" s="1305"/>
      <c r="SJQ65" s="1304"/>
      <c r="SJR65" s="1304"/>
      <c r="SJS65" s="1304"/>
      <c r="SJT65" s="1304"/>
      <c r="SJU65" s="1304"/>
      <c r="SJV65" s="1304"/>
      <c r="SJW65" s="1304"/>
      <c r="SJX65" s="1304"/>
      <c r="SJY65" s="1305"/>
      <c r="SJZ65" s="1305"/>
      <c r="SKA65" s="1304"/>
      <c r="SKB65" s="1304"/>
      <c r="SKC65" s="1304"/>
      <c r="SKD65" s="1304"/>
      <c r="SKE65" s="1304"/>
      <c r="SKF65" s="1304"/>
      <c r="SKG65" s="1304"/>
      <c r="SKH65" s="1304"/>
      <c r="SKI65" s="1305"/>
      <c r="SKJ65" s="1305"/>
      <c r="SKK65" s="1304"/>
      <c r="SKL65" s="1304"/>
      <c r="SKM65" s="1304"/>
      <c r="SKN65" s="1304"/>
      <c r="SKO65" s="1304"/>
      <c r="SKP65" s="1304"/>
      <c r="SKQ65" s="1304"/>
      <c r="SKR65" s="1304"/>
      <c r="SKS65" s="1305"/>
      <c r="SKT65" s="1305"/>
      <c r="SKU65" s="1304"/>
      <c r="SKV65" s="1304"/>
      <c r="SKW65" s="1304"/>
      <c r="SKX65" s="1304"/>
      <c r="SKY65" s="1304"/>
      <c r="SKZ65" s="1304"/>
      <c r="SLA65" s="1304"/>
      <c r="SLB65" s="1304"/>
      <c r="SLC65" s="1305"/>
      <c r="SLD65" s="1305"/>
      <c r="SLE65" s="1304"/>
      <c r="SLF65" s="1304"/>
      <c r="SLG65" s="1304"/>
      <c r="SLH65" s="1304"/>
      <c r="SLI65" s="1304"/>
      <c r="SLJ65" s="1304"/>
      <c r="SLK65" s="1304"/>
      <c r="SLL65" s="1304"/>
      <c r="SLM65" s="1305"/>
      <c r="SLN65" s="1305"/>
      <c r="SLO65" s="1304"/>
      <c r="SLP65" s="1304"/>
      <c r="SLQ65" s="1304"/>
      <c r="SLR65" s="1304"/>
      <c r="SLS65" s="1304"/>
      <c r="SLT65" s="1304"/>
      <c r="SLU65" s="1304"/>
      <c r="SLV65" s="1304"/>
      <c r="SLW65" s="1305"/>
      <c r="SLX65" s="1305"/>
      <c r="SLY65" s="1304"/>
      <c r="SLZ65" s="1304"/>
      <c r="SMA65" s="1304"/>
      <c r="SMB65" s="1304"/>
      <c r="SMC65" s="1304"/>
      <c r="SMD65" s="1304"/>
      <c r="SME65" s="1304"/>
      <c r="SMF65" s="1304"/>
      <c r="SMG65" s="1305"/>
      <c r="SMH65" s="1305"/>
      <c r="SMI65" s="1304"/>
      <c r="SMJ65" s="1304"/>
      <c r="SMK65" s="1304"/>
      <c r="SML65" s="1304"/>
      <c r="SMM65" s="1304"/>
      <c r="SMN65" s="1304"/>
      <c r="SMO65" s="1304"/>
      <c r="SMP65" s="1304"/>
      <c r="SMQ65" s="1305"/>
      <c r="SMR65" s="1305"/>
      <c r="SMS65" s="1304"/>
      <c r="SMT65" s="1304"/>
      <c r="SMU65" s="1304"/>
      <c r="SMV65" s="1304"/>
      <c r="SMW65" s="1304"/>
      <c r="SMX65" s="1304"/>
      <c r="SMY65" s="1304"/>
      <c r="SMZ65" s="1304"/>
      <c r="SNA65" s="1305"/>
      <c r="SNB65" s="1305"/>
      <c r="SNC65" s="1304"/>
      <c r="SND65" s="1304"/>
      <c r="SNE65" s="1304"/>
      <c r="SNF65" s="1304"/>
      <c r="SNG65" s="1304"/>
      <c r="SNH65" s="1304"/>
      <c r="SNI65" s="1304"/>
      <c r="SNJ65" s="1304"/>
      <c r="SNK65" s="1305"/>
      <c r="SNL65" s="1305"/>
      <c r="SNM65" s="1304"/>
      <c r="SNN65" s="1304"/>
      <c r="SNO65" s="1304"/>
      <c r="SNP65" s="1304"/>
      <c r="SNQ65" s="1304"/>
      <c r="SNR65" s="1304"/>
      <c r="SNS65" s="1304"/>
      <c r="SNT65" s="1304"/>
      <c r="SNU65" s="1305"/>
      <c r="SNV65" s="1305"/>
      <c r="SNW65" s="1304"/>
      <c r="SNX65" s="1304"/>
      <c r="SNY65" s="1304"/>
      <c r="SNZ65" s="1304"/>
      <c r="SOA65" s="1304"/>
      <c r="SOB65" s="1304"/>
      <c r="SOC65" s="1304"/>
      <c r="SOD65" s="1304"/>
      <c r="SOE65" s="1305"/>
      <c r="SOF65" s="1305"/>
      <c r="SOG65" s="1304"/>
      <c r="SOH65" s="1304"/>
      <c r="SOI65" s="1304"/>
      <c r="SOJ65" s="1304"/>
      <c r="SOK65" s="1304"/>
      <c r="SOL65" s="1304"/>
      <c r="SOM65" s="1304"/>
      <c r="SON65" s="1304"/>
      <c r="SOO65" s="1305"/>
      <c r="SOP65" s="1305"/>
      <c r="SOQ65" s="1304"/>
      <c r="SOR65" s="1304"/>
      <c r="SOS65" s="1304"/>
      <c r="SOT65" s="1304"/>
      <c r="SOU65" s="1304"/>
      <c r="SOV65" s="1304"/>
      <c r="SOW65" s="1304"/>
      <c r="SOX65" s="1304"/>
      <c r="SOY65" s="1305"/>
      <c r="SOZ65" s="1305"/>
      <c r="SPA65" s="1304"/>
      <c r="SPB65" s="1304"/>
      <c r="SPC65" s="1304"/>
      <c r="SPD65" s="1304"/>
      <c r="SPE65" s="1304"/>
      <c r="SPF65" s="1304"/>
      <c r="SPG65" s="1304"/>
      <c r="SPH65" s="1304"/>
      <c r="SPI65" s="1305"/>
      <c r="SPJ65" s="1305"/>
      <c r="SPK65" s="1304"/>
      <c r="SPL65" s="1304"/>
      <c r="SPM65" s="1304"/>
      <c r="SPN65" s="1304"/>
      <c r="SPO65" s="1304"/>
      <c r="SPP65" s="1304"/>
      <c r="SPQ65" s="1304"/>
      <c r="SPR65" s="1304"/>
      <c r="SPS65" s="1305"/>
      <c r="SPT65" s="1305"/>
      <c r="SPU65" s="1304"/>
      <c r="SPV65" s="1304"/>
      <c r="SPW65" s="1304"/>
      <c r="SPX65" s="1304"/>
      <c r="SPY65" s="1304"/>
      <c r="SPZ65" s="1304"/>
      <c r="SQA65" s="1304"/>
      <c r="SQB65" s="1304"/>
      <c r="SQC65" s="1305"/>
      <c r="SQD65" s="1305"/>
      <c r="SQE65" s="1304"/>
      <c r="SQF65" s="1304"/>
      <c r="SQG65" s="1304"/>
      <c r="SQH65" s="1304"/>
      <c r="SQI65" s="1304"/>
      <c r="SQJ65" s="1304"/>
      <c r="SQK65" s="1304"/>
      <c r="SQL65" s="1304"/>
      <c r="SQM65" s="1305"/>
      <c r="SQN65" s="1305"/>
      <c r="SQO65" s="1304"/>
      <c r="SQP65" s="1304"/>
      <c r="SQQ65" s="1304"/>
      <c r="SQR65" s="1304"/>
      <c r="SQS65" s="1304"/>
      <c r="SQT65" s="1304"/>
      <c r="SQU65" s="1304"/>
      <c r="SQV65" s="1304"/>
      <c r="SQW65" s="1305"/>
      <c r="SQX65" s="1305"/>
      <c r="SQY65" s="1304"/>
      <c r="SQZ65" s="1304"/>
      <c r="SRA65" s="1304"/>
      <c r="SRB65" s="1304"/>
      <c r="SRC65" s="1304"/>
      <c r="SRD65" s="1304"/>
      <c r="SRE65" s="1304"/>
      <c r="SRF65" s="1304"/>
      <c r="SRG65" s="1305"/>
      <c r="SRH65" s="1305"/>
      <c r="SRI65" s="1304"/>
      <c r="SRJ65" s="1304"/>
      <c r="SRK65" s="1304"/>
      <c r="SRL65" s="1304"/>
      <c r="SRM65" s="1304"/>
      <c r="SRN65" s="1304"/>
      <c r="SRO65" s="1304"/>
      <c r="SRP65" s="1304"/>
      <c r="SRQ65" s="1305"/>
      <c r="SRR65" s="1305"/>
      <c r="SRS65" s="1304"/>
      <c r="SRT65" s="1304"/>
      <c r="SRU65" s="1304"/>
      <c r="SRV65" s="1304"/>
      <c r="SRW65" s="1304"/>
      <c r="SRX65" s="1304"/>
      <c r="SRY65" s="1304"/>
      <c r="SRZ65" s="1304"/>
      <c r="SSA65" s="1305"/>
      <c r="SSB65" s="1305"/>
      <c r="SSC65" s="1304"/>
      <c r="SSD65" s="1304"/>
      <c r="SSE65" s="1304"/>
      <c r="SSF65" s="1304"/>
      <c r="SSG65" s="1304"/>
      <c r="SSH65" s="1304"/>
      <c r="SSI65" s="1304"/>
      <c r="SSJ65" s="1304"/>
      <c r="SSK65" s="1305"/>
      <c r="SSL65" s="1305"/>
      <c r="SSM65" s="1304"/>
      <c r="SSN65" s="1304"/>
      <c r="SSO65" s="1304"/>
      <c r="SSP65" s="1304"/>
      <c r="SSQ65" s="1304"/>
      <c r="SSR65" s="1304"/>
      <c r="SSS65" s="1304"/>
      <c r="SST65" s="1304"/>
      <c r="SSU65" s="1305"/>
      <c r="SSV65" s="1305"/>
      <c r="SSW65" s="1304"/>
      <c r="SSX65" s="1304"/>
      <c r="SSY65" s="1304"/>
      <c r="SSZ65" s="1304"/>
      <c r="STA65" s="1304"/>
      <c r="STB65" s="1304"/>
      <c r="STC65" s="1304"/>
      <c r="STD65" s="1304"/>
      <c r="STE65" s="1305"/>
      <c r="STF65" s="1305"/>
      <c r="STG65" s="1304"/>
      <c r="STH65" s="1304"/>
      <c r="STI65" s="1304"/>
      <c r="STJ65" s="1304"/>
      <c r="STK65" s="1304"/>
      <c r="STL65" s="1304"/>
      <c r="STM65" s="1304"/>
      <c r="STN65" s="1304"/>
      <c r="STO65" s="1305"/>
      <c r="STP65" s="1305"/>
      <c r="STQ65" s="1304"/>
      <c r="STR65" s="1304"/>
      <c r="STS65" s="1304"/>
      <c r="STT65" s="1304"/>
      <c r="STU65" s="1304"/>
      <c r="STV65" s="1304"/>
      <c r="STW65" s="1304"/>
      <c r="STX65" s="1304"/>
      <c r="STY65" s="1305"/>
      <c r="STZ65" s="1305"/>
      <c r="SUA65" s="1304"/>
      <c r="SUB65" s="1304"/>
      <c r="SUC65" s="1304"/>
      <c r="SUD65" s="1304"/>
      <c r="SUE65" s="1304"/>
      <c r="SUF65" s="1304"/>
      <c r="SUG65" s="1304"/>
      <c r="SUH65" s="1304"/>
      <c r="SUI65" s="1305"/>
      <c r="SUJ65" s="1305"/>
      <c r="SUK65" s="1304"/>
      <c r="SUL65" s="1304"/>
      <c r="SUM65" s="1304"/>
      <c r="SUN65" s="1304"/>
      <c r="SUO65" s="1304"/>
      <c r="SUP65" s="1304"/>
      <c r="SUQ65" s="1304"/>
      <c r="SUR65" s="1304"/>
      <c r="SUS65" s="1305"/>
      <c r="SUT65" s="1305"/>
      <c r="SUU65" s="1304"/>
      <c r="SUV65" s="1304"/>
      <c r="SUW65" s="1304"/>
      <c r="SUX65" s="1304"/>
      <c r="SUY65" s="1304"/>
      <c r="SUZ65" s="1304"/>
      <c r="SVA65" s="1304"/>
      <c r="SVB65" s="1304"/>
      <c r="SVC65" s="1305"/>
      <c r="SVD65" s="1305"/>
      <c r="SVE65" s="1304"/>
      <c r="SVF65" s="1304"/>
      <c r="SVG65" s="1304"/>
      <c r="SVH65" s="1304"/>
      <c r="SVI65" s="1304"/>
      <c r="SVJ65" s="1304"/>
      <c r="SVK65" s="1304"/>
      <c r="SVL65" s="1304"/>
      <c r="SVM65" s="1305"/>
      <c r="SVN65" s="1305"/>
      <c r="SVO65" s="1304"/>
      <c r="SVP65" s="1304"/>
      <c r="SVQ65" s="1304"/>
      <c r="SVR65" s="1304"/>
      <c r="SVS65" s="1304"/>
      <c r="SVT65" s="1304"/>
      <c r="SVU65" s="1304"/>
      <c r="SVV65" s="1304"/>
      <c r="SVW65" s="1305"/>
      <c r="SVX65" s="1305"/>
      <c r="SVY65" s="1304"/>
      <c r="SVZ65" s="1304"/>
      <c r="SWA65" s="1304"/>
      <c r="SWB65" s="1304"/>
      <c r="SWC65" s="1304"/>
      <c r="SWD65" s="1304"/>
      <c r="SWE65" s="1304"/>
      <c r="SWF65" s="1304"/>
      <c r="SWG65" s="1305"/>
      <c r="SWH65" s="1305"/>
      <c r="SWI65" s="1304"/>
      <c r="SWJ65" s="1304"/>
      <c r="SWK65" s="1304"/>
      <c r="SWL65" s="1304"/>
      <c r="SWM65" s="1304"/>
      <c r="SWN65" s="1304"/>
      <c r="SWO65" s="1304"/>
      <c r="SWP65" s="1304"/>
      <c r="SWQ65" s="1305"/>
      <c r="SWR65" s="1305"/>
      <c r="SWS65" s="1304"/>
      <c r="SWT65" s="1304"/>
      <c r="SWU65" s="1304"/>
      <c r="SWV65" s="1304"/>
      <c r="SWW65" s="1304"/>
      <c r="SWX65" s="1304"/>
      <c r="SWY65" s="1304"/>
      <c r="SWZ65" s="1304"/>
      <c r="SXA65" s="1305"/>
      <c r="SXB65" s="1305"/>
      <c r="SXC65" s="1304"/>
      <c r="SXD65" s="1304"/>
      <c r="SXE65" s="1304"/>
      <c r="SXF65" s="1304"/>
      <c r="SXG65" s="1304"/>
      <c r="SXH65" s="1304"/>
      <c r="SXI65" s="1304"/>
      <c r="SXJ65" s="1304"/>
      <c r="SXK65" s="1305"/>
      <c r="SXL65" s="1305"/>
      <c r="SXM65" s="1304"/>
      <c r="SXN65" s="1304"/>
      <c r="SXO65" s="1304"/>
      <c r="SXP65" s="1304"/>
      <c r="SXQ65" s="1304"/>
      <c r="SXR65" s="1304"/>
      <c r="SXS65" s="1304"/>
      <c r="SXT65" s="1304"/>
      <c r="SXU65" s="1305"/>
      <c r="SXV65" s="1305"/>
      <c r="SXW65" s="1304"/>
      <c r="SXX65" s="1304"/>
      <c r="SXY65" s="1304"/>
      <c r="SXZ65" s="1304"/>
      <c r="SYA65" s="1304"/>
      <c r="SYB65" s="1304"/>
      <c r="SYC65" s="1304"/>
      <c r="SYD65" s="1304"/>
      <c r="SYE65" s="1305"/>
      <c r="SYF65" s="1305"/>
      <c r="SYG65" s="1304"/>
      <c r="SYH65" s="1304"/>
      <c r="SYI65" s="1304"/>
      <c r="SYJ65" s="1304"/>
      <c r="SYK65" s="1304"/>
      <c r="SYL65" s="1304"/>
      <c r="SYM65" s="1304"/>
      <c r="SYN65" s="1304"/>
      <c r="SYO65" s="1305"/>
      <c r="SYP65" s="1305"/>
      <c r="SYQ65" s="1304"/>
      <c r="SYR65" s="1304"/>
      <c r="SYS65" s="1304"/>
      <c r="SYT65" s="1304"/>
      <c r="SYU65" s="1304"/>
      <c r="SYV65" s="1304"/>
      <c r="SYW65" s="1304"/>
      <c r="SYX65" s="1304"/>
      <c r="SYY65" s="1305"/>
      <c r="SYZ65" s="1305"/>
      <c r="SZA65" s="1304"/>
      <c r="SZB65" s="1304"/>
      <c r="SZC65" s="1304"/>
      <c r="SZD65" s="1304"/>
      <c r="SZE65" s="1304"/>
      <c r="SZF65" s="1304"/>
      <c r="SZG65" s="1304"/>
      <c r="SZH65" s="1304"/>
      <c r="SZI65" s="1305"/>
      <c r="SZJ65" s="1305"/>
      <c r="SZK65" s="1304"/>
      <c r="SZL65" s="1304"/>
      <c r="SZM65" s="1304"/>
      <c r="SZN65" s="1304"/>
      <c r="SZO65" s="1304"/>
      <c r="SZP65" s="1304"/>
      <c r="SZQ65" s="1304"/>
      <c r="SZR65" s="1304"/>
      <c r="SZS65" s="1305"/>
      <c r="SZT65" s="1305"/>
      <c r="SZU65" s="1304"/>
      <c r="SZV65" s="1304"/>
      <c r="SZW65" s="1304"/>
      <c r="SZX65" s="1304"/>
      <c r="SZY65" s="1304"/>
      <c r="SZZ65" s="1304"/>
      <c r="TAA65" s="1304"/>
      <c r="TAB65" s="1304"/>
      <c r="TAC65" s="1305"/>
      <c r="TAD65" s="1305"/>
      <c r="TAE65" s="1304"/>
      <c r="TAF65" s="1304"/>
      <c r="TAG65" s="1304"/>
      <c r="TAH65" s="1304"/>
      <c r="TAI65" s="1304"/>
      <c r="TAJ65" s="1304"/>
      <c r="TAK65" s="1304"/>
      <c r="TAL65" s="1304"/>
      <c r="TAM65" s="1305"/>
      <c r="TAN65" s="1305"/>
      <c r="TAO65" s="1304"/>
      <c r="TAP65" s="1304"/>
      <c r="TAQ65" s="1304"/>
      <c r="TAR65" s="1304"/>
      <c r="TAS65" s="1304"/>
      <c r="TAT65" s="1304"/>
      <c r="TAU65" s="1304"/>
      <c r="TAV65" s="1304"/>
      <c r="TAW65" s="1305"/>
      <c r="TAX65" s="1305"/>
      <c r="TAY65" s="1304"/>
      <c r="TAZ65" s="1304"/>
      <c r="TBA65" s="1304"/>
      <c r="TBB65" s="1304"/>
      <c r="TBC65" s="1304"/>
      <c r="TBD65" s="1304"/>
      <c r="TBE65" s="1304"/>
      <c r="TBF65" s="1304"/>
      <c r="TBG65" s="1305"/>
      <c r="TBH65" s="1305"/>
      <c r="TBI65" s="1304"/>
      <c r="TBJ65" s="1304"/>
      <c r="TBK65" s="1304"/>
      <c r="TBL65" s="1304"/>
      <c r="TBM65" s="1304"/>
      <c r="TBN65" s="1304"/>
      <c r="TBO65" s="1304"/>
      <c r="TBP65" s="1304"/>
      <c r="TBQ65" s="1305"/>
      <c r="TBR65" s="1305"/>
      <c r="TBS65" s="1304"/>
      <c r="TBT65" s="1304"/>
      <c r="TBU65" s="1304"/>
      <c r="TBV65" s="1304"/>
      <c r="TBW65" s="1304"/>
      <c r="TBX65" s="1304"/>
      <c r="TBY65" s="1304"/>
      <c r="TBZ65" s="1304"/>
      <c r="TCA65" s="1305"/>
      <c r="TCB65" s="1305"/>
      <c r="TCC65" s="1304"/>
      <c r="TCD65" s="1304"/>
      <c r="TCE65" s="1304"/>
      <c r="TCF65" s="1304"/>
      <c r="TCG65" s="1304"/>
      <c r="TCH65" s="1304"/>
      <c r="TCI65" s="1304"/>
      <c r="TCJ65" s="1304"/>
      <c r="TCK65" s="1305"/>
      <c r="TCL65" s="1305"/>
      <c r="TCM65" s="1304"/>
      <c r="TCN65" s="1304"/>
      <c r="TCO65" s="1304"/>
      <c r="TCP65" s="1304"/>
      <c r="TCQ65" s="1304"/>
      <c r="TCR65" s="1304"/>
      <c r="TCS65" s="1304"/>
      <c r="TCT65" s="1304"/>
      <c r="TCU65" s="1305"/>
      <c r="TCV65" s="1305"/>
      <c r="TCW65" s="1304"/>
      <c r="TCX65" s="1304"/>
      <c r="TCY65" s="1304"/>
      <c r="TCZ65" s="1304"/>
      <c r="TDA65" s="1304"/>
      <c r="TDB65" s="1304"/>
      <c r="TDC65" s="1304"/>
      <c r="TDD65" s="1304"/>
      <c r="TDE65" s="1305"/>
      <c r="TDF65" s="1305"/>
      <c r="TDG65" s="1304"/>
      <c r="TDH65" s="1304"/>
      <c r="TDI65" s="1304"/>
      <c r="TDJ65" s="1304"/>
      <c r="TDK65" s="1304"/>
      <c r="TDL65" s="1304"/>
      <c r="TDM65" s="1304"/>
      <c r="TDN65" s="1304"/>
      <c r="TDO65" s="1305"/>
      <c r="TDP65" s="1305"/>
      <c r="TDQ65" s="1304"/>
      <c r="TDR65" s="1304"/>
      <c r="TDS65" s="1304"/>
      <c r="TDT65" s="1304"/>
      <c r="TDU65" s="1304"/>
      <c r="TDV65" s="1304"/>
      <c r="TDW65" s="1304"/>
      <c r="TDX65" s="1304"/>
      <c r="TDY65" s="1305"/>
      <c r="TDZ65" s="1305"/>
      <c r="TEA65" s="1304"/>
      <c r="TEB65" s="1304"/>
      <c r="TEC65" s="1304"/>
      <c r="TED65" s="1304"/>
      <c r="TEE65" s="1304"/>
      <c r="TEF65" s="1304"/>
      <c r="TEG65" s="1304"/>
      <c r="TEH65" s="1304"/>
      <c r="TEI65" s="1305"/>
      <c r="TEJ65" s="1305"/>
      <c r="TEK65" s="1304"/>
      <c r="TEL65" s="1304"/>
      <c r="TEM65" s="1304"/>
      <c r="TEN65" s="1304"/>
      <c r="TEO65" s="1304"/>
      <c r="TEP65" s="1304"/>
      <c r="TEQ65" s="1304"/>
      <c r="TER65" s="1304"/>
      <c r="TES65" s="1305"/>
      <c r="TET65" s="1305"/>
      <c r="TEU65" s="1304"/>
      <c r="TEV65" s="1304"/>
      <c r="TEW65" s="1304"/>
      <c r="TEX65" s="1304"/>
      <c r="TEY65" s="1304"/>
      <c r="TEZ65" s="1304"/>
      <c r="TFA65" s="1304"/>
      <c r="TFB65" s="1304"/>
      <c r="TFC65" s="1305"/>
      <c r="TFD65" s="1305"/>
      <c r="TFE65" s="1304"/>
      <c r="TFF65" s="1304"/>
      <c r="TFG65" s="1304"/>
      <c r="TFH65" s="1304"/>
      <c r="TFI65" s="1304"/>
      <c r="TFJ65" s="1304"/>
      <c r="TFK65" s="1304"/>
      <c r="TFL65" s="1304"/>
      <c r="TFM65" s="1305"/>
      <c r="TFN65" s="1305"/>
      <c r="TFO65" s="1304"/>
      <c r="TFP65" s="1304"/>
      <c r="TFQ65" s="1304"/>
      <c r="TFR65" s="1304"/>
      <c r="TFS65" s="1304"/>
      <c r="TFT65" s="1304"/>
      <c r="TFU65" s="1304"/>
      <c r="TFV65" s="1304"/>
      <c r="TFW65" s="1305"/>
      <c r="TFX65" s="1305"/>
      <c r="TFY65" s="1304"/>
      <c r="TFZ65" s="1304"/>
      <c r="TGA65" s="1304"/>
      <c r="TGB65" s="1304"/>
      <c r="TGC65" s="1304"/>
      <c r="TGD65" s="1304"/>
      <c r="TGE65" s="1304"/>
      <c r="TGF65" s="1304"/>
      <c r="TGG65" s="1305"/>
      <c r="TGH65" s="1305"/>
      <c r="TGI65" s="1304"/>
      <c r="TGJ65" s="1304"/>
      <c r="TGK65" s="1304"/>
      <c r="TGL65" s="1304"/>
      <c r="TGM65" s="1304"/>
      <c r="TGN65" s="1304"/>
      <c r="TGO65" s="1304"/>
      <c r="TGP65" s="1304"/>
      <c r="TGQ65" s="1305"/>
      <c r="TGR65" s="1305"/>
      <c r="TGS65" s="1304"/>
      <c r="TGT65" s="1304"/>
      <c r="TGU65" s="1304"/>
      <c r="TGV65" s="1304"/>
      <c r="TGW65" s="1304"/>
      <c r="TGX65" s="1304"/>
      <c r="TGY65" s="1304"/>
      <c r="TGZ65" s="1304"/>
      <c r="THA65" s="1305"/>
      <c r="THB65" s="1305"/>
      <c r="THC65" s="1304"/>
      <c r="THD65" s="1304"/>
      <c r="THE65" s="1304"/>
      <c r="THF65" s="1304"/>
      <c r="THG65" s="1304"/>
      <c r="THH65" s="1304"/>
      <c r="THI65" s="1304"/>
      <c r="THJ65" s="1304"/>
      <c r="THK65" s="1305"/>
      <c r="THL65" s="1305"/>
      <c r="THM65" s="1304"/>
      <c r="THN65" s="1304"/>
      <c r="THO65" s="1304"/>
      <c r="THP65" s="1304"/>
      <c r="THQ65" s="1304"/>
      <c r="THR65" s="1304"/>
      <c r="THS65" s="1304"/>
      <c r="THT65" s="1304"/>
      <c r="THU65" s="1305"/>
      <c r="THV65" s="1305"/>
      <c r="THW65" s="1304"/>
      <c r="THX65" s="1304"/>
      <c r="THY65" s="1304"/>
      <c r="THZ65" s="1304"/>
      <c r="TIA65" s="1304"/>
      <c r="TIB65" s="1304"/>
      <c r="TIC65" s="1304"/>
      <c r="TID65" s="1304"/>
      <c r="TIE65" s="1305"/>
      <c r="TIF65" s="1305"/>
      <c r="TIG65" s="1304"/>
      <c r="TIH65" s="1304"/>
      <c r="TII65" s="1304"/>
      <c r="TIJ65" s="1304"/>
      <c r="TIK65" s="1304"/>
      <c r="TIL65" s="1304"/>
      <c r="TIM65" s="1304"/>
      <c r="TIN65" s="1304"/>
      <c r="TIO65" s="1305"/>
      <c r="TIP65" s="1305"/>
      <c r="TIQ65" s="1304"/>
      <c r="TIR65" s="1304"/>
      <c r="TIS65" s="1304"/>
      <c r="TIT65" s="1304"/>
      <c r="TIU65" s="1304"/>
      <c r="TIV65" s="1304"/>
      <c r="TIW65" s="1304"/>
      <c r="TIX65" s="1304"/>
      <c r="TIY65" s="1305"/>
      <c r="TIZ65" s="1305"/>
      <c r="TJA65" s="1304"/>
      <c r="TJB65" s="1304"/>
      <c r="TJC65" s="1304"/>
      <c r="TJD65" s="1304"/>
      <c r="TJE65" s="1304"/>
      <c r="TJF65" s="1304"/>
      <c r="TJG65" s="1304"/>
      <c r="TJH65" s="1304"/>
      <c r="TJI65" s="1305"/>
      <c r="TJJ65" s="1305"/>
      <c r="TJK65" s="1304"/>
      <c r="TJL65" s="1304"/>
      <c r="TJM65" s="1304"/>
      <c r="TJN65" s="1304"/>
      <c r="TJO65" s="1304"/>
      <c r="TJP65" s="1304"/>
      <c r="TJQ65" s="1304"/>
      <c r="TJR65" s="1304"/>
      <c r="TJS65" s="1305"/>
      <c r="TJT65" s="1305"/>
      <c r="TJU65" s="1304"/>
      <c r="TJV65" s="1304"/>
      <c r="TJW65" s="1304"/>
      <c r="TJX65" s="1304"/>
      <c r="TJY65" s="1304"/>
      <c r="TJZ65" s="1304"/>
      <c r="TKA65" s="1304"/>
      <c r="TKB65" s="1304"/>
      <c r="TKC65" s="1305"/>
      <c r="TKD65" s="1305"/>
      <c r="TKE65" s="1304"/>
      <c r="TKF65" s="1304"/>
      <c r="TKG65" s="1304"/>
      <c r="TKH65" s="1304"/>
      <c r="TKI65" s="1304"/>
      <c r="TKJ65" s="1304"/>
      <c r="TKK65" s="1304"/>
      <c r="TKL65" s="1304"/>
      <c r="TKM65" s="1305"/>
      <c r="TKN65" s="1305"/>
      <c r="TKO65" s="1304"/>
      <c r="TKP65" s="1304"/>
      <c r="TKQ65" s="1304"/>
      <c r="TKR65" s="1304"/>
      <c r="TKS65" s="1304"/>
      <c r="TKT65" s="1304"/>
      <c r="TKU65" s="1304"/>
      <c r="TKV65" s="1304"/>
      <c r="TKW65" s="1305"/>
      <c r="TKX65" s="1305"/>
      <c r="TKY65" s="1304"/>
      <c r="TKZ65" s="1304"/>
      <c r="TLA65" s="1304"/>
      <c r="TLB65" s="1304"/>
      <c r="TLC65" s="1304"/>
      <c r="TLD65" s="1304"/>
      <c r="TLE65" s="1304"/>
      <c r="TLF65" s="1304"/>
      <c r="TLG65" s="1305"/>
      <c r="TLH65" s="1305"/>
      <c r="TLI65" s="1304"/>
      <c r="TLJ65" s="1304"/>
      <c r="TLK65" s="1304"/>
      <c r="TLL65" s="1304"/>
      <c r="TLM65" s="1304"/>
      <c r="TLN65" s="1304"/>
      <c r="TLO65" s="1304"/>
      <c r="TLP65" s="1304"/>
      <c r="TLQ65" s="1305"/>
      <c r="TLR65" s="1305"/>
      <c r="TLS65" s="1304"/>
      <c r="TLT65" s="1304"/>
      <c r="TLU65" s="1304"/>
      <c r="TLV65" s="1304"/>
      <c r="TLW65" s="1304"/>
      <c r="TLX65" s="1304"/>
      <c r="TLY65" s="1304"/>
      <c r="TLZ65" s="1304"/>
      <c r="TMA65" s="1305"/>
      <c r="TMB65" s="1305"/>
      <c r="TMC65" s="1304"/>
      <c r="TMD65" s="1304"/>
      <c r="TME65" s="1304"/>
      <c r="TMF65" s="1304"/>
      <c r="TMG65" s="1304"/>
      <c r="TMH65" s="1304"/>
      <c r="TMI65" s="1304"/>
      <c r="TMJ65" s="1304"/>
      <c r="TMK65" s="1305"/>
      <c r="TML65" s="1305"/>
      <c r="TMM65" s="1304"/>
      <c r="TMN65" s="1304"/>
      <c r="TMO65" s="1304"/>
      <c r="TMP65" s="1304"/>
      <c r="TMQ65" s="1304"/>
      <c r="TMR65" s="1304"/>
      <c r="TMS65" s="1304"/>
      <c r="TMT65" s="1304"/>
      <c r="TMU65" s="1305"/>
      <c r="TMV65" s="1305"/>
      <c r="TMW65" s="1304"/>
      <c r="TMX65" s="1304"/>
      <c r="TMY65" s="1304"/>
      <c r="TMZ65" s="1304"/>
      <c r="TNA65" s="1304"/>
      <c r="TNB65" s="1304"/>
      <c r="TNC65" s="1304"/>
      <c r="TND65" s="1304"/>
      <c r="TNE65" s="1305"/>
      <c r="TNF65" s="1305"/>
      <c r="TNG65" s="1304"/>
      <c r="TNH65" s="1304"/>
      <c r="TNI65" s="1304"/>
      <c r="TNJ65" s="1304"/>
      <c r="TNK65" s="1304"/>
      <c r="TNL65" s="1304"/>
      <c r="TNM65" s="1304"/>
      <c r="TNN65" s="1304"/>
      <c r="TNO65" s="1305"/>
      <c r="TNP65" s="1305"/>
      <c r="TNQ65" s="1304"/>
      <c r="TNR65" s="1304"/>
      <c r="TNS65" s="1304"/>
      <c r="TNT65" s="1304"/>
      <c r="TNU65" s="1304"/>
      <c r="TNV65" s="1304"/>
      <c r="TNW65" s="1304"/>
      <c r="TNX65" s="1304"/>
      <c r="TNY65" s="1305"/>
      <c r="TNZ65" s="1305"/>
      <c r="TOA65" s="1304"/>
      <c r="TOB65" s="1304"/>
      <c r="TOC65" s="1304"/>
      <c r="TOD65" s="1304"/>
      <c r="TOE65" s="1304"/>
      <c r="TOF65" s="1304"/>
      <c r="TOG65" s="1304"/>
      <c r="TOH65" s="1304"/>
      <c r="TOI65" s="1305"/>
      <c r="TOJ65" s="1305"/>
      <c r="TOK65" s="1304"/>
      <c r="TOL65" s="1304"/>
      <c r="TOM65" s="1304"/>
      <c r="TON65" s="1304"/>
      <c r="TOO65" s="1304"/>
      <c r="TOP65" s="1304"/>
      <c r="TOQ65" s="1304"/>
      <c r="TOR65" s="1304"/>
      <c r="TOS65" s="1305"/>
      <c r="TOT65" s="1305"/>
      <c r="TOU65" s="1304"/>
      <c r="TOV65" s="1304"/>
      <c r="TOW65" s="1304"/>
      <c r="TOX65" s="1304"/>
      <c r="TOY65" s="1304"/>
      <c r="TOZ65" s="1304"/>
      <c r="TPA65" s="1304"/>
      <c r="TPB65" s="1304"/>
      <c r="TPC65" s="1305"/>
      <c r="TPD65" s="1305"/>
      <c r="TPE65" s="1304"/>
      <c r="TPF65" s="1304"/>
      <c r="TPG65" s="1304"/>
      <c r="TPH65" s="1304"/>
      <c r="TPI65" s="1304"/>
      <c r="TPJ65" s="1304"/>
      <c r="TPK65" s="1304"/>
      <c r="TPL65" s="1304"/>
      <c r="TPM65" s="1305"/>
      <c r="TPN65" s="1305"/>
      <c r="TPO65" s="1304"/>
      <c r="TPP65" s="1304"/>
      <c r="TPQ65" s="1304"/>
      <c r="TPR65" s="1304"/>
      <c r="TPS65" s="1304"/>
      <c r="TPT65" s="1304"/>
      <c r="TPU65" s="1304"/>
      <c r="TPV65" s="1304"/>
      <c r="TPW65" s="1305"/>
      <c r="TPX65" s="1305"/>
      <c r="TPY65" s="1304"/>
      <c r="TPZ65" s="1304"/>
      <c r="TQA65" s="1304"/>
      <c r="TQB65" s="1304"/>
      <c r="TQC65" s="1304"/>
      <c r="TQD65" s="1304"/>
      <c r="TQE65" s="1304"/>
      <c r="TQF65" s="1304"/>
      <c r="TQG65" s="1305"/>
      <c r="TQH65" s="1305"/>
      <c r="TQI65" s="1304"/>
      <c r="TQJ65" s="1304"/>
      <c r="TQK65" s="1304"/>
      <c r="TQL65" s="1304"/>
      <c r="TQM65" s="1304"/>
      <c r="TQN65" s="1304"/>
      <c r="TQO65" s="1304"/>
      <c r="TQP65" s="1304"/>
      <c r="TQQ65" s="1305"/>
      <c r="TQR65" s="1305"/>
      <c r="TQS65" s="1304"/>
      <c r="TQT65" s="1304"/>
      <c r="TQU65" s="1304"/>
      <c r="TQV65" s="1304"/>
      <c r="TQW65" s="1304"/>
      <c r="TQX65" s="1304"/>
      <c r="TQY65" s="1304"/>
      <c r="TQZ65" s="1304"/>
      <c r="TRA65" s="1305"/>
      <c r="TRB65" s="1305"/>
      <c r="TRC65" s="1304"/>
      <c r="TRD65" s="1304"/>
      <c r="TRE65" s="1304"/>
      <c r="TRF65" s="1304"/>
      <c r="TRG65" s="1304"/>
      <c r="TRH65" s="1304"/>
      <c r="TRI65" s="1304"/>
      <c r="TRJ65" s="1304"/>
      <c r="TRK65" s="1305"/>
      <c r="TRL65" s="1305"/>
      <c r="TRM65" s="1304"/>
      <c r="TRN65" s="1304"/>
      <c r="TRO65" s="1304"/>
      <c r="TRP65" s="1304"/>
      <c r="TRQ65" s="1304"/>
      <c r="TRR65" s="1304"/>
      <c r="TRS65" s="1304"/>
      <c r="TRT65" s="1304"/>
      <c r="TRU65" s="1305"/>
      <c r="TRV65" s="1305"/>
      <c r="TRW65" s="1304"/>
      <c r="TRX65" s="1304"/>
      <c r="TRY65" s="1304"/>
      <c r="TRZ65" s="1304"/>
      <c r="TSA65" s="1304"/>
      <c r="TSB65" s="1304"/>
      <c r="TSC65" s="1304"/>
      <c r="TSD65" s="1304"/>
      <c r="TSE65" s="1305"/>
      <c r="TSF65" s="1305"/>
      <c r="TSG65" s="1304"/>
      <c r="TSH65" s="1304"/>
      <c r="TSI65" s="1304"/>
      <c r="TSJ65" s="1304"/>
      <c r="TSK65" s="1304"/>
      <c r="TSL65" s="1304"/>
      <c r="TSM65" s="1304"/>
      <c r="TSN65" s="1304"/>
      <c r="TSO65" s="1305"/>
      <c r="TSP65" s="1305"/>
      <c r="TSQ65" s="1304"/>
      <c r="TSR65" s="1304"/>
      <c r="TSS65" s="1304"/>
      <c r="TST65" s="1304"/>
      <c r="TSU65" s="1304"/>
      <c r="TSV65" s="1304"/>
      <c r="TSW65" s="1304"/>
      <c r="TSX65" s="1304"/>
      <c r="TSY65" s="1305"/>
      <c r="TSZ65" s="1305"/>
      <c r="TTA65" s="1304"/>
      <c r="TTB65" s="1304"/>
      <c r="TTC65" s="1304"/>
      <c r="TTD65" s="1304"/>
      <c r="TTE65" s="1304"/>
      <c r="TTF65" s="1304"/>
      <c r="TTG65" s="1304"/>
      <c r="TTH65" s="1304"/>
      <c r="TTI65" s="1305"/>
      <c r="TTJ65" s="1305"/>
      <c r="TTK65" s="1304"/>
      <c r="TTL65" s="1304"/>
      <c r="TTM65" s="1304"/>
      <c r="TTN65" s="1304"/>
      <c r="TTO65" s="1304"/>
      <c r="TTP65" s="1304"/>
      <c r="TTQ65" s="1304"/>
      <c r="TTR65" s="1304"/>
      <c r="TTS65" s="1305"/>
      <c r="TTT65" s="1305"/>
      <c r="TTU65" s="1304"/>
      <c r="TTV65" s="1304"/>
      <c r="TTW65" s="1304"/>
      <c r="TTX65" s="1304"/>
      <c r="TTY65" s="1304"/>
      <c r="TTZ65" s="1304"/>
      <c r="TUA65" s="1304"/>
      <c r="TUB65" s="1304"/>
      <c r="TUC65" s="1305"/>
      <c r="TUD65" s="1305"/>
      <c r="TUE65" s="1304"/>
      <c r="TUF65" s="1304"/>
      <c r="TUG65" s="1304"/>
      <c r="TUH65" s="1304"/>
      <c r="TUI65" s="1304"/>
      <c r="TUJ65" s="1304"/>
      <c r="TUK65" s="1304"/>
      <c r="TUL65" s="1304"/>
      <c r="TUM65" s="1305"/>
      <c r="TUN65" s="1305"/>
      <c r="TUO65" s="1304"/>
      <c r="TUP65" s="1304"/>
      <c r="TUQ65" s="1304"/>
      <c r="TUR65" s="1304"/>
      <c r="TUS65" s="1304"/>
      <c r="TUT65" s="1304"/>
      <c r="TUU65" s="1304"/>
      <c r="TUV65" s="1304"/>
      <c r="TUW65" s="1305"/>
      <c r="TUX65" s="1305"/>
      <c r="TUY65" s="1304"/>
      <c r="TUZ65" s="1304"/>
      <c r="TVA65" s="1304"/>
      <c r="TVB65" s="1304"/>
      <c r="TVC65" s="1304"/>
      <c r="TVD65" s="1304"/>
      <c r="TVE65" s="1304"/>
      <c r="TVF65" s="1304"/>
      <c r="TVG65" s="1305"/>
      <c r="TVH65" s="1305"/>
      <c r="TVI65" s="1304"/>
      <c r="TVJ65" s="1304"/>
      <c r="TVK65" s="1304"/>
      <c r="TVL65" s="1304"/>
      <c r="TVM65" s="1304"/>
      <c r="TVN65" s="1304"/>
      <c r="TVO65" s="1304"/>
      <c r="TVP65" s="1304"/>
      <c r="TVQ65" s="1305"/>
      <c r="TVR65" s="1305"/>
      <c r="TVS65" s="1304"/>
      <c r="TVT65" s="1304"/>
      <c r="TVU65" s="1304"/>
      <c r="TVV65" s="1304"/>
      <c r="TVW65" s="1304"/>
      <c r="TVX65" s="1304"/>
      <c r="TVY65" s="1304"/>
      <c r="TVZ65" s="1304"/>
      <c r="TWA65" s="1305"/>
      <c r="TWB65" s="1305"/>
      <c r="TWC65" s="1304"/>
      <c r="TWD65" s="1304"/>
      <c r="TWE65" s="1304"/>
      <c r="TWF65" s="1304"/>
      <c r="TWG65" s="1304"/>
      <c r="TWH65" s="1304"/>
      <c r="TWI65" s="1304"/>
      <c r="TWJ65" s="1304"/>
      <c r="TWK65" s="1305"/>
      <c r="TWL65" s="1305"/>
      <c r="TWM65" s="1304"/>
      <c r="TWN65" s="1304"/>
      <c r="TWO65" s="1304"/>
      <c r="TWP65" s="1304"/>
      <c r="TWQ65" s="1304"/>
      <c r="TWR65" s="1304"/>
      <c r="TWS65" s="1304"/>
      <c r="TWT65" s="1304"/>
      <c r="TWU65" s="1305"/>
      <c r="TWV65" s="1305"/>
      <c r="TWW65" s="1304"/>
      <c r="TWX65" s="1304"/>
      <c r="TWY65" s="1304"/>
      <c r="TWZ65" s="1304"/>
      <c r="TXA65" s="1304"/>
      <c r="TXB65" s="1304"/>
      <c r="TXC65" s="1304"/>
      <c r="TXD65" s="1304"/>
      <c r="TXE65" s="1305"/>
      <c r="TXF65" s="1305"/>
      <c r="TXG65" s="1304"/>
      <c r="TXH65" s="1304"/>
      <c r="TXI65" s="1304"/>
      <c r="TXJ65" s="1304"/>
      <c r="TXK65" s="1304"/>
      <c r="TXL65" s="1304"/>
      <c r="TXM65" s="1304"/>
      <c r="TXN65" s="1304"/>
      <c r="TXO65" s="1305"/>
      <c r="TXP65" s="1305"/>
      <c r="TXQ65" s="1304"/>
      <c r="TXR65" s="1304"/>
      <c r="TXS65" s="1304"/>
      <c r="TXT65" s="1304"/>
      <c r="TXU65" s="1304"/>
      <c r="TXV65" s="1304"/>
      <c r="TXW65" s="1304"/>
      <c r="TXX65" s="1304"/>
      <c r="TXY65" s="1305"/>
      <c r="TXZ65" s="1305"/>
      <c r="TYA65" s="1304"/>
      <c r="TYB65" s="1304"/>
      <c r="TYC65" s="1304"/>
      <c r="TYD65" s="1304"/>
      <c r="TYE65" s="1304"/>
      <c r="TYF65" s="1304"/>
      <c r="TYG65" s="1304"/>
      <c r="TYH65" s="1304"/>
      <c r="TYI65" s="1305"/>
      <c r="TYJ65" s="1305"/>
      <c r="TYK65" s="1304"/>
      <c r="TYL65" s="1304"/>
      <c r="TYM65" s="1304"/>
      <c r="TYN65" s="1304"/>
      <c r="TYO65" s="1304"/>
      <c r="TYP65" s="1304"/>
      <c r="TYQ65" s="1304"/>
      <c r="TYR65" s="1304"/>
      <c r="TYS65" s="1305"/>
      <c r="TYT65" s="1305"/>
      <c r="TYU65" s="1304"/>
      <c r="TYV65" s="1304"/>
      <c r="TYW65" s="1304"/>
      <c r="TYX65" s="1304"/>
      <c r="TYY65" s="1304"/>
      <c r="TYZ65" s="1304"/>
      <c r="TZA65" s="1304"/>
      <c r="TZB65" s="1304"/>
      <c r="TZC65" s="1305"/>
      <c r="TZD65" s="1305"/>
      <c r="TZE65" s="1304"/>
      <c r="TZF65" s="1304"/>
      <c r="TZG65" s="1304"/>
      <c r="TZH65" s="1304"/>
      <c r="TZI65" s="1304"/>
      <c r="TZJ65" s="1304"/>
      <c r="TZK65" s="1304"/>
      <c r="TZL65" s="1304"/>
      <c r="TZM65" s="1305"/>
      <c r="TZN65" s="1305"/>
      <c r="TZO65" s="1304"/>
      <c r="TZP65" s="1304"/>
      <c r="TZQ65" s="1304"/>
      <c r="TZR65" s="1304"/>
      <c r="TZS65" s="1304"/>
      <c r="TZT65" s="1304"/>
      <c r="TZU65" s="1304"/>
      <c r="TZV65" s="1304"/>
      <c r="TZW65" s="1305"/>
      <c r="TZX65" s="1305"/>
      <c r="TZY65" s="1304"/>
      <c r="TZZ65" s="1304"/>
      <c r="UAA65" s="1304"/>
      <c r="UAB65" s="1304"/>
      <c r="UAC65" s="1304"/>
      <c r="UAD65" s="1304"/>
      <c r="UAE65" s="1304"/>
      <c r="UAF65" s="1304"/>
      <c r="UAG65" s="1305"/>
      <c r="UAH65" s="1305"/>
      <c r="UAI65" s="1304"/>
      <c r="UAJ65" s="1304"/>
      <c r="UAK65" s="1304"/>
      <c r="UAL65" s="1304"/>
      <c r="UAM65" s="1304"/>
      <c r="UAN65" s="1304"/>
      <c r="UAO65" s="1304"/>
      <c r="UAP65" s="1304"/>
      <c r="UAQ65" s="1305"/>
      <c r="UAR65" s="1305"/>
      <c r="UAS65" s="1304"/>
      <c r="UAT65" s="1304"/>
      <c r="UAU65" s="1304"/>
      <c r="UAV65" s="1304"/>
      <c r="UAW65" s="1304"/>
      <c r="UAX65" s="1304"/>
      <c r="UAY65" s="1304"/>
      <c r="UAZ65" s="1304"/>
      <c r="UBA65" s="1305"/>
      <c r="UBB65" s="1305"/>
      <c r="UBC65" s="1304"/>
      <c r="UBD65" s="1304"/>
      <c r="UBE65" s="1304"/>
      <c r="UBF65" s="1304"/>
      <c r="UBG65" s="1304"/>
      <c r="UBH65" s="1304"/>
      <c r="UBI65" s="1304"/>
      <c r="UBJ65" s="1304"/>
      <c r="UBK65" s="1305"/>
      <c r="UBL65" s="1305"/>
      <c r="UBM65" s="1304"/>
      <c r="UBN65" s="1304"/>
      <c r="UBO65" s="1304"/>
      <c r="UBP65" s="1304"/>
      <c r="UBQ65" s="1304"/>
      <c r="UBR65" s="1304"/>
      <c r="UBS65" s="1304"/>
      <c r="UBT65" s="1304"/>
      <c r="UBU65" s="1305"/>
      <c r="UBV65" s="1305"/>
      <c r="UBW65" s="1304"/>
      <c r="UBX65" s="1304"/>
      <c r="UBY65" s="1304"/>
      <c r="UBZ65" s="1304"/>
      <c r="UCA65" s="1304"/>
      <c r="UCB65" s="1304"/>
      <c r="UCC65" s="1304"/>
      <c r="UCD65" s="1304"/>
      <c r="UCE65" s="1305"/>
      <c r="UCF65" s="1305"/>
      <c r="UCG65" s="1304"/>
      <c r="UCH65" s="1304"/>
      <c r="UCI65" s="1304"/>
      <c r="UCJ65" s="1304"/>
      <c r="UCK65" s="1304"/>
      <c r="UCL65" s="1304"/>
      <c r="UCM65" s="1304"/>
      <c r="UCN65" s="1304"/>
      <c r="UCO65" s="1305"/>
      <c r="UCP65" s="1305"/>
      <c r="UCQ65" s="1304"/>
      <c r="UCR65" s="1304"/>
      <c r="UCS65" s="1304"/>
      <c r="UCT65" s="1304"/>
      <c r="UCU65" s="1304"/>
      <c r="UCV65" s="1304"/>
      <c r="UCW65" s="1304"/>
      <c r="UCX65" s="1304"/>
      <c r="UCY65" s="1305"/>
      <c r="UCZ65" s="1305"/>
      <c r="UDA65" s="1304"/>
      <c r="UDB65" s="1304"/>
      <c r="UDC65" s="1304"/>
      <c r="UDD65" s="1304"/>
      <c r="UDE65" s="1304"/>
      <c r="UDF65" s="1304"/>
      <c r="UDG65" s="1304"/>
      <c r="UDH65" s="1304"/>
      <c r="UDI65" s="1305"/>
      <c r="UDJ65" s="1305"/>
      <c r="UDK65" s="1304"/>
      <c r="UDL65" s="1304"/>
      <c r="UDM65" s="1304"/>
      <c r="UDN65" s="1304"/>
      <c r="UDO65" s="1304"/>
      <c r="UDP65" s="1304"/>
      <c r="UDQ65" s="1304"/>
      <c r="UDR65" s="1304"/>
      <c r="UDS65" s="1305"/>
      <c r="UDT65" s="1305"/>
      <c r="UDU65" s="1304"/>
      <c r="UDV65" s="1304"/>
      <c r="UDW65" s="1304"/>
      <c r="UDX65" s="1304"/>
      <c r="UDY65" s="1304"/>
      <c r="UDZ65" s="1304"/>
      <c r="UEA65" s="1304"/>
      <c r="UEB65" s="1304"/>
      <c r="UEC65" s="1305"/>
      <c r="UED65" s="1305"/>
      <c r="UEE65" s="1304"/>
      <c r="UEF65" s="1304"/>
      <c r="UEG65" s="1304"/>
      <c r="UEH65" s="1304"/>
      <c r="UEI65" s="1304"/>
      <c r="UEJ65" s="1304"/>
      <c r="UEK65" s="1304"/>
      <c r="UEL65" s="1304"/>
      <c r="UEM65" s="1305"/>
      <c r="UEN65" s="1305"/>
      <c r="UEO65" s="1304"/>
      <c r="UEP65" s="1304"/>
      <c r="UEQ65" s="1304"/>
      <c r="UER65" s="1304"/>
      <c r="UES65" s="1304"/>
      <c r="UET65" s="1304"/>
      <c r="UEU65" s="1304"/>
      <c r="UEV65" s="1304"/>
      <c r="UEW65" s="1305"/>
      <c r="UEX65" s="1305"/>
      <c r="UEY65" s="1304"/>
      <c r="UEZ65" s="1304"/>
      <c r="UFA65" s="1304"/>
      <c r="UFB65" s="1304"/>
      <c r="UFC65" s="1304"/>
      <c r="UFD65" s="1304"/>
      <c r="UFE65" s="1304"/>
      <c r="UFF65" s="1304"/>
      <c r="UFG65" s="1305"/>
      <c r="UFH65" s="1305"/>
      <c r="UFI65" s="1304"/>
      <c r="UFJ65" s="1304"/>
      <c r="UFK65" s="1304"/>
      <c r="UFL65" s="1304"/>
      <c r="UFM65" s="1304"/>
      <c r="UFN65" s="1304"/>
      <c r="UFO65" s="1304"/>
      <c r="UFP65" s="1304"/>
      <c r="UFQ65" s="1305"/>
      <c r="UFR65" s="1305"/>
      <c r="UFS65" s="1304"/>
      <c r="UFT65" s="1304"/>
      <c r="UFU65" s="1304"/>
      <c r="UFV65" s="1304"/>
      <c r="UFW65" s="1304"/>
      <c r="UFX65" s="1304"/>
      <c r="UFY65" s="1304"/>
      <c r="UFZ65" s="1304"/>
      <c r="UGA65" s="1305"/>
      <c r="UGB65" s="1305"/>
      <c r="UGC65" s="1304"/>
      <c r="UGD65" s="1304"/>
      <c r="UGE65" s="1304"/>
      <c r="UGF65" s="1304"/>
      <c r="UGG65" s="1304"/>
      <c r="UGH65" s="1304"/>
      <c r="UGI65" s="1304"/>
      <c r="UGJ65" s="1304"/>
      <c r="UGK65" s="1305"/>
      <c r="UGL65" s="1305"/>
      <c r="UGM65" s="1304"/>
      <c r="UGN65" s="1304"/>
      <c r="UGO65" s="1304"/>
      <c r="UGP65" s="1304"/>
      <c r="UGQ65" s="1304"/>
      <c r="UGR65" s="1304"/>
      <c r="UGS65" s="1304"/>
      <c r="UGT65" s="1304"/>
      <c r="UGU65" s="1305"/>
      <c r="UGV65" s="1305"/>
      <c r="UGW65" s="1304"/>
      <c r="UGX65" s="1304"/>
      <c r="UGY65" s="1304"/>
      <c r="UGZ65" s="1304"/>
      <c r="UHA65" s="1304"/>
      <c r="UHB65" s="1304"/>
      <c r="UHC65" s="1304"/>
      <c r="UHD65" s="1304"/>
      <c r="UHE65" s="1305"/>
      <c r="UHF65" s="1305"/>
      <c r="UHG65" s="1304"/>
      <c r="UHH65" s="1304"/>
      <c r="UHI65" s="1304"/>
      <c r="UHJ65" s="1304"/>
      <c r="UHK65" s="1304"/>
      <c r="UHL65" s="1304"/>
      <c r="UHM65" s="1304"/>
      <c r="UHN65" s="1304"/>
      <c r="UHO65" s="1305"/>
      <c r="UHP65" s="1305"/>
      <c r="UHQ65" s="1304"/>
      <c r="UHR65" s="1304"/>
      <c r="UHS65" s="1304"/>
      <c r="UHT65" s="1304"/>
      <c r="UHU65" s="1304"/>
      <c r="UHV65" s="1304"/>
      <c r="UHW65" s="1304"/>
      <c r="UHX65" s="1304"/>
      <c r="UHY65" s="1305"/>
      <c r="UHZ65" s="1305"/>
      <c r="UIA65" s="1304"/>
      <c r="UIB65" s="1304"/>
      <c r="UIC65" s="1304"/>
      <c r="UID65" s="1304"/>
      <c r="UIE65" s="1304"/>
      <c r="UIF65" s="1304"/>
      <c r="UIG65" s="1304"/>
      <c r="UIH65" s="1304"/>
      <c r="UII65" s="1305"/>
      <c r="UIJ65" s="1305"/>
      <c r="UIK65" s="1304"/>
      <c r="UIL65" s="1304"/>
      <c r="UIM65" s="1304"/>
      <c r="UIN65" s="1304"/>
      <c r="UIO65" s="1304"/>
      <c r="UIP65" s="1304"/>
      <c r="UIQ65" s="1304"/>
      <c r="UIR65" s="1304"/>
      <c r="UIS65" s="1305"/>
      <c r="UIT65" s="1305"/>
      <c r="UIU65" s="1304"/>
      <c r="UIV65" s="1304"/>
      <c r="UIW65" s="1304"/>
      <c r="UIX65" s="1304"/>
      <c r="UIY65" s="1304"/>
      <c r="UIZ65" s="1304"/>
      <c r="UJA65" s="1304"/>
      <c r="UJB65" s="1304"/>
      <c r="UJC65" s="1305"/>
      <c r="UJD65" s="1305"/>
      <c r="UJE65" s="1304"/>
      <c r="UJF65" s="1304"/>
      <c r="UJG65" s="1304"/>
      <c r="UJH65" s="1304"/>
      <c r="UJI65" s="1304"/>
      <c r="UJJ65" s="1304"/>
      <c r="UJK65" s="1304"/>
      <c r="UJL65" s="1304"/>
      <c r="UJM65" s="1305"/>
      <c r="UJN65" s="1305"/>
      <c r="UJO65" s="1304"/>
      <c r="UJP65" s="1304"/>
      <c r="UJQ65" s="1304"/>
      <c r="UJR65" s="1304"/>
      <c r="UJS65" s="1304"/>
      <c r="UJT65" s="1304"/>
      <c r="UJU65" s="1304"/>
      <c r="UJV65" s="1304"/>
      <c r="UJW65" s="1305"/>
      <c r="UJX65" s="1305"/>
      <c r="UJY65" s="1304"/>
      <c r="UJZ65" s="1304"/>
      <c r="UKA65" s="1304"/>
      <c r="UKB65" s="1304"/>
      <c r="UKC65" s="1304"/>
      <c r="UKD65" s="1304"/>
      <c r="UKE65" s="1304"/>
      <c r="UKF65" s="1304"/>
      <c r="UKG65" s="1305"/>
      <c r="UKH65" s="1305"/>
      <c r="UKI65" s="1304"/>
      <c r="UKJ65" s="1304"/>
      <c r="UKK65" s="1304"/>
      <c r="UKL65" s="1304"/>
      <c r="UKM65" s="1304"/>
      <c r="UKN65" s="1304"/>
      <c r="UKO65" s="1304"/>
      <c r="UKP65" s="1304"/>
      <c r="UKQ65" s="1305"/>
      <c r="UKR65" s="1305"/>
      <c r="UKS65" s="1304"/>
      <c r="UKT65" s="1304"/>
      <c r="UKU65" s="1304"/>
      <c r="UKV65" s="1304"/>
      <c r="UKW65" s="1304"/>
      <c r="UKX65" s="1304"/>
      <c r="UKY65" s="1304"/>
      <c r="UKZ65" s="1304"/>
      <c r="ULA65" s="1305"/>
      <c r="ULB65" s="1305"/>
      <c r="ULC65" s="1304"/>
      <c r="ULD65" s="1304"/>
      <c r="ULE65" s="1304"/>
      <c r="ULF65" s="1304"/>
      <c r="ULG65" s="1304"/>
      <c r="ULH65" s="1304"/>
      <c r="ULI65" s="1304"/>
      <c r="ULJ65" s="1304"/>
      <c r="ULK65" s="1305"/>
      <c r="ULL65" s="1305"/>
      <c r="ULM65" s="1304"/>
      <c r="ULN65" s="1304"/>
      <c r="ULO65" s="1304"/>
      <c r="ULP65" s="1304"/>
      <c r="ULQ65" s="1304"/>
      <c r="ULR65" s="1304"/>
      <c r="ULS65" s="1304"/>
      <c r="ULT65" s="1304"/>
      <c r="ULU65" s="1305"/>
      <c r="ULV65" s="1305"/>
      <c r="ULW65" s="1304"/>
      <c r="ULX65" s="1304"/>
      <c r="ULY65" s="1304"/>
      <c r="ULZ65" s="1304"/>
      <c r="UMA65" s="1304"/>
      <c r="UMB65" s="1304"/>
      <c r="UMC65" s="1304"/>
      <c r="UMD65" s="1304"/>
      <c r="UME65" s="1305"/>
      <c r="UMF65" s="1305"/>
      <c r="UMG65" s="1304"/>
      <c r="UMH65" s="1304"/>
      <c r="UMI65" s="1304"/>
      <c r="UMJ65" s="1304"/>
      <c r="UMK65" s="1304"/>
      <c r="UML65" s="1304"/>
      <c r="UMM65" s="1304"/>
      <c r="UMN65" s="1304"/>
      <c r="UMO65" s="1305"/>
      <c r="UMP65" s="1305"/>
      <c r="UMQ65" s="1304"/>
      <c r="UMR65" s="1304"/>
      <c r="UMS65" s="1304"/>
      <c r="UMT65" s="1304"/>
      <c r="UMU65" s="1304"/>
      <c r="UMV65" s="1304"/>
      <c r="UMW65" s="1304"/>
      <c r="UMX65" s="1304"/>
      <c r="UMY65" s="1305"/>
      <c r="UMZ65" s="1305"/>
      <c r="UNA65" s="1304"/>
      <c r="UNB65" s="1304"/>
      <c r="UNC65" s="1304"/>
      <c r="UND65" s="1304"/>
      <c r="UNE65" s="1304"/>
      <c r="UNF65" s="1304"/>
      <c r="UNG65" s="1304"/>
      <c r="UNH65" s="1304"/>
      <c r="UNI65" s="1305"/>
      <c r="UNJ65" s="1305"/>
      <c r="UNK65" s="1304"/>
      <c r="UNL65" s="1304"/>
      <c r="UNM65" s="1304"/>
      <c r="UNN65" s="1304"/>
      <c r="UNO65" s="1304"/>
      <c r="UNP65" s="1304"/>
      <c r="UNQ65" s="1304"/>
      <c r="UNR65" s="1304"/>
      <c r="UNS65" s="1305"/>
      <c r="UNT65" s="1305"/>
      <c r="UNU65" s="1304"/>
      <c r="UNV65" s="1304"/>
      <c r="UNW65" s="1304"/>
      <c r="UNX65" s="1304"/>
      <c r="UNY65" s="1304"/>
      <c r="UNZ65" s="1304"/>
      <c r="UOA65" s="1304"/>
      <c r="UOB65" s="1304"/>
      <c r="UOC65" s="1305"/>
      <c r="UOD65" s="1305"/>
      <c r="UOE65" s="1304"/>
      <c r="UOF65" s="1304"/>
      <c r="UOG65" s="1304"/>
      <c r="UOH65" s="1304"/>
      <c r="UOI65" s="1304"/>
      <c r="UOJ65" s="1304"/>
      <c r="UOK65" s="1304"/>
      <c r="UOL65" s="1304"/>
      <c r="UOM65" s="1305"/>
      <c r="UON65" s="1305"/>
      <c r="UOO65" s="1304"/>
      <c r="UOP65" s="1304"/>
      <c r="UOQ65" s="1304"/>
      <c r="UOR65" s="1304"/>
      <c r="UOS65" s="1304"/>
      <c r="UOT65" s="1304"/>
      <c r="UOU65" s="1304"/>
      <c r="UOV65" s="1304"/>
      <c r="UOW65" s="1305"/>
      <c r="UOX65" s="1305"/>
      <c r="UOY65" s="1304"/>
      <c r="UOZ65" s="1304"/>
      <c r="UPA65" s="1304"/>
      <c r="UPB65" s="1304"/>
      <c r="UPC65" s="1304"/>
      <c r="UPD65" s="1304"/>
      <c r="UPE65" s="1304"/>
      <c r="UPF65" s="1304"/>
      <c r="UPG65" s="1305"/>
      <c r="UPH65" s="1305"/>
      <c r="UPI65" s="1304"/>
      <c r="UPJ65" s="1304"/>
      <c r="UPK65" s="1304"/>
      <c r="UPL65" s="1304"/>
      <c r="UPM65" s="1304"/>
      <c r="UPN65" s="1304"/>
      <c r="UPO65" s="1304"/>
      <c r="UPP65" s="1304"/>
      <c r="UPQ65" s="1305"/>
      <c r="UPR65" s="1305"/>
      <c r="UPS65" s="1304"/>
      <c r="UPT65" s="1304"/>
      <c r="UPU65" s="1304"/>
      <c r="UPV65" s="1304"/>
      <c r="UPW65" s="1304"/>
      <c r="UPX65" s="1304"/>
      <c r="UPY65" s="1304"/>
      <c r="UPZ65" s="1304"/>
      <c r="UQA65" s="1305"/>
      <c r="UQB65" s="1305"/>
      <c r="UQC65" s="1304"/>
      <c r="UQD65" s="1304"/>
      <c r="UQE65" s="1304"/>
      <c r="UQF65" s="1304"/>
      <c r="UQG65" s="1304"/>
      <c r="UQH65" s="1304"/>
      <c r="UQI65" s="1304"/>
      <c r="UQJ65" s="1304"/>
      <c r="UQK65" s="1305"/>
      <c r="UQL65" s="1305"/>
      <c r="UQM65" s="1304"/>
      <c r="UQN65" s="1304"/>
      <c r="UQO65" s="1304"/>
      <c r="UQP65" s="1304"/>
      <c r="UQQ65" s="1304"/>
      <c r="UQR65" s="1304"/>
      <c r="UQS65" s="1304"/>
      <c r="UQT65" s="1304"/>
      <c r="UQU65" s="1305"/>
      <c r="UQV65" s="1305"/>
      <c r="UQW65" s="1304"/>
      <c r="UQX65" s="1304"/>
      <c r="UQY65" s="1304"/>
      <c r="UQZ65" s="1304"/>
      <c r="URA65" s="1304"/>
      <c r="URB65" s="1304"/>
      <c r="URC65" s="1304"/>
      <c r="URD65" s="1304"/>
      <c r="URE65" s="1305"/>
      <c r="URF65" s="1305"/>
      <c r="URG65" s="1304"/>
      <c r="URH65" s="1304"/>
      <c r="URI65" s="1304"/>
      <c r="URJ65" s="1304"/>
      <c r="URK65" s="1304"/>
      <c r="URL65" s="1304"/>
      <c r="URM65" s="1304"/>
      <c r="URN65" s="1304"/>
      <c r="URO65" s="1305"/>
      <c r="URP65" s="1305"/>
      <c r="URQ65" s="1304"/>
      <c r="URR65" s="1304"/>
      <c r="URS65" s="1304"/>
      <c r="URT65" s="1304"/>
      <c r="URU65" s="1304"/>
      <c r="URV65" s="1304"/>
      <c r="URW65" s="1304"/>
      <c r="URX65" s="1304"/>
      <c r="URY65" s="1305"/>
      <c r="URZ65" s="1305"/>
      <c r="USA65" s="1304"/>
      <c r="USB65" s="1304"/>
      <c r="USC65" s="1304"/>
      <c r="USD65" s="1304"/>
      <c r="USE65" s="1304"/>
      <c r="USF65" s="1304"/>
      <c r="USG65" s="1304"/>
      <c r="USH65" s="1304"/>
      <c r="USI65" s="1305"/>
      <c r="USJ65" s="1305"/>
      <c r="USK65" s="1304"/>
      <c r="USL65" s="1304"/>
      <c r="USM65" s="1304"/>
      <c r="USN65" s="1304"/>
      <c r="USO65" s="1304"/>
      <c r="USP65" s="1304"/>
      <c r="USQ65" s="1304"/>
      <c r="USR65" s="1304"/>
      <c r="USS65" s="1305"/>
      <c r="UST65" s="1305"/>
      <c r="USU65" s="1304"/>
      <c r="USV65" s="1304"/>
      <c r="USW65" s="1304"/>
      <c r="USX65" s="1304"/>
      <c r="USY65" s="1304"/>
      <c r="USZ65" s="1304"/>
      <c r="UTA65" s="1304"/>
      <c r="UTB65" s="1304"/>
      <c r="UTC65" s="1305"/>
      <c r="UTD65" s="1305"/>
      <c r="UTE65" s="1304"/>
      <c r="UTF65" s="1304"/>
      <c r="UTG65" s="1304"/>
      <c r="UTH65" s="1304"/>
      <c r="UTI65" s="1304"/>
      <c r="UTJ65" s="1304"/>
      <c r="UTK65" s="1304"/>
      <c r="UTL65" s="1304"/>
      <c r="UTM65" s="1305"/>
      <c r="UTN65" s="1305"/>
      <c r="UTO65" s="1304"/>
      <c r="UTP65" s="1304"/>
      <c r="UTQ65" s="1304"/>
      <c r="UTR65" s="1304"/>
      <c r="UTS65" s="1304"/>
      <c r="UTT65" s="1304"/>
      <c r="UTU65" s="1304"/>
      <c r="UTV65" s="1304"/>
      <c r="UTW65" s="1305"/>
      <c r="UTX65" s="1305"/>
      <c r="UTY65" s="1304"/>
      <c r="UTZ65" s="1304"/>
      <c r="UUA65" s="1304"/>
      <c r="UUB65" s="1304"/>
      <c r="UUC65" s="1304"/>
      <c r="UUD65" s="1304"/>
      <c r="UUE65" s="1304"/>
      <c r="UUF65" s="1304"/>
      <c r="UUG65" s="1305"/>
      <c r="UUH65" s="1305"/>
      <c r="UUI65" s="1304"/>
      <c r="UUJ65" s="1304"/>
      <c r="UUK65" s="1304"/>
      <c r="UUL65" s="1304"/>
      <c r="UUM65" s="1304"/>
      <c r="UUN65" s="1304"/>
      <c r="UUO65" s="1304"/>
      <c r="UUP65" s="1304"/>
      <c r="UUQ65" s="1305"/>
      <c r="UUR65" s="1305"/>
      <c r="UUS65" s="1304"/>
      <c r="UUT65" s="1304"/>
      <c r="UUU65" s="1304"/>
      <c r="UUV65" s="1304"/>
      <c r="UUW65" s="1304"/>
      <c r="UUX65" s="1304"/>
      <c r="UUY65" s="1304"/>
      <c r="UUZ65" s="1304"/>
      <c r="UVA65" s="1305"/>
      <c r="UVB65" s="1305"/>
      <c r="UVC65" s="1304"/>
      <c r="UVD65" s="1304"/>
      <c r="UVE65" s="1304"/>
      <c r="UVF65" s="1304"/>
      <c r="UVG65" s="1304"/>
      <c r="UVH65" s="1304"/>
      <c r="UVI65" s="1304"/>
      <c r="UVJ65" s="1304"/>
      <c r="UVK65" s="1305"/>
      <c r="UVL65" s="1305"/>
      <c r="UVM65" s="1304"/>
      <c r="UVN65" s="1304"/>
      <c r="UVO65" s="1304"/>
      <c r="UVP65" s="1304"/>
      <c r="UVQ65" s="1304"/>
      <c r="UVR65" s="1304"/>
      <c r="UVS65" s="1304"/>
      <c r="UVT65" s="1304"/>
      <c r="UVU65" s="1305"/>
      <c r="UVV65" s="1305"/>
      <c r="UVW65" s="1304"/>
      <c r="UVX65" s="1304"/>
      <c r="UVY65" s="1304"/>
      <c r="UVZ65" s="1304"/>
      <c r="UWA65" s="1304"/>
      <c r="UWB65" s="1304"/>
      <c r="UWC65" s="1304"/>
      <c r="UWD65" s="1304"/>
      <c r="UWE65" s="1305"/>
      <c r="UWF65" s="1305"/>
      <c r="UWG65" s="1304"/>
      <c r="UWH65" s="1304"/>
      <c r="UWI65" s="1304"/>
      <c r="UWJ65" s="1304"/>
      <c r="UWK65" s="1304"/>
      <c r="UWL65" s="1304"/>
      <c r="UWM65" s="1304"/>
      <c r="UWN65" s="1304"/>
      <c r="UWO65" s="1305"/>
      <c r="UWP65" s="1305"/>
      <c r="UWQ65" s="1304"/>
      <c r="UWR65" s="1304"/>
      <c r="UWS65" s="1304"/>
      <c r="UWT65" s="1304"/>
      <c r="UWU65" s="1304"/>
      <c r="UWV65" s="1304"/>
      <c r="UWW65" s="1304"/>
      <c r="UWX65" s="1304"/>
      <c r="UWY65" s="1305"/>
      <c r="UWZ65" s="1305"/>
      <c r="UXA65" s="1304"/>
      <c r="UXB65" s="1304"/>
      <c r="UXC65" s="1304"/>
      <c r="UXD65" s="1304"/>
      <c r="UXE65" s="1304"/>
      <c r="UXF65" s="1304"/>
      <c r="UXG65" s="1304"/>
      <c r="UXH65" s="1304"/>
      <c r="UXI65" s="1305"/>
      <c r="UXJ65" s="1305"/>
      <c r="UXK65" s="1304"/>
      <c r="UXL65" s="1304"/>
      <c r="UXM65" s="1304"/>
      <c r="UXN65" s="1304"/>
      <c r="UXO65" s="1304"/>
      <c r="UXP65" s="1304"/>
      <c r="UXQ65" s="1304"/>
      <c r="UXR65" s="1304"/>
      <c r="UXS65" s="1305"/>
      <c r="UXT65" s="1305"/>
      <c r="UXU65" s="1304"/>
      <c r="UXV65" s="1304"/>
      <c r="UXW65" s="1304"/>
      <c r="UXX65" s="1304"/>
      <c r="UXY65" s="1304"/>
      <c r="UXZ65" s="1304"/>
      <c r="UYA65" s="1304"/>
      <c r="UYB65" s="1304"/>
      <c r="UYC65" s="1305"/>
      <c r="UYD65" s="1305"/>
      <c r="UYE65" s="1304"/>
      <c r="UYF65" s="1304"/>
      <c r="UYG65" s="1304"/>
      <c r="UYH65" s="1304"/>
      <c r="UYI65" s="1304"/>
      <c r="UYJ65" s="1304"/>
      <c r="UYK65" s="1304"/>
      <c r="UYL65" s="1304"/>
      <c r="UYM65" s="1305"/>
      <c r="UYN65" s="1305"/>
      <c r="UYO65" s="1304"/>
      <c r="UYP65" s="1304"/>
      <c r="UYQ65" s="1304"/>
      <c r="UYR65" s="1304"/>
      <c r="UYS65" s="1304"/>
      <c r="UYT65" s="1304"/>
      <c r="UYU65" s="1304"/>
      <c r="UYV65" s="1304"/>
      <c r="UYW65" s="1305"/>
      <c r="UYX65" s="1305"/>
      <c r="UYY65" s="1304"/>
      <c r="UYZ65" s="1304"/>
      <c r="UZA65" s="1304"/>
      <c r="UZB65" s="1304"/>
      <c r="UZC65" s="1304"/>
      <c r="UZD65" s="1304"/>
      <c r="UZE65" s="1304"/>
      <c r="UZF65" s="1304"/>
      <c r="UZG65" s="1305"/>
      <c r="UZH65" s="1305"/>
      <c r="UZI65" s="1304"/>
      <c r="UZJ65" s="1304"/>
      <c r="UZK65" s="1304"/>
      <c r="UZL65" s="1304"/>
      <c r="UZM65" s="1304"/>
      <c r="UZN65" s="1304"/>
      <c r="UZO65" s="1304"/>
      <c r="UZP65" s="1304"/>
      <c r="UZQ65" s="1305"/>
      <c r="UZR65" s="1305"/>
      <c r="UZS65" s="1304"/>
      <c r="UZT65" s="1304"/>
      <c r="UZU65" s="1304"/>
      <c r="UZV65" s="1304"/>
      <c r="UZW65" s="1304"/>
      <c r="UZX65" s="1304"/>
      <c r="UZY65" s="1304"/>
      <c r="UZZ65" s="1304"/>
      <c r="VAA65" s="1305"/>
      <c r="VAB65" s="1305"/>
      <c r="VAC65" s="1304"/>
      <c r="VAD65" s="1304"/>
      <c r="VAE65" s="1304"/>
      <c r="VAF65" s="1304"/>
      <c r="VAG65" s="1304"/>
      <c r="VAH65" s="1304"/>
      <c r="VAI65" s="1304"/>
      <c r="VAJ65" s="1304"/>
      <c r="VAK65" s="1305"/>
      <c r="VAL65" s="1305"/>
      <c r="VAM65" s="1304"/>
      <c r="VAN65" s="1304"/>
      <c r="VAO65" s="1304"/>
      <c r="VAP65" s="1304"/>
      <c r="VAQ65" s="1304"/>
      <c r="VAR65" s="1304"/>
      <c r="VAS65" s="1304"/>
      <c r="VAT65" s="1304"/>
      <c r="VAU65" s="1305"/>
      <c r="VAV65" s="1305"/>
      <c r="VAW65" s="1304"/>
      <c r="VAX65" s="1304"/>
      <c r="VAY65" s="1304"/>
      <c r="VAZ65" s="1304"/>
      <c r="VBA65" s="1304"/>
      <c r="VBB65" s="1304"/>
      <c r="VBC65" s="1304"/>
      <c r="VBD65" s="1304"/>
      <c r="VBE65" s="1305"/>
      <c r="VBF65" s="1305"/>
      <c r="VBG65" s="1304"/>
      <c r="VBH65" s="1304"/>
      <c r="VBI65" s="1304"/>
      <c r="VBJ65" s="1304"/>
      <c r="VBK65" s="1304"/>
      <c r="VBL65" s="1304"/>
      <c r="VBM65" s="1304"/>
      <c r="VBN65" s="1304"/>
      <c r="VBO65" s="1305"/>
      <c r="VBP65" s="1305"/>
      <c r="VBQ65" s="1304"/>
      <c r="VBR65" s="1304"/>
      <c r="VBS65" s="1304"/>
      <c r="VBT65" s="1304"/>
      <c r="VBU65" s="1304"/>
      <c r="VBV65" s="1304"/>
      <c r="VBW65" s="1304"/>
      <c r="VBX65" s="1304"/>
      <c r="VBY65" s="1305"/>
      <c r="VBZ65" s="1305"/>
      <c r="VCA65" s="1304"/>
      <c r="VCB65" s="1304"/>
      <c r="VCC65" s="1304"/>
      <c r="VCD65" s="1304"/>
      <c r="VCE65" s="1304"/>
      <c r="VCF65" s="1304"/>
      <c r="VCG65" s="1304"/>
      <c r="VCH65" s="1304"/>
      <c r="VCI65" s="1305"/>
      <c r="VCJ65" s="1305"/>
      <c r="VCK65" s="1304"/>
      <c r="VCL65" s="1304"/>
      <c r="VCM65" s="1304"/>
      <c r="VCN65" s="1304"/>
      <c r="VCO65" s="1304"/>
      <c r="VCP65" s="1304"/>
      <c r="VCQ65" s="1304"/>
      <c r="VCR65" s="1304"/>
      <c r="VCS65" s="1305"/>
      <c r="VCT65" s="1305"/>
      <c r="VCU65" s="1304"/>
      <c r="VCV65" s="1304"/>
      <c r="VCW65" s="1304"/>
      <c r="VCX65" s="1304"/>
      <c r="VCY65" s="1304"/>
      <c r="VCZ65" s="1304"/>
      <c r="VDA65" s="1304"/>
      <c r="VDB65" s="1304"/>
      <c r="VDC65" s="1305"/>
      <c r="VDD65" s="1305"/>
      <c r="VDE65" s="1304"/>
      <c r="VDF65" s="1304"/>
      <c r="VDG65" s="1304"/>
      <c r="VDH65" s="1304"/>
      <c r="VDI65" s="1304"/>
      <c r="VDJ65" s="1304"/>
      <c r="VDK65" s="1304"/>
      <c r="VDL65" s="1304"/>
      <c r="VDM65" s="1305"/>
      <c r="VDN65" s="1305"/>
      <c r="VDO65" s="1304"/>
      <c r="VDP65" s="1304"/>
      <c r="VDQ65" s="1304"/>
      <c r="VDR65" s="1304"/>
      <c r="VDS65" s="1304"/>
      <c r="VDT65" s="1304"/>
      <c r="VDU65" s="1304"/>
      <c r="VDV65" s="1304"/>
      <c r="VDW65" s="1305"/>
      <c r="VDX65" s="1305"/>
      <c r="VDY65" s="1304"/>
      <c r="VDZ65" s="1304"/>
      <c r="VEA65" s="1304"/>
      <c r="VEB65" s="1304"/>
      <c r="VEC65" s="1304"/>
      <c r="VED65" s="1304"/>
      <c r="VEE65" s="1304"/>
      <c r="VEF65" s="1304"/>
      <c r="VEG65" s="1305"/>
      <c r="VEH65" s="1305"/>
      <c r="VEI65" s="1304"/>
      <c r="VEJ65" s="1304"/>
      <c r="VEK65" s="1304"/>
      <c r="VEL65" s="1304"/>
      <c r="VEM65" s="1304"/>
      <c r="VEN65" s="1304"/>
      <c r="VEO65" s="1304"/>
      <c r="VEP65" s="1304"/>
      <c r="VEQ65" s="1305"/>
      <c r="VER65" s="1305"/>
      <c r="VES65" s="1304"/>
      <c r="VET65" s="1304"/>
      <c r="VEU65" s="1304"/>
      <c r="VEV65" s="1304"/>
      <c r="VEW65" s="1304"/>
      <c r="VEX65" s="1304"/>
      <c r="VEY65" s="1304"/>
      <c r="VEZ65" s="1304"/>
      <c r="VFA65" s="1305"/>
      <c r="VFB65" s="1305"/>
      <c r="VFC65" s="1304"/>
      <c r="VFD65" s="1304"/>
      <c r="VFE65" s="1304"/>
      <c r="VFF65" s="1304"/>
      <c r="VFG65" s="1304"/>
      <c r="VFH65" s="1304"/>
      <c r="VFI65" s="1304"/>
      <c r="VFJ65" s="1304"/>
      <c r="VFK65" s="1305"/>
      <c r="VFL65" s="1305"/>
      <c r="VFM65" s="1304"/>
      <c r="VFN65" s="1304"/>
      <c r="VFO65" s="1304"/>
      <c r="VFP65" s="1304"/>
      <c r="VFQ65" s="1304"/>
      <c r="VFR65" s="1304"/>
      <c r="VFS65" s="1304"/>
      <c r="VFT65" s="1304"/>
      <c r="VFU65" s="1305"/>
      <c r="VFV65" s="1305"/>
      <c r="VFW65" s="1304"/>
      <c r="VFX65" s="1304"/>
      <c r="VFY65" s="1304"/>
      <c r="VFZ65" s="1304"/>
      <c r="VGA65" s="1304"/>
      <c r="VGB65" s="1304"/>
      <c r="VGC65" s="1304"/>
      <c r="VGD65" s="1304"/>
      <c r="VGE65" s="1305"/>
      <c r="VGF65" s="1305"/>
      <c r="VGG65" s="1304"/>
      <c r="VGH65" s="1304"/>
      <c r="VGI65" s="1304"/>
      <c r="VGJ65" s="1304"/>
      <c r="VGK65" s="1304"/>
      <c r="VGL65" s="1304"/>
      <c r="VGM65" s="1304"/>
      <c r="VGN65" s="1304"/>
      <c r="VGO65" s="1305"/>
      <c r="VGP65" s="1305"/>
      <c r="VGQ65" s="1304"/>
      <c r="VGR65" s="1304"/>
      <c r="VGS65" s="1304"/>
      <c r="VGT65" s="1304"/>
      <c r="VGU65" s="1304"/>
      <c r="VGV65" s="1304"/>
      <c r="VGW65" s="1304"/>
      <c r="VGX65" s="1304"/>
      <c r="VGY65" s="1305"/>
      <c r="VGZ65" s="1305"/>
      <c r="VHA65" s="1304"/>
      <c r="VHB65" s="1304"/>
      <c r="VHC65" s="1304"/>
      <c r="VHD65" s="1304"/>
      <c r="VHE65" s="1304"/>
      <c r="VHF65" s="1304"/>
      <c r="VHG65" s="1304"/>
      <c r="VHH65" s="1304"/>
      <c r="VHI65" s="1305"/>
      <c r="VHJ65" s="1305"/>
      <c r="VHK65" s="1304"/>
      <c r="VHL65" s="1304"/>
      <c r="VHM65" s="1304"/>
      <c r="VHN65" s="1304"/>
      <c r="VHO65" s="1304"/>
      <c r="VHP65" s="1304"/>
      <c r="VHQ65" s="1304"/>
      <c r="VHR65" s="1304"/>
      <c r="VHS65" s="1305"/>
      <c r="VHT65" s="1305"/>
      <c r="VHU65" s="1304"/>
      <c r="VHV65" s="1304"/>
      <c r="VHW65" s="1304"/>
      <c r="VHX65" s="1304"/>
      <c r="VHY65" s="1304"/>
      <c r="VHZ65" s="1304"/>
      <c r="VIA65" s="1304"/>
      <c r="VIB65" s="1304"/>
      <c r="VIC65" s="1305"/>
      <c r="VID65" s="1305"/>
      <c r="VIE65" s="1304"/>
      <c r="VIF65" s="1304"/>
      <c r="VIG65" s="1304"/>
      <c r="VIH65" s="1304"/>
      <c r="VII65" s="1304"/>
      <c r="VIJ65" s="1304"/>
      <c r="VIK65" s="1304"/>
      <c r="VIL65" s="1304"/>
      <c r="VIM65" s="1305"/>
      <c r="VIN65" s="1305"/>
      <c r="VIO65" s="1304"/>
      <c r="VIP65" s="1304"/>
      <c r="VIQ65" s="1304"/>
      <c r="VIR65" s="1304"/>
      <c r="VIS65" s="1304"/>
      <c r="VIT65" s="1304"/>
      <c r="VIU65" s="1304"/>
      <c r="VIV65" s="1304"/>
      <c r="VIW65" s="1305"/>
      <c r="VIX65" s="1305"/>
      <c r="VIY65" s="1304"/>
      <c r="VIZ65" s="1304"/>
      <c r="VJA65" s="1304"/>
      <c r="VJB65" s="1304"/>
      <c r="VJC65" s="1304"/>
      <c r="VJD65" s="1304"/>
      <c r="VJE65" s="1304"/>
      <c r="VJF65" s="1304"/>
      <c r="VJG65" s="1305"/>
      <c r="VJH65" s="1305"/>
      <c r="VJI65" s="1304"/>
      <c r="VJJ65" s="1304"/>
      <c r="VJK65" s="1304"/>
      <c r="VJL65" s="1304"/>
      <c r="VJM65" s="1304"/>
      <c r="VJN65" s="1304"/>
      <c r="VJO65" s="1304"/>
      <c r="VJP65" s="1304"/>
      <c r="VJQ65" s="1305"/>
      <c r="VJR65" s="1305"/>
      <c r="VJS65" s="1304"/>
      <c r="VJT65" s="1304"/>
      <c r="VJU65" s="1304"/>
      <c r="VJV65" s="1304"/>
      <c r="VJW65" s="1304"/>
      <c r="VJX65" s="1304"/>
      <c r="VJY65" s="1304"/>
      <c r="VJZ65" s="1304"/>
      <c r="VKA65" s="1305"/>
      <c r="VKB65" s="1305"/>
      <c r="VKC65" s="1304"/>
      <c r="VKD65" s="1304"/>
      <c r="VKE65" s="1304"/>
      <c r="VKF65" s="1304"/>
      <c r="VKG65" s="1304"/>
      <c r="VKH65" s="1304"/>
      <c r="VKI65" s="1304"/>
      <c r="VKJ65" s="1304"/>
      <c r="VKK65" s="1305"/>
      <c r="VKL65" s="1305"/>
      <c r="VKM65" s="1304"/>
      <c r="VKN65" s="1304"/>
      <c r="VKO65" s="1304"/>
      <c r="VKP65" s="1304"/>
      <c r="VKQ65" s="1304"/>
      <c r="VKR65" s="1304"/>
      <c r="VKS65" s="1304"/>
      <c r="VKT65" s="1304"/>
      <c r="VKU65" s="1305"/>
      <c r="VKV65" s="1305"/>
      <c r="VKW65" s="1304"/>
      <c r="VKX65" s="1304"/>
      <c r="VKY65" s="1304"/>
      <c r="VKZ65" s="1304"/>
      <c r="VLA65" s="1304"/>
      <c r="VLB65" s="1304"/>
      <c r="VLC65" s="1304"/>
      <c r="VLD65" s="1304"/>
      <c r="VLE65" s="1305"/>
      <c r="VLF65" s="1305"/>
      <c r="VLG65" s="1304"/>
      <c r="VLH65" s="1304"/>
      <c r="VLI65" s="1304"/>
      <c r="VLJ65" s="1304"/>
      <c r="VLK65" s="1304"/>
      <c r="VLL65" s="1304"/>
      <c r="VLM65" s="1304"/>
      <c r="VLN65" s="1304"/>
      <c r="VLO65" s="1305"/>
      <c r="VLP65" s="1305"/>
      <c r="VLQ65" s="1304"/>
      <c r="VLR65" s="1304"/>
      <c r="VLS65" s="1304"/>
      <c r="VLT65" s="1304"/>
      <c r="VLU65" s="1304"/>
      <c r="VLV65" s="1304"/>
      <c r="VLW65" s="1304"/>
      <c r="VLX65" s="1304"/>
      <c r="VLY65" s="1305"/>
      <c r="VLZ65" s="1305"/>
      <c r="VMA65" s="1304"/>
      <c r="VMB65" s="1304"/>
      <c r="VMC65" s="1304"/>
      <c r="VMD65" s="1304"/>
      <c r="VME65" s="1304"/>
      <c r="VMF65" s="1304"/>
      <c r="VMG65" s="1304"/>
      <c r="VMH65" s="1304"/>
      <c r="VMI65" s="1305"/>
      <c r="VMJ65" s="1305"/>
      <c r="VMK65" s="1304"/>
      <c r="VML65" s="1304"/>
      <c r="VMM65" s="1304"/>
      <c r="VMN65" s="1304"/>
      <c r="VMO65" s="1304"/>
      <c r="VMP65" s="1304"/>
      <c r="VMQ65" s="1304"/>
      <c r="VMR65" s="1304"/>
      <c r="VMS65" s="1305"/>
      <c r="VMT65" s="1305"/>
      <c r="VMU65" s="1304"/>
      <c r="VMV65" s="1304"/>
      <c r="VMW65" s="1304"/>
      <c r="VMX65" s="1304"/>
      <c r="VMY65" s="1304"/>
      <c r="VMZ65" s="1304"/>
      <c r="VNA65" s="1304"/>
      <c r="VNB65" s="1304"/>
      <c r="VNC65" s="1305"/>
      <c r="VND65" s="1305"/>
      <c r="VNE65" s="1304"/>
      <c r="VNF65" s="1304"/>
      <c r="VNG65" s="1304"/>
      <c r="VNH65" s="1304"/>
      <c r="VNI65" s="1304"/>
      <c r="VNJ65" s="1304"/>
      <c r="VNK65" s="1304"/>
      <c r="VNL65" s="1304"/>
      <c r="VNM65" s="1305"/>
      <c r="VNN65" s="1305"/>
      <c r="VNO65" s="1304"/>
      <c r="VNP65" s="1304"/>
      <c r="VNQ65" s="1304"/>
      <c r="VNR65" s="1304"/>
      <c r="VNS65" s="1304"/>
      <c r="VNT65" s="1304"/>
      <c r="VNU65" s="1304"/>
      <c r="VNV65" s="1304"/>
      <c r="VNW65" s="1305"/>
      <c r="VNX65" s="1305"/>
      <c r="VNY65" s="1304"/>
      <c r="VNZ65" s="1304"/>
      <c r="VOA65" s="1304"/>
      <c r="VOB65" s="1304"/>
      <c r="VOC65" s="1304"/>
      <c r="VOD65" s="1304"/>
      <c r="VOE65" s="1304"/>
      <c r="VOF65" s="1304"/>
      <c r="VOG65" s="1305"/>
      <c r="VOH65" s="1305"/>
      <c r="VOI65" s="1304"/>
      <c r="VOJ65" s="1304"/>
      <c r="VOK65" s="1304"/>
      <c r="VOL65" s="1304"/>
      <c r="VOM65" s="1304"/>
      <c r="VON65" s="1304"/>
      <c r="VOO65" s="1304"/>
      <c r="VOP65" s="1304"/>
      <c r="VOQ65" s="1305"/>
      <c r="VOR65" s="1305"/>
      <c r="VOS65" s="1304"/>
      <c r="VOT65" s="1304"/>
      <c r="VOU65" s="1304"/>
      <c r="VOV65" s="1304"/>
      <c r="VOW65" s="1304"/>
      <c r="VOX65" s="1304"/>
      <c r="VOY65" s="1304"/>
      <c r="VOZ65" s="1304"/>
      <c r="VPA65" s="1305"/>
      <c r="VPB65" s="1305"/>
      <c r="VPC65" s="1304"/>
      <c r="VPD65" s="1304"/>
      <c r="VPE65" s="1304"/>
      <c r="VPF65" s="1304"/>
      <c r="VPG65" s="1304"/>
      <c r="VPH65" s="1304"/>
      <c r="VPI65" s="1304"/>
      <c r="VPJ65" s="1304"/>
      <c r="VPK65" s="1305"/>
      <c r="VPL65" s="1305"/>
      <c r="VPM65" s="1304"/>
      <c r="VPN65" s="1304"/>
      <c r="VPO65" s="1304"/>
      <c r="VPP65" s="1304"/>
      <c r="VPQ65" s="1304"/>
      <c r="VPR65" s="1304"/>
      <c r="VPS65" s="1304"/>
      <c r="VPT65" s="1304"/>
      <c r="VPU65" s="1305"/>
      <c r="VPV65" s="1305"/>
      <c r="VPW65" s="1304"/>
      <c r="VPX65" s="1304"/>
      <c r="VPY65" s="1304"/>
      <c r="VPZ65" s="1304"/>
      <c r="VQA65" s="1304"/>
      <c r="VQB65" s="1304"/>
      <c r="VQC65" s="1304"/>
      <c r="VQD65" s="1304"/>
      <c r="VQE65" s="1305"/>
      <c r="VQF65" s="1305"/>
      <c r="VQG65" s="1304"/>
      <c r="VQH65" s="1304"/>
      <c r="VQI65" s="1304"/>
      <c r="VQJ65" s="1304"/>
      <c r="VQK65" s="1304"/>
      <c r="VQL65" s="1304"/>
      <c r="VQM65" s="1304"/>
      <c r="VQN65" s="1304"/>
      <c r="VQO65" s="1305"/>
      <c r="VQP65" s="1305"/>
      <c r="VQQ65" s="1304"/>
      <c r="VQR65" s="1304"/>
      <c r="VQS65" s="1304"/>
      <c r="VQT65" s="1304"/>
      <c r="VQU65" s="1304"/>
      <c r="VQV65" s="1304"/>
      <c r="VQW65" s="1304"/>
      <c r="VQX65" s="1304"/>
      <c r="VQY65" s="1305"/>
      <c r="VQZ65" s="1305"/>
      <c r="VRA65" s="1304"/>
      <c r="VRB65" s="1304"/>
      <c r="VRC65" s="1304"/>
      <c r="VRD65" s="1304"/>
      <c r="VRE65" s="1304"/>
      <c r="VRF65" s="1304"/>
      <c r="VRG65" s="1304"/>
      <c r="VRH65" s="1304"/>
      <c r="VRI65" s="1305"/>
      <c r="VRJ65" s="1305"/>
      <c r="VRK65" s="1304"/>
      <c r="VRL65" s="1304"/>
      <c r="VRM65" s="1304"/>
      <c r="VRN65" s="1304"/>
      <c r="VRO65" s="1304"/>
      <c r="VRP65" s="1304"/>
      <c r="VRQ65" s="1304"/>
      <c r="VRR65" s="1304"/>
      <c r="VRS65" s="1305"/>
      <c r="VRT65" s="1305"/>
      <c r="VRU65" s="1304"/>
      <c r="VRV65" s="1304"/>
      <c r="VRW65" s="1304"/>
      <c r="VRX65" s="1304"/>
      <c r="VRY65" s="1304"/>
      <c r="VRZ65" s="1304"/>
      <c r="VSA65" s="1304"/>
      <c r="VSB65" s="1304"/>
      <c r="VSC65" s="1305"/>
      <c r="VSD65" s="1305"/>
      <c r="VSE65" s="1304"/>
      <c r="VSF65" s="1304"/>
      <c r="VSG65" s="1304"/>
      <c r="VSH65" s="1304"/>
      <c r="VSI65" s="1304"/>
      <c r="VSJ65" s="1304"/>
      <c r="VSK65" s="1304"/>
      <c r="VSL65" s="1304"/>
      <c r="VSM65" s="1305"/>
      <c r="VSN65" s="1305"/>
      <c r="VSO65" s="1304"/>
      <c r="VSP65" s="1304"/>
      <c r="VSQ65" s="1304"/>
      <c r="VSR65" s="1304"/>
      <c r="VSS65" s="1304"/>
      <c r="VST65" s="1304"/>
      <c r="VSU65" s="1304"/>
      <c r="VSV65" s="1304"/>
      <c r="VSW65" s="1305"/>
      <c r="VSX65" s="1305"/>
      <c r="VSY65" s="1304"/>
      <c r="VSZ65" s="1304"/>
      <c r="VTA65" s="1304"/>
      <c r="VTB65" s="1304"/>
      <c r="VTC65" s="1304"/>
      <c r="VTD65" s="1304"/>
      <c r="VTE65" s="1304"/>
      <c r="VTF65" s="1304"/>
      <c r="VTG65" s="1305"/>
      <c r="VTH65" s="1305"/>
      <c r="VTI65" s="1304"/>
      <c r="VTJ65" s="1304"/>
      <c r="VTK65" s="1304"/>
      <c r="VTL65" s="1304"/>
      <c r="VTM65" s="1304"/>
      <c r="VTN65" s="1304"/>
      <c r="VTO65" s="1304"/>
      <c r="VTP65" s="1304"/>
      <c r="VTQ65" s="1305"/>
      <c r="VTR65" s="1305"/>
      <c r="VTS65" s="1304"/>
      <c r="VTT65" s="1304"/>
      <c r="VTU65" s="1304"/>
      <c r="VTV65" s="1304"/>
      <c r="VTW65" s="1304"/>
      <c r="VTX65" s="1304"/>
      <c r="VTY65" s="1304"/>
      <c r="VTZ65" s="1304"/>
      <c r="VUA65" s="1305"/>
      <c r="VUB65" s="1305"/>
      <c r="VUC65" s="1304"/>
      <c r="VUD65" s="1304"/>
      <c r="VUE65" s="1304"/>
      <c r="VUF65" s="1304"/>
      <c r="VUG65" s="1304"/>
      <c r="VUH65" s="1304"/>
      <c r="VUI65" s="1304"/>
      <c r="VUJ65" s="1304"/>
      <c r="VUK65" s="1305"/>
      <c r="VUL65" s="1305"/>
      <c r="VUM65" s="1304"/>
      <c r="VUN65" s="1304"/>
      <c r="VUO65" s="1304"/>
      <c r="VUP65" s="1304"/>
      <c r="VUQ65" s="1304"/>
      <c r="VUR65" s="1304"/>
      <c r="VUS65" s="1304"/>
      <c r="VUT65" s="1304"/>
      <c r="VUU65" s="1305"/>
      <c r="VUV65" s="1305"/>
      <c r="VUW65" s="1304"/>
      <c r="VUX65" s="1304"/>
      <c r="VUY65" s="1304"/>
      <c r="VUZ65" s="1304"/>
      <c r="VVA65" s="1304"/>
      <c r="VVB65" s="1304"/>
      <c r="VVC65" s="1304"/>
      <c r="VVD65" s="1304"/>
      <c r="VVE65" s="1305"/>
      <c r="VVF65" s="1305"/>
      <c r="VVG65" s="1304"/>
      <c r="VVH65" s="1304"/>
      <c r="VVI65" s="1304"/>
      <c r="VVJ65" s="1304"/>
      <c r="VVK65" s="1304"/>
      <c r="VVL65" s="1304"/>
      <c r="VVM65" s="1304"/>
      <c r="VVN65" s="1304"/>
      <c r="VVO65" s="1305"/>
      <c r="VVP65" s="1305"/>
      <c r="VVQ65" s="1304"/>
      <c r="VVR65" s="1304"/>
      <c r="VVS65" s="1304"/>
      <c r="VVT65" s="1304"/>
      <c r="VVU65" s="1304"/>
      <c r="VVV65" s="1304"/>
      <c r="VVW65" s="1304"/>
      <c r="VVX65" s="1304"/>
      <c r="VVY65" s="1305"/>
      <c r="VVZ65" s="1305"/>
      <c r="VWA65" s="1304"/>
      <c r="VWB65" s="1304"/>
      <c r="VWC65" s="1304"/>
      <c r="VWD65" s="1304"/>
      <c r="VWE65" s="1304"/>
      <c r="VWF65" s="1304"/>
      <c r="VWG65" s="1304"/>
      <c r="VWH65" s="1304"/>
      <c r="VWI65" s="1305"/>
      <c r="VWJ65" s="1305"/>
      <c r="VWK65" s="1304"/>
      <c r="VWL65" s="1304"/>
      <c r="VWM65" s="1304"/>
      <c r="VWN65" s="1304"/>
      <c r="VWO65" s="1304"/>
      <c r="VWP65" s="1304"/>
      <c r="VWQ65" s="1304"/>
      <c r="VWR65" s="1304"/>
      <c r="VWS65" s="1305"/>
      <c r="VWT65" s="1305"/>
      <c r="VWU65" s="1304"/>
      <c r="VWV65" s="1304"/>
      <c r="VWW65" s="1304"/>
      <c r="VWX65" s="1304"/>
      <c r="VWY65" s="1304"/>
      <c r="VWZ65" s="1304"/>
      <c r="VXA65" s="1304"/>
      <c r="VXB65" s="1304"/>
      <c r="VXC65" s="1305"/>
      <c r="VXD65" s="1305"/>
      <c r="VXE65" s="1304"/>
      <c r="VXF65" s="1304"/>
      <c r="VXG65" s="1304"/>
      <c r="VXH65" s="1304"/>
      <c r="VXI65" s="1304"/>
      <c r="VXJ65" s="1304"/>
      <c r="VXK65" s="1304"/>
      <c r="VXL65" s="1304"/>
      <c r="VXM65" s="1305"/>
      <c r="VXN65" s="1305"/>
      <c r="VXO65" s="1304"/>
      <c r="VXP65" s="1304"/>
      <c r="VXQ65" s="1304"/>
      <c r="VXR65" s="1304"/>
      <c r="VXS65" s="1304"/>
      <c r="VXT65" s="1304"/>
      <c r="VXU65" s="1304"/>
      <c r="VXV65" s="1304"/>
      <c r="VXW65" s="1305"/>
      <c r="VXX65" s="1305"/>
      <c r="VXY65" s="1304"/>
      <c r="VXZ65" s="1304"/>
      <c r="VYA65" s="1304"/>
      <c r="VYB65" s="1304"/>
      <c r="VYC65" s="1304"/>
      <c r="VYD65" s="1304"/>
      <c r="VYE65" s="1304"/>
      <c r="VYF65" s="1304"/>
      <c r="VYG65" s="1305"/>
      <c r="VYH65" s="1305"/>
      <c r="VYI65" s="1304"/>
      <c r="VYJ65" s="1304"/>
      <c r="VYK65" s="1304"/>
      <c r="VYL65" s="1304"/>
      <c r="VYM65" s="1304"/>
      <c r="VYN65" s="1304"/>
      <c r="VYO65" s="1304"/>
      <c r="VYP65" s="1304"/>
      <c r="VYQ65" s="1305"/>
      <c r="VYR65" s="1305"/>
      <c r="VYS65" s="1304"/>
      <c r="VYT65" s="1304"/>
      <c r="VYU65" s="1304"/>
      <c r="VYV65" s="1304"/>
      <c r="VYW65" s="1304"/>
      <c r="VYX65" s="1304"/>
      <c r="VYY65" s="1304"/>
      <c r="VYZ65" s="1304"/>
      <c r="VZA65" s="1305"/>
      <c r="VZB65" s="1305"/>
      <c r="VZC65" s="1304"/>
      <c r="VZD65" s="1304"/>
      <c r="VZE65" s="1304"/>
      <c r="VZF65" s="1304"/>
      <c r="VZG65" s="1304"/>
      <c r="VZH65" s="1304"/>
      <c r="VZI65" s="1304"/>
      <c r="VZJ65" s="1304"/>
      <c r="VZK65" s="1305"/>
      <c r="VZL65" s="1305"/>
      <c r="VZM65" s="1304"/>
      <c r="VZN65" s="1304"/>
      <c r="VZO65" s="1304"/>
      <c r="VZP65" s="1304"/>
      <c r="VZQ65" s="1304"/>
      <c r="VZR65" s="1304"/>
      <c r="VZS65" s="1304"/>
      <c r="VZT65" s="1304"/>
      <c r="VZU65" s="1305"/>
      <c r="VZV65" s="1305"/>
      <c r="VZW65" s="1304"/>
      <c r="VZX65" s="1304"/>
      <c r="VZY65" s="1304"/>
      <c r="VZZ65" s="1304"/>
      <c r="WAA65" s="1304"/>
      <c r="WAB65" s="1304"/>
      <c r="WAC65" s="1304"/>
      <c r="WAD65" s="1304"/>
      <c r="WAE65" s="1305"/>
      <c r="WAF65" s="1305"/>
      <c r="WAG65" s="1304"/>
      <c r="WAH65" s="1304"/>
      <c r="WAI65" s="1304"/>
      <c r="WAJ65" s="1304"/>
      <c r="WAK65" s="1304"/>
      <c r="WAL65" s="1304"/>
      <c r="WAM65" s="1304"/>
      <c r="WAN65" s="1304"/>
      <c r="WAO65" s="1305"/>
      <c r="WAP65" s="1305"/>
      <c r="WAQ65" s="1304"/>
      <c r="WAR65" s="1304"/>
      <c r="WAS65" s="1304"/>
      <c r="WAT65" s="1304"/>
      <c r="WAU65" s="1304"/>
      <c r="WAV65" s="1304"/>
      <c r="WAW65" s="1304"/>
      <c r="WAX65" s="1304"/>
      <c r="WAY65" s="1305"/>
      <c r="WAZ65" s="1305"/>
      <c r="WBA65" s="1304"/>
      <c r="WBB65" s="1304"/>
      <c r="WBC65" s="1304"/>
      <c r="WBD65" s="1304"/>
      <c r="WBE65" s="1304"/>
      <c r="WBF65" s="1304"/>
      <c r="WBG65" s="1304"/>
      <c r="WBH65" s="1304"/>
      <c r="WBI65" s="1305"/>
      <c r="WBJ65" s="1305"/>
      <c r="WBK65" s="1304"/>
      <c r="WBL65" s="1304"/>
      <c r="WBM65" s="1304"/>
      <c r="WBN65" s="1304"/>
      <c r="WBO65" s="1304"/>
      <c r="WBP65" s="1304"/>
      <c r="WBQ65" s="1304"/>
      <c r="WBR65" s="1304"/>
      <c r="WBS65" s="1305"/>
      <c r="WBT65" s="1305"/>
      <c r="WBU65" s="1304"/>
      <c r="WBV65" s="1304"/>
      <c r="WBW65" s="1304"/>
      <c r="WBX65" s="1304"/>
      <c r="WBY65" s="1304"/>
      <c r="WBZ65" s="1304"/>
      <c r="WCA65" s="1304"/>
      <c r="WCB65" s="1304"/>
      <c r="WCC65" s="1305"/>
      <c r="WCD65" s="1305"/>
      <c r="WCE65" s="1304"/>
      <c r="WCF65" s="1304"/>
      <c r="WCG65" s="1304"/>
      <c r="WCH65" s="1304"/>
      <c r="WCI65" s="1304"/>
      <c r="WCJ65" s="1304"/>
      <c r="WCK65" s="1304"/>
      <c r="WCL65" s="1304"/>
      <c r="WCM65" s="1305"/>
      <c r="WCN65" s="1305"/>
      <c r="WCO65" s="1304"/>
      <c r="WCP65" s="1304"/>
      <c r="WCQ65" s="1304"/>
      <c r="WCR65" s="1304"/>
      <c r="WCS65" s="1304"/>
      <c r="WCT65" s="1304"/>
      <c r="WCU65" s="1304"/>
      <c r="WCV65" s="1304"/>
      <c r="WCW65" s="1305"/>
      <c r="WCX65" s="1305"/>
      <c r="WCY65" s="1304"/>
      <c r="WCZ65" s="1304"/>
      <c r="WDA65" s="1304"/>
      <c r="WDB65" s="1304"/>
      <c r="WDC65" s="1304"/>
      <c r="WDD65" s="1304"/>
      <c r="WDE65" s="1304"/>
      <c r="WDF65" s="1304"/>
      <c r="WDG65" s="1305"/>
      <c r="WDH65" s="1305"/>
      <c r="WDI65" s="1304"/>
      <c r="WDJ65" s="1304"/>
      <c r="WDK65" s="1304"/>
      <c r="WDL65" s="1304"/>
      <c r="WDM65" s="1304"/>
      <c r="WDN65" s="1304"/>
      <c r="WDO65" s="1304"/>
      <c r="WDP65" s="1304"/>
      <c r="WDQ65" s="1305"/>
      <c r="WDR65" s="1305"/>
      <c r="WDS65" s="1304"/>
      <c r="WDT65" s="1304"/>
      <c r="WDU65" s="1304"/>
      <c r="WDV65" s="1304"/>
      <c r="WDW65" s="1304"/>
      <c r="WDX65" s="1304"/>
      <c r="WDY65" s="1304"/>
      <c r="WDZ65" s="1304"/>
      <c r="WEA65" s="1305"/>
      <c r="WEB65" s="1305"/>
      <c r="WEC65" s="1304"/>
      <c r="WED65" s="1304"/>
      <c r="WEE65" s="1304"/>
      <c r="WEF65" s="1304"/>
      <c r="WEG65" s="1304"/>
      <c r="WEH65" s="1304"/>
      <c r="WEI65" s="1304"/>
      <c r="WEJ65" s="1304"/>
      <c r="WEK65" s="1305"/>
      <c r="WEL65" s="1305"/>
      <c r="WEM65" s="1304"/>
      <c r="WEN65" s="1304"/>
      <c r="WEO65" s="1304"/>
      <c r="WEP65" s="1304"/>
      <c r="WEQ65" s="1304"/>
      <c r="WER65" s="1304"/>
      <c r="WES65" s="1304"/>
      <c r="WET65" s="1304"/>
      <c r="WEU65" s="1305"/>
      <c r="WEV65" s="1305"/>
      <c r="WEW65" s="1304"/>
      <c r="WEX65" s="1304"/>
      <c r="WEY65" s="1304"/>
      <c r="WEZ65" s="1304"/>
      <c r="WFA65" s="1304"/>
      <c r="WFB65" s="1304"/>
      <c r="WFC65" s="1304"/>
      <c r="WFD65" s="1304"/>
      <c r="WFE65" s="1305"/>
      <c r="WFF65" s="1305"/>
      <c r="WFG65" s="1304"/>
      <c r="WFH65" s="1304"/>
      <c r="WFI65" s="1304"/>
      <c r="WFJ65" s="1304"/>
      <c r="WFK65" s="1304"/>
      <c r="WFL65" s="1304"/>
      <c r="WFM65" s="1304"/>
      <c r="WFN65" s="1304"/>
      <c r="WFO65" s="1305"/>
      <c r="WFP65" s="1305"/>
      <c r="WFQ65" s="1304"/>
      <c r="WFR65" s="1304"/>
      <c r="WFS65" s="1304"/>
      <c r="WFT65" s="1304"/>
      <c r="WFU65" s="1304"/>
      <c r="WFV65" s="1304"/>
      <c r="WFW65" s="1304"/>
      <c r="WFX65" s="1304"/>
      <c r="WFY65" s="1305"/>
      <c r="WFZ65" s="1305"/>
      <c r="WGA65" s="1304"/>
      <c r="WGB65" s="1304"/>
      <c r="WGC65" s="1304"/>
      <c r="WGD65" s="1304"/>
      <c r="WGE65" s="1304"/>
      <c r="WGF65" s="1304"/>
      <c r="WGG65" s="1304"/>
      <c r="WGH65" s="1304"/>
      <c r="WGI65" s="1305"/>
      <c r="WGJ65" s="1305"/>
      <c r="WGK65" s="1304"/>
      <c r="WGL65" s="1304"/>
      <c r="WGM65" s="1304"/>
      <c r="WGN65" s="1304"/>
      <c r="WGO65" s="1304"/>
      <c r="WGP65" s="1304"/>
      <c r="WGQ65" s="1304"/>
      <c r="WGR65" s="1304"/>
      <c r="WGS65" s="1305"/>
      <c r="WGT65" s="1305"/>
      <c r="WGU65" s="1304"/>
      <c r="WGV65" s="1304"/>
      <c r="WGW65" s="1304"/>
      <c r="WGX65" s="1304"/>
      <c r="WGY65" s="1304"/>
      <c r="WGZ65" s="1304"/>
      <c r="WHA65" s="1304"/>
      <c r="WHB65" s="1304"/>
      <c r="WHC65" s="1305"/>
      <c r="WHD65" s="1305"/>
      <c r="WHE65" s="1304"/>
      <c r="WHF65" s="1304"/>
      <c r="WHG65" s="1304"/>
      <c r="WHH65" s="1304"/>
      <c r="WHI65" s="1304"/>
      <c r="WHJ65" s="1304"/>
      <c r="WHK65" s="1304"/>
      <c r="WHL65" s="1304"/>
      <c r="WHM65" s="1305"/>
      <c r="WHN65" s="1305"/>
      <c r="WHO65" s="1304"/>
      <c r="WHP65" s="1304"/>
      <c r="WHQ65" s="1304"/>
      <c r="WHR65" s="1304"/>
      <c r="WHS65" s="1304"/>
      <c r="WHT65" s="1304"/>
      <c r="WHU65" s="1304"/>
      <c r="WHV65" s="1304"/>
      <c r="WHW65" s="1305"/>
      <c r="WHX65" s="1305"/>
      <c r="WHY65" s="1304"/>
      <c r="WHZ65" s="1304"/>
      <c r="WIA65" s="1304"/>
      <c r="WIB65" s="1304"/>
      <c r="WIC65" s="1304"/>
      <c r="WID65" s="1304"/>
      <c r="WIE65" s="1304"/>
      <c r="WIF65" s="1304"/>
      <c r="WIG65" s="1305"/>
      <c r="WIH65" s="1305"/>
      <c r="WII65" s="1304"/>
      <c r="WIJ65" s="1304"/>
      <c r="WIK65" s="1304"/>
      <c r="WIL65" s="1304"/>
      <c r="WIM65" s="1304"/>
      <c r="WIN65" s="1304"/>
      <c r="WIO65" s="1304"/>
      <c r="WIP65" s="1304"/>
      <c r="WIQ65" s="1305"/>
      <c r="WIR65" s="1305"/>
      <c r="WIS65" s="1304"/>
      <c r="WIT65" s="1304"/>
      <c r="WIU65" s="1304"/>
      <c r="WIV65" s="1304"/>
      <c r="WIW65" s="1304"/>
      <c r="WIX65" s="1304"/>
      <c r="WIY65" s="1304"/>
      <c r="WIZ65" s="1304"/>
      <c r="WJA65" s="1305"/>
      <c r="WJB65" s="1305"/>
      <c r="WJC65" s="1304"/>
      <c r="WJD65" s="1304"/>
      <c r="WJE65" s="1304"/>
      <c r="WJF65" s="1304"/>
      <c r="WJG65" s="1304"/>
      <c r="WJH65" s="1304"/>
      <c r="WJI65" s="1304"/>
      <c r="WJJ65" s="1304"/>
      <c r="WJK65" s="1305"/>
      <c r="WJL65" s="1305"/>
      <c r="WJM65" s="1304"/>
      <c r="WJN65" s="1304"/>
      <c r="WJO65" s="1304"/>
      <c r="WJP65" s="1304"/>
      <c r="WJQ65" s="1304"/>
      <c r="WJR65" s="1304"/>
      <c r="WJS65" s="1304"/>
      <c r="WJT65" s="1304"/>
      <c r="WJU65" s="1305"/>
      <c r="WJV65" s="1305"/>
      <c r="WJW65" s="1304"/>
      <c r="WJX65" s="1304"/>
      <c r="WJY65" s="1304"/>
      <c r="WJZ65" s="1304"/>
      <c r="WKA65" s="1304"/>
      <c r="WKB65" s="1304"/>
      <c r="WKC65" s="1304"/>
      <c r="WKD65" s="1304"/>
      <c r="WKE65" s="1305"/>
      <c r="WKF65" s="1305"/>
      <c r="WKG65" s="1304"/>
      <c r="WKH65" s="1304"/>
      <c r="WKI65" s="1304"/>
      <c r="WKJ65" s="1304"/>
      <c r="WKK65" s="1304"/>
      <c r="WKL65" s="1304"/>
      <c r="WKM65" s="1304"/>
      <c r="WKN65" s="1304"/>
      <c r="WKO65" s="1305"/>
      <c r="WKP65" s="1305"/>
      <c r="WKQ65" s="1304"/>
      <c r="WKR65" s="1304"/>
      <c r="WKS65" s="1304"/>
      <c r="WKT65" s="1304"/>
      <c r="WKU65" s="1304"/>
      <c r="WKV65" s="1304"/>
      <c r="WKW65" s="1304"/>
      <c r="WKX65" s="1304"/>
      <c r="WKY65" s="1305"/>
      <c r="WKZ65" s="1305"/>
      <c r="WLA65" s="1304"/>
      <c r="WLB65" s="1304"/>
      <c r="WLC65" s="1304"/>
      <c r="WLD65" s="1304"/>
      <c r="WLE65" s="1304"/>
      <c r="WLF65" s="1304"/>
      <c r="WLG65" s="1304"/>
      <c r="WLH65" s="1304"/>
      <c r="WLI65" s="1305"/>
      <c r="WLJ65" s="1305"/>
      <c r="WLK65" s="1304"/>
      <c r="WLL65" s="1304"/>
      <c r="WLM65" s="1304"/>
      <c r="WLN65" s="1304"/>
      <c r="WLO65" s="1304"/>
      <c r="WLP65" s="1304"/>
      <c r="WLQ65" s="1304"/>
      <c r="WLR65" s="1304"/>
      <c r="WLS65" s="1305"/>
      <c r="WLT65" s="1305"/>
      <c r="WLU65" s="1304"/>
      <c r="WLV65" s="1304"/>
      <c r="WLW65" s="1304"/>
      <c r="WLX65" s="1304"/>
      <c r="WLY65" s="1304"/>
      <c r="WLZ65" s="1304"/>
      <c r="WMA65" s="1304"/>
      <c r="WMB65" s="1304"/>
      <c r="WMC65" s="1305"/>
      <c r="WMD65" s="1305"/>
      <c r="WME65" s="1304"/>
      <c r="WMF65" s="1304"/>
      <c r="WMG65" s="1304"/>
      <c r="WMH65" s="1304"/>
      <c r="WMI65" s="1304"/>
      <c r="WMJ65" s="1304"/>
      <c r="WMK65" s="1304"/>
      <c r="WML65" s="1304"/>
      <c r="WMM65" s="1305"/>
      <c r="WMN65" s="1305"/>
      <c r="WMO65" s="1304"/>
      <c r="WMP65" s="1304"/>
      <c r="WMQ65" s="1304"/>
      <c r="WMR65" s="1304"/>
      <c r="WMS65" s="1304"/>
      <c r="WMT65" s="1304"/>
      <c r="WMU65" s="1304"/>
      <c r="WMV65" s="1304"/>
      <c r="WMW65" s="1305"/>
      <c r="WMX65" s="1305"/>
      <c r="WMY65" s="1304"/>
      <c r="WMZ65" s="1304"/>
      <c r="WNA65" s="1304"/>
      <c r="WNB65" s="1304"/>
      <c r="WNC65" s="1304"/>
      <c r="WND65" s="1304"/>
      <c r="WNE65" s="1304"/>
      <c r="WNF65" s="1304"/>
      <c r="WNG65" s="1305"/>
      <c r="WNH65" s="1305"/>
      <c r="WNI65" s="1304"/>
      <c r="WNJ65" s="1304"/>
      <c r="WNK65" s="1304"/>
      <c r="WNL65" s="1304"/>
      <c r="WNM65" s="1304"/>
      <c r="WNN65" s="1304"/>
      <c r="WNO65" s="1304"/>
      <c r="WNP65" s="1304"/>
      <c r="WNQ65" s="1305"/>
      <c r="WNR65" s="1305"/>
      <c r="WNS65" s="1304"/>
      <c r="WNT65" s="1304"/>
      <c r="WNU65" s="1304"/>
      <c r="WNV65" s="1304"/>
      <c r="WNW65" s="1304"/>
      <c r="WNX65" s="1304"/>
      <c r="WNY65" s="1304"/>
      <c r="WNZ65" s="1304"/>
      <c r="WOA65" s="1305"/>
      <c r="WOB65" s="1305"/>
      <c r="WOC65" s="1304"/>
      <c r="WOD65" s="1304"/>
      <c r="WOE65" s="1304"/>
      <c r="WOF65" s="1304"/>
      <c r="WOG65" s="1304"/>
      <c r="WOH65" s="1304"/>
      <c r="WOI65" s="1304"/>
      <c r="WOJ65" s="1304"/>
      <c r="WOK65" s="1305"/>
      <c r="WOL65" s="1305"/>
      <c r="WOM65" s="1304"/>
      <c r="WON65" s="1304"/>
      <c r="WOO65" s="1304"/>
      <c r="WOP65" s="1304"/>
      <c r="WOQ65" s="1304"/>
      <c r="WOR65" s="1304"/>
      <c r="WOS65" s="1304"/>
      <c r="WOT65" s="1304"/>
      <c r="WOU65" s="1305"/>
      <c r="WOV65" s="1305"/>
      <c r="WOW65" s="1304"/>
      <c r="WOX65" s="1304"/>
      <c r="WOY65" s="1304"/>
      <c r="WOZ65" s="1304"/>
      <c r="WPA65" s="1304"/>
      <c r="WPB65" s="1304"/>
      <c r="WPC65" s="1304"/>
      <c r="WPD65" s="1304"/>
      <c r="WPE65" s="1305"/>
      <c r="WPF65" s="1305"/>
      <c r="WPG65" s="1304"/>
      <c r="WPH65" s="1304"/>
      <c r="WPI65" s="1304"/>
      <c r="WPJ65" s="1304"/>
      <c r="WPK65" s="1304"/>
      <c r="WPL65" s="1304"/>
      <c r="WPM65" s="1304"/>
      <c r="WPN65" s="1304"/>
      <c r="WPO65" s="1305"/>
      <c r="WPP65" s="1305"/>
      <c r="WPQ65" s="1304"/>
      <c r="WPR65" s="1304"/>
      <c r="WPS65" s="1304"/>
      <c r="WPT65" s="1304"/>
      <c r="WPU65" s="1304"/>
      <c r="WPV65" s="1304"/>
      <c r="WPW65" s="1304"/>
      <c r="WPX65" s="1304"/>
      <c r="WPY65" s="1305"/>
      <c r="WPZ65" s="1305"/>
      <c r="WQA65" s="1304"/>
      <c r="WQB65" s="1304"/>
      <c r="WQC65" s="1304"/>
      <c r="WQD65" s="1304"/>
      <c r="WQE65" s="1304"/>
      <c r="WQF65" s="1304"/>
      <c r="WQG65" s="1304"/>
      <c r="WQH65" s="1304"/>
      <c r="WQI65" s="1305"/>
      <c r="WQJ65" s="1305"/>
      <c r="WQK65" s="1304"/>
      <c r="WQL65" s="1304"/>
      <c r="WQM65" s="1304"/>
      <c r="WQN65" s="1304"/>
      <c r="WQO65" s="1304"/>
      <c r="WQP65" s="1304"/>
      <c r="WQQ65" s="1304"/>
      <c r="WQR65" s="1304"/>
      <c r="WQS65" s="1305"/>
      <c r="WQT65" s="1305"/>
      <c r="WQU65" s="1304"/>
      <c r="WQV65" s="1304"/>
      <c r="WQW65" s="1304"/>
      <c r="WQX65" s="1304"/>
      <c r="WQY65" s="1304"/>
      <c r="WQZ65" s="1304"/>
      <c r="WRA65" s="1304"/>
      <c r="WRB65" s="1304"/>
      <c r="WRC65" s="1305"/>
      <c r="WRD65" s="1305"/>
      <c r="WRE65" s="1304"/>
      <c r="WRF65" s="1304"/>
      <c r="WRG65" s="1304"/>
      <c r="WRH65" s="1304"/>
      <c r="WRI65" s="1304"/>
      <c r="WRJ65" s="1304"/>
      <c r="WRK65" s="1304"/>
      <c r="WRL65" s="1304"/>
      <c r="WRM65" s="1305"/>
      <c r="WRN65" s="1305"/>
      <c r="WRO65" s="1304"/>
      <c r="WRP65" s="1304"/>
      <c r="WRQ65" s="1304"/>
      <c r="WRR65" s="1304"/>
      <c r="WRS65" s="1304"/>
      <c r="WRT65" s="1304"/>
      <c r="WRU65" s="1304"/>
      <c r="WRV65" s="1304"/>
      <c r="WRW65" s="1305"/>
      <c r="WRX65" s="1305"/>
      <c r="WRY65" s="1304"/>
      <c r="WRZ65" s="1304"/>
      <c r="WSA65" s="1304"/>
      <c r="WSB65" s="1304"/>
      <c r="WSC65" s="1304"/>
      <c r="WSD65" s="1304"/>
      <c r="WSE65" s="1304"/>
      <c r="WSF65" s="1304"/>
      <c r="WSG65" s="1305"/>
      <c r="WSH65" s="1305"/>
      <c r="WSI65" s="1304"/>
      <c r="WSJ65" s="1304"/>
      <c r="WSK65" s="1304"/>
      <c r="WSL65" s="1304"/>
      <c r="WSM65" s="1304"/>
      <c r="WSN65" s="1304"/>
      <c r="WSO65" s="1304"/>
      <c r="WSP65" s="1304"/>
      <c r="WSQ65" s="1305"/>
      <c r="WSR65" s="1305"/>
      <c r="WSS65" s="1304"/>
      <c r="WST65" s="1304"/>
      <c r="WSU65" s="1304"/>
      <c r="WSV65" s="1304"/>
      <c r="WSW65" s="1304"/>
      <c r="WSX65" s="1304"/>
      <c r="WSY65" s="1304"/>
      <c r="WSZ65" s="1304"/>
      <c r="WTA65" s="1305"/>
      <c r="WTB65" s="1305"/>
      <c r="WTC65" s="1304"/>
      <c r="WTD65" s="1304"/>
      <c r="WTE65" s="1304"/>
      <c r="WTF65" s="1304"/>
      <c r="WTG65" s="1304"/>
      <c r="WTH65" s="1304"/>
      <c r="WTI65" s="1304"/>
      <c r="WTJ65" s="1304"/>
      <c r="WTK65" s="1305"/>
      <c r="WTL65" s="1305"/>
      <c r="WTM65" s="1304"/>
      <c r="WTN65" s="1304"/>
      <c r="WTO65" s="1304"/>
      <c r="WTP65" s="1304"/>
      <c r="WTQ65" s="1304"/>
      <c r="WTR65" s="1304"/>
      <c r="WTS65" s="1304"/>
      <c r="WTT65" s="1304"/>
      <c r="WTU65" s="1305"/>
      <c r="WTV65" s="1305"/>
      <c r="WTW65" s="1304"/>
      <c r="WTX65" s="1304"/>
      <c r="WTY65" s="1304"/>
      <c r="WTZ65" s="1304"/>
      <c r="WUA65" s="1304"/>
      <c r="WUB65" s="1304"/>
      <c r="WUC65" s="1304"/>
      <c r="WUD65" s="1304"/>
      <c r="WUE65" s="1305"/>
      <c r="WUF65" s="1305"/>
      <c r="WUG65" s="1304"/>
      <c r="WUH65" s="1304"/>
      <c r="WUI65" s="1304"/>
      <c r="WUJ65" s="1304"/>
      <c r="WUK65" s="1304"/>
      <c r="WUL65" s="1304"/>
      <c r="WUM65" s="1304"/>
      <c r="WUN65" s="1304"/>
      <c r="WUO65" s="1305"/>
      <c r="WUP65" s="1305"/>
      <c r="WUQ65" s="1304"/>
      <c r="WUR65" s="1304"/>
      <c r="WUS65" s="1304"/>
      <c r="WUT65" s="1304"/>
      <c r="WUU65" s="1304"/>
      <c r="WUV65" s="1304"/>
      <c r="WUW65" s="1304"/>
      <c r="WUX65" s="1304"/>
      <c r="WUY65" s="1305"/>
      <c r="WUZ65" s="1305"/>
      <c r="WVA65" s="1304"/>
      <c r="WVB65" s="1304"/>
      <c r="WVC65" s="1304"/>
      <c r="WVD65" s="1304"/>
      <c r="WVE65" s="1304"/>
      <c r="WVF65" s="1304"/>
      <c r="WVG65" s="1304"/>
      <c r="WVH65" s="1304"/>
      <c r="WVI65" s="1305"/>
      <c r="WVJ65" s="1305"/>
      <c r="WVK65" s="1304"/>
      <c r="WVL65" s="1304"/>
      <c r="WVM65" s="1304"/>
      <c r="WVN65" s="1304"/>
      <c r="WVO65" s="1304"/>
      <c r="WVP65" s="1304"/>
      <c r="WVQ65" s="1304"/>
      <c r="WVR65" s="1304"/>
      <c r="WVS65" s="1305"/>
      <c r="WVT65" s="1305"/>
      <c r="WVU65" s="1304"/>
      <c r="WVV65" s="1304"/>
      <c r="WVW65" s="1304"/>
      <c r="WVX65" s="1304"/>
      <c r="WVY65" s="1304"/>
      <c r="WVZ65" s="1304"/>
      <c r="WWA65" s="1304"/>
      <c r="WWB65" s="1304"/>
      <c r="WWC65" s="1305"/>
      <c r="WWD65" s="1305"/>
      <c r="WWE65" s="1304"/>
      <c r="WWF65" s="1304"/>
      <c r="WWG65" s="1304"/>
      <c r="WWH65" s="1304"/>
      <c r="WWI65" s="1304"/>
      <c r="WWJ65" s="1304"/>
      <c r="WWK65" s="1304"/>
      <c r="WWL65" s="1304"/>
      <c r="WWM65" s="1305"/>
      <c r="WWN65" s="1305"/>
      <c r="WWO65" s="1304"/>
      <c r="WWP65" s="1304"/>
      <c r="WWQ65" s="1304"/>
      <c r="WWR65" s="1304"/>
      <c r="WWS65" s="1304"/>
      <c r="WWT65" s="1304"/>
      <c r="WWU65" s="1304"/>
      <c r="WWV65" s="1304"/>
      <c r="WWW65" s="1305"/>
      <c r="WWX65" s="1305"/>
      <c r="WWY65" s="1304"/>
      <c r="WWZ65" s="1304"/>
      <c r="WXA65" s="1304"/>
      <c r="WXB65" s="1304"/>
      <c r="WXC65" s="1304"/>
      <c r="WXD65" s="1304"/>
      <c r="WXE65" s="1304"/>
      <c r="WXF65" s="1304"/>
      <c r="WXG65" s="1305"/>
      <c r="WXH65" s="1305"/>
      <c r="WXI65" s="1304"/>
      <c r="WXJ65" s="1304"/>
      <c r="WXK65" s="1304"/>
      <c r="WXL65" s="1304"/>
      <c r="WXM65" s="1304"/>
      <c r="WXN65" s="1304"/>
      <c r="WXO65" s="1304"/>
      <c r="WXP65" s="1304"/>
      <c r="WXQ65" s="1305"/>
      <c r="WXR65" s="1305"/>
      <c r="WXS65" s="1304"/>
      <c r="WXT65" s="1304"/>
      <c r="WXU65" s="1304"/>
      <c r="WXV65" s="1304"/>
      <c r="WXW65" s="1304"/>
      <c r="WXX65" s="1304"/>
      <c r="WXY65" s="1304"/>
      <c r="WXZ65" s="1304"/>
      <c r="WYA65" s="1305"/>
      <c r="WYB65" s="1305"/>
      <c r="WYC65" s="1304"/>
      <c r="WYD65" s="1304"/>
      <c r="WYE65" s="1304"/>
      <c r="WYF65" s="1304"/>
      <c r="WYG65" s="1304"/>
      <c r="WYH65" s="1304"/>
      <c r="WYI65" s="1304"/>
      <c r="WYJ65" s="1304"/>
      <c r="WYK65" s="1305"/>
      <c r="WYL65" s="1305"/>
      <c r="WYM65" s="1304"/>
      <c r="WYN65" s="1304"/>
      <c r="WYO65" s="1304"/>
      <c r="WYP65" s="1304"/>
      <c r="WYQ65" s="1304"/>
      <c r="WYR65" s="1304"/>
      <c r="WYS65" s="1304"/>
      <c r="WYT65" s="1304"/>
      <c r="WYU65" s="1305"/>
      <c r="WYV65" s="1305"/>
      <c r="WYW65" s="1304"/>
      <c r="WYX65" s="1304"/>
      <c r="WYY65" s="1304"/>
      <c r="WYZ65" s="1304"/>
      <c r="WZA65" s="1304"/>
      <c r="WZB65" s="1304"/>
      <c r="WZC65" s="1304"/>
      <c r="WZD65" s="1304"/>
      <c r="WZE65" s="1305"/>
      <c r="WZF65" s="1305"/>
      <c r="WZG65" s="1304"/>
      <c r="WZH65" s="1304"/>
      <c r="WZI65" s="1304"/>
      <c r="WZJ65" s="1304"/>
      <c r="WZK65" s="1304"/>
      <c r="WZL65" s="1304"/>
      <c r="WZM65" s="1304"/>
      <c r="WZN65" s="1304"/>
      <c r="WZO65" s="1305"/>
      <c r="WZP65" s="1305"/>
      <c r="WZQ65" s="1304"/>
      <c r="WZR65" s="1304"/>
      <c r="WZS65" s="1304"/>
      <c r="WZT65" s="1304"/>
      <c r="WZU65" s="1304"/>
      <c r="WZV65" s="1304"/>
      <c r="WZW65" s="1304"/>
      <c r="WZX65" s="1304"/>
      <c r="WZY65" s="1305"/>
      <c r="WZZ65" s="1305"/>
      <c r="XAA65" s="1304"/>
      <c r="XAB65" s="1304"/>
      <c r="XAC65" s="1304"/>
      <c r="XAD65" s="1304"/>
      <c r="XAE65" s="1304"/>
      <c r="XAF65" s="1304"/>
      <c r="XAG65" s="1304"/>
      <c r="XAH65" s="1304"/>
      <c r="XAI65" s="1305"/>
      <c r="XAJ65" s="1305"/>
      <c r="XAK65" s="1304"/>
      <c r="XAL65" s="1304"/>
      <c r="XAM65" s="1304"/>
      <c r="XAN65" s="1304"/>
      <c r="XAO65" s="1304"/>
      <c r="XAP65" s="1304"/>
      <c r="XAQ65" s="1304"/>
      <c r="XAR65" s="1304"/>
      <c r="XAS65" s="1305"/>
      <c r="XAT65" s="1305"/>
      <c r="XAU65" s="1304"/>
      <c r="XAV65" s="1304"/>
      <c r="XAW65" s="1304"/>
      <c r="XAX65" s="1304"/>
      <c r="XAY65" s="1304"/>
      <c r="XAZ65" s="1304"/>
      <c r="XBA65" s="1304"/>
      <c r="XBB65" s="1304"/>
      <c r="XBC65" s="1305"/>
      <c r="XBD65" s="1305"/>
      <c r="XBE65" s="1304"/>
      <c r="XBF65" s="1304"/>
      <c r="XBG65" s="1304"/>
      <c r="XBH65" s="1304"/>
      <c r="XBI65" s="1304"/>
      <c r="XBJ65" s="1304"/>
      <c r="XBK65" s="1304"/>
      <c r="XBL65" s="1304"/>
      <c r="XBM65" s="1305"/>
      <c r="XBN65" s="1305"/>
      <c r="XBO65" s="1304"/>
      <c r="XBP65" s="1304"/>
      <c r="XBQ65" s="1304"/>
      <c r="XBR65" s="1304"/>
      <c r="XBS65" s="1304"/>
      <c r="XBT65" s="1304"/>
      <c r="XBU65" s="1304"/>
      <c r="XBV65" s="1304"/>
      <c r="XBW65" s="1305"/>
      <c r="XBX65" s="1305"/>
      <c r="XBY65" s="1304"/>
      <c r="XBZ65" s="1304"/>
      <c r="XCA65" s="1304"/>
      <c r="XCB65" s="1304"/>
      <c r="XCC65" s="1304"/>
      <c r="XCD65" s="1304"/>
      <c r="XCE65" s="1304"/>
      <c r="XCF65" s="1304"/>
      <c r="XCG65" s="1305"/>
      <c r="XCH65" s="1305"/>
      <c r="XCI65" s="1304"/>
      <c r="XCJ65" s="1304"/>
      <c r="XCK65" s="1304"/>
      <c r="XCL65" s="1304"/>
      <c r="XCM65" s="1304"/>
      <c r="XCN65" s="1304"/>
      <c r="XCO65" s="1304"/>
      <c r="XCP65" s="1304"/>
      <c r="XCQ65" s="1305"/>
      <c r="XCR65" s="1305"/>
      <c r="XCS65" s="1304"/>
      <c r="XCT65" s="1304"/>
      <c r="XCU65" s="1304"/>
      <c r="XCV65" s="1304"/>
      <c r="XCW65" s="1304"/>
      <c r="XCX65" s="1304"/>
      <c r="XCY65" s="1304"/>
      <c r="XCZ65" s="1304"/>
      <c r="XDA65" s="1305"/>
      <c r="XDB65" s="1305"/>
      <c r="XDC65" s="1304"/>
      <c r="XDD65" s="1304"/>
      <c r="XDE65" s="1304"/>
      <c r="XDF65" s="1304"/>
      <c r="XDG65" s="1304"/>
      <c r="XDH65" s="1304"/>
      <c r="XDI65" s="1304"/>
      <c r="XDJ65" s="1304"/>
      <c r="XDK65" s="1305"/>
      <c r="XDL65" s="1305"/>
      <c r="XDM65" s="1304"/>
      <c r="XDN65" s="1304"/>
      <c r="XDO65" s="1304"/>
      <c r="XDP65" s="1304"/>
      <c r="XDQ65" s="1304"/>
      <c r="XDR65" s="1304"/>
      <c r="XDS65" s="1304"/>
      <c r="XDT65" s="1304"/>
      <c r="XDU65" s="1305"/>
      <c r="XDV65" s="1305"/>
      <c r="XDW65" s="1304"/>
      <c r="XDX65" s="1304"/>
      <c r="XDY65" s="1304"/>
      <c r="XDZ65" s="1304"/>
      <c r="XEA65" s="1304"/>
      <c r="XEB65" s="1304"/>
      <c r="XEC65" s="1304"/>
      <c r="XED65" s="1304"/>
      <c r="XEE65" s="1305"/>
      <c r="XEF65" s="1305"/>
      <c r="XEG65" s="1304"/>
      <c r="XEH65" s="1304"/>
      <c r="XEI65" s="1304"/>
      <c r="XEJ65" s="1304"/>
      <c r="XEK65" s="1304"/>
      <c r="XEL65" s="1304"/>
      <c r="XEM65" s="1304"/>
      <c r="XEN65" s="1304"/>
      <c r="XEO65" s="1305"/>
      <c r="XEP65" s="1305"/>
      <c r="XEQ65" s="1304"/>
      <c r="XER65" s="1304"/>
      <c r="XES65" s="1304"/>
      <c r="XET65" s="1304"/>
      <c r="XEU65" s="1304"/>
      <c r="XEV65" s="1304"/>
      <c r="XEW65" s="1304"/>
      <c r="XEX65" s="1304"/>
      <c r="XEY65" s="1305"/>
      <c r="XEZ65" s="1305"/>
      <c r="XFA65" s="1304"/>
      <c r="XFB65" s="1304"/>
      <c r="XFC65" s="1304"/>
      <c r="XFD65" s="1304"/>
    </row>
  </sheetData>
  <mergeCells count="1687">
    <mergeCell ref="C1:G1"/>
    <mergeCell ref="C6:D6"/>
    <mergeCell ref="E6:F6"/>
    <mergeCell ref="C7:D7"/>
    <mergeCell ref="E7:F7"/>
    <mergeCell ref="C14:G14"/>
    <mergeCell ref="A16:A20"/>
    <mergeCell ref="A11:B11"/>
    <mergeCell ref="A7:B7"/>
    <mergeCell ref="C58:G58"/>
    <mergeCell ref="A59:A61"/>
    <mergeCell ref="J59:J61"/>
    <mergeCell ref="C8:D8"/>
    <mergeCell ref="E8:F8"/>
    <mergeCell ref="A10:B10"/>
    <mergeCell ref="C10:D10"/>
    <mergeCell ref="E10:F10"/>
    <mergeCell ref="C9:D9"/>
    <mergeCell ref="A44:A47"/>
    <mergeCell ref="J44:J47"/>
    <mergeCell ref="A48:A51"/>
    <mergeCell ref="J48:J51"/>
    <mergeCell ref="E9:F9"/>
    <mergeCell ref="J32:J34"/>
    <mergeCell ref="A35:A36"/>
    <mergeCell ref="J35:J36"/>
    <mergeCell ref="J16:J20"/>
    <mergeCell ref="A56:A57"/>
    <mergeCell ref="C55:G55"/>
    <mergeCell ref="J56:J57"/>
    <mergeCell ref="A32:A34"/>
    <mergeCell ref="A12:B12"/>
    <mergeCell ref="A13:B13"/>
    <mergeCell ref="H11:J11"/>
    <mergeCell ref="H12:J12"/>
    <mergeCell ref="H13:J13"/>
    <mergeCell ref="A37:A43"/>
    <mergeCell ref="J37:J43"/>
    <mergeCell ref="J28:J31"/>
    <mergeCell ref="EA65:EJ65"/>
    <mergeCell ref="EK65:ET65"/>
    <mergeCell ref="EU65:FD65"/>
    <mergeCell ref="FE65:FN65"/>
    <mergeCell ref="FO65:FX65"/>
    <mergeCell ref="CC65:CL65"/>
    <mergeCell ref="CM65:CV65"/>
    <mergeCell ref="CW65:DF65"/>
    <mergeCell ref="DG65:DP65"/>
    <mergeCell ref="DQ65:DZ65"/>
    <mergeCell ref="AE65:AN65"/>
    <mergeCell ref="AO65:AX65"/>
    <mergeCell ref="AY65:BH65"/>
    <mergeCell ref="BI65:BR65"/>
    <mergeCell ref="BS65:CB65"/>
    <mergeCell ref="C63:G63"/>
    <mergeCell ref="A64:J64"/>
    <mergeCell ref="A65:J65"/>
    <mergeCell ref="U65:AD65"/>
    <mergeCell ref="LS65:MB65"/>
    <mergeCell ref="MC65:ML65"/>
    <mergeCell ref="MM65:MV65"/>
    <mergeCell ref="MW65:NF65"/>
    <mergeCell ref="NG65:NP65"/>
    <mergeCell ref="JU65:KD65"/>
    <mergeCell ref="KE65:KN65"/>
    <mergeCell ref="KO65:KX65"/>
    <mergeCell ref="KY65:LH65"/>
    <mergeCell ref="LI65:LR65"/>
    <mergeCell ref="HW65:IF65"/>
    <mergeCell ref="IG65:IP65"/>
    <mergeCell ref="IQ65:IZ65"/>
    <mergeCell ref="JA65:JJ65"/>
    <mergeCell ref="JK65:JT65"/>
    <mergeCell ref="FY65:GH65"/>
    <mergeCell ref="GI65:GR65"/>
    <mergeCell ref="GS65:HB65"/>
    <mergeCell ref="HC65:HL65"/>
    <mergeCell ref="HM65:HV65"/>
    <mergeCell ref="TK65:TT65"/>
    <mergeCell ref="TU65:UD65"/>
    <mergeCell ref="UE65:UN65"/>
    <mergeCell ref="UO65:UX65"/>
    <mergeCell ref="UY65:VH65"/>
    <mergeCell ref="RM65:RV65"/>
    <mergeCell ref="RW65:SF65"/>
    <mergeCell ref="SG65:SP65"/>
    <mergeCell ref="SQ65:SZ65"/>
    <mergeCell ref="TA65:TJ65"/>
    <mergeCell ref="PO65:PX65"/>
    <mergeCell ref="PY65:QH65"/>
    <mergeCell ref="QI65:QR65"/>
    <mergeCell ref="QS65:RB65"/>
    <mergeCell ref="RC65:RL65"/>
    <mergeCell ref="NQ65:NZ65"/>
    <mergeCell ref="OA65:OJ65"/>
    <mergeCell ref="OK65:OT65"/>
    <mergeCell ref="OU65:PD65"/>
    <mergeCell ref="PE65:PN65"/>
    <mergeCell ref="ABC65:ABL65"/>
    <mergeCell ref="ABM65:ABV65"/>
    <mergeCell ref="ABW65:ACF65"/>
    <mergeCell ref="ACG65:ACP65"/>
    <mergeCell ref="ACQ65:ACZ65"/>
    <mergeCell ref="ZE65:ZN65"/>
    <mergeCell ref="ZO65:ZX65"/>
    <mergeCell ref="ZY65:AAH65"/>
    <mergeCell ref="AAI65:AAR65"/>
    <mergeCell ref="AAS65:ABB65"/>
    <mergeCell ref="XG65:XP65"/>
    <mergeCell ref="XQ65:XZ65"/>
    <mergeCell ref="YA65:YJ65"/>
    <mergeCell ref="YK65:YT65"/>
    <mergeCell ref="YU65:ZD65"/>
    <mergeCell ref="VI65:VR65"/>
    <mergeCell ref="VS65:WB65"/>
    <mergeCell ref="WC65:WL65"/>
    <mergeCell ref="WM65:WV65"/>
    <mergeCell ref="WW65:XF65"/>
    <mergeCell ref="AIU65:AJD65"/>
    <mergeCell ref="AJE65:AJN65"/>
    <mergeCell ref="AJO65:AJX65"/>
    <mergeCell ref="AJY65:AKH65"/>
    <mergeCell ref="AKI65:AKR65"/>
    <mergeCell ref="AGW65:AHF65"/>
    <mergeCell ref="AHG65:AHP65"/>
    <mergeCell ref="AHQ65:AHZ65"/>
    <mergeCell ref="AIA65:AIJ65"/>
    <mergeCell ref="AIK65:AIT65"/>
    <mergeCell ref="AEY65:AFH65"/>
    <mergeCell ref="AFI65:AFR65"/>
    <mergeCell ref="AFS65:AGB65"/>
    <mergeCell ref="AGC65:AGL65"/>
    <mergeCell ref="AGM65:AGV65"/>
    <mergeCell ref="ADA65:ADJ65"/>
    <mergeCell ref="ADK65:ADT65"/>
    <mergeCell ref="ADU65:AED65"/>
    <mergeCell ref="AEE65:AEN65"/>
    <mergeCell ref="AEO65:AEX65"/>
    <mergeCell ref="AQM65:AQV65"/>
    <mergeCell ref="AQW65:ARF65"/>
    <mergeCell ref="ARG65:ARP65"/>
    <mergeCell ref="ARQ65:ARZ65"/>
    <mergeCell ref="ASA65:ASJ65"/>
    <mergeCell ref="AOO65:AOX65"/>
    <mergeCell ref="AOY65:APH65"/>
    <mergeCell ref="API65:APR65"/>
    <mergeCell ref="APS65:AQB65"/>
    <mergeCell ref="AQC65:AQL65"/>
    <mergeCell ref="AMQ65:AMZ65"/>
    <mergeCell ref="ANA65:ANJ65"/>
    <mergeCell ref="ANK65:ANT65"/>
    <mergeCell ref="ANU65:AOD65"/>
    <mergeCell ref="AOE65:AON65"/>
    <mergeCell ref="AKS65:ALB65"/>
    <mergeCell ref="ALC65:ALL65"/>
    <mergeCell ref="ALM65:ALV65"/>
    <mergeCell ref="ALW65:AMF65"/>
    <mergeCell ref="AMG65:AMP65"/>
    <mergeCell ref="AYE65:AYN65"/>
    <mergeCell ref="AYO65:AYX65"/>
    <mergeCell ref="AYY65:AZH65"/>
    <mergeCell ref="AZI65:AZR65"/>
    <mergeCell ref="AZS65:BAB65"/>
    <mergeCell ref="AWG65:AWP65"/>
    <mergeCell ref="AWQ65:AWZ65"/>
    <mergeCell ref="AXA65:AXJ65"/>
    <mergeCell ref="AXK65:AXT65"/>
    <mergeCell ref="AXU65:AYD65"/>
    <mergeCell ref="AUI65:AUR65"/>
    <mergeCell ref="AUS65:AVB65"/>
    <mergeCell ref="AVC65:AVL65"/>
    <mergeCell ref="AVM65:AVV65"/>
    <mergeCell ref="AVW65:AWF65"/>
    <mergeCell ref="ASK65:AST65"/>
    <mergeCell ref="ASU65:ATD65"/>
    <mergeCell ref="ATE65:ATN65"/>
    <mergeCell ref="ATO65:ATX65"/>
    <mergeCell ref="ATY65:AUH65"/>
    <mergeCell ref="BFW65:BGF65"/>
    <mergeCell ref="BGG65:BGP65"/>
    <mergeCell ref="BGQ65:BGZ65"/>
    <mergeCell ref="BHA65:BHJ65"/>
    <mergeCell ref="BHK65:BHT65"/>
    <mergeCell ref="BDY65:BEH65"/>
    <mergeCell ref="BEI65:BER65"/>
    <mergeCell ref="BES65:BFB65"/>
    <mergeCell ref="BFC65:BFL65"/>
    <mergeCell ref="BFM65:BFV65"/>
    <mergeCell ref="BCA65:BCJ65"/>
    <mergeCell ref="BCK65:BCT65"/>
    <mergeCell ref="BCU65:BDD65"/>
    <mergeCell ref="BDE65:BDN65"/>
    <mergeCell ref="BDO65:BDX65"/>
    <mergeCell ref="BAC65:BAL65"/>
    <mergeCell ref="BAM65:BAV65"/>
    <mergeCell ref="BAW65:BBF65"/>
    <mergeCell ref="BBG65:BBP65"/>
    <mergeCell ref="BBQ65:BBZ65"/>
    <mergeCell ref="BNO65:BNX65"/>
    <mergeCell ref="BNY65:BOH65"/>
    <mergeCell ref="BOI65:BOR65"/>
    <mergeCell ref="BOS65:BPB65"/>
    <mergeCell ref="BPC65:BPL65"/>
    <mergeCell ref="BLQ65:BLZ65"/>
    <mergeCell ref="BMA65:BMJ65"/>
    <mergeCell ref="BMK65:BMT65"/>
    <mergeCell ref="BMU65:BND65"/>
    <mergeCell ref="BNE65:BNN65"/>
    <mergeCell ref="BJS65:BKB65"/>
    <mergeCell ref="BKC65:BKL65"/>
    <mergeCell ref="BKM65:BKV65"/>
    <mergeCell ref="BKW65:BLF65"/>
    <mergeCell ref="BLG65:BLP65"/>
    <mergeCell ref="BHU65:BID65"/>
    <mergeCell ref="BIE65:BIN65"/>
    <mergeCell ref="BIO65:BIX65"/>
    <mergeCell ref="BIY65:BJH65"/>
    <mergeCell ref="BJI65:BJR65"/>
    <mergeCell ref="BVG65:BVP65"/>
    <mergeCell ref="BVQ65:BVZ65"/>
    <mergeCell ref="BWA65:BWJ65"/>
    <mergeCell ref="BWK65:BWT65"/>
    <mergeCell ref="BWU65:BXD65"/>
    <mergeCell ref="BTI65:BTR65"/>
    <mergeCell ref="BTS65:BUB65"/>
    <mergeCell ref="BUC65:BUL65"/>
    <mergeCell ref="BUM65:BUV65"/>
    <mergeCell ref="BUW65:BVF65"/>
    <mergeCell ref="BRK65:BRT65"/>
    <mergeCell ref="BRU65:BSD65"/>
    <mergeCell ref="BSE65:BSN65"/>
    <mergeCell ref="BSO65:BSX65"/>
    <mergeCell ref="BSY65:BTH65"/>
    <mergeCell ref="BPM65:BPV65"/>
    <mergeCell ref="BPW65:BQF65"/>
    <mergeCell ref="BQG65:BQP65"/>
    <mergeCell ref="BQQ65:BQZ65"/>
    <mergeCell ref="BRA65:BRJ65"/>
    <mergeCell ref="CCY65:CDH65"/>
    <mergeCell ref="CDI65:CDR65"/>
    <mergeCell ref="CDS65:CEB65"/>
    <mergeCell ref="CEC65:CEL65"/>
    <mergeCell ref="CEM65:CEV65"/>
    <mergeCell ref="CBA65:CBJ65"/>
    <mergeCell ref="CBK65:CBT65"/>
    <mergeCell ref="CBU65:CCD65"/>
    <mergeCell ref="CCE65:CCN65"/>
    <mergeCell ref="CCO65:CCX65"/>
    <mergeCell ref="BZC65:BZL65"/>
    <mergeCell ref="BZM65:BZV65"/>
    <mergeCell ref="BZW65:CAF65"/>
    <mergeCell ref="CAG65:CAP65"/>
    <mergeCell ref="CAQ65:CAZ65"/>
    <mergeCell ref="BXE65:BXN65"/>
    <mergeCell ref="BXO65:BXX65"/>
    <mergeCell ref="BXY65:BYH65"/>
    <mergeCell ref="BYI65:BYR65"/>
    <mergeCell ref="BYS65:BZB65"/>
    <mergeCell ref="CKQ65:CKZ65"/>
    <mergeCell ref="CLA65:CLJ65"/>
    <mergeCell ref="CLK65:CLT65"/>
    <mergeCell ref="CLU65:CMD65"/>
    <mergeCell ref="CME65:CMN65"/>
    <mergeCell ref="CIS65:CJB65"/>
    <mergeCell ref="CJC65:CJL65"/>
    <mergeCell ref="CJM65:CJV65"/>
    <mergeCell ref="CJW65:CKF65"/>
    <mergeCell ref="CKG65:CKP65"/>
    <mergeCell ref="CGU65:CHD65"/>
    <mergeCell ref="CHE65:CHN65"/>
    <mergeCell ref="CHO65:CHX65"/>
    <mergeCell ref="CHY65:CIH65"/>
    <mergeCell ref="CII65:CIR65"/>
    <mergeCell ref="CEW65:CFF65"/>
    <mergeCell ref="CFG65:CFP65"/>
    <mergeCell ref="CFQ65:CFZ65"/>
    <mergeCell ref="CGA65:CGJ65"/>
    <mergeCell ref="CGK65:CGT65"/>
    <mergeCell ref="CSI65:CSR65"/>
    <mergeCell ref="CSS65:CTB65"/>
    <mergeCell ref="CTC65:CTL65"/>
    <mergeCell ref="CTM65:CTV65"/>
    <mergeCell ref="CTW65:CUF65"/>
    <mergeCell ref="CQK65:CQT65"/>
    <mergeCell ref="CQU65:CRD65"/>
    <mergeCell ref="CRE65:CRN65"/>
    <mergeCell ref="CRO65:CRX65"/>
    <mergeCell ref="CRY65:CSH65"/>
    <mergeCell ref="COM65:COV65"/>
    <mergeCell ref="COW65:CPF65"/>
    <mergeCell ref="CPG65:CPP65"/>
    <mergeCell ref="CPQ65:CPZ65"/>
    <mergeCell ref="CQA65:CQJ65"/>
    <mergeCell ref="CMO65:CMX65"/>
    <mergeCell ref="CMY65:CNH65"/>
    <mergeCell ref="CNI65:CNR65"/>
    <mergeCell ref="CNS65:COB65"/>
    <mergeCell ref="COC65:COL65"/>
    <mergeCell ref="DAA65:DAJ65"/>
    <mergeCell ref="DAK65:DAT65"/>
    <mergeCell ref="DAU65:DBD65"/>
    <mergeCell ref="DBE65:DBN65"/>
    <mergeCell ref="DBO65:DBX65"/>
    <mergeCell ref="CYC65:CYL65"/>
    <mergeCell ref="CYM65:CYV65"/>
    <mergeCell ref="CYW65:CZF65"/>
    <mergeCell ref="CZG65:CZP65"/>
    <mergeCell ref="CZQ65:CZZ65"/>
    <mergeCell ref="CWE65:CWN65"/>
    <mergeCell ref="CWO65:CWX65"/>
    <mergeCell ref="CWY65:CXH65"/>
    <mergeCell ref="CXI65:CXR65"/>
    <mergeCell ref="CXS65:CYB65"/>
    <mergeCell ref="CUG65:CUP65"/>
    <mergeCell ref="CUQ65:CUZ65"/>
    <mergeCell ref="CVA65:CVJ65"/>
    <mergeCell ref="CVK65:CVT65"/>
    <mergeCell ref="CVU65:CWD65"/>
    <mergeCell ref="DHS65:DIB65"/>
    <mergeCell ref="DIC65:DIL65"/>
    <mergeCell ref="DIM65:DIV65"/>
    <mergeCell ref="DIW65:DJF65"/>
    <mergeCell ref="DJG65:DJP65"/>
    <mergeCell ref="DFU65:DGD65"/>
    <mergeCell ref="DGE65:DGN65"/>
    <mergeCell ref="DGO65:DGX65"/>
    <mergeCell ref="DGY65:DHH65"/>
    <mergeCell ref="DHI65:DHR65"/>
    <mergeCell ref="DDW65:DEF65"/>
    <mergeCell ref="DEG65:DEP65"/>
    <mergeCell ref="DEQ65:DEZ65"/>
    <mergeCell ref="DFA65:DFJ65"/>
    <mergeCell ref="DFK65:DFT65"/>
    <mergeCell ref="DBY65:DCH65"/>
    <mergeCell ref="DCI65:DCR65"/>
    <mergeCell ref="DCS65:DDB65"/>
    <mergeCell ref="DDC65:DDL65"/>
    <mergeCell ref="DDM65:DDV65"/>
    <mergeCell ref="DPK65:DPT65"/>
    <mergeCell ref="DPU65:DQD65"/>
    <mergeCell ref="DQE65:DQN65"/>
    <mergeCell ref="DQO65:DQX65"/>
    <mergeCell ref="DQY65:DRH65"/>
    <mergeCell ref="DNM65:DNV65"/>
    <mergeCell ref="DNW65:DOF65"/>
    <mergeCell ref="DOG65:DOP65"/>
    <mergeCell ref="DOQ65:DOZ65"/>
    <mergeCell ref="DPA65:DPJ65"/>
    <mergeCell ref="DLO65:DLX65"/>
    <mergeCell ref="DLY65:DMH65"/>
    <mergeCell ref="DMI65:DMR65"/>
    <mergeCell ref="DMS65:DNB65"/>
    <mergeCell ref="DNC65:DNL65"/>
    <mergeCell ref="DJQ65:DJZ65"/>
    <mergeCell ref="DKA65:DKJ65"/>
    <mergeCell ref="DKK65:DKT65"/>
    <mergeCell ref="DKU65:DLD65"/>
    <mergeCell ref="DLE65:DLN65"/>
    <mergeCell ref="DXC65:DXL65"/>
    <mergeCell ref="DXM65:DXV65"/>
    <mergeCell ref="DXW65:DYF65"/>
    <mergeCell ref="DYG65:DYP65"/>
    <mergeCell ref="DYQ65:DYZ65"/>
    <mergeCell ref="DVE65:DVN65"/>
    <mergeCell ref="DVO65:DVX65"/>
    <mergeCell ref="DVY65:DWH65"/>
    <mergeCell ref="DWI65:DWR65"/>
    <mergeCell ref="DWS65:DXB65"/>
    <mergeCell ref="DTG65:DTP65"/>
    <mergeCell ref="DTQ65:DTZ65"/>
    <mergeCell ref="DUA65:DUJ65"/>
    <mergeCell ref="DUK65:DUT65"/>
    <mergeCell ref="DUU65:DVD65"/>
    <mergeCell ref="DRI65:DRR65"/>
    <mergeCell ref="DRS65:DSB65"/>
    <mergeCell ref="DSC65:DSL65"/>
    <mergeCell ref="DSM65:DSV65"/>
    <mergeCell ref="DSW65:DTF65"/>
    <mergeCell ref="EEU65:EFD65"/>
    <mergeCell ref="EFE65:EFN65"/>
    <mergeCell ref="EFO65:EFX65"/>
    <mergeCell ref="EFY65:EGH65"/>
    <mergeCell ref="EGI65:EGR65"/>
    <mergeCell ref="ECW65:EDF65"/>
    <mergeCell ref="EDG65:EDP65"/>
    <mergeCell ref="EDQ65:EDZ65"/>
    <mergeCell ref="EEA65:EEJ65"/>
    <mergeCell ref="EEK65:EET65"/>
    <mergeCell ref="EAY65:EBH65"/>
    <mergeCell ref="EBI65:EBR65"/>
    <mergeCell ref="EBS65:ECB65"/>
    <mergeCell ref="ECC65:ECL65"/>
    <mergeCell ref="ECM65:ECV65"/>
    <mergeCell ref="DZA65:DZJ65"/>
    <mergeCell ref="DZK65:DZT65"/>
    <mergeCell ref="DZU65:EAD65"/>
    <mergeCell ref="EAE65:EAN65"/>
    <mergeCell ref="EAO65:EAX65"/>
    <mergeCell ref="EMM65:EMV65"/>
    <mergeCell ref="EMW65:ENF65"/>
    <mergeCell ref="ENG65:ENP65"/>
    <mergeCell ref="ENQ65:ENZ65"/>
    <mergeCell ref="EOA65:EOJ65"/>
    <mergeCell ref="EKO65:EKX65"/>
    <mergeCell ref="EKY65:ELH65"/>
    <mergeCell ref="ELI65:ELR65"/>
    <mergeCell ref="ELS65:EMB65"/>
    <mergeCell ref="EMC65:EML65"/>
    <mergeCell ref="EIQ65:EIZ65"/>
    <mergeCell ref="EJA65:EJJ65"/>
    <mergeCell ref="EJK65:EJT65"/>
    <mergeCell ref="EJU65:EKD65"/>
    <mergeCell ref="EKE65:EKN65"/>
    <mergeCell ref="EGS65:EHB65"/>
    <mergeCell ref="EHC65:EHL65"/>
    <mergeCell ref="EHM65:EHV65"/>
    <mergeCell ref="EHW65:EIF65"/>
    <mergeCell ref="EIG65:EIP65"/>
    <mergeCell ref="EUE65:EUN65"/>
    <mergeCell ref="EUO65:EUX65"/>
    <mergeCell ref="EUY65:EVH65"/>
    <mergeCell ref="EVI65:EVR65"/>
    <mergeCell ref="EVS65:EWB65"/>
    <mergeCell ref="ESG65:ESP65"/>
    <mergeCell ref="ESQ65:ESZ65"/>
    <mergeCell ref="ETA65:ETJ65"/>
    <mergeCell ref="ETK65:ETT65"/>
    <mergeCell ref="ETU65:EUD65"/>
    <mergeCell ref="EQI65:EQR65"/>
    <mergeCell ref="EQS65:ERB65"/>
    <mergeCell ref="ERC65:ERL65"/>
    <mergeCell ref="ERM65:ERV65"/>
    <mergeCell ref="ERW65:ESF65"/>
    <mergeCell ref="EOK65:EOT65"/>
    <mergeCell ref="EOU65:EPD65"/>
    <mergeCell ref="EPE65:EPN65"/>
    <mergeCell ref="EPO65:EPX65"/>
    <mergeCell ref="EPY65:EQH65"/>
    <mergeCell ref="FBW65:FCF65"/>
    <mergeCell ref="FCG65:FCP65"/>
    <mergeCell ref="FCQ65:FCZ65"/>
    <mergeCell ref="FDA65:FDJ65"/>
    <mergeCell ref="FDK65:FDT65"/>
    <mergeCell ref="EZY65:FAH65"/>
    <mergeCell ref="FAI65:FAR65"/>
    <mergeCell ref="FAS65:FBB65"/>
    <mergeCell ref="FBC65:FBL65"/>
    <mergeCell ref="FBM65:FBV65"/>
    <mergeCell ref="EYA65:EYJ65"/>
    <mergeCell ref="EYK65:EYT65"/>
    <mergeCell ref="EYU65:EZD65"/>
    <mergeCell ref="EZE65:EZN65"/>
    <mergeCell ref="EZO65:EZX65"/>
    <mergeCell ref="EWC65:EWL65"/>
    <mergeCell ref="EWM65:EWV65"/>
    <mergeCell ref="EWW65:EXF65"/>
    <mergeCell ref="EXG65:EXP65"/>
    <mergeCell ref="EXQ65:EXZ65"/>
    <mergeCell ref="FJO65:FJX65"/>
    <mergeCell ref="FJY65:FKH65"/>
    <mergeCell ref="FKI65:FKR65"/>
    <mergeCell ref="FKS65:FLB65"/>
    <mergeCell ref="FLC65:FLL65"/>
    <mergeCell ref="FHQ65:FHZ65"/>
    <mergeCell ref="FIA65:FIJ65"/>
    <mergeCell ref="FIK65:FIT65"/>
    <mergeCell ref="FIU65:FJD65"/>
    <mergeCell ref="FJE65:FJN65"/>
    <mergeCell ref="FFS65:FGB65"/>
    <mergeCell ref="FGC65:FGL65"/>
    <mergeCell ref="FGM65:FGV65"/>
    <mergeCell ref="FGW65:FHF65"/>
    <mergeCell ref="FHG65:FHP65"/>
    <mergeCell ref="FDU65:FED65"/>
    <mergeCell ref="FEE65:FEN65"/>
    <mergeCell ref="FEO65:FEX65"/>
    <mergeCell ref="FEY65:FFH65"/>
    <mergeCell ref="FFI65:FFR65"/>
    <mergeCell ref="FRG65:FRP65"/>
    <mergeCell ref="FRQ65:FRZ65"/>
    <mergeCell ref="FSA65:FSJ65"/>
    <mergeCell ref="FSK65:FST65"/>
    <mergeCell ref="FSU65:FTD65"/>
    <mergeCell ref="FPI65:FPR65"/>
    <mergeCell ref="FPS65:FQB65"/>
    <mergeCell ref="FQC65:FQL65"/>
    <mergeCell ref="FQM65:FQV65"/>
    <mergeCell ref="FQW65:FRF65"/>
    <mergeCell ref="FNK65:FNT65"/>
    <mergeCell ref="FNU65:FOD65"/>
    <mergeCell ref="FOE65:FON65"/>
    <mergeCell ref="FOO65:FOX65"/>
    <mergeCell ref="FOY65:FPH65"/>
    <mergeCell ref="FLM65:FLV65"/>
    <mergeCell ref="FLW65:FMF65"/>
    <mergeCell ref="FMG65:FMP65"/>
    <mergeCell ref="FMQ65:FMZ65"/>
    <mergeCell ref="FNA65:FNJ65"/>
    <mergeCell ref="FYY65:FZH65"/>
    <mergeCell ref="FZI65:FZR65"/>
    <mergeCell ref="FZS65:GAB65"/>
    <mergeCell ref="GAC65:GAL65"/>
    <mergeCell ref="GAM65:GAV65"/>
    <mergeCell ref="FXA65:FXJ65"/>
    <mergeCell ref="FXK65:FXT65"/>
    <mergeCell ref="FXU65:FYD65"/>
    <mergeCell ref="FYE65:FYN65"/>
    <mergeCell ref="FYO65:FYX65"/>
    <mergeCell ref="FVC65:FVL65"/>
    <mergeCell ref="FVM65:FVV65"/>
    <mergeCell ref="FVW65:FWF65"/>
    <mergeCell ref="FWG65:FWP65"/>
    <mergeCell ref="FWQ65:FWZ65"/>
    <mergeCell ref="FTE65:FTN65"/>
    <mergeCell ref="FTO65:FTX65"/>
    <mergeCell ref="FTY65:FUH65"/>
    <mergeCell ref="FUI65:FUR65"/>
    <mergeCell ref="FUS65:FVB65"/>
    <mergeCell ref="GGQ65:GGZ65"/>
    <mergeCell ref="GHA65:GHJ65"/>
    <mergeCell ref="GHK65:GHT65"/>
    <mergeCell ref="GHU65:GID65"/>
    <mergeCell ref="GIE65:GIN65"/>
    <mergeCell ref="GES65:GFB65"/>
    <mergeCell ref="GFC65:GFL65"/>
    <mergeCell ref="GFM65:GFV65"/>
    <mergeCell ref="GFW65:GGF65"/>
    <mergeCell ref="GGG65:GGP65"/>
    <mergeCell ref="GCU65:GDD65"/>
    <mergeCell ref="GDE65:GDN65"/>
    <mergeCell ref="GDO65:GDX65"/>
    <mergeCell ref="GDY65:GEH65"/>
    <mergeCell ref="GEI65:GER65"/>
    <mergeCell ref="GAW65:GBF65"/>
    <mergeCell ref="GBG65:GBP65"/>
    <mergeCell ref="GBQ65:GBZ65"/>
    <mergeCell ref="GCA65:GCJ65"/>
    <mergeCell ref="GCK65:GCT65"/>
    <mergeCell ref="GOI65:GOR65"/>
    <mergeCell ref="GOS65:GPB65"/>
    <mergeCell ref="GPC65:GPL65"/>
    <mergeCell ref="GPM65:GPV65"/>
    <mergeCell ref="GPW65:GQF65"/>
    <mergeCell ref="GMK65:GMT65"/>
    <mergeCell ref="GMU65:GND65"/>
    <mergeCell ref="GNE65:GNN65"/>
    <mergeCell ref="GNO65:GNX65"/>
    <mergeCell ref="GNY65:GOH65"/>
    <mergeCell ref="GKM65:GKV65"/>
    <mergeCell ref="GKW65:GLF65"/>
    <mergeCell ref="GLG65:GLP65"/>
    <mergeCell ref="GLQ65:GLZ65"/>
    <mergeCell ref="GMA65:GMJ65"/>
    <mergeCell ref="GIO65:GIX65"/>
    <mergeCell ref="GIY65:GJH65"/>
    <mergeCell ref="GJI65:GJR65"/>
    <mergeCell ref="GJS65:GKB65"/>
    <mergeCell ref="GKC65:GKL65"/>
    <mergeCell ref="GWA65:GWJ65"/>
    <mergeCell ref="GWK65:GWT65"/>
    <mergeCell ref="GWU65:GXD65"/>
    <mergeCell ref="GXE65:GXN65"/>
    <mergeCell ref="GXO65:GXX65"/>
    <mergeCell ref="GUC65:GUL65"/>
    <mergeCell ref="GUM65:GUV65"/>
    <mergeCell ref="GUW65:GVF65"/>
    <mergeCell ref="GVG65:GVP65"/>
    <mergeCell ref="GVQ65:GVZ65"/>
    <mergeCell ref="GSE65:GSN65"/>
    <mergeCell ref="GSO65:GSX65"/>
    <mergeCell ref="GSY65:GTH65"/>
    <mergeCell ref="GTI65:GTR65"/>
    <mergeCell ref="GTS65:GUB65"/>
    <mergeCell ref="GQG65:GQP65"/>
    <mergeCell ref="GQQ65:GQZ65"/>
    <mergeCell ref="GRA65:GRJ65"/>
    <mergeCell ref="GRK65:GRT65"/>
    <mergeCell ref="GRU65:GSD65"/>
    <mergeCell ref="HDS65:HEB65"/>
    <mergeCell ref="HEC65:HEL65"/>
    <mergeCell ref="HEM65:HEV65"/>
    <mergeCell ref="HEW65:HFF65"/>
    <mergeCell ref="HFG65:HFP65"/>
    <mergeCell ref="HBU65:HCD65"/>
    <mergeCell ref="HCE65:HCN65"/>
    <mergeCell ref="HCO65:HCX65"/>
    <mergeCell ref="HCY65:HDH65"/>
    <mergeCell ref="HDI65:HDR65"/>
    <mergeCell ref="GZW65:HAF65"/>
    <mergeCell ref="HAG65:HAP65"/>
    <mergeCell ref="HAQ65:HAZ65"/>
    <mergeCell ref="HBA65:HBJ65"/>
    <mergeCell ref="HBK65:HBT65"/>
    <mergeCell ref="GXY65:GYH65"/>
    <mergeCell ref="GYI65:GYR65"/>
    <mergeCell ref="GYS65:GZB65"/>
    <mergeCell ref="GZC65:GZL65"/>
    <mergeCell ref="GZM65:GZV65"/>
    <mergeCell ref="HLK65:HLT65"/>
    <mergeCell ref="HLU65:HMD65"/>
    <mergeCell ref="HME65:HMN65"/>
    <mergeCell ref="HMO65:HMX65"/>
    <mergeCell ref="HMY65:HNH65"/>
    <mergeCell ref="HJM65:HJV65"/>
    <mergeCell ref="HJW65:HKF65"/>
    <mergeCell ref="HKG65:HKP65"/>
    <mergeCell ref="HKQ65:HKZ65"/>
    <mergeCell ref="HLA65:HLJ65"/>
    <mergeCell ref="HHO65:HHX65"/>
    <mergeCell ref="HHY65:HIH65"/>
    <mergeCell ref="HII65:HIR65"/>
    <mergeCell ref="HIS65:HJB65"/>
    <mergeCell ref="HJC65:HJL65"/>
    <mergeCell ref="HFQ65:HFZ65"/>
    <mergeCell ref="HGA65:HGJ65"/>
    <mergeCell ref="HGK65:HGT65"/>
    <mergeCell ref="HGU65:HHD65"/>
    <mergeCell ref="HHE65:HHN65"/>
    <mergeCell ref="HTC65:HTL65"/>
    <mergeCell ref="HTM65:HTV65"/>
    <mergeCell ref="HTW65:HUF65"/>
    <mergeCell ref="HUG65:HUP65"/>
    <mergeCell ref="HUQ65:HUZ65"/>
    <mergeCell ref="HRE65:HRN65"/>
    <mergeCell ref="HRO65:HRX65"/>
    <mergeCell ref="HRY65:HSH65"/>
    <mergeCell ref="HSI65:HSR65"/>
    <mergeCell ref="HSS65:HTB65"/>
    <mergeCell ref="HPG65:HPP65"/>
    <mergeCell ref="HPQ65:HPZ65"/>
    <mergeCell ref="HQA65:HQJ65"/>
    <mergeCell ref="HQK65:HQT65"/>
    <mergeCell ref="HQU65:HRD65"/>
    <mergeCell ref="HNI65:HNR65"/>
    <mergeCell ref="HNS65:HOB65"/>
    <mergeCell ref="HOC65:HOL65"/>
    <mergeCell ref="HOM65:HOV65"/>
    <mergeCell ref="HOW65:HPF65"/>
    <mergeCell ref="IAU65:IBD65"/>
    <mergeCell ref="IBE65:IBN65"/>
    <mergeCell ref="IBO65:IBX65"/>
    <mergeCell ref="IBY65:ICH65"/>
    <mergeCell ref="ICI65:ICR65"/>
    <mergeCell ref="HYW65:HZF65"/>
    <mergeCell ref="HZG65:HZP65"/>
    <mergeCell ref="HZQ65:HZZ65"/>
    <mergeCell ref="IAA65:IAJ65"/>
    <mergeCell ref="IAK65:IAT65"/>
    <mergeCell ref="HWY65:HXH65"/>
    <mergeCell ref="HXI65:HXR65"/>
    <mergeCell ref="HXS65:HYB65"/>
    <mergeCell ref="HYC65:HYL65"/>
    <mergeCell ref="HYM65:HYV65"/>
    <mergeCell ref="HVA65:HVJ65"/>
    <mergeCell ref="HVK65:HVT65"/>
    <mergeCell ref="HVU65:HWD65"/>
    <mergeCell ref="HWE65:HWN65"/>
    <mergeCell ref="HWO65:HWX65"/>
    <mergeCell ref="IIM65:IIV65"/>
    <mergeCell ref="IIW65:IJF65"/>
    <mergeCell ref="IJG65:IJP65"/>
    <mergeCell ref="IJQ65:IJZ65"/>
    <mergeCell ref="IKA65:IKJ65"/>
    <mergeCell ref="IGO65:IGX65"/>
    <mergeCell ref="IGY65:IHH65"/>
    <mergeCell ref="IHI65:IHR65"/>
    <mergeCell ref="IHS65:IIB65"/>
    <mergeCell ref="IIC65:IIL65"/>
    <mergeCell ref="IEQ65:IEZ65"/>
    <mergeCell ref="IFA65:IFJ65"/>
    <mergeCell ref="IFK65:IFT65"/>
    <mergeCell ref="IFU65:IGD65"/>
    <mergeCell ref="IGE65:IGN65"/>
    <mergeCell ref="ICS65:IDB65"/>
    <mergeCell ref="IDC65:IDL65"/>
    <mergeCell ref="IDM65:IDV65"/>
    <mergeCell ref="IDW65:IEF65"/>
    <mergeCell ref="IEG65:IEP65"/>
    <mergeCell ref="IQE65:IQN65"/>
    <mergeCell ref="IQO65:IQX65"/>
    <mergeCell ref="IQY65:IRH65"/>
    <mergeCell ref="IRI65:IRR65"/>
    <mergeCell ref="IRS65:ISB65"/>
    <mergeCell ref="IOG65:IOP65"/>
    <mergeCell ref="IOQ65:IOZ65"/>
    <mergeCell ref="IPA65:IPJ65"/>
    <mergeCell ref="IPK65:IPT65"/>
    <mergeCell ref="IPU65:IQD65"/>
    <mergeCell ref="IMI65:IMR65"/>
    <mergeCell ref="IMS65:INB65"/>
    <mergeCell ref="INC65:INL65"/>
    <mergeCell ref="INM65:INV65"/>
    <mergeCell ref="INW65:IOF65"/>
    <mergeCell ref="IKK65:IKT65"/>
    <mergeCell ref="IKU65:ILD65"/>
    <mergeCell ref="ILE65:ILN65"/>
    <mergeCell ref="ILO65:ILX65"/>
    <mergeCell ref="ILY65:IMH65"/>
    <mergeCell ref="IXW65:IYF65"/>
    <mergeCell ref="IYG65:IYP65"/>
    <mergeCell ref="IYQ65:IYZ65"/>
    <mergeCell ref="IZA65:IZJ65"/>
    <mergeCell ref="IZK65:IZT65"/>
    <mergeCell ref="IVY65:IWH65"/>
    <mergeCell ref="IWI65:IWR65"/>
    <mergeCell ref="IWS65:IXB65"/>
    <mergeCell ref="IXC65:IXL65"/>
    <mergeCell ref="IXM65:IXV65"/>
    <mergeCell ref="IUA65:IUJ65"/>
    <mergeCell ref="IUK65:IUT65"/>
    <mergeCell ref="IUU65:IVD65"/>
    <mergeCell ref="IVE65:IVN65"/>
    <mergeCell ref="IVO65:IVX65"/>
    <mergeCell ref="ISC65:ISL65"/>
    <mergeCell ref="ISM65:ISV65"/>
    <mergeCell ref="ISW65:ITF65"/>
    <mergeCell ref="ITG65:ITP65"/>
    <mergeCell ref="ITQ65:ITZ65"/>
    <mergeCell ref="JFO65:JFX65"/>
    <mergeCell ref="JFY65:JGH65"/>
    <mergeCell ref="JGI65:JGR65"/>
    <mergeCell ref="JGS65:JHB65"/>
    <mergeCell ref="JHC65:JHL65"/>
    <mergeCell ref="JDQ65:JDZ65"/>
    <mergeCell ref="JEA65:JEJ65"/>
    <mergeCell ref="JEK65:JET65"/>
    <mergeCell ref="JEU65:JFD65"/>
    <mergeCell ref="JFE65:JFN65"/>
    <mergeCell ref="JBS65:JCB65"/>
    <mergeCell ref="JCC65:JCL65"/>
    <mergeCell ref="JCM65:JCV65"/>
    <mergeCell ref="JCW65:JDF65"/>
    <mergeCell ref="JDG65:JDP65"/>
    <mergeCell ref="IZU65:JAD65"/>
    <mergeCell ref="JAE65:JAN65"/>
    <mergeCell ref="JAO65:JAX65"/>
    <mergeCell ref="JAY65:JBH65"/>
    <mergeCell ref="JBI65:JBR65"/>
    <mergeCell ref="JNG65:JNP65"/>
    <mergeCell ref="JNQ65:JNZ65"/>
    <mergeCell ref="JOA65:JOJ65"/>
    <mergeCell ref="JOK65:JOT65"/>
    <mergeCell ref="JOU65:JPD65"/>
    <mergeCell ref="JLI65:JLR65"/>
    <mergeCell ref="JLS65:JMB65"/>
    <mergeCell ref="JMC65:JML65"/>
    <mergeCell ref="JMM65:JMV65"/>
    <mergeCell ref="JMW65:JNF65"/>
    <mergeCell ref="JJK65:JJT65"/>
    <mergeCell ref="JJU65:JKD65"/>
    <mergeCell ref="JKE65:JKN65"/>
    <mergeCell ref="JKO65:JKX65"/>
    <mergeCell ref="JKY65:JLH65"/>
    <mergeCell ref="JHM65:JHV65"/>
    <mergeCell ref="JHW65:JIF65"/>
    <mergeCell ref="JIG65:JIP65"/>
    <mergeCell ref="JIQ65:JIZ65"/>
    <mergeCell ref="JJA65:JJJ65"/>
    <mergeCell ref="JUY65:JVH65"/>
    <mergeCell ref="JVI65:JVR65"/>
    <mergeCell ref="JVS65:JWB65"/>
    <mergeCell ref="JWC65:JWL65"/>
    <mergeCell ref="JWM65:JWV65"/>
    <mergeCell ref="JTA65:JTJ65"/>
    <mergeCell ref="JTK65:JTT65"/>
    <mergeCell ref="JTU65:JUD65"/>
    <mergeCell ref="JUE65:JUN65"/>
    <mergeCell ref="JUO65:JUX65"/>
    <mergeCell ref="JRC65:JRL65"/>
    <mergeCell ref="JRM65:JRV65"/>
    <mergeCell ref="JRW65:JSF65"/>
    <mergeCell ref="JSG65:JSP65"/>
    <mergeCell ref="JSQ65:JSZ65"/>
    <mergeCell ref="JPE65:JPN65"/>
    <mergeCell ref="JPO65:JPX65"/>
    <mergeCell ref="JPY65:JQH65"/>
    <mergeCell ref="JQI65:JQR65"/>
    <mergeCell ref="JQS65:JRB65"/>
    <mergeCell ref="KCQ65:KCZ65"/>
    <mergeCell ref="KDA65:KDJ65"/>
    <mergeCell ref="KDK65:KDT65"/>
    <mergeCell ref="KDU65:KED65"/>
    <mergeCell ref="KEE65:KEN65"/>
    <mergeCell ref="KAS65:KBB65"/>
    <mergeCell ref="KBC65:KBL65"/>
    <mergeCell ref="KBM65:KBV65"/>
    <mergeCell ref="KBW65:KCF65"/>
    <mergeCell ref="KCG65:KCP65"/>
    <mergeCell ref="JYU65:JZD65"/>
    <mergeCell ref="JZE65:JZN65"/>
    <mergeCell ref="JZO65:JZX65"/>
    <mergeCell ref="JZY65:KAH65"/>
    <mergeCell ref="KAI65:KAR65"/>
    <mergeCell ref="JWW65:JXF65"/>
    <mergeCell ref="JXG65:JXP65"/>
    <mergeCell ref="JXQ65:JXZ65"/>
    <mergeCell ref="JYA65:JYJ65"/>
    <mergeCell ref="JYK65:JYT65"/>
    <mergeCell ref="KKI65:KKR65"/>
    <mergeCell ref="KKS65:KLB65"/>
    <mergeCell ref="KLC65:KLL65"/>
    <mergeCell ref="KLM65:KLV65"/>
    <mergeCell ref="KLW65:KMF65"/>
    <mergeCell ref="KIK65:KIT65"/>
    <mergeCell ref="KIU65:KJD65"/>
    <mergeCell ref="KJE65:KJN65"/>
    <mergeCell ref="KJO65:KJX65"/>
    <mergeCell ref="KJY65:KKH65"/>
    <mergeCell ref="KGM65:KGV65"/>
    <mergeCell ref="KGW65:KHF65"/>
    <mergeCell ref="KHG65:KHP65"/>
    <mergeCell ref="KHQ65:KHZ65"/>
    <mergeCell ref="KIA65:KIJ65"/>
    <mergeCell ref="KEO65:KEX65"/>
    <mergeCell ref="KEY65:KFH65"/>
    <mergeCell ref="KFI65:KFR65"/>
    <mergeCell ref="KFS65:KGB65"/>
    <mergeCell ref="KGC65:KGL65"/>
    <mergeCell ref="KSA65:KSJ65"/>
    <mergeCell ref="KSK65:KST65"/>
    <mergeCell ref="KSU65:KTD65"/>
    <mergeCell ref="KTE65:KTN65"/>
    <mergeCell ref="KTO65:KTX65"/>
    <mergeCell ref="KQC65:KQL65"/>
    <mergeCell ref="KQM65:KQV65"/>
    <mergeCell ref="KQW65:KRF65"/>
    <mergeCell ref="KRG65:KRP65"/>
    <mergeCell ref="KRQ65:KRZ65"/>
    <mergeCell ref="KOE65:KON65"/>
    <mergeCell ref="KOO65:KOX65"/>
    <mergeCell ref="KOY65:KPH65"/>
    <mergeCell ref="KPI65:KPR65"/>
    <mergeCell ref="KPS65:KQB65"/>
    <mergeCell ref="KMG65:KMP65"/>
    <mergeCell ref="KMQ65:KMZ65"/>
    <mergeCell ref="KNA65:KNJ65"/>
    <mergeCell ref="KNK65:KNT65"/>
    <mergeCell ref="KNU65:KOD65"/>
    <mergeCell ref="KZS65:LAB65"/>
    <mergeCell ref="LAC65:LAL65"/>
    <mergeCell ref="LAM65:LAV65"/>
    <mergeCell ref="LAW65:LBF65"/>
    <mergeCell ref="LBG65:LBP65"/>
    <mergeCell ref="KXU65:KYD65"/>
    <mergeCell ref="KYE65:KYN65"/>
    <mergeCell ref="KYO65:KYX65"/>
    <mergeCell ref="KYY65:KZH65"/>
    <mergeCell ref="KZI65:KZR65"/>
    <mergeCell ref="KVW65:KWF65"/>
    <mergeCell ref="KWG65:KWP65"/>
    <mergeCell ref="KWQ65:KWZ65"/>
    <mergeCell ref="KXA65:KXJ65"/>
    <mergeCell ref="KXK65:KXT65"/>
    <mergeCell ref="KTY65:KUH65"/>
    <mergeCell ref="KUI65:KUR65"/>
    <mergeCell ref="KUS65:KVB65"/>
    <mergeCell ref="KVC65:KVL65"/>
    <mergeCell ref="KVM65:KVV65"/>
    <mergeCell ref="LHK65:LHT65"/>
    <mergeCell ref="LHU65:LID65"/>
    <mergeCell ref="LIE65:LIN65"/>
    <mergeCell ref="LIO65:LIX65"/>
    <mergeCell ref="LIY65:LJH65"/>
    <mergeCell ref="LFM65:LFV65"/>
    <mergeCell ref="LFW65:LGF65"/>
    <mergeCell ref="LGG65:LGP65"/>
    <mergeCell ref="LGQ65:LGZ65"/>
    <mergeCell ref="LHA65:LHJ65"/>
    <mergeCell ref="LDO65:LDX65"/>
    <mergeCell ref="LDY65:LEH65"/>
    <mergeCell ref="LEI65:LER65"/>
    <mergeCell ref="LES65:LFB65"/>
    <mergeCell ref="LFC65:LFL65"/>
    <mergeCell ref="LBQ65:LBZ65"/>
    <mergeCell ref="LCA65:LCJ65"/>
    <mergeCell ref="LCK65:LCT65"/>
    <mergeCell ref="LCU65:LDD65"/>
    <mergeCell ref="LDE65:LDN65"/>
    <mergeCell ref="LPC65:LPL65"/>
    <mergeCell ref="LPM65:LPV65"/>
    <mergeCell ref="LPW65:LQF65"/>
    <mergeCell ref="LQG65:LQP65"/>
    <mergeCell ref="LQQ65:LQZ65"/>
    <mergeCell ref="LNE65:LNN65"/>
    <mergeCell ref="LNO65:LNX65"/>
    <mergeCell ref="LNY65:LOH65"/>
    <mergeCell ref="LOI65:LOR65"/>
    <mergeCell ref="LOS65:LPB65"/>
    <mergeCell ref="LLG65:LLP65"/>
    <mergeCell ref="LLQ65:LLZ65"/>
    <mergeCell ref="LMA65:LMJ65"/>
    <mergeCell ref="LMK65:LMT65"/>
    <mergeCell ref="LMU65:LND65"/>
    <mergeCell ref="LJI65:LJR65"/>
    <mergeCell ref="LJS65:LKB65"/>
    <mergeCell ref="LKC65:LKL65"/>
    <mergeCell ref="LKM65:LKV65"/>
    <mergeCell ref="LKW65:LLF65"/>
    <mergeCell ref="LWU65:LXD65"/>
    <mergeCell ref="LXE65:LXN65"/>
    <mergeCell ref="LXO65:LXX65"/>
    <mergeCell ref="LXY65:LYH65"/>
    <mergeCell ref="LYI65:LYR65"/>
    <mergeCell ref="LUW65:LVF65"/>
    <mergeCell ref="LVG65:LVP65"/>
    <mergeCell ref="LVQ65:LVZ65"/>
    <mergeCell ref="LWA65:LWJ65"/>
    <mergeCell ref="LWK65:LWT65"/>
    <mergeCell ref="LSY65:LTH65"/>
    <mergeCell ref="LTI65:LTR65"/>
    <mergeCell ref="LTS65:LUB65"/>
    <mergeCell ref="LUC65:LUL65"/>
    <mergeCell ref="LUM65:LUV65"/>
    <mergeCell ref="LRA65:LRJ65"/>
    <mergeCell ref="LRK65:LRT65"/>
    <mergeCell ref="LRU65:LSD65"/>
    <mergeCell ref="LSE65:LSN65"/>
    <mergeCell ref="LSO65:LSX65"/>
    <mergeCell ref="MEM65:MEV65"/>
    <mergeCell ref="MEW65:MFF65"/>
    <mergeCell ref="MFG65:MFP65"/>
    <mergeCell ref="MFQ65:MFZ65"/>
    <mergeCell ref="MGA65:MGJ65"/>
    <mergeCell ref="MCO65:MCX65"/>
    <mergeCell ref="MCY65:MDH65"/>
    <mergeCell ref="MDI65:MDR65"/>
    <mergeCell ref="MDS65:MEB65"/>
    <mergeCell ref="MEC65:MEL65"/>
    <mergeCell ref="MAQ65:MAZ65"/>
    <mergeCell ref="MBA65:MBJ65"/>
    <mergeCell ref="MBK65:MBT65"/>
    <mergeCell ref="MBU65:MCD65"/>
    <mergeCell ref="MCE65:MCN65"/>
    <mergeCell ref="LYS65:LZB65"/>
    <mergeCell ref="LZC65:LZL65"/>
    <mergeCell ref="LZM65:LZV65"/>
    <mergeCell ref="LZW65:MAF65"/>
    <mergeCell ref="MAG65:MAP65"/>
    <mergeCell ref="MME65:MMN65"/>
    <mergeCell ref="MMO65:MMX65"/>
    <mergeCell ref="MMY65:MNH65"/>
    <mergeCell ref="MNI65:MNR65"/>
    <mergeCell ref="MNS65:MOB65"/>
    <mergeCell ref="MKG65:MKP65"/>
    <mergeCell ref="MKQ65:MKZ65"/>
    <mergeCell ref="MLA65:MLJ65"/>
    <mergeCell ref="MLK65:MLT65"/>
    <mergeCell ref="MLU65:MMD65"/>
    <mergeCell ref="MII65:MIR65"/>
    <mergeCell ref="MIS65:MJB65"/>
    <mergeCell ref="MJC65:MJL65"/>
    <mergeCell ref="MJM65:MJV65"/>
    <mergeCell ref="MJW65:MKF65"/>
    <mergeCell ref="MGK65:MGT65"/>
    <mergeCell ref="MGU65:MHD65"/>
    <mergeCell ref="MHE65:MHN65"/>
    <mergeCell ref="MHO65:MHX65"/>
    <mergeCell ref="MHY65:MIH65"/>
    <mergeCell ref="MTW65:MUF65"/>
    <mergeCell ref="MUG65:MUP65"/>
    <mergeCell ref="MUQ65:MUZ65"/>
    <mergeCell ref="MVA65:MVJ65"/>
    <mergeCell ref="MVK65:MVT65"/>
    <mergeCell ref="MRY65:MSH65"/>
    <mergeCell ref="MSI65:MSR65"/>
    <mergeCell ref="MSS65:MTB65"/>
    <mergeCell ref="MTC65:MTL65"/>
    <mergeCell ref="MTM65:MTV65"/>
    <mergeCell ref="MQA65:MQJ65"/>
    <mergeCell ref="MQK65:MQT65"/>
    <mergeCell ref="MQU65:MRD65"/>
    <mergeCell ref="MRE65:MRN65"/>
    <mergeCell ref="MRO65:MRX65"/>
    <mergeCell ref="MOC65:MOL65"/>
    <mergeCell ref="MOM65:MOV65"/>
    <mergeCell ref="MOW65:MPF65"/>
    <mergeCell ref="MPG65:MPP65"/>
    <mergeCell ref="MPQ65:MPZ65"/>
    <mergeCell ref="NBO65:NBX65"/>
    <mergeCell ref="NBY65:NCH65"/>
    <mergeCell ref="NCI65:NCR65"/>
    <mergeCell ref="NCS65:NDB65"/>
    <mergeCell ref="NDC65:NDL65"/>
    <mergeCell ref="MZQ65:MZZ65"/>
    <mergeCell ref="NAA65:NAJ65"/>
    <mergeCell ref="NAK65:NAT65"/>
    <mergeCell ref="NAU65:NBD65"/>
    <mergeCell ref="NBE65:NBN65"/>
    <mergeCell ref="MXS65:MYB65"/>
    <mergeCell ref="MYC65:MYL65"/>
    <mergeCell ref="MYM65:MYV65"/>
    <mergeCell ref="MYW65:MZF65"/>
    <mergeCell ref="MZG65:MZP65"/>
    <mergeCell ref="MVU65:MWD65"/>
    <mergeCell ref="MWE65:MWN65"/>
    <mergeCell ref="MWO65:MWX65"/>
    <mergeCell ref="MWY65:MXH65"/>
    <mergeCell ref="MXI65:MXR65"/>
    <mergeCell ref="NJG65:NJP65"/>
    <mergeCell ref="NJQ65:NJZ65"/>
    <mergeCell ref="NKA65:NKJ65"/>
    <mergeCell ref="NKK65:NKT65"/>
    <mergeCell ref="NKU65:NLD65"/>
    <mergeCell ref="NHI65:NHR65"/>
    <mergeCell ref="NHS65:NIB65"/>
    <mergeCell ref="NIC65:NIL65"/>
    <mergeCell ref="NIM65:NIV65"/>
    <mergeCell ref="NIW65:NJF65"/>
    <mergeCell ref="NFK65:NFT65"/>
    <mergeCell ref="NFU65:NGD65"/>
    <mergeCell ref="NGE65:NGN65"/>
    <mergeCell ref="NGO65:NGX65"/>
    <mergeCell ref="NGY65:NHH65"/>
    <mergeCell ref="NDM65:NDV65"/>
    <mergeCell ref="NDW65:NEF65"/>
    <mergeCell ref="NEG65:NEP65"/>
    <mergeCell ref="NEQ65:NEZ65"/>
    <mergeCell ref="NFA65:NFJ65"/>
    <mergeCell ref="NQY65:NRH65"/>
    <mergeCell ref="NRI65:NRR65"/>
    <mergeCell ref="NRS65:NSB65"/>
    <mergeCell ref="NSC65:NSL65"/>
    <mergeCell ref="NSM65:NSV65"/>
    <mergeCell ref="NPA65:NPJ65"/>
    <mergeCell ref="NPK65:NPT65"/>
    <mergeCell ref="NPU65:NQD65"/>
    <mergeCell ref="NQE65:NQN65"/>
    <mergeCell ref="NQO65:NQX65"/>
    <mergeCell ref="NNC65:NNL65"/>
    <mergeCell ref="NNM65:NNV65"/>
    <mergeCell ref="NNW65:NOF65"/>
    <mergeCell ref="NOG65:NOP65"/>
    <mergeCell ref="NOQ65:NOZ65"/>
    <mergeCell ref="NLE65:NLN65"/>
    <mergeCell ref="NLO65:NLX65"/>
    <mergeCell ref="NLY65:NMH65"/>
    <mergeCell ref="NMI65:NMR65"/>
    <mergeCell ref="NMS65:NNB65"/>
    <mergeCell ref="NYQ65:NYZ65"/>
    <mergeCell ref="NZA65:NZJ65"/>
    <mergeCell ref="NZK65:NZT65"/>
    <mergeCell ref="NZU65:OAD65"/>
    <mergeCell ref="OAE65:OAN65"/>
    <mergeCell ref="NWS65:NXB65"/>
    <mergeCell ref="NXC65:NXL65"/>
    <mergeCell ref="NXM65:NXV65"/>
    <mergeCell ref="NXW65:NYF65"/>
    <mergeCell ref="NYG65:NYP65"/>
    <mergeCell ref="NUU65:NVD65"/>
    <mergeCell ref="NVE65:NVN65"/>
    <mergeCell ref="NVO65:NVX65"/>
    <mergeCell ref="NVY65:NWH65"/>
    <mergeCell ref="NWI65:NWR65"/>
    <mergeCell ref="NSW65:NTF65"/>
    <mergeCell ref="NTG65:NTP65"/>
    <mergeCell ref="NTQ65:NTZ65"/>
    <mergeCell ref="NUA65:NUJ65"/>
    <mergeCell ref="NUK65:NUT65"/>
    <mergeCell ref="OGI65:OGR65"/>
    <mergeCell ref="OGS65:OHB65"/>
    <mergeCell ref="OHC65:OHL65"/>
    <mergeCell ref="OHM65:OHV65"/>
    <mergeCell ref="OHW65:OIF65"/>
    <mergeCell ref="OEK65:OET65"/>
    <mergeCell ref="OEU65:OFD65"/>
    <mergeCell ref="OFE65:OFN65"/>
    <mergeCell ref="OFO65:OFX65"/>
    <mergeCell ref="OFY65:OGH65"/>
    <mergeCell ref="OCM65:OCV65"/>
    <mergeCell ref="OCW65:ODF65"/>
    <mergeCell ref="ODG65:ODP65"/>
    <mergeCell ref="ODQ65:ODZ65"/>
    <mergeCell ref="OEA65:OEJ65"/>
    <mergeCell ref="OAO65:OAX65"/>
    <mergeCell ref="OAY65:OBH65"/>
    <mergeCell ref="OBI65:OBR65"/>
    <mergeCell ref="OBS65:OCB65"/>
    <mergeCell ref="OCC65:OCL65"/>
    <mergeCell ref="OOA65:OOJ65"/>
    <mergeCell ref="OOK65:OOT65"/>
    <mergeCell ref="OOU65:OPD65"/>
    <mergeCell ref="OPE65:OPN65"/>
    <mergeCell ref="OPO65:OPX65"/>
    <mergeCell ref="OMC65:OML65"/>
    <mergeCell ref="OMM65:OMV65"/>
    <mergeCell ref="OMW65:ONF65"/>
    <mergeCell ref="ONG65:ONP65"/>
    <mergeCell ref="ONQ65:ONZ65"/>
    <mergeCell ref="OKE65:OKN65"/>
    <mergeCell ref="OKO65:OKX65"/>
    <mergeCell ref="OKY65:OLH65"/>
    <mergeCell ref="OLI65:OLR65"/>
    <mergeCell ref="OLS65:OMB65"/>
    <mergeCell ref="OIG65:OIP65"/>
    <mergeCell ref="OIQ65:OIZ65"/>
    <mergeCell ref="OJA65:OJJ65"/>
    <mergeCell ref="OJK65:OJT65"/>
    <mergeCell ref="OJU65:OKD65"/>
    <mergeCell ref="OVS65:OWB65"/>
    <mergeCell ref="OWC65:OWL65"/>
    <mergeCell ref="OWM65:OWV65"/>
    <mergeCell ref="OWW65:OXF65"/>
    <mergeCell ref="OXG65:OXP65"/>
    <mergeCell ref="OTU65:OUD65"/>
    <mergeCell ref="OUE65:OUN65"/>
    <mergeCell ref="OUO65:OUX65"/>
    <mergeCell ref="OUY65:OVH65"/>
    <mergeCell ref="OVI65:OVR65"/>
    <mergeCell ref="ORW65:OSF65"/>
    <mergeCell ref="OSG65:OSP65"/>
    <mergeCell ref="OSQ65:OSZ65"/>
    <mergeCell ref="OTA65:OTJ65"/>
    <mergeCell ref="OTK65:OTT65"/>
    <mergeCell ref="OPY65:OQH65"/>
    <mergeCell ref="OQI65:OQR65"/>
    <mergeCell ref="OQS65:ORB65"/>
    <mergeCell ref="ORC65:ORL65"/>
    <mergeCell ref="ORM65:ORV65"/>
    <mergeCell ref="PDK65:PDT65"/>
    <mergeCell ref="PDU65:PED65"/>
    <mergeCell ref="PEE65:PEN65"/>
    <mergeCell ref="PEO65:PEX65"/>
    <mergeCell ref="PEY65:PFH65"/>
    <mergeCell ref="PBM65:PBV65"/>
    <mergeCell ref="PBW65:PCF65"/>
    <mergeCell ref="PCG65:PCP65"/>
    <mergeCell ref="PCQ65:PCZ65"/>
    <mergeCell ref="PDA65:PDJ65"/>
    <mergeCell ref="OZO65:OZX65"/>
    <mergeCell ref="OZY65:PAH65"/>
    <mergeCell ref="PAI65:PAR65"/>
    <mergeCell ref="PAS65:PBB65"/>
    <mergeCell ref="PBC65:PBL65"/>
    <mergeCell ref="OXQ65:OXZ65"/>
    <mergeCell ref="OYA65:OYJ65"/>
    <mergeCell ref="OYK65:OYT65"/>
    <mergeCell ref="OYU65:OZD65"/>
    <mergeCell ref="OZE65:OZN65"/>
    <mergeCell ref="PLC65:PLL65"/>
    <mergeCell ref="PLM65:PLV65"/>
    <mergeCell ref="PLW65:PMF65"/>
    <mergeCell ref="PMG65:PMP65"/>
    <mergeCell ref="PMQ65:PMZ65"/>
    <mergeCell ref="PJE65:PJN65"/>
    <mergeCell ref="PJO65:PJX65"/>
    <mergeCell ref="PJY65:PKH65"/>
    <mergeCell ref="PKI65:PKR65"/>
    <mergeCell ref="PKS65:PLB65"/>
    <mergeCell ref="PHG65:PHP65"/>
    <mergeCell ref="PHQ65:PHZ65"/>
    <mergeCell ref="PIA65:PIJ65"/>
    <mergeCell ref="PIK65:PIT65"/>
    <mergeCell ref="PIU65:PJD65"/>
    <mergeCell ref="PFI65:PFR65"/>
    <mergeCell ref="PFS65:PGB65"/>
    <mergeCell ref="PGC65:PGL65"/>
    <mergeCell ref="PGM65:PGV65"/>
    <mergeCell ref="PGW65:PHF65"/>
    <mergeCell ref="PSU65:PTD65"/>
    <mergeCell ref="PTE65:PTN65"/>
    <mergeCell ref="PTO65:PTX65"/>
    <mergeCell ref="PTY65:PUH65"/>
    <mergeCell ref="PUI65:PUR65"/>
    <mergeCell ref="PQW65:PRF65"/>
    <mergeCell ref="PRG65:PRP65"/>
    <mergeCell ref="PRQ65:PRZ65"/>
    <mergeCell ref="PSA65:PSJ65"/>
    <mergeCell ref="PSK65:PST65"/>
    <mergeCell ref="POY65:PPH65"/>
    <mergeCell ref="PPI65:PPR65"/>
    <mergeCell ref="PPS65:PQB65"/>
    <mergeCell ref="PQC65:PQL65"/>
    <mergeCell ref="PQM65:PQV65"/>
    <mergeCell ref="PNA65:PNJ65"/>
    <mergeCell ref="PNK65:PNT65"/>
    <mergeCell ref="PNU65:POD65"/>
    <mergeCell ref="POE65:PON65"/>
    <mergeCell ref="POO65:POX65"/>
    <mergeCell ref="QAM65:QAV65"/>
    <mergeCell ref="QAW65:QBF65"/>
    <mergeCell ref="QBG65:QBP65"/>
    <mergeCell ref="QBQ65:QBZ65"/>
    <mergeCell ref="QCA65:QCJ65"/>
    <mergeCell ref="PYO65:PYX65"/>
    <mergeCell ref="PYY65:PZH65"/>
    <mergeCell ref="PZI65:PZR65"/>
    <mergeCell ref="PZS65:QAB65"/>
    <mergeCell ref="QAC65:QAL65"/>
    <mergeCell ref="PWQ65:PWZ65"/>
    <mergeCell ref="PXA65:PXJ65"/>
    <mergeCell ref="PXK65:PXT65"/>
    <mergeCell ref="PXU65:PYD65"/>
    <mergeCell ref="PYE65:PYN65"/>
    <mergeCell ref="PUS65:PVB65"/>
    <mergeCell ref="PVC65:PVL65"/>
    <mergeCell ref="PVM65:PVV65"/>
    <mergeCell ref="PVW65:PWF65"/>
    <mergeCell ref="PWG65:PWP65"/>
    <mergeCell ref="QIE65:QIN65"/>
    <mergeCell ref="QIO65:QIX65"/>
    <mergeCell ref="QIY65:QJH65"/>
    <mergeCell ref="QJI65:QJR65"/>
    <mergeCell ref="QJS65:QKB65"/>
    <mergeCell ref="QGG65:QGP65"/>
    <mergeCell ref="QGQ65:QGZ65"/>
    <mergeCell ref="QHA65:QHJ65"/>
    <mergeCell ref="QHK65:QHT65"/>
    <mergeCell ref="QHU65:QID65"/>
    <mergeCell ref="QEI65:QER65"/>
    <mergeCell ref="QES65:QFB65"/>
    <mergeCell ref="QFC65:QFL65"/>
    <mergeCell ref="QFM65:QFV65"/>
    <mergeCell ref="QFW65:QGF65"/>
    <mergeCell ref="QCK65:QCT65"/>
    <mergeCell ref="QCU65:QDD65"/>
    <mergeCell ref="QDE65:QDN65"/>
    <mergeCell ref="QDO65:QDX65"/>
    <mergeCell ref="QDY65:QEH65"/>
    <mergeCell ref="QPW65:QQF65"/>
    <mergeCell ref="QQG65:QQP65"/>
    <mergeCell ref="QQQ65:QQZ65"/>
    <mergeCell ref="QRA65:QRJ65"/>
    <mergeCell ref="QRK65:QRT65"/>
    <mergeCell ref="QNY65:QOH65"/>
    <mergeCell ref="QOI65:QOR65"/>
    <mergeCell ref="QOS65:QPB65"/>
    <mergeCell ref="QPC65:QPL65"/>
    <mergeCell ref="QPM65:QPV65"/>
    <mergeCell ref="QMA65:QMJ65"/>
    <mergeCell ref="QMK65:QMT65"/>
    <mergeCell ref="QMU65:QND65"/>
    <mergeCell ref="QNE65:QNN65"/>
    <mergeCell ref="QNO65:QNX65"/>
    <mergeCell ref="QKC65:QKL65"/>
    <mergeCell ref="QKM65:QKV65"/>
    <mergeCell ref="QKW65:QLF65"/>
    <mergeCell ref="QLG65:QLP65"/>
    <mergeCell ref="QLQ65:QLZ65"/>
    <mergeCell ref="QXO65:QXX65"/>
    <mergeCell ref="QXY65:QYH65"/>
    <mergeCell ref="QYI65:QYR65"/>
    <mergeCell ref="QYS65:QZB65"/>
    <mergeCell ref="QZC65:QZL65"/>
    <mergeCell ref="QVQ65:QVZ65"/>
    <mergeCell ref="QWA65:QWJ65"/>
    <mergeCell ref="QWK65:QWT65"/>
    <mergeCell ref="QWU65:QXD65"/>
    <mergeCell ref="QXE65:QXN65"/>
    <mergeCell ref="QTS65:QUB65"/>
    <mergeCell ref="QUC65:QUL65"/>
    <mergeCell ref="QUM65:QUV65"/>
    <mergeCell ref="QUW65:QVF65"/>
    <mergeCell ref="QVG65:QVP65"/>
    <mergeCell ref="QRU65:QSD65"/>
    <mergeCell ref="QSE65:QSN65"/>
    <mergeCell ref="QSO65:QSX65"/>
    <mergeCell ref="QSY65:QTH65"/>
    <mergeCell ref="QTI65:QTR65"/>
    <mergeCell ref="RFG65:RFP65"/>
    <mergeCell ref="RFQ65:RFZ65"/>
    <mergeCell ref="RGA65:RGJ65"/>
    <mergeCell ref="RGK65:RGT65"/>
    <mergeCell ref="RGU65:RHD65"/>
    <mergeCell ref="RDI65:RDR65"/>
    <mergeCell ref="RDS65:REB65"/>
    <mergeCell ref="REC65:REL65"/>
    <mergeCell ref="REM65:REV65"/>
    <mergeCell ref="REW65:RFF65"/>
    <mergeCell ref="RBK65:RBT65"/>
    <mergeCell ref="RBU65:RCD65"/>
    <mergeCell ref="RCE65:RCN65"/>
    <mergeCell ref="RCO65:RCX65"/>
    <mergeCell ref="RCY65:RDH65"/>
    <mergeCell ref="QZM65:QZV65"/>
    <mergeCell ref="QZW65:RAF65"/>
    <mergeCell ref="RAG65:RAP65"/>
    <mergeCell ref="RAQ65:RAZ65"/>
    <mergeCell ref="RBA65:RBJ65"/>
    <mergeCell ref="RMY65:RNH65"/>
    <mergeCell ref="RNI65:RNR65"/>
    <mergeCell ref="RNS65:ROB65"/>
    <mergeCell ref="ROC65:ROL65"/>
    <mergeCell ref="ROM65:ROV65"/>
    <mergeCell ref="RLA65:RLJ65"/>
    <mergeCell ref="RLK65:RLT65"/>
    <mergeCell ref="RLU65:RMD65"/>
    <mergeCell ref="RME65:RMN65"/>
    <mergeCell ref="RMO65:RMX65"/>
    <mergeCell ref="RJC65:RJL65"/>
    <mergeCell ref="RJM65:RJV65"/>
    <mergeCell ref="RJW65:RKF65"/>
    <mergeCell ref="RKG65:RKP65"/>
    <mergeCell ref="RKQ65:RKZ65"/>
    <mergeCell ref="RHE65:RHN65"/>
    <mergeCell ref="RHO65:RHX65"/>
    <mergeCell ref="RHY65:RIH65"/>
    <mergeCell ref="RII65:RIR65"/>
    <mergeCell ref="RIS65:RJB65"/>
    <mergeCell ref="RUQ65:RUZ65"/>
    <mergeCell ref="RVA65:RVJ65"/>
    <mergeCell ref="RVK65:RVT65"/>
    <mergeCell ref="RVU65:RWD65"/>
    <mergeCell ref="RWE65:RWN65"/>
    <mergeCell ref="RSS65:RTB65"/>
    <mergeCell ref="RTC65:RTL65"/>
    <mergeCell ref="RTM65:RTV65"/>
    <mergeCell ref="RTW65:RUF65"/>
    <mergeCell ref="RUG65:RUP65"/>
    <mergeCell ref="RQU65:RRD65"/>
    <mergeCell ref="RRE65:RRN65"/>
    <mergeCell ref="RRO65:RRX65"/>
    <mergeCell ref="RRY65:RSH65"/>
    <mergeCell ref="RSI65:RSR65"/>
    <mergeCell ref="ROW65:RPF65"/>
    <mergeCell ref="RPG65:RPP65"/>
    <mergeCell ref="RPQ65:RPZ65"/>
    <mergeCell ref="RQA65:RQJ65"/>
    <mergeCell ref="RQK65:RQT65"/>
    <mergeCell ref="SCI65:SCR65"/>
    <mergeCell ref="SCS65:SDB65"/>
    <mergeCell ref="SDC65:SDL65"/>
    <mergeCell ref="SDM65:SDV65"/>
    <mergeCell ref="SDW65:SEF65"/>
    <mergeCell ref="SAK65:SAT65"/>
    <mergeCell ref="SAU65:SBD65"/>
    <mergeCell ref="SBE65:SBN65"/>
    <mergeCell ref="SBO65:SBX65"/>
    <mergeCell ref="SBY65:SCH65"/>
    <mergeCell ref="RYM65:RYV65"/>
    <mergeCell ref="RYW65:RZF65"/>
    <mergeCell ref="RZG65:RZP65"/>
    <mergeCell ref="RZQ65:RZZ65"/>
    <mergeCell ref="SAA65:SAJ65"/>
    <mergeCell ref="RWO65:RWX65"/>
    <mergeCell ref="RWY65:RXH65"/>
    <mergeCell ref="RXI65:RXR65"/>
    <mergeCell ref="RXS65:RYB65"/>
    <mergeCell ref="RYC65:RYL65"/>
    <mergeCell ref="SKA65:SKJ65"/>
    <mergeCell ref="SKK65:SKT65"/>
    <mergeCell ref="SKU65:SLD65"/>
    <mergeCell ref="SLE65:SLN65"/>
    <mergeCell ref="SLO65:SLX65"/>
    <mergeCell ref="SIC65:SIL65"/>
    <mergeCell ref="SIM65:SIV65"/>
    <mergeCell ref="SIW65:SJF65"/>
    <mergeCell ref="SJG65:SJP65"/>
    <mergeCell ref="SJQ65:SJZ65"/>
    <mergeCell ref="SGE65:SGN65"/>
    <mergeCell ref="SGO65:SGX65"/>
    <mergeCell ref="SGY65:SHH65"/>
    <mergeCell ref="SHI65:SHR65"/>
    <mergeCell ref="SHS65:SIB65"/>
    <mergeCell ref="SEG65:SEP65"/>
    <mergeCell ref="SEQ65:SEZ65"/>
    <mergeCell ref="SFA65:SFJ65"/>
    <mergeCell ref="SFK65:SFT65"/>
    <mergeCell ref="SFU65:SGD65"/>
    <mergeCell ref="SRS65:SSB65"/>
    <mergeCell ref="SSC65:SSL65"/>
    <mergeCell ref="SSM65:SSV65"/>
    <mergeCell ref="SSW65:STF65"/>
    <mergeCell ref="STG65:STP65"/>
    <mergeCell ref="SPU65:SQD65"/>
    <mergeCell ref="SQE65:SQN65"/>
    <mergeCell ref="SQO65:SQX65"/>
    <mergeCell ref="SQY65:SRH65"/>
    <mergeCell ref="SRI65:SRR65"/>
    <mergeCell ref="SNW65:SOF65"/>
    <mergeCell ref="SOG65:SOP65"/>
    <mergeCell ref="SOQ65:SOZ65"/>
    <mergeCell ref="SPA65:SPJ65"/>
    <mergeCell ref="SPK65:SPT65"/>
    <mergeCell ref="SLY65:SMH65"/>
    <mergeCell ref="SMI65:SMR65"/>
    <mergeCell ref="SMS65:SNB65"/>
    <mergeCell ref="SNC65:SNL65"/>
    <mergeCell ref="SNM65:SNV65"/>
    <mergeCell ref="SZK65:SZT65"/>
    <mergeCell ref="SZU65:TAD65"/>
    <mergeCell ref="TAE65:TAN65"/>
    <mergeCell ref="TAO65:TAX65"/>
    <mergeCell ref="TAY65:TBH65"/>
    <mergeCell ref="SXM65:SXV65"/>
    <mergeCell ref="SXW65:SYF65"/>
    <mergeCell ref="SYG65:SYP65"/>
    <mergeCell ref="SYQ65:SYZ65"/>
    <mergeCell ref="SZA65:SZJ65"/>
    <mergeCell ref="SVO65:SVX65"/>
    <mergeCell ref="SVY65:SWH65"/>
    <mergeCell ref="SWI65:SWR65"/>
    <mergeCell ref="SWS65:SXB65"/>
    <mergeCell ref="SXC65:SXL65"/>
    <mergeCell ref="STQ65:STZ65"/>
    <mergeCell ref="SUA65:SUJ65"/>
    <mergeCell ref="SUK65:SUT65"/>
    <mergeCell ref="SUU65:SVD65"/>
    <mergeCell ref="SVE65:SVN65"/>
    <mergeCell ref="THC65:THL65"/>
    <mergeCell ref="THM65:THV65"/>
    <mergeCell ref="THW65:TIF65"/>
    <mergeCell ref="TIG65:TIP65"/>
    <mergeCell ref="TIQ65:TIZ65"/>
    <mergeCell ref="TFE65:TFN65"/>
    <mergeCell ref="TFO65:TFX65"/>
    <mergeCell ref="TFY65:TGH65"/>
    <mergeCell ref="TGI65:TGR65"/>
    <mergeCell ref="TGS65:THB65"/>
    <mergeCell ref="TDG65:TDP65"/>
    <mergeCell ref="TDQ65:TDZ65"/>
    <mergeCell ref="TEA65:TEJ65"/>
    <mergeCell ref="TEK65:TET65"/>
    <mergeCell ref="TEU65:TFD65"/>
    <mergeCell ref="TBI65:TBR65"/>
    <mergeCell ref="TBS65:TCB65"/>
    <mergeCell ref="TCC65:TCL65"/>
    <mergeCell ref="TCM65:TCV65"/>
    <mergeCell ref="TCW65:TDF65"/>
    <mergeCell ref="TOU65:TPD65"/>
    <mergeCell ref="TPE65:TPN65"/>
    <mergeCell ref="TPO65:TPX65"/>
    <mergeCell ref="TPY65:TQH65"/>
    <mergeCell ref="TQI65:TQR65"/>
    <mergeCell ref="TMW65:TNF65"/>
    <mergeCell ref="TNG65:TNP65"/>
    <mergeCell ref="TNQ65:TNZ65"/>
    <mergeCell ref="TOA65:TOJ65"/>
    <mergeCell ref="TOK65:TOT65"/>
    <mergeCell ref="TKY65:TLH65"/>
    <mergeCell ref="TLI65:TLR65"/>
    <mergeCell ref="TLS65:TMB65"/>
    <mergeCell ref="TMC65:TML65"/>
    <mergeCell ref="TMM65:TMV65"/>
    <mergeCell ref="TJA65:TJJ65"/>
    <mergeCell ref="TJK65:TJT65"/>
    <mergeCell ref="TJU65:TKD65"/>
    <mergeCell ref="TKE65:TKN65"/>
    <mergeCell ref="TKO65:TKX65"/>
    <mergeCell ref="TWM65:TWV65"/>
    <mergeCell ref="TWW65:TXF65"/>
    <mergeCell ref="TXG65:TXP65"/>
    <mergeCell ref="TXQ65:TXZ65"/>
    <mergeCell ref="TYA65:TYJ65"/>
    <mergeCell ref="TUO65:TUX65"/>
    <mergeCell ref="TUY65:TVH65"/>
    <mergeCell ref="TVI65:TVR65"/>
    <mergeCell ref="TVS65:TWB65"/>
    <mergeCell ref="TWC65:TWL65"/>
    <mergeCell ref="TSQ65:TSZ65"/>
    <mergeCell ref="TTA65:TTJ65"/>
    <mergeCell ref="TTK65:TTT65"/>
    <mergeCell ref="TTU65:TUD65"/>
    <mergeCell ref="TUE65:TUN65"/>
    <mergeCell ref="TQS65:TRB65"/>
    <mergeCell ref="TRC65:TRL65"/>
    <mergeCell ref="TRM65:TRV65"/>
    <mergeCell ref="TRW65:TSF65"/>
    <mergeCell ref="TSG65:TSP65"/>
    <mergeCell ref="UEE65:UEN65"/>
    <mergeCell ref="UEO65:UEX65"/>
    <mergeCell ref="UEY65:UFH65"/>
    <mergeCell ref="UFI65:UFR65"/>
    <mergeCell ref="UFS65:UGB65"/>
    <mergeCell ref="UCG65:UCP65"/>
    <mergeCell ref="UCQ65:UCZ65"/>
    <mergeCell ref="UDA65:UDJ65"/>
    <mergeCell ref="UDK65:UDT65"/>
    <mergeCell ref="UDU65:UED65"/>
    <mergeCell ref="UAI65:UAR65"/>
    <mergeCell ref="UAS65:UBB65"/>
    <mergeCell ref="UBC65:UBL65"/>
    <mergeCell ref="UBM65:UBV65"/>
    <mergeCell ref="UBW65:UCF65"/>
    <mergeCell ref="TYK65:TYT65"/>
    <mergeCell ref="TYU65:TZD65"/>
    <mergeCell ref="TZE65:TZN65"/>
    <mergeCell ref="TZO65:TZX65"/>
    <mergeCell ref="TZY65:UAH65"/>
    <mergeCell ref="ULW65:UMF65"/>
    <mergeCell ref="UMG65:UMP65"/>
    <mergeCell ref="UMQ65:UMZ65"/>
    <mergeCell ref="UNA65:UNJ65"/>
    <mergeCell ref="UNK65:UNT65"/>
    <mergeCell ref="UJY65:UKH65"/>
    <mergeCell ref="UKI65:UKR65"/>
    <mergeCell ref="UKS65:ULB65"/>
    <mergeCell ref="ULC65:ULL65"/>
    <mergeCell ref="ULM65:ULV65"/>
    <mergeCell ref="UIA65:UIJ65"/>
    <mergeCell ref="UIK65:UIT65"/>
    <mergeCell ref="UIU65:UJD65"/>
    <mergeCell ref="UJE65:UJN65"/>
    <mergeCell ref="UJO65:UJX65"/>
    <mergeCell ref="UGC65:UGL65"/>
    <mergeCell ref="UGM65:UGV65"/>
    <mergeCell ref="UGW65:UHF65"/>
    <mergeCell ref="UHG65:UHP65"/>
    <mergeCell ref="UHQ65:UHZ65"/>
    <mergeCell ref="UTO65:UTX65"/>
    <mergeCell ref="UTY65:UUH65"/>
    <mergeCell ref="UUI65:UUR65"/>
    <mergeCell ref="UUS65:UVB65"/>
    <mergeCell ref="UVC65:UVL65"/>
    <mergeCell ref="URQ65:URZ65"/>
    <mergeCell ref="USA65:USJ65"/>
    <mergeCell ref="USK65:UST65"/>
    <mergeCell ref="USU65:UTD65"/>
    <mergeCell ref="UTE65:UTN65"/>
    <mergeCell ref="UPS65:UQB65"/>
    <mergeCell ref="UQC65:UQL65"/>
    <mergeCell ref="UQM65:UQV65"/>
    <mergeCell ref="UQW65:URF65"/>
    <mergeCell ref="URG65:URP65"/>
    <mergeCell ref="UNU65:UOD65"/>
    <mergeCell ref="UOE65:UON65"/>
    <mergeCell ref="UOO65:UOX65"/>
    <mergeCell ref="UOY65:UPH65"/>
    <mergeCell ref="UPI65:UPR65"/>
    <mergeCell ref="VBG65:VBP65"/>
    <mergeCell ref="VBQ65:VBZ65"/>
    <mergeCell ref="VCA65:VCJ65"/>
    <mergeCell ref="VCK65:VCT65"/>
    <mergeCell ref="VCU65:VDD65"/>
    <mergeCell ref="UZI65:UZR65"/>
    <mergeCell ref="UZS65:VAB65"/>
    <mergeCell ref="VAC65:VAL65"/>
    <mergeCell ref="VAM65:VAV65"/>
    <mergeCell ref="VAW65:VBF65"/>
    <mergeCell ref="UXK65:UXT65"/>
    <mergeCell ref="UXU65:UYD65"/>
    <mergeCell ref="UYE65:UYN65"/>
    <mergeCell ref="UYO65:UYX65"/>
    <mergeCell ref="UYY65:UZH65"/>
    <mergeCell ref="UVM65:UVV65"/>
    <mergeCell ref="UVW65:UWF65"/>
    <mergeCell ref="UWG65:UWP65"/>
    <mergeCell ref="UWQ65:UWZ65"/>
    <mergeCell ref="UXA65:UXJ65"/>
    <mergeCell ref="VIY65:VJH65"/>
    <mergeCell ref="VJI65:VJR65"/>
    <mergeCell ref="VJS65:VKB65"/>
    <mergeCell ref="VKC65:VKL65"/>
    <mergeCell ref="VKM65:VKV65"/>
    <mergeCell ref="VHA65:VHJ65"/>
    <mergeCell ref="VHK65:VHT65"/>
    <mergeCell ref="VHU65:VID65"/>
    <mergeCell ref="VIE65:VIN65"/>
    <mergeCell ref="VIO65:VIX65"/>
    <mergeCell ref="VFC65:VFL65"/>
    <mergeCell ref="VFM65:VFV65"/>
    <mergeCell ref="VFW65:VGF65"/>
    <mergeCell ref="VGG65:VGP65"/>
    <mergeCell ref="VGQ65:VGZ65"/>
    <mergeCell ref="VDE65:VDN65"/>
    <mergeCell ref="VDO65:VDX65"/>
    <mergeCell ref="VDY65:VEH65"/>
    <mergeCell ref="VEI65:VER65"/>
    <mergeCell ref="VES65:VFB65"/>
    <mergeCell ref="VQQ65:VQZ65"/>
    <mergeCell ref="VRA65:VRJ65"/>
    <mergeCell ref="VRK65:VRT65"/>
    <mergeCell ref="VRU65:VSD65"/>
    <mergeCell ref="VSE65:VSN65"/>
    <mergeCell ref="VOS65:VPB65"/>
    <mergeCell ref="VPC65:VPL65"/>
    <mergeCell ref="VPM65:VPV65"/>
    <mergeCell ref="VPW65:VQF65"/>
    <mergeCell ref="VQG65:VQP65"/>
    <mergeCell ref="VMU65:VND65"/>
    <mergeCell ref="VNE65:VNN65"/>
    <mergeCell ref="VNO65:VNX65"/>
    <mergeCell ref="VNY65:VOH65"/>
    <mergeCell ref="VOI65:VOR65"/>
    <mergeCell ref="VKW65:VLF65"/>
    <mergeCell ref="VLG65:VLP65"/>
    <mergeCell ref="VLQ65:VLZ65"/>
    <mergeCell ref="VMA65:VMJ65"/>
    <mergeCell ref="VMK65:VMT65"/>
    <mergeCell ref="VYI65:VYR65"/>
    <mergeCell ref="VYS65:VZB65"/>
    <mergeCell ref="VZC65:VZL65"/>
    <mergeCell ref="VZM65:VZV65"/>
    <mergeCell ref="VZW65:WAF65"/>
    <mergeCell ref="VWK65:VWT65"/>
    <mergeCell ref="VWU65:VXD65"/>
    <mergeCell ref="VXE65:VXN65"/>
    <mergeCell ref="VXO65:VXX65"/>
    <mergeCell ref="VXY65:VYH65"/>
    <mergeCell ref="VUM65:VUV65"/>
    <mergeCell ref="VUW65:VVF65"/>
    <mergeCell ref="VVG65:VVP65"/>
    <mergeCell ref="VVQ65:VVZ65"/>
    <mergeCell ref="VWA65:VWJ65"/>
    <mergeCell ref="VSO65:VSX65"/>
    <mergeCell ref="VSY65:VTH65"/>
    <mergeCell ref="VTI65:VTR65"/>
    <mergeCell ref="VTS65:VUB65"/>
    <mergeCell ref="VUC65:VUL65"/>
    <mergeCell ref="WGA65:WGJ65"/>
    <mergeCell ref="WGK65:WGT65"/>
    <mergeCell ref="WGU65:WHD65"/>
    <mergeCell ref="WHE65:WHN65"/>
    <mergeCell ref="WHO65:WHX65"/>
    <mergeCell ref="WEC65:WEL65"/>
    <mergeCell ref="WEM65:WEV65"/>
    <mergeCell ref="WEW65:WFF65"/>
    <mergeCell ref="WFG65:WFP65"/>
    <mergeCell ref="WFQ65:WFZ65"/>
    <mergeCell ref="WCE65:WCN65"/>
    <mergeCell ref="WCO65:WCX65"/>
    <mergeCell ref="WCY65:WDH65"/>
    <mergeCell ref="WDI65:WDR65"/>
    <mergeCell ref="WDS65:WEB65"/>
    <mergeCell ref="WAG65:WAP65"/>
    <mergeCell ref="WAQ65:WAZ65"/>
    <mergeCell ref="WBA65:WBJ65"/>
    <mergeCell ref="WBK65:WBT65"/>
    <mergeCell ref="WBU65:WCD65"/>
    <mergeCell ref="WNS65:WOB65"/>
    <mergeCell ref="WOC65:WOL65"/>
    <mergeCell ref="WOM65:WOV65"/>
    <mergeCell ref="WOW65:WPF65"/>
    <mergeCell ref="WPG65:WPP65"/>
    <mergeCell ref="WLU65:WMD65"/>
    <mergeCell ref="WME65:WMN65"/>
    <mergeCell ref="WMO65:WMX65"/>
    <mergeCell ref="WMY65:WNH65"/>
    <mergeCell ref="WNI65:WNR65"/>
    <mergeCell ref="WJW65:WKF65"/>
    <mergeCell ref="WKG65:WKP65"/>
    <mergeCell ref="WKQ65:WKZ65"/>
    <mergeCell ref="WLA65:WLJ65"/>
    <mergeCell ref="WLK65:WLT65"/>
    <mergeCell ref="WHY65:WIH65"/>
    <mergeCell ref="WII65:WIR65"/>
    <mergeCell ref="WIS65:WJB65"/>
    <mergeCell ref="WJC65:WJL65"/>
    <mergeCell ref="WJM65:WJV65"/>
    <mergeCell ref="WWO65:WWX65"/>
    <mergeCell ref="WWY65:WXH65"/>
    <mergeCell ref="WTM65:WTV65"/>
    <mergeCell ref="WTW65:WUF65"/>
    <mergeCell ref="WUG65:WUP65"/>
    <mergeCell ref="WUQ65:WUZ65"/>
    <mergeCell ref="WVA65:WVJ65"/>
    <mergeCell ref="WRO65:WRX65"/>
    <mergeCell ref="WRY65:WSH65"/>
    <mergeCell ref="WSI65:WSR65"/>
    <mergeCell ref="WSS65:WTB65"/>
    <mergeCell ref="WTC65:WTL65"/>
    <mergeCell ref="WPQ65:WPZ65"/>
    <mergeCell ref="WQA65:WQJ65"/>
    <mergeCell ref="WQK65:WQT65"/>
    <mergeCell ref="WQU65:WRD65"/>
    <mergeCell ref="WRE65:WRN65"/>
    <mergeCell ref="XFA65:XFD65"/>
    <mergeCell ref="XDC65:XDL65"/>
    <mergeCell ref="J21:J27"/>
    <mergeCell ref="L21:L27"/>
    <mergeCell ref="A21:A31"/>
    <mergeCell ref="H1:J1"/>
    <mergeCell ref="H2:J10"/>
    <mergeCell ref="A63:B63"/>
    <mergeCell ref="A62:B62"/>
    <mergeCell ref="A1:B1"/>
    <mergeCell ref="XDM65:XDV65"/>
    <mergeCell ref="XDW65:XEF65"/>
    <mergeCell ref="XEG65:XEP65"/>
    <mergeCell ref="XEQ65:XEZ65"/>
    <mergeCell ref="XBE65:XBN65"/>
    <mergeCell ref="XBO65:XBX65"/>
    <mergeCell ref="XBY65:XCH65"/>
    <mergeCell ref="XCI65:XCR65"/>
    <mergeCell ref="XCS65:XDB65"/>
    <mergeCell ref="WZG65:WZP65"/>
    <mergeCell ref="WZQ65:WZZ65"/>
    <mergeCell ref="XAA65:XAJ65"/>
    <mergeCell ref="XAK65:XAT65"/>
    <mergeCell ref="XAU65:XBD65"/>
    <mergeCell ref="WXI65:WXR65"/>
    <mergeCell ref="WXS65:WYB65"/>
    <mergeCell ref="WYC65:WYL65"/>
    <mergeCell ref="WYM65:WYV65"/>
    <mergeCell ref="WYW65:WZF65"/>
    <mergeCell ref="WVK65:WVT65"/>
    <mergeCell ref="WVU65:WWD65"/>
    <mergeCell ref="WWE65:WWN65"/>
  </mergeCells>
  <printOptions horizontalCentered="1"/>
  <pageMargins left="0.5" right="0.5" top="1" bottom="0.75" header="0.3" footer="0.3"/>
  <pageSetup fitToHeight="5" orientation="landscape" r:id="rId1"/>
  <headerFooter>
    <oddHeader xml:space="preserve">&amp;L&amp;"-,Bold"&amp;12Horseshoe Casino Impact Funds&amp;"-,Regular"&amp;11
Progress Reporting
</oddHeader>
    <oddFooter>&amp;L&amp;D&amp;R&amp;P</oddFooter>
  </headerFooter>
  <rowBreaks count="1" manualBreakCount="1">
    <brk id="36"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106" zoomScaleNormal="106" zoomScalePageLayoutView="106" workbookViewId="0">
      <selection activeCell="N13" sqref="N13"/>
    </sheetView>
  </sheetViews>
  <sheetFormatPr defaultColWidth="8.85546875" defaultRowHeight="15" x14ac:dyDescent="0.25"/>
  <cols>
    <col min="1" max="1" width="31" style="654" customWidth="1"/>
    <col min="2" max="6" width="12.7109375" style="654" customWidth="1"/>
    <col min="7" max="7" width="20.7109375" style="654" customWidth="1"/>
    <col min="8" max="16384" width="8.85546875" style="654"/>
  </cols>
  <sheetData>
    <row r="1" spans="1:8" x14ac:dyDescent="0.25">
      <c r="A1" s="536" t="s">
        <v>24</v>
      </c>
      <c r="B1" s="1159" t="str">
        <f>'YEAR 4--FY''18'!AC1</f>
        <v>FY18</v>
      </c>
      <c r="C1" s="1160"/>
      <c r="D1" s="1160"/>
      <c r="E1" s="1160"/>
      <c r="F1" s="1161"/>
      <c r="G1" s="536" t="s">
        <v>21</v>
      </c>
    </row>
    <row r="2" spans="1:8" x14ac:dyDescent="0.25">
      <c r="A2" s="537" t="s">
        <v>11</v>
      </c>
      <c r="B2" s="1162" t="str">
        <f>'YEAR 4--FY''18'!B20</f>
        <v>Parks Capital: Stabilize Fed Hill Park East slope</v>
      </c>
      <c r="C2" s="1163"/>
      <c r="D2" s="1163"/>
      <c r="E2" s="1163"/>
      <c r="F2" s="1164"/>
      <c r="G2" s="538"/>
    </row>
    <row r="3" spans="1:8" x14ac:dyDescent="0.25">
      <c r="A3" s="537" t="s">
        <v>26</v>
      </c>
      <c r="B3" s="1165" t="str">
        <f>'YEAR 4--FY''18'!D20</f>
        <v>BCRP-Capital &amp; Plan</v>
      </c>
      <c r="C3" s="1163"/>
      <c r="D3" s="1163"/>
      <c r="E3" s="1163"/>
      <c r="F3" s="1164"/>
      <c r="G3" s="539"/>
    </row>
    <row r="4" spans="1:8" x14ac:dyDescent="0.25">
      <c r="A4" s="537" t="s">
        <v>13</v>
      </c>
      <c r="B4" s="1162" t="str">
        <f>'YEAR 4--FY''18'!C20</f>
        <v>--</v>
      </c>
      <c r="C4" s="1163"/>
      <c r="D4" s="1163"/>
      <c r="E4" s="1163"/>
      <c r="F4" s="1164"/>
      <c r="G4" s="539"/>
    </row>
    <row r="5" spans="1:8" ht="15.75" thickBot="1" x14ac:dyDescent="0.3">
      <c r="A5" s="540" t="s">
        <v>12</v>
      </c>
      <c r="B5" s="1209" t="str">
        <f>'YEAR 4--FY''18'!E20</f>
        <v>1-Time</v>
      </c>
      <c r="C5" s="1190"/>
      <c r="D5" s="1190"/>
      <c r="E5" s="1190"/>
      <c r="F5" s="1191"/>
      <c r="G5" s="539"/>
    </row>
    <row r="6" spans="1:8" s="655" customFormat="1" ht="24.95" customHeight="1" x14ac:dyDescent="0.25">
      <c r="A6" s="42" t="s">
        <v>14</v>
      </c>
      <c r="B6" s="1169" t="s">
        <v>512</v>
      </c>
      <c r="C6" s="1170"/>
      <c r="D6" s="1173" t="str">
        <f>'YEAR 4--FY''18'!P1</f>
        <v>FY'17 Carry-Fwd</v>
      </c>
      <c r="E6" s="1174"/>
      <c r="F6" s="813" t="s">
        <v>129</v>
      </c>
      <c r="G6" s="539"/>
    </row>
    <row r="7" spans="1:8" ht="15.75" thickBot="1" x14ac:dyDescent="0.3">
      <c r="A7" s="543"/>
      <c r="B7" s="1171">
        <f>'YEAR 4--FY''18'!Q20</f>
        <v>150000</v>
      </c>
      <c r="C7" s="1253"/>
      <c r="D7" s="1252">
        <f>F7-B7</f>
        <v>0</v>
      </c>
      <c r="E7" s="1253"/>
      <c r="F7" s="350">
        <f>'YEAR 4--FY''18'!R20</f>
        <v>150000</v>
      </c>
      <c r="G7" s="545"/>
    </row>
    <row r="8" spans="1:8" ht="33" customHeight="1" x14ac:dyDescent="0.25">
      <c r="A8" s="546" t="s">
        <v>22</v>
      </c>
      <c r="B8" s="547" t="s">
        <v>15</v>
      </c>
      <c r="C8" s="548" t="s">
        <v>16</v>
      </c>
      <c r="D8" s="548" t="s">
        <v>17</v>
      </c>
      <c r="E8" s="548" t="s">
        <v>18</v>
      </c>
      <c r="F8" s="549" t="s">
        <v>19</v>
      </c>
      <c r="G8" s="550" t="s">
        <v>20</v>
      </c>
    </row>
    <row r="9" spans="1:8" s="824" customFormat="1" ht="33" customHeight="1" x14ac:dyDescent="0.25">
      <c r="A9" s="551" t="s">
        <v>663</v>
      </c>
      <c r="B9" s="358">
        <v>0</v>
      </c>
      <c r="C9" s="359">
        <v>0</v>
      </c>
      <c r="D9" s="359">
        <v>0</v>
      </c>
      <c r="E9" s="359">
        <v>0</v>
      </c>
      <c r="F9" s="360">
        <f>SUM(B9:E9)</f>
        <v>0</v>
      </c>
      <c r="G9" s="139">
        <f>-F9+H9</f>
        <v>30400</v>
      </c>
      <c r="H9" s="824">
        <f>30400</f>
        <v>30400</v>
      </c>
    </row>
    <row r="10" spans="1:8" s="655" customFormat="1" ht="30.75" thickBot="1" x14ac:dyDescent="0.3">
      <c r="A10" s="135" t="s">
        <v>664</v>
      </c>
      <c r="B10" s="358">
        <v>0</v>
      </c>
      <c r="C10" s="359">
        <v>0</v>
      </c>
      <c r="D10" s="359">
        <v>0</v>
      </c>
      <c r="E10" s="359">
        <v>0</v>
      </c>
      <c r="F10" s="360">
        <f>SUM(B10:E10)</f>
        <v>0</v>
      </c>
      <c r="G10" s="139">
        <f>H10-F10</f>
        <v>119600</v>
      </c>
      <c r="H10" s="252">
        <f>F7-H9</f>
        <v>119600</v>
      </c>
    </row>
    <row r="11" spans="1:8" s="655" customFormat="1" ht="32.25" customHeight="1" thickBot="1" x14ac:dyDescent="0.3">
      <c r="A11" s="326" t="s">
        <v>25</v>
      </c>
      <c r="B11" s="383">
        <f>B10</f>
        <v>0</v>
      </c>
      <c r="C11" s="384">
        <f>C10</f>
        <v>0</v>
      </c>
      <c r="D11" s="384">
        <f>D10</f>
        <v>0</v>
      </c>
      <c r="E11" s="396">
        <f>E10</f>
        <v>0</v>
      </c>
      <c r="F11" s="385">
        <f>B11+C11+D11+E11</f>
        <v>0</v>
      </c>
      <c r="G11" s="726">
        <f>F7-F11</f>
        <v>150000</v>
      </c>
    </row>
    <row r="12" spans="1:8" ht="39.950000000000003" customHeight="1" thickBot="1" x14ac:dyDescent="0.3">
      <c r="A12" s="1180" t="s">
        <v>662</v>
      </c>
      <c r="B12" s="1295"/>
      <c r="C12" s="1295"/>
      <c r="D12" s="1295"/>
      <c r="E12" s="1295"/>
      <c r="F12" s="1295"/>
      <c r="G12" s="1296"/>
    </row>
    <row r="13" spans="1:8" ht="110.1" customHeight="1" thickBot="1" x14ac:dyDescent="0.3">
      <c r="A13" s="1180" t="s">
        <v>661</v>
      </c>
      <c r="B13" s="1181"/>
      <c r="C13" s="1181"/>
      <c r="D13" s="1181"/>
      <c r="E13" s="1181"/>
      <c r="F13" s="1181"/>
      <c r="G13" s="1182"/>
    </row>
  </sheetData>
  <mergeCells count="11">
    <mergeCell ref="A13:G13"/>
    <mergeCell ref="B7:C7"/>
    <mergeCell ref="D7:E7"/>
    <mergeCell ref="A12:G12"/>
    <mergeCell ref="B1:F1"/>
    <mergeCell ref="B2:F2"/>
    <mergeCell ref="B3:F3"/>
    <mergeCell ref="B4:F4"/>
    <mergeCell ref="B5:F5"/>
    <mergeCell ref="B6:C6"/>
    <mergeCell ref="D6:E6"/>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24" zoomScaleNormal="124" zoomScalePageLayoutView="82" workbookViewId="0">
      <selection activeCell="L12" sqref="L12"/>
    </sheetView>
  </sheetViews>
  <sheetFormatPr defaultColWidth="8.85546875" defaultRowHeight="15" x14ac:dyDescent="0.25"/>
  <cols>
    <col min="1" max="1" width="31" style="110" customWidth="1"/>
    <col min="2" max="6" width="13.7109375" style="110" customWidth="1"/>
    <col min="7" max="7" width="20.7109375" style="110" customWidth="1"/>
    <col min="8" max="16384" width="8.85546875" style="110"/>
  </cols>
  <sheetData>
    <row r="1" spans="1:7" x14ac:dyDescent="0.25">
      <c r="A1" s="19" t="s">
        <v>24</v>
      </c>
      <c r="B1" s="1159" t="str">
        <f>'YEAR 4--FY''18'!AC1</f>
        <v>FY18</v>
      </c>
      <c r="C1" s="1160"/>
      <c r="D1" s="1160"/>
      <c r="E1" s="1160"/>
      <c r="F1" s="1161"/>
      <c r="G1" s="19" t="s">
        <v>21</v>
      </c>
    </row>
    <row r="2" spans="1:7" x14ac:dyDescent="0.25">
      <c r="A2" s="20" t="s">
        <v>11</v>
      </c>
      <c r="B2" s="1162" t="str">
        <f>'YEAR 4--FY''18'!B21</f>
        <v>Middle Branch Waterfront Plan/Study</v>
      </c>
      <c r="C2" s="1163"/>
      <c r="D2" s="1163"/>
      <c r="E2" s="1163"/>
      <c r="F2" s="1164"/>
      <c r="G2" s="44"/>
    </row>
    <row r="3" spans="1:7" x14ac:dyDescent="0.25">
      <c r="A3" s="20" t="s">
        <v>26</v>
      </c>
      <c r="B3" s="1165" t="str">
        <f>'YEAR 4--FY''18'!D20</f>
        <v>BCRP-Capital &amp; Plan</v>
      </c>
      <c r="C3" s="1163"/>
      <c r="D3" s="1163"/>
      <c r="E3" s="1163"/>
      <c r="F3" s="1164"/>
      <c r="G3" s="45"/>
    </row>
    <row r="4" spans="1:7" x14ac:dyDescent="0.25">
      <c r="A4" s="20" t="s">
        <v>13</v>
      </c>
      <c r="B4" s="1162" t="str">
        <f>'YEAR 4--FY''18'!C20</f>
        <v>--</v>
      </c>
      <c r="C4" s="1163"/>
      <c r="D4" s="1163"/>
      <c r="E4" s="1163"/>
      <c r="F4" s="1164"/>
      <c r="G4" s="45"/>
    </row>
    <row r="5" spans="1:7" ht="15.75" thickBot="1" x14ac:dyDescent="0.3">
      <c r="A5" s="21" t="s">
        <v>12</v>
      </c>
      <c r="B5" s="1209" t="str">
        <f>'YEAR 4--FY''18'!E20</f>
        <v>1-Time</v>
      </c>
      <c r="C5" s="1190"/>
      <c r="D5" s="1190"/>
      <c r="E5" s="1190"/>
      <c r="F5" s="1191"/>
      <c r="G5" s="45"/>
    </row>
    <row r="6" spans="1:7" s="655" customFormat="1" ht="24.95" customHeight="1" x14ac:dyDescent="0.25">
      <c r="A6" s="42" t="s">
        <v>14</v>
      </c>
      <c r="B6" s="1169" t="s">
        <v>512</v>
      </c>
      <c r="C6" s="1170"/>
      <c r="D6" s="1173" t="str">
        <f>'YEAR 4--FY''18'!P1</f>
        <v>FY'17 Carry-Fwd</v>
      </c>
      <c r="E6" s="1174"/>
      <c r="F6" s="813" t="s">
        <v>129</v>
      </c>
      <c r="G6" s="539"/>
    </row>
    <row r="7" spans="1:7" ht="15.75" thickBot="1" x14ac:dyDescent="0.3">
      <c r="A7" s="18"/>
      <c r="B7" s="1171">
        <f>'YEAR 4--FY''18'!Q21</f>
        <v>0</v>
      </c>
      <c r="C7" s="1253"/>
      <c r="D7" s="1252">
        <f>F7-B7</f>
        <v>200000</v>
      </c>
      <c r="E7" s="1253"/>
      <c r="F7" s="350">
        <f>'YEAR 4--FY''18'!R21</f>
        <v>200000</v>
      </c>
      <c r="G7" s="46"/>
    </row>
    <row r="8" spans="1:7" ht="33" customHeight="1" x14ac:dyDescent="0.25">
      <c r="A8" s="113" t="s">
        <v>22</v>
      </c>
      <c r="B8" s="115" t="s">
        <v>15</v>
      </c>
      <c r="C8" s="114" t="s">
        <v>16</v>
      </c>
      <c r="D8" s="114" t="s">
        <v>17</v>
      </c>
      <c r="E8" s="114" t="s">
        <v>18</v>
      </c>
      <c r="F8" s="112" t="s">
        <v>19</v>
      </c>
      <c r="G8" s="111" t="s">
        <v>20</v>
      </c>
    </row>
    <row r="9" spans="1:7" s="2" customFormat="1" ht="15.75" thickBot="1" x14ac:dyDescent="0.3">
      <c r="A9" s="135" t="s">
        <v>446</v>
      </c>
      <c r="B9" s="136">
        <v>0</v>
      </c>
      <c r="C9" s="137">
        <v>0</v>
      </c>
      <c r="D9" s="137">
        <v>0</v>
      </c>
      <c r="E9" s="137">
        <v>0</v>
      </c>
      <c r="F9" s="138">
        <f>SUM(B9:E9)</f>
        <v>0</v>
      </c>
      <c r="G9" s="139">
        <f>F7-F9</f>
        <v>200000</v>
      </c>
    </row>
    <row r="10" spans="1:7" s="481" customFormat="1" ht="32.25" customHeight="1" thickBot="1" x14ac:dyDescent="0.3">
      <c r="A10" s="326" t="s">
        <v>25</v>
      </c>
      <c r="B10" s="142">
        <f>SUM(B9:B9)</f>
        <v>0</v>
      </c>
      <c r="C10" s="143">
        <f>SUM(C9:C9)</f>
        <v>0</v>
      </c>
      <c r="D10" s="143">
        <f>SUM(D9:D9)</f>
        <v>0</v>
      </c>
      <c r="E10" s="143">
        <f>SUM(E9:E9)</f>
        <v>0</v>
      </c>
      <c r="F10" s="144">
        <f>SUM(B10:E10)</f>
        <v>0</v>
      </c>
      <c r="G10" s="145">
        <f>F7-F10</f>
        <v>200000</v>
      </c>
    </row>
    <row r="11" spans="1:7" ht="135" customHeight="1" thickBot="1" x14ac:dyDescent="0.3">
      <c r="A11" s="1210" t="s">
        <v>727</v>
      </c>
      <c r="B11" s="1387"/>
      <c r="C11" s="1387"/>
      <c r="D11" s="1387"/>
      <c r="E11" s="1387"/>
      <c r="F11" s="1387"/>
      <c r="G11" s="1388"/>
    </row>
    <row r="12" spans="1:7" s="55" customFormat="1" ht="79.5" customHeight="1" thickBot="1" x14ac:dyDescent="0.3">
      <c r="A12" s="1210" t="s">
        <v>726</v>
      </c>
      <c r="B12" s="1387"/>
      <c r="C12" s="1387"/>
      <c r="D12" s="1387"/>
      <c r="E12" s="1387"/>
      <c r="F12" s="1387"/>
      <c r="G12" s="1388"/>
    </row>
  </sheetData>
  <mergeCells count="11">
    <mergeCell ref="B1:F1"/>
    <mergeCell ref="B2:F2"/>
    <mergeCell ref="B3:F3"/>
    <mergeCell ref="B4:F4"/>
    <mergeCell ref="B5:F5"/>
    <mergeCell ref="A12:G12"/>
    <mergeCell ref="B7:C7"/>
    <mergeCell ref="D7:E7"/>
    <mergeCell ref="A11:G11"/>
    <mergeCell ref="B6:C6"/>
    <mergeCell ref="D6:E6"/>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98" zoomScaleNormal="98" zoomScalePageLayoutView="98" workbookViewId="0">
      <selection activeCell="L12" sqref="L12"/>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8" x14ac:dyDescent="0.25">
      <c r="A1" s="151" t="s">
        <v>24</v>
      </c>
      <c r="B1" s="1159" t="str">
        <f>'YEAR 4--FY''18'!AC1</f>
        <v>FY18</v>
      </c>
      <c r="C1" s="1160"/>
      <c r="D1" s="1160"/>
      <c r="E1" s="1160"/>
      <c r="F1" s="1161"/>
      <c r="G1" s="151" t="s">
        <v>21</v>
      </c>
    </row>
    <row r="2" spans="1:8" x14ac:dyDescent="0.25">
      <c r="A2" s="166" t="s">
        <v>11</v>
      </c>
      <c r="B2" s="1162" t="str">
        <f>'YEAR 4--FY''18'!B23</f>
        <v xml:space="preserve">Community-Police Partnerships: Organizer </v>
      </c>
      <c r="C2" s="1163"/>
      <c r="D2" s="1163"/>
      <c r="E2" s="1163"/>
      <c r="F2" s="1164"/>
      <c r="G2" s="44"/>
    </row>
    <row r="3" spans="1:8" x14ac:dyDescent="0.25">
      <c r="A3" s="166" t="s">
        <v>26</v>
      </c>
      <c r="B3" s="1165" t="str">
        <f>'YEAR 4--FY''18'!D23</f>
        <v>MOCJ</v>
      </c>
      <c r="C3" s="1163"/>
      <c r="D3" s="1163"/>
      <c r="E3" s="1163"/>
      <c r="F3" s="1164"/>
      <c r="G3" s="45"/>
    </row>
    <row r="4" spans="1:8" x14ac:dyDescent="0.25">
      <c r="A4" s="166" t="s">
        <v>13</v>
      </c>
      <c r="B4" s="1162" t="str">
        <f>'YEAR 4--FY''18'!C17</f>
        <v>--</v>
      </c>
      <c r="C4" s="1163"/>
      <c r="D4" s="1163"/>
      <c r="E4" s="1163"/>
      <c r="F4" s="1164"/>
      <c r="G4" s="45"/>
    </row>
    <row r="5" spans="1:8" ht="15.75" thickBot="1" x14ac:dyDescent="0.3">
      <c r="A5" s="152" t="s">
        <v>12</v>
      </c>
      <c r="B5" s="1209" t="str">
        <f>'YEAR 4--FY''18'!E23</f>
        <v>Multi-Year</v>
      </c>
      <c r="C5" s="1190"/>
      <c r="D5" s="1190"/>
      <c r="E5" s="1190"/>
      <c r="F5" s="1191"/>
      <c r="G5" s="45"/>
    </row>
    <row r="6" spans="1:8" s="655" customFormat="1" ht="24.95" customHeight="1" x14ac:dyDescent="0.25">
      <c r="A6" s="42" t="s">
        <v>14</v>
      </c>
      <c r="B6" s="1169" t="s">
        <v>512</v>
      </c>
      <c r="C6" s="1170"/>
      <c r="D6" s="1173" t="str">
        <f>'YEAR 4--FY''18'!P1</f>
        <v>FY'17 Carry-Fwd</v>
      </c>
      <c r="E6" s="1174"/>
      <c r="F6" s="813" t="s">
        <v>129</v>
      </c>
      <c r="G6" s="539"/>
    </row>
    <row r="7" spans="1:8" ht="15.75" thickBot="1" x14ac:dyDescent="0.3">
      <c r="A7" s="150"/>
      <c r="B7" s="1171">
        <f>'YEAR 4--FY''18'!Q23</f>
        <v>50000</v>
      </c>
      <c r="C7" s="1253"/>
      <c r="D7" s="1252">
        <f>F7-B7</f>
        <v>0</v>
      </c>
      <c r="E7" s="1253"/>
      <c r="F7" s="350">
        <f>'YEAR 4--FY''18'!R23</f>
        <v>50000</v>
      </c>
      <c r="G7" s="46"/>
    </row>
    <row r="8" spans="1:8" ht="33" customHeight="1" x14ac:dyDescent="0.25">
      <c r="A8" s="155" t="s">
        <v>22</v>
      </c>
      <c r="B8" s="157" t="s">
        <v>15</v>
      </c>
      <c r="C8" s="156" t="s">
        <v>16</v>
      </c>
      <c r="D8" s="156" t="s">
        <v>17</v>
      </c>
      <c r="E8" s="156" t="s">
        <v>18</v>
      </c>
      <c r="F8" s="154" t="s">
        <v>19</v>
      </c>
      <c r="G8" s="111" t="s">
        <v>20</v>
      </c>
    </row>
    <row r="9" spans="1:8" s="2" customFormat="1" ht="15.75" thickBot="1" x14ac:dyDescent="0.3">
      <c r="A9" s="135" t="s">
        <v>245</v>
      </c>
      <c r="B9" s="136">
        <v>0</v>
      </c>
      <c r="C9" s="137">
        <v>0</v>
      </c>
      <c r="D9" s="137">
        <v>11733</v>
      </c>
      <c r="E9" s="137">
        <v>13394</v>
      </c>
      <c r="F9" s="138">
        <f>SUM(B9:E9)</f>
        <v>25127</v>
      </c>
      <c r="G9" s="139">
        <f>H9-F9</f>
        <v>34873</v>
      </c>
      <c r="H9" s="2">
        <v>60000</v>
      </c>
    </row>
    <row r="10" spans="1:8" s="481" customFormat="1" ht="32.25" customHeight="1" thickBot="1" x14ac:dyDescent="0.3">
      <c r="A10" s="326" t="s">
        <v>25</v>
      </c>
      <c r="B10" s="142">
        <f>SUM(B9:B9)</f>
        <v>0</v>
      </c>
      <c r="C10" s="143">
        <f>SUM(C9:C9)</f>
        <v>0</v>
      </c>
      <c r="D10" s="143">
        <v>11733</v>
      </c>
      <c r="E10" s="143">
        <v>13394</v>
      </c>
      <c r="F10" s="144">
        <f>SUM(B10:E10)</f>
        <v>25127</v>
      </c>
      <c r="G10" s="145">
        <f>G9</f>
        <v>34873</v>
      </c>
    </row>
    <row r="11" spans="1:8" ht="60" customHeight="1" thickBot="1" x14ac:dyDescent="0.3">
      <c r="A11" s="1180" t="s">
        <v>665</v>
      </c>
      <c r="B11" s="1295"/>
      <c r="C11" s="1295"/>
      <c r="D11" s="1295"/>
      <c r="E11" s="1295"/>
      <c r="F11" s="1295"/>
      <c r="G11" s="1296"/>
    </row>
    <row r="12" spans="1:8" ht="110.1" customHeight="1" thickBot="1" x14ac:dyDescent="0.3">
      <c r="A12" s="1180" t="s">
        <v>666</v>
      </c>
      <c r="B12" s="1246"/>
      <c r="C12" s="1246"/>
      <c r="D12" s="1246"/>
      <c r="E12" s="1246"/>
      <c r="F12" s="1246"/>
      <c r="G12" s="1247"/>
    </row>
  </sheetData>
  <mergeCells count="11">
    <mergeCell ref="A12:G12"/>
    <mergeCell ref="B6:C6"/>
    <mergeCell ref="D6:E6"/>
    <mergeCell ref="B1:F1"/>
    <mergeCell ref="B2:F2"/>
    <mergeCell ref="B3:F3"/>
    <mergeCell ref="B4:F4"/>
    <mergeCell ref="B5:F5"/>
    <mergeCell ref="B7:C7"/>
    <mergeCell ref="D7:E7"/>
    <mergeCell ref="A11:G11"/>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91" zoomScaleNormal="91" zoomScalePageLayoutView="91" workbookViewId="0">
      <selection activeCell="B30" sqref="B30"/>
    </sheetView>
  </sheetViews>
  <sheetFormatPr defaultColWidth="8.85546875" defaultRowHeight="15" x14ac:dyDescent="0.25"/>
  <cols>
    <col min="1" max="1" width="36.7109375" style="2" customWidth="1"/>
    <col min="2" max="6" width="11.7109375" style="2" customWidth="1"/>
    <col min="7" max="7" width="20.7109375" style="2" customWidth="1"/>
    <col min="8" max="8" width="30.7109375" style="558" customWidth="1"/>
    <col min="9" max="9" width="40.28515625" style="2" customWidth="1"/>
    <col min="10" max="14" width="8.85546875" style="2"/>
    <col min="15" max="16" width="20.7109375" style="2" customWidth="1"/>
    <col min="17" max="16384" width="8.85546875" style="2"/>
  </cols>
  <sheetData>
    <row r="1" spans="1:16" x14ac:dyDescent="0.25">
      <c r="A1" s="41" t="s">
        <v>24</v>
      </c>
      <c r="B1" s="1351" t="str">
        <f>'[5]YEAR 3--FY''17'!T1</f>
        <v>FY'17</v>
      </c>
      <c r="C1" s="1352"/>
      <c r="D1" s="1352"/>
      <c r="E1" s="1352"/>
      <c r="F1" s="1353"/>
      <c r="G1" s="41" t="s">
        <v>21</v>
      </c>
    </row>
    <row r="2" spans="1:16" x14ac:dyDescent="0.25">
      <c r="A2" s="102" t="s">
        <v>11</v>
      </c>
      <c r="B2" s="1221" t="str">
        <f>'[5]YEAR 3--FY''17'!A23</f>
        <v>Increase Coverage of Citiwatch Camera Program</v>
      </c>
      <c r="C2" s="1222"/>
      <c r="D2" s="1222"/>
      <c r="E2" s="1222"/>
      <c r="F2" s="1223"/>
      <c r="G2" s="103"/>
    </row>
    <row r="3" spans="1:16" x14ac:dyDescent="0.25">
      <c r="A3" s="102" t="s">
        <v>26</v>
      </c>
      <c r="B3" s="1394" t="str">
        <f>'[5]YEAR 3--FY''17'!C23</f>
        <v>MOCJ</v>
      </c>
      <c r="C3" s="1222"/>
      <c r="D3" s="1222"/>
      <c r="E3" s="1222"/>
      <c r="F3" s="1223"/>
      <c r="G3" s="580"/>
    </row>
    <row r="4" spans="1:16" x14ac:dyDescent="0.25">
      <c r="A4" s="102" t="s">
        <v>13</v>
      </c>
      <c r="B4" s="1221" t="str">
        <f>'[5]YEAR 3--FY''17'!B23</f>
        <v>--</v>
      </c>
      <c r="C4" s="1222"/>
      <c r="D4" s="1222"/>
      <c r="E4" s="1222"/>
      <c r="F4" s="1223"/>
      <c r="G4" s="580"/>
    </row>
    <row r="5" spans="1:16" ht="15.75" thickBot="1" x14ac:dyDescent="0.3">
      <c r="A5" s="103" t="s">
        <v>12</v>
      </c>
      <c r="B5" s="1395" t="str">
        <f>'[5]YEAR 3--FY''17'!D23</f>
        <v>Multi-Year</v>
      </c>
      <c r="C5" s="1225"/>
      <c r="D5" s="1225"/>
      <c r="E5" s="1225"/>
      <c r="F5" s="1226"/>
      <c r="G5" s="580"/>
    </row>
    <row r="6" spans="1:16" s="655" customFormat="1" ht="24.95" customHeight="1" x14ac:dyDescent="0.25">
      <c r="A6" s="42" t="s">
        <v>14</v>
      </c>
      <c r="B6" s="1169" t="s">
        <v>512</v>
      </c>
      <c r="C6" s="1170"/>
      <c r="D6" s="1173" t="str">
        <f>'YEAR 4--FY''18'!P1</f>
        <v>FY'17 Carry-Fwd</v>
      </c>
      <c r="E6" s="1174"/>
      <c r="F6" s="813" t="s">
        <v>129</v>
      </c>
      <c r="G6" s="723"/>
    </row>
    <row r="7" spans="1:16" ht="15.75" thickBot="1" x14ac:dyDescent="0.3">
      <c r="A7" s="579"/>
      <c r="B7" s="1171">
        <f>'YEAR 4--FY''18'!Q24</f>
        <v>0</v>
      </c>
      <c r="C7" s="1253"/>
      <c r="D7" s="1252">
        <f>F7-B7</f>
        <v>143411</v>
      </c>
      <c r="E7" s="1253"/>
      <c r="F7" s="350">
        <f>'YEAR 4--FY''18'!R24</f>
        <v>143411</v>
      </c>
      <c r="G7" s="579"/>
    </row>
    <row r="8" spans="1:16" ht="33" customHeight="1" thickBot="1" x14ac:dyDescent="0.3">
      <c r="A8" s="636" t="s">
        <v>22</v>
      </c>
      <c r="B8" s="584" t="s">
        <v>15</v>
      </c>
      <c r="C8" s="566" t="s">
        <v>16</v>
      </c>
      <c r="D8" s="566" t="s">
        <v>17</v>
      </c>
      <c r="E8" s="566" t="s">
        <v>18</v>
      </c>
      <c r="F8" s="585" t="s">
        <v>19</v>
      </c>
      <c r="G8" s="633" t="s">
        <v>20</v>
      </c>
    </row>
    <row r="9" spans="1:16" ht="15" customHeight="1" thickBot="1" x14ac:dyDescent="0.3">
      <c r="A9" s="637" t="s">
        <v>355</v>
      </c>
      <c r="B9" s="1389" t="s">
        <v>358</v>
      </c>
      <c r="C9" s="1390"/>
      <c r="D9" s="1390"/>
      <c r="E9" s="1390"/>
      <c r="F9" s="1391"/>
      <c r="G9" s="603">
        <f>F7</f>
        <v>143411</v>
      </c>
      <c r="H9" s="558" t="s">
        <v>228</v>
      </c>
    </row>
    <row r="10" spans="1:16" s="655" customFormat="1" ht="15" customHeight="1" x14ac:dyDescent="0.25">
      <c r="A10" s="637"/>
      <c r="B10" s="1047"/>
      <c r="C10" s="1048"/>
      <c r="D10" s="1048"/>
      <c r="E10" s="1048"/>
      <c r="F10" s="1049" t="s">
        <v>403</v>
      </c>
      <c r="G10" s="603">
        <v>155000</v>
      </c>
      <c r="H10" s="558"/>
    </row>
    <row r="11" spans="1:16" s="481" customFormat="1" ht="15" customHeight="1" x14ac:dyDescent="0.25">
      <c r="A11" s="638" t="s">
        <v>357</v>
      </c>
      <c r="B11" s="1050"/>
      <c r="C11" s="1045"/>
      <c r="D11" s="1045"/>
      <c r="E11" s="1046"/>
      <c r="F11" s="557">
        <v>9919</v>
      </c>
      <c r="G11" s="582">
        <f>9919-F11</f>
        <v>0</v>
      </c>
      <c r="H11" s="558"/>
    </row>
    <row r="12" spans="1:16" s="481" customFormat="1" ht="15" customHeight="1" x14ac:dyDescent="0.25">
      <c r="A12" s="639" t="s">
        <v>360</v>
      </c>
      <c r="B12" s="1050"/>
      <c r="C12" s="1045"/>
      <c r="D12" s="1045"/>
      <c r="E12" s="1046"/>
      <c r="F12" s="557">
        <v>13717</v>
      </c>
      <c r="G12" s="582">
        <f>13717-F12</f>
        <v>0</v>
      </c>
      <c r="H12" s="558"/>
    </row>
    <row r="13" spans="1:16" s="382" customFormat="1" ht="15" customHeight="1" thickBot="1" x14ac:dyDescent="0.3">
      <c r="A13" s="640" t="s">
        <v>359</v>
      </c>
      <c r="B13" s="1051"/>
      <c r="C13" s="1052"/>
      <c r="D13" s="1052"/>
      <c r="E13" s="1053"/>
      <c r="F13" s="1054">
        <v>129454</v>
      </c>
      <c r="G13" s="587">
        <f>129454-F13</f>
        <v>0</v>
      </c>
      <c r="H13" s="634">
        <v>17000</v>
      </c>
    </row>
    <row r="14" spans="1:16" s="554" customFormat="1" ht="20.100000000000001" customHeight="1" thickBot="1" x14ac:dyDescent="0.3">
      <c r="A14" s="517" t="s">
        <v>243</v>
      </c>
      <c r="B14" s="1042">
        <f>SUM(B9:B13)</f>
        <v>0</v>
      </c>
      <c r="C14" s="1043">
        <f t="shared" ref="C14:E14" si="0">SUM(C9:C13)</f>
        <v>0</v>
      </c>
      <c r="D14" s="1043">
        <f t="shared" si="0"/>
        <v>0</v>
      </c>
      <c r="E14" s="1043">
        <f t="shared" si="0"/>
        <v>0</v>
      </c>
      <c r="F14" s="1044">
        <v>129454</v>
      </c>
      <c r="G14" s="521">
        <f>G9+G10-F14</f>
        <v>168957</v>
      </c>
      <c r="H14" s="635">
        <f>SUM(F11:F13)</f>
        <v>153090</v>
      </c>
    </row>
    <row r="15" spans="1:16" s="382" customFormat="1" ht="15" customHeight="1" x14ac:dyDescent="0.25">
      <c r="A15" s="641" t="s">
        <v>356</v>
      </c>
      <c r="B15" s="1392" t="s">
        <v>358</v>
      </c>
      <c r="C15" s="1393"/>
      <c r="D15" s="1393"/>
      <c r="E15" s="1393"/>
      <c r="F15" s="1312"/>
      <c r="G15" s="602">
        <v>500000</v>
      </c>
      <c r="H15" s="634"/>
      <c r="O15" s="603">
        <v>500000</v>
      </c>
    </row>
    <row r="16" spans="1:16" s="382" customFormat="1" ht="15" customHeight="1" x14ac:dyDescent="0.25">
      <c r="A16" s="1055" t="s">
        <v>580</v>
      </c>
      <c r="B16" s="596">
        <v>31438</v>
      </c>
      <c r="C16" s="593"/>
      <c r="D16" s="593"/>
      <c r="E16" s="589"/>
      <c r="F16" s="595">
        <f t="shared" ref="F16:F17" si="1">SUM(B16:E16)</f>
        <v>31438</v>
      </c>
      <c r="G16" s="588">
        <f>H16-F16</f>
        <v>0</v>
      </c>
      <c r="H16" s="382">
        <v>31438</v>
      </c>
      <c r="I16" s="709" t="s">
        <v>580</v>
      </c>
      <c r="J16" s="900">
        <v>31438</v>
      </c>
      <c r="K16" s="901"/>
      <c r="L16" s="901"/>
      <c r="M16" s="901"/>
      <c r="N16" s="609">
        <f t="shared" ref="N16:N19" si="2">SUM(J16:M16)</f>
        <v>31438</v>
      </c>
      <c r="O16" s="610">
        <f>P16-N16</f>
        <v>0</v>
      </c>
      <c r="P16" s="382">
        <v>31438</v>
      </c>
    </row>
    <row r="17" spans="1:16" s="382" customFormat="1" ht="15" customHeight="1" x14ac:dyDescent="0.25">
      <c r="A17" s="1055" t="s">
        <v>581</v>
      </c>
      <c r="B17" s="594"/>
      <c r="C17" s="593"/>
      <c r="D17" s="593"/>
      <c r="E17" s="589"/>
      <c r="F17" s="595">
        <f t="shared" si="1"/>
        <v>0</v>
      </c>
      <c r="G17" s="588">
        <f>H17-F17</f>
        <v>282517</v>
      </c>
      <c r="H17" s="382">
        <v>282517</v>
      </c>
      <c r="I17" s="709" t="s">
        <v>581</v>
      </c>
      <c r="J17" s="900"/>
      <c r="K17" s="901"/>
      <c r="L17" s="901"/>
      <c r="M17" s="901"/>
      <c r="N17" s="609">
        <f t="shared" si="2"/>
        <v>0</v>
      </c>
      <c r="O17" s="610">
        <f>P17-N17</f>
        <v>282517</v>
      </c>
      <c r="P17" s="382">
        <v>282517</v>
      </c>
    </row>
    <row r="18" spans="1:16" s="347" customFormat="1" ht="15" customHeight="1" x14ac:dyDescent="0.25">
      <c r="A18" s="1055" t="s">
        <v>582</v>
      </c>
      <c r="B18" s="596"/>
      <c r="C18" s="589"/>
      <c r="D18" s="589"/>
      <c r="E18" s="589"/>
      <c r="F18" s="597">
        <f>SUM(B18:E18)</f>
        <v>0</v>
      </c>
      <c r="G18" s="588">
        <f>H18-F18</f>
        <v>38918</v>
      </c>
      <c r="H18" s="347">
        <v>38918</v>
      </c>
      <c r="I18" s="709" t="s">
        <v>582</v>
      </c>
      <c r="J18" s="900"/>
      <c r="K18" s="901"/>
      <c r="L18" s="901"/>
      <c r="M18" s="901"/>
      <c r="N18" s="609">
        <f t="shared" si="2"/>
        <v>0</v>
      </c>
      <c r="O18" s="610">
        <f>P18-N18</f>
        <v>38918</v>
      </c>
      <c r="P18" s="347">
        <v>38918</v>
      </c>
    </row>
    <row r="19" spans="1:16" s="381" customFormat="1" ht="15" customHeight="1" thickBot="1" x14ac:dyDescent="0.3">
      <c r="A19" s="1056" t="s">
        <v>583</v>
      </c>
      <c r="B19" s="598"/>
      <c r="C19" s="599"/>
      <c r="D19" s="599"/>
      <c r="E19" s="600"/>
      <c r="F19" s="601">
        <f>SUM(B19:E19)</f>
        <v>0</v>
      </c>
      <c r="G19" s="588">
        <f>H19-F19</f>
        <v>91832</v>
      </c>
      <c r="H19" s="381">
        <v>91832</v>
      </c>
      <c r="I19" s="710" t="s">
        <v>583</v>
      </c>
      <c r="J19" s="902"/>
      <c r="K19" s="612"/>
      <c r="L19" s="612">
        <v>91832</v>
      </c>
      <c r="M19" s="612"/>
      <c r="N19" s="779">
        <f t="shared" si="2"/>
        <v>91832</v>
      </c>
      <c r="O19" s="610">
        <f>P19-N19</f>
        <v>0</v>
      </c>
      <c r="P19" s="381">
        <v>91832</v>
      </c>
    </row>
    <row r="20" spans="1:16" ht="20.100000000000001" customHeight="1" thickBot="1" x14ac:dyDescent="0.3">
      <c r="A20" s="642" t="s">
        <v>243</v>
      </c>
      <c r="B20" s="590">
        <f>SUM(B18:B19)</f>
        <v>0</v>
      </c>
      <c r="C20" s="591">
        <f>SUM(C18:C19)</f>
        <v>0</v>
      </c>
      <c r="D20" s="591">
        <f>SUM(D18:D19)</f>
        <v>0</v>
      </c>
      <c r="E20" s="591">
        <f>SUM(E18:E19)</f>
        <v>0</v>
      </c>
      <c r="F20" s="592">
        <f>SUM(B20:E20)</f>
        <v>0</v>
      </c>
      <c r="G20" s="608">
        <f>H20-F20</f>
        <v>413267</v>
      </c>
      <c r="H20" s="635">
        <f>SUM(G16:G19)</f>
        <v>413267</v>
      </c>
    </row>
    <row r="21" spans="1:16" ht="20.100000000000001" customHeight="1" thickBot="1" x14ac:dyDescent="0.3">
      <c r="A21" s="517" t="s">
        <v>361</v>
      </c>
      <c r="B21" s="142">
        <f>SUM(B17:B20)</f>
        <v>0</v>
      </c>
      <c r="C21" s="143">
        <f t="shared" ref="C21:D22" si="3">SUM(C17:C20)</f>
        <v>0</v>
      </c>
      <c r="D21" s="143">
        <f t="shared" si="3"/>
        <v>0</v>
      </c>
      <c r="E21" s="143">
        <f>E14+E20</f>
        <v>0</v>
      </c>
      <c r="F21" s="144">
        <v>129454</v>
      </c>
      <c r="G21" s="521">
        <f>F14+SUM(G16:G19)</f>
        <v>542721</v>
      </c>
    </row>
    <row r="22" spans="1:16" s="655" customFormat="1" ht="20.100000000000001" customHeight="1" thickBot="1" x14ac:dyDescent="0.3">
      <c r="A22" s="517" t="s">
        <v>541</v>
      </c>
      <c r="B22" s="142">
        <v>9919</v>
      </c>
      <c r="C22" s="143">
        <v>13717</v>
      </c>
      <c r="D22" s="143">
        <f t="shared" si="3"/>
        <v>0</v>
      </c>
      <c r="E22" s="143">
        <f>E15+E21</f>
        <v>0</v>
      </c>
      <c r="F22" s="144">
        <f>SUM(B22:E22)</f>
        <v>23636</v>
      </c>
      <c r="G22" s="521">
        <f>F7-F22</f>
        <v>119775</v>
      </c>
      <c r="H22" s="558">
        <v>23636</v>
      </c>
    </row>
    <row r="23" spans="1:16" s="371" customFormat="1" ht="54.95" customHeight="1" thickBot="1" x14ac:dyDescent="0.3">
      <c r="A23" s="1210" t="s">
        <v>667</v>
      </c>
      <c r="B23" s="1211"/>
      <c r="C23" s="1211"/>
      <c r="D23" s="1211"/>
      <c r="E23" s="1211"/>
      <c r="F23" s="1211"/>
      <c r="G23" s="1212"/>
      <c r="H23" s="558"/>
    </row>
    <row r="24" spans="1:16" ht="80.099999999999994" customHeight="1" thickBot="1" x14ac:dyDescent="0.3">
      <c r="A24" s="1213" t="s">
        <v>728</v>
      </c>
      <c r="B24" s="1387"/>
      <c r="C24" s="1387"/>
      <c r="D24" s="1387"/>
      <c r="E24" s="1387"/>
      <c r="F24" s="1387"/>
      <c r="G24" s="1388"/>
      <c r="H24" s="560"/>
    </row>
  </sheetData>
  <mergeCells count="13">
    <mergeCell ref="B6:C6"/>
    <mergeCell ref="D6:E6"/>
    <mergeCell ref="B1:F1"/>
    <mergeCell ref="B2:F2"/>
    <mergeCell ref="B3:F3"/>
    <mergeCell ref="B4:F4"/>
    <mergeCell ref="B5:F5"/>
    <mergeCell ref="A24:G24"/>
    <mergeCell ref="B7:C7"/>
    <mergeCell ref="D7:E7"/>
    <mergeCell ref="A23:G23"/>
    <mergeCell ref="B9:F9"/>
    <mergeCell ref="B15:F15"/>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A3" workbookViewId="0">
      <selection activeCell="A14" sqref="A14:G14"/>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9" x14ac:dyDescent="0.25">
      <c r="A1" s="151" t="s">
        <v>24</v>
      </c>
      <c r="B1" s="1159" t="str">
        <f>'YEAR 4--FY''18'!AC1</f>
        <v>FY18</v>
      </c>
      <c r="C1" s="1160"/>
      <c r="D1" s="1160"/>
      <c r="E1" s="1160"/>
      <c r="F1" s="1161"/>
      <c r="G1" s="151" t="s">
        <v>21</v>
      </c>
    </row>
    <row r="2" spans="1:9" x14ac:dyDescent="0.25">
      <c r="A2" s="166" t="s">
        <v>11</v>
      </c>
      <c r="B2" s="1162" t="str">
        <f>'YEAR 4--FY''18'!B25</f>
        <v>Upgrade Fire Stations for EMS Crews</v>
      </c>
      <c r="C2" s="1163"/>
      <c r="D2" s="1163"/>
      <c r="E2" s="1163"/>
      <c r="F2" s="1164"/>
      <c r="G2" s="44"/>
    </row>
    <row r="3" spans="1:9" x14ac:dyDescent="0.25">
      <c r="A3" s="166" t="s">
        <v>26</v>
      </c>
      <c r="B3" s="1165" t="str">
        <f>'YEAR 4--FY''18'!D25</f>
        <v>Fire Dept./EMS</v>
      </c>
      <c r="C3" s="1163"/>
      <c r="D3" s="1163"/>
      <c r="E3" s="1163"/>
      <c r="F3" s="1164"/>
      <c r="G3" s="45"/>
    </row>
    <row r="4" spans="1:9" x14ac:dyDescent="0.25">
      <c r="A4" s="166" t="s">
        <v>13</v>
      </c>
      <c r="B4" s="1162" t="str">
        <f>'YEAR 4--FY''18'!C25</f>
        <v>--</v>
      </c>
      <c r="C4" s="1163"/>
      <c r="D4" s="1163"/>
      <c r="E4" s="1163"/>
      <c r="F4" s="1164"/>
      <c r="G4" s="45"/>
    </row>
    <row r="5" spans="1:9" ht="15.75" thickBot="1" x14ac:dyDescent="0.3">
      <c r="A5" s="152" t="s">
        <v>12</v>
      </c>
      <c r="B5" s="1209" t="str">
        <f>'YEAR 4--FY''18'!E25</f>
        <v>1-Time</v>
      </c>
      <c r="C5" s="1190"/>
      <c r="D5" s="1190"/>
      <c r="E5" s="1190"/>
      <c r="F5" s="1191"/>
      <c r="G5" s="45"/>
    </row>
    <row r="6" spans="1:9" ht="15" customHeight="1" x14ac:dyDescent="0.25">
      <c r="A6" s="153" t="s">
        <v>14</v>
      </c>
      <c r="B6" s="1169" t="s">
        <v>512</v>
      </c>
      <c r="C6" s="1170"/>
      <c r="D6" s="1173" t="str">
        <f>'YEAR 4--FY''18'!P1</f>
        <v>FY'17 Carry-Fwd</v>
      </c>
      <c r="E6" s="1174"/>
      <c r="F6" s="813" t="s">
        <v>129</v>
      </c>
      <c r="G6" s="45"/>
    </row>
    <row r="7" spans="1:9" ht="15.75" thickBot="1" x14ac:dyDescent="0.3">
      <c r="A7" s="150"/>
      <c r="B7" s="1171">
        <f>'YEAR 4--FY''18'!Q25</f>
        <v>0</v>
      </c>
      <c r="C7" s="1253"/>
      <c r="D7" s="1252">
        <f>F7-B7</f>
        <v>568000</v>
      </c>
      <c r="E7" s="1253"/>
      <c r="F7" s="350">
        <f>'YEAR 4--FY''18'!R25</f>
        <v>568000</v>
      </c>
      <c r="G7" s="46"/>
    </row>
    <row r="8" spans="1:9" ht="33" customHeight="1" x14ac:dyDescent="0.25">
      <c r="A8" s="155" t="s">
        <v>22</v>
      </c>
      <c r="B8" s="157" t="s">
        <v>15</v>
      </c>
      <c r="C8" s="156" t="s">
        <v>16</v>
      </c>
      <c r="D8" s="156" t="s">
        <v>17</v>
      </c>
      <c r="E8" s="156" t="s">
        <v>18</v>
      </c>
      <c r="F8" s="154" t="s">
        <v>19</v>
      </c>
      <c r="G8" s="111" t="s">
        <v>20</v>
      </c>
    </row>
    <row r="9" spans="1:9" s="481" customFormat="1" x14ac:dyDescent="0.25">
      <c r="A9" s="135" t="s">
        <v>335</v>
      </c>
      <c r="B9" s="136">
        <f>G9</f>
        <v>18000</v>
      </c>
      <c r="C9" s="137"/>
      <c r="D9" s="137"/>
      <c r="E9" s="137"/>
      <c r="F9" s="648">
        <f>SUM(B9:E9)</f>
        <v>18000</v>
      </c>
      <c r="G9" s="139">
        <f>I9-H9</f>
        <v>18000</v>
      </c>
      <c r="H9" s="481">
        <v>57000</v>
      </c>
      <c r="I9" s="252">
        <v>75000</v>
      </c>
    </row>
    <row r="10" spans="1:9" s="481" customFormat="1" x14ac:dyDescent="0.25">
      <c r="A10" s="135" t="s">
        <v>334</v>
      </c>
      <c r="B10" s="136">
        <f>G10/2</f>
        <v>2465</v>
      </c>
      <c r="C10" s="137"/>
      <c r="D10" s="137"/>
      <c r="E10" s="137"/>
      <c r="F10" s="138">
        <f>SUM(B10:E10)</f>
        <v>2465</v>
      </c>
      <c r="G10" s="523">
        <f>(F7-75000)*0.01</f>
        <v>4930</v>
      </c>
    </row>
    <row r="11" spans="1:9" s="2" customFormat="1" ht="15.75" thickBot="1" x14ac:dyDescent="0.3">
      <c r="A11" s="135" t="s">
        <v>336</v>
      </c>
      <c r="B11" s="136"/>
      <c r="C11" s="137"/>
      <c r="D11" s="137"/>
      <c r="E11" s="137"/>
      <c r="F11" s="138">
        <f>SUM(B11:E11)</f>
        <v>0</v>
      </c>
      <c r="G11" s="523">
        <f>-SUM(G9:G10)+F7</f>
        <v>545070</v>
      </c>
    </row>
    <row r="12" spans="1:9" ht="22.5" customHeight="1" thickBot="1" x14ac:dyDescent="0.3">
      <c r="A12" s="175" t="s">
        <v>25</v>
      </c>
      <c r="B12" s="68">
        <f>SUM(B9:B11)</f>
        <v>20465</v>
      </c>
      <c r="C12" s="69">
        <f>SUM(C9:C11)</f>
        <v>0</v>
      </c>
      <c r="D12" s="69">
        <f>SUM(D9:D11)</f>
        <v>0</v>
      </c>
      <c r="E12" s="69">
        <f>SUM(E9:E11)</f>
        <v>0</v>
      </c>
      <c r="F12" s="70">
        <f>SUM(B12:E12)</f>
        <v>20465</v>
      </c>
      <c r="G12" s="71">
        <f>SUM(G9:G11)</f>
        <v>568000</v>
      </c>
    </row>
    <row r="13" spans="1:9" ht="75" customHeight="1" thickBot="1" x14ac:dyDescent="0.3">
      <c r="A13" s="1180" t="s">
        <v>668</v>
      </c>
      <c r="B13" s="1295"/>
      <c r="C13" s="1295"/>
      <c r="D13" s="1295"/>
      <c r="E13" s="1295"/>
      <c r="F13" s="1295"/>
      <c r="G13" s="1296"/>
    </row>
    <row r="14" spans="1:9" ht="144.75" customHeight="1" thickBot="1" x14ac:dyDescent="0.3">
      <c r="A14" s="1210" t="s">
        <v>729</v>
      </c>
      <c r="B14" s="1396"/>
      <c r="C14" s="1396"/>
      <c r="D14" s="1396"/>
      <c r="E14" s="1396"/>
      <c r="F14" s="1396"/>
      <c r="G14" s="1397"/>
    </row>
  </sheetData>
  <mergeCells count="11">
    <mergeCell ref="B1:F1"/>
    <mergeCell ref="B2:F2"/>
    <mergeCell ref="B3:F3"/>
    <mergeCell ref="B4:F4"/>
    <mergeCell ref="B5:F5"/>
    <mergeCell ref="A14:G14"/>
    <mergeCell ref="B7:C7"/>
    <mergeCell ref="D7:E7"/>
    <mergeCell ref="A13:G13"/>
    <mergeCell ref="B6:C6"/>
    <mergeCell ref="D6:E6"/>
  </mergeCells>
  <printOptions horizontalCentered="1"/>
  <pageMargins left="0.75" right="0.75"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16" sqref="A16:G16"/>
    </sheetView>
  </sheetViews>
  <sheetFormatPr defaultColWidth="8.85546875" defaultRowHeight="15" x14ac:dyDescent="0.25"/>
  <cols>
    <col min="1" max="1" width="31" customWidth="1"/>
    <col min="2" max="6" width="13.7109375" customWidth="1"/>
    <col min="7" max="7" width="20.7109375" customWidth="1"/>
  </cols>
  <sheetData>
    <row r="1" spans="1:9" x14ac:dyDescent="0.25">
      <c r="A1" s="76" t="s">
        <v>24</v>
      </c>
      <c r="B1" s="1159" t="str">
        <f>'YEAR 4--FY''18'!AC1</f>
        <v>FY18</v>
      </c>
      <c r="C1" s="1160"/>
      <c r="D1" s="1160"/>
      <c r="E1" s="1160"/>
      <c r="F1" s="1161"/>
      <c r="G1" s="79" t="s">
        <v>21</v>
      </c>
    </row>
    <row r="2" spans="1:9" x14ac:dyDescent="0.25">
      <c r="A2" s="77" t="s">
        <v>11</v>
      </c>
      <c r="B2" s="1162" t="str">
        <f>'YEAR 4--FY''18'!B3</f>
        <v>Long-Range Master Plan</v>
      </c>
      <c r="C2" s="1163"/>
      <c r="D2" s="1163"/>
      <c r="E2" s="1163"/>
      <c r="F2" s="1164"/>
      <c r="G2" s="80"/>
    </row>
    <row r="3" spans="1:9" x14ac:dyDescent="0.25">
      <c r="A3" s="77" t="s">
        <v>26</v>
      </c>
      <c r="B3" s="1165" t="str">
        <f>'YEAR 4--FY''18'!D3</f>
        <v>Planning</v>
      </c>
      <c r="C3" s="1163"/>
      <c r="D3" s="1163"/>
      <c r="E3" s="1163"/>
      <c r="F3" s="1164"/>
      <c r="G3" s="81"/>
    </row>
    <row r="4" spans="1:9" x14ac:dyDescent="0.25">
      <c r="A4" s="77" t="s">
        <v>13</v>
      </c>
      <c r="B4" s="1162">
        <v>3</v>
      </c>
      <c r="C4" s="1163"/>
      <c r="D4" s="1163"/>
      <c r="E4" s="1163"/>
      <c r="F4" s="1164"/>
      <c r="G4" s="81"/>
    </row>
    <row r="5" spans="1:9" ht="15.75" thickBot="1" x14ac:dyDescent="0.3">
      <c r="A5" s="78" t="s">
        <v>12</v>
      </c>
      <c r="B5" s="1166" t="str">
        <f>'YEAR 4--FY''18'!E3</f>
        <v>1-Time</v>
      </c>
      <c r="C5" s="1167"/>
      <c r="D5" s="1167"/>
      <c r="E5" s="1167"/>
      <c r="F5" s="1168"/>
      <c r="G5" s="81"/>
    </row>
    <row r="6" spans="1:9" s="655" customFormat="1" ht="24.95" customHeight="1" x14ac:dyDescent="0.25">
      <c r="A6" s="42" t="s">
        <v>14</v>
      </c>
      <c r="B6" s="1169" t="s">
        <v>512</v>
      </c>
      <c r="C6" s="1170"/>
      <c r="D6" s="1173" t="str">
        <f>'YEAR 4--FY''18'!P1</f>
        <v>FY'17 Carry-Fwd</v>
      </c>
      <c r="E6" s="1174"/>
      <c r="F6" s="542" t="s">
        <v>129</v>
      </c>
      <c r="G6" s="539"/>
      <c r="H6" s="252"/>
      <c r="I6" s="765"/>
    </row>
    <row r="7" spans="1:9" ht="15.75" thickBot="1" x14ac:dyDescent="0.3">
      <c r="A7" s="18"/>
      <c r="B7" s="1171">
        <f>'YEAR 4--FY''18'!Q3</f>
        <v>0</v>
      </c>
      <c r="C7" s="1172"/>
      <c r="D7" s="1175">
        <f>F7-B7</f>
        <v>8894</v>
      </c>
      <c r="E7" s="1176"/>
      <c r="F7" s="158">
        <f>'YEAR 4--FY''18'!R3</f>
        <v>8894</v>
      </c>
      <c r="G7" s="46"/>
    </row>
    <row r="8" spans="1:9" ht="33" customHeight="1" x14ac:dyDescent="0.25">
      <c r="A8" s="25" t="s">
        <v>22</v>
      </c>
      <c r="B8" s="27" t="s">
        <v>15</v>
      </c>
      <c r="C8" s="26" t="s">
        <v>16</v>
      </c>
      <c r="D8" s="26" t="s">
        <v>17</v>
      </c>
      <c r="E8" s="26" t="s">
        <v>18</v>
      </c>
      <c r="F8" s="24" t="s">
        <v>19</v>
      </c>
      <c r="G8" s="23" t="s">
        <v>20</v>
      </c>
    </row>
    <row r="9" spans="1:9" x14ac:dyDescent="0.25">
      <c r="A9" s="17" t="s">
        <v>40</v>
      </c>
      <c r="B9" s="29">
        <v>0</v>
      </c>
      <c r="C9" s="30"/>
      <c r="D9" s="375"/>
      <c r="E9" s="375"/>
      <c r="F9" s="31">
        <f>SUM(B9:E9)</f>
        <v>0</v>
      </c>
      <c r="G9" s="32"/>
    </row>
    <row r="10" spans="1:9" x14ac:dyDescent="0.25">
      <c r="A10" s="373" t="s">
        <v>92</v>
      </c>
      <c r="B10" s="127">
        <v>263</v>
      </c>
      <c r="C10" s="476"/>
      <c r="D10" s="476">
        <f>902+206</f>
        <v>1108</v>
      </c>
      <c r="E10" s="476"/>
      <c r="F10" s="881">
        <f>SUM(B10:E10)</f>
        <v>1371</v>
      </c>
      <c r="G10" s="32"/>
    </row>
    <row r="11" spans="1:9" x14ac:dyDescent="0.25">
      <c r="A11" s="537" t="s">
        <v>399</v>
      </c>
      <c r="B11" s="374">
        <v>0</v>
      </c>
      <c r="C11" s="375"/>
      <c r="D11" s="375"/>
      <c r="E11" s="375"/>
      <c r="F11" s="170">
        <f>SUM(B11:E11)</f>
        <v>0</v>
      </c>
      <c r="G11" s="32"/>
    </row>
    <row r="12" spans="1:9" x14ac:dyDescent="0.25">
      <c r="A12" s="20"/>
      <c r="B12" s="29"/>
      <c r="C12" s="30"/>
      <c r="D12" s="30"/>
      <c r="E12" s="30"/>
      <c r="F12" s="31"/>
      <c r="G12" s="32"/>
    </row>
    <row r="13" spans="1:9" ht="15.75" thickBot="1" x14ac:dyDescent="0.3">
      <c r="A13" s="21"/>
      <c r="B13" s="34"/>
      <c r="C13" s="35"/>
      <c r="D13" s="35"/>
      <c r="E13" s="35"/>
      <c r="F13" s="36"/>
      <c r="G13" s="56"/>
    </row>
    <row r="14" spans="1:9" ht="32.25" customHeight="1" thickBot="1" x14ac:dyDescent="0.3">
      <c r="A14" s="22" t="s">
        <v>25</v>
      </c>
      <c r="B14" s="48">
        <f>SUM(B9:B13)</f>
        <v>263</v>
      </c>
      <c r="C14" s="49">
        <f>SUM(C9:C13)</f>
        <v>0</v>
      </c>
      <c r="D14" s="49">
        <f>SUM(D9:D13)</f>
        <v>1108</v>
      </c>
      <c r="E14" s="49">
        <f>SUM(E9:E13)</f>
        <v>0</v>
      </c>
      <c r="F14" s="50">
        <f>SUM(B14:E14)</f>
        <v>1371</v>
      </c>
      <c r="G14" s="51">
        <f>SUM(F7:F7)-F14</f>
        <v>7523</v>
      </c>
    </row>
    <row r="15" spans="1:9" s="55" customFormat="1" ht="126" customHeight="1" thickBot="1" x14ac:dyDescent="0.3">
      <c r="A15" s="1177" t="s">
        <v>523</v>
      </c>
      <c r="B15" s="1178"/>
      <c r="C15" s="1178"/>
      <c r="D15" s="1178"/>
      <c r="E15" s="1178"/>
      <c r="F15" s="1178"/>
      <c r="G15" s="1179"/>
      <c r="I15" s="58"/>
    </row>
    <row r="16" spans="1:9" s="55" customFormat="1" ht="45.95" customHeight="1" thickBot="1" x14ac:dyDescent="0.3">
      <c r="A16" s="1156" t="s">
        <v>724</v>
      </c>
      <c r="B16" s="1157"/>
      <c r="C16" s="1157"/>
      <c r="D16" s="1157"/>
      <c r="E16" s="1157"/>
      <c r="F16" s="1157"/>
      <c r="G16" s="1158"/>
      <c r="I16" s="58"/>
    </row>
  </sheetData>
  <mergeCells count="11">
    <mergeCell ref="A16:G16"/>
    <mergeCell ref="B1:F1"/>
    <mergeCell ref="B2:F2"/>
    <mergeCell ref="B3:F3"/>
    <mergeCell ref="B4:F4"/>
    <mergeCell ref="B5:F5"/>
    <mergeCell ref="B6:C6"/>
    <mergeCell ref="B7:C7"/>
    <mergeCell ref="D6:E6"/>
    <mergeCell ref="D7:E7"/>
    <mergeCell ref="A15:G15"/>
  </mergeCells>
  <phoneticPr fontId="38" type="noConversion"/>
  <printOptions horizontalCentered="1"/>
  <pageMargins left="0.45" right="0.4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B3" sqref="B3:F3"/>
    </sheetView>
  </sheetViews>
  <sheetFormatPr defaultColWidth="8.85546875" defaultRowHeight="15" x14ac:dyDescent="0.25"/>
  <cols>
    <col min="1" max="1" width="31" style="655" customWidth="1"/>
    <col min="2" max="6" width="13.7109375" style="655" customWidth="1"/>
    <col min="7" max="7" width="20.7109375" style="655" customWidth="1"/>
    <col min="8" max="16384" width="8.85546875" style="655"/>
  </cols>
  <sheetData>
    <row r="1" spans="1:9" x14ac:dyDescent="0.25">
      <c r="A1" s="798" t="s">
        <v>24</v>
      </c>
      <c r="B1" s="1405" t="str">
        <f>'YEAR 4--FY''18'!AC1</f>
        <v>FY18</v>
      </c>
      <c r="C1" s="1406"/>
      <c r="D1" s="1406"/>
      <c r="E1" s="1406"/>
      <c r="F1" s="1407"/>
      <c r="G1" s="798" t="s">
        <v>21</v>
      </c>
    </row>
    <row r="2" spans="1:9" x14ac:dyDescent="0.25">
      <c r="A2" s="804" t="s">
        <v>11</v>
      </c>
      <c r="B2" s="1408" t="str">
        <f>'YEAR 4--FY''18'!B27</f>
        <v xml:space="preserve">Community Impact District Programming </v>
      </c>
      <c r="C2" s="1409"/>
      <c r="D2" s="1409"/>
      <c r="E2" s="1409"/>
      <c r="F2" s="1410"/>
      <c r="G2" s="1414"/>
    </row>
    <row r="3" spans="1:9" x14ac:dyDescent="0.25">
      <c r="A3" s="804" t="s">
        <v>26</v>
      </c>
      <c r="B3" s="1408" t="s">
        <v>49</v>
      </c>
      <c r="C3" s="1409"/>
      <c r="D3" s="1409"/>
      <c r="E3" s="1409"/>
      <c r="F3" s="1410"/>
      <c r="G3" s="1415"/>
    </row>
    <row r="4" spans="1:9" x14ac:dyDescent="0.25">
      <c r="A4" s="804" t="s">
        <v>13</v>
      </c>
      <c r="B4" s="1408" t="s">
        <v>50</v>
      </c>
      <c r="C4" s="1409"/>
      <c r="D4" s="1409"/>
      <c r="E4" s="1409"/>
      <c r="F4" s="1410"/>
      <c r="G4" s="1415"/>
    </row>
    <row r="5" spans="1:9" ht="15.75" thickBot="1" x14ac:dyDescent="0.3">
      <c r="A5" s="805" t="s">
        <v>12</v>
      </c>
      <c r="B5" s="1411" t="s">
        <v>7</v>
      </c>
      <c r="C5" s="1412"/>
      <c r="D5" s="1412"/>
      <c r="E5" s="1412"/>
      <c r="F5" s="1413"/>
      <c r="G5" s="1415"/>
    </row>
    <row r="6" spans="1:9" ht="24.95" customHeight="1" x14ac:dyDescent="0.25">
      <c r="A6" s="799" t="s">
        <v>14</v>
      </c>
      <c r="B6" s="1169" t="s">
        <v>512</v>
      </c>
      <c r="C6" s="1170"/>
      <c r="D6" s="1173" t="str">
        <f>'YEAR 4--FY''18'!P1</f>
        <v>FY'17 Carry-Fwd</v>
      </c>
      <c r="E6" s="1174"/>
      <c r="F6" s="813" t="s">
        <v>129</v>
      </c>
      <c r="G6" s="1415"/>
    </row>
    <row r="7" spans="1:9" ht="15.75" thickBot="1" x14ac:dyDescent="0.3">
      <c r="A7" s="800"/>
      <c r="B7" s="1354">
        <f>'YEAR 4--FY''18'!Q27</f>
        <v>0</v>
      </c>
      <c r="C7" s="1355"/>
      <c r="D7" s="1356">
        <f>F7-B7</f>
        <v>568486</v>
      </c>
      <c r="E7" s="1355"/>
      <c r="F7" s="505">
        <f>'YEAR 4--FY''18'!R27</f>
        <v>568486</v>
      </c>
      <c r="G7" s="1416"/>
      <c r="H7" s="252">
        <f>D7-285446</f>
        <v>283040</v>
      </c>
    </row>
    <row r="8" spans="1:9" x14ac:dyDescent="0.25">
      <c r="A8" s="799" t="s">
        <v>363</v>
      </c>
      <c r="B8" s="1169" t="s">
        <v>127</v>
      </c>
      <c r="C8" s="1170"/>
      <c r="D8" s="1398" t="s">
        <v>128</v>
      </c>
      <c r="E8" s="1170"/>
      <c r="F8" s="813" t="s">
        <v>129</v>
      </c>
      <c r="G8" s="993"/>
    </row>
    <row r="9" spans="1:9" ht="15.75" thickBot="1" x14ac:dyDescent="0.3">
      <c r="A9" s="800" t="s">
        <v>364</v>
      </c>
      <c r="B9" s="1354">
        <v>-500833</v>
      </c>
      <c r="C9" s="1355"/>
      <c r="D9" s="1356" t="str">
        <f>'YEAR 4--FY''18'!K29</f>
        <v>NA</v>
      </c>
      <c r="E9" s="1355"/>
      <c r="F9" s="759">
        <f>SUM(B9:E9)</f>
        <v>-500833</v>
      </c>
      <c r="G9" s="993"/>
      <c r="H9" s="252" t="e">
        <f>D9-285446</f>
        <v>#VALUE!</v>
      </c>
    </row>
    <row r="10" spans="1:9" ht="33" customHeight="1" thickBot="1" x14ac:dyDescent="0.3">
      <c r="A10" s="854" t="s">
        <v>22</v>
      </c>
      <c r="B10" s="681" t="s">
        <v>15</v>
      </c>
      <c r="C10" s="682" t="s">
        <v>16</v>
      </c>
      <c r="D10" s="682" t="s">
        <v>17</v>
      </c>
      <c r="E10" s="682" t="s">
        <v>18</v>
      </c>
      <c r="F10" s="683" t="s">
        <v>549</v>
      </c>
      <c r="G10" s="855" t="s">
        <v>21</v>
      </c>
    </row>
    <row r="11" spans="1:9" ht="33" customHeight="1" thickBot="1" x14ac:dyDescent="0.3">
      <c r="A11" s="872" t="s">
        <v>551</v>
      </c>
      <c r="B11" s="873">
        <v>1210446</v>
      </c>
      <c r="C11" s="874"/>
      <c r="D11" s="874"/>
      <c r="E11" s="874"/>
      <c r="F11" s="876">
        <f>SUM(B11:E11)</f>
        <v>1210446</v>
      </c>
      <c r="G11" s="877" t="s">
        <v>554</v>
      </c>
    </row>
    <row r="12" spans="1:9" x14ac:dyDescent="0.25">
      <c r="A12" s="859" t="s">
        <v>546</v>
      </c>
      <c r="B12" s="860">
        <v>-67000</v>
      </c>
      <c r="C12" s="861"/>
      <c r="D12" s="861"/>
      <c r="E12" s="861"/>
      <c r="F12" s="865">
        <f>SUM(B12:E12)</f>
        <v>-67000</v>
      </c>
      <c r="G12" s="1402" t="s">
        <v>550</v>
      </c>
    </row>
    <row r="13" spans="1:9" ht="15.75" thickBot="1" x14ac:dyDescent="0.3">
      <c r="A13" s="862" t="s">
        <v>545</v>
      </c>
      <c r="B13" s="867">
        <v>-1338</v>
      </c>
      <c r="C13" s="868"/>
      <c r="D13" s="868"/>
      <c r="E13" s="868"/>
      <c r="F13" s="875">
        <f>SUM(B13:E13)</f>
        <v>-1338</v>
      </c>
      <c r="G13" s="1403"/>
      <c r="H13" s="252">
        <f>SUM(F12:F13)</f>
        <v>-68338</v>
      </c>
    </row>
    <row r="14" spans="1:9" x14ac:dyDescent="0.25">
      <c r="A14" s="859" t="s">
        <v>544</v>
      </c>
      <c r="B14" s="860">
        <v>-45000</v>
      </c>
      <c r="C14" s="861"/>
      <c r="D14" s="861"/>
      <c r="E14" s="861"/>
      <c r="F14" s="865">
        <v>45000</v>
      </c>
      <c r="G14" s="1402" t="s">
        <v>552</v>
      </c>
    </row>
    <row r="15" spans="1:9" x14ac:dyDescent="0.25">
      <c r="A15" s="862" t="s">
        <v>547</v>
      </c>
      <c r="B15" s="864">
        <f>-(1230+582+602)</f>
        <v>-2414</v>
      </c>
      <c r="C15" s="863"/>
      <c r="D15" s="863"/>
      <c r="E15" s="863"/>
      <c r="F15" s="864">
        <f>1230+582+602</f>
        <v>2414</v>
      </c>
      <c r="G15" s="1403"/>
      <c r="H15" s="252">
        <f>SUM(F14:F16)</f>
        <v>72789</v>
      </c>
    </row>
    <row r="16" spans="1:9" ht="15.75" thickBot="1" x14ac:dyDescent="0.3">
      <c r="A16" s="866" t="s">
        <v>548</v>
      </c>
      <c r="B16" s="869">
        <v>-25375</v>
      </c>
      <c r="C16" s="868"/>
      <c r="D16" s="868"/>
      <c r="E16" s="868"/>
      <c r="F16" s="869">
        <v>25375</v>
      </c>
      <c r="G16" s="1404"/>
      <c r="H16" s="655">
        <f>7875+17500</f>
        <v>25375</v>
      </c>
      <c r="I16" s="252">
        <f>B16+H16</f>
        <v>0</v>
      </c>
    </row>
    <row r="17" spans="1:17" x14ac:dyDescent="0.25">
      <c r="A17" s="856" t="s">
        <v>542</v>
      </c>
      <c r="B17" s="857">
        <v>100000</v>
      </c>
      <c r="C17" s="858"/>
      <c r="D17" s="858"/>
      <c r="E17" s="858"/>
      <c r="F17" s="666">
        <f>SUM(B17:E17)</f>
        <v>100000</v>
      </c>
      <c r="G17" s="879" t="s">
        <v>555</v>
      </c>
    </row>
    <row r="18" spans="1:17" x14ac:dyDescent="0.25">
      <c r="A18" s="760" t="s">
        <v>543</v>
      </c>
      <c r="B18" s="358">
        <v>468486</v>
      </c>
      <c r="C18" s="359"/>
      <c r="D18" s="359"/>
      <c r="E18" s="359"/>
      <c r="F18" s="666">
        <f>SUM(B18:E18)</f>
        <v>468486</v>
      </c>
      <c r="G18" s="880" t="s">
        <v>556</v>
      </c>
    </row>
    <row r="19" spans="1:17" ht="15.75" thickBot="1" x14ac:dyDescent="0.3">
      <c r="A19" s="761" t="s">
        <v>362</v>
      </c>
      <c r="B19" s="378">
        <v>-500833</v>
      </c>
      <c r="C19" s="379"/>
      <c r="D19" s="379"/>
      <c r="E19" s="379"/>
      <c r="F19" s="870">
        <f>SUM(B19:E19)</f>
        <v>-500833</v>
      </c>
      <c r="G19" s="878" t="s">
        <v>553</v>
      </c>
      <c r="H19" s="655">
        <v>500833</v>
      </c>
    </row>
    <row r="20" spans="1:17" ht="24.75" customHeight="1" thickBot="1" x14ac:dyDescent="0.3">
      <c r="A20" s="391" t="s">
        <v>25</v>
      </c>
      <c r="B20" s="383">
        <f>SUM(B11:B19)-SUM(B17:B18)</f>
        <v>568486</v>
      </c>
      <c r="C20" s="384">
        <f>SUM(C13:C19)</f>
        <v>0</v>
      </c>
      <c r="D20" s="384">
        <f>SUM(D13:D19)</f>
        <v>0</v>
      </c>
      <c r="E20" s="384">
        <f>SUM(E13:E19)</f>
        <v>0</v>
      </c>
      <c r="F20" s="871">
        <f>SUM(B20:E20)</f>
        <v>568486</v>
      </c>
      <c r="G20" s="1057">
        <f>F7-F20</f>
        <v>0</v>
      </c>
      <c r="H20" s="252">
        <f>F7</f>
        <v>568486</v>
      </c>
      <c r="I20" s="252">
        <f>H20-F20</f>
        <v>0</v>
      </c>
    </row>
    <row r="21" spans="1:17" ht="159.94999999999999" customHeight="1" thickBot="1" x14ac:dyDescent="0.3">
      <c r="A21" s="1213" t="s">
        <v>669</v>
      </c>
      <c r="B21" s="1387"/>
      <c r="C21" s="1387"/>
      <c r="D21" s="1387"/>
      <c r="E21" s="1387"/>
      <c r="F21" s="1387"/>
      <c r="G21" s="1388"/>
      <c r="J21" s="762" t="s">
        <v>85</v>
      </c>
      <c r="K21" s="371"/>
      <c r="L21" s="371"/>
      <c r="M21" s="371"/>
      <c r="N21" s="371"/>
      <c r="O21" s="371"/>
      <c r="P21" s="371"/>
      <c r="Q21" s="371"/>
    </row>
    <row r="22" spans="1:17" s="371" customFormat="1" ht="51.75" hidden="1" customHeight="1" thickBot="1" x14ac:dyDescent="0.3">
      <c r="A22" s="1399" t="s">
        <v>354</v>
      </c>
      <c r="B22" s="1400"/>
      <c r="C22" s="1400"/>
      <c r="D22" s="1400"/>
      <c r="E22" s="1400"/>
      <c r="F22" s="1400"/>
      <c r="G22" s="1401"/>
      <c r="J22" s="762" t="s">
        <v>86</v>
      </c>
    </row>
    <row r="23" spans="1:17" s="371" customFormat="1" ht="93" hidden="1" customHeight="1" thickBot="1" x14ac:dyDescent="0.3">
      <c r="A23" s="1399" t="s">
        <v>353</v>
      </c>
      <c r="B23" s="1400"/>
      <c r="C23" s="1400"/>
      <c r="D23" s="1400"/>
      <c r="E23" s="1400"/>
      <c r="F23" s="1400"/>
      <c r="G23" s="1401"/>
      <c r="J23" s="762" t="s">
        <v>86</v>
      </c>
    </row>
    <row r="24" spans="1:17" s="371" customFormat="1" ht="80.099999999999994" customHeight="1" thickBot="1" x14ac:dyDescent="0.3">
      <c r="A24" s="1210" t="s">
        <v>670</v>
      </c>
      <c r="B24" s="1387"/>
      <c r="C24" s="1387"/>
      <c r="D24" s="1387"/>
      <c r="E24" s="1387"/>
      <c r="F24" s="1387"/>
      <c r="G24" s="1388"/>
      <c r="J24" s="762" t="s">
        <v>87</v>
      </c>
    </row>
    <row r="25" spans="1:17" ht="75.75" customHeight="1" x14ac:dyDescent="0.25">
      <c r="J25" s="762" t="s">
        <v>88</v>
      </c>
    </row>
    <row r="26" spans="1:17" ht="95.25" customHeight="1" x14ac:dyDescent="0.25">
      <c r="J26" s="762" t="s">
        <v>89</v>
      </c>
    </row>
    <row r="27" spans="1:17" ht="22.5" customHeight="1" x14ac:dyDescent="0.25">
      <c r="J27" s="762" t="s">
        <v>90</v>
      </c>
    </row>
    <row r="28" spans="1:17" ht="96.75" customHeight="1" x14ac:dyDescent="0.25">
      <c r="J28" s="762" t="s">
        <v>91</v>
      </c>
    </row>
    <row r="29" spans="1:17" ht="57.75" customHeight="1" x14ac:dyDescent="0.25">
      <c r="J29" s="762" t="s">
        <v>91</v>
      </c>
    </row>
  </sheetData>
  <mergeCells count="20">
    <mergeCell ref="B7:C7"/>
    <mergeCell ref="D7:E7"/>
    <mergeCell ref="G2:G7"/>
    <mergeCell ref="B6:C6"/>
    <mergeCell ref="D6:E6"/>
    <mergeCell ref="B1:F1"/>
    <mergeCell ref="B2:F2"/>
    <mergeCell ref="B3:F3"/>
    <mergeCell ref="B4:F4"/>
    <mergeCell ref="B5:F5"/>
    <mergeCell ref="D8:E8"/>
    <mergeCell ref="B9:C9"/>
    <mergeCell ref="D9:E9"/>
    <mergeCell ref="A21:G21"/>
    <mergeCell ref="A24:G24"/>
    <mergeCell ref="A23:G23"/>
    <mergeCell ref="A22:G22"/>
    <mergeCell ref="G12:G13"/>
    <mergeCell ref="G14:G16"/>
    <mergeCell ref="B8:C8"/>
  </mergeCells>
  <printOptions horizontalCentered="1"/>
  <pageMargins left="0.75" right="0.75"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A14" sqref="A14"/>
    </sheetView>
  </sheetViews>
  <sheetFormatPr defaultColWidth="8.85546875" defaultRowHeight="15" x14ac:dyDescent="0.25"/>
  <cols>
    <col min="1" max="1" width="37.42578125" style="220" customWidth="1"/>
    <col min="2" max="6" width="11.7109375" style="2" customWidth="1"/>
    <col min="7" max="7" width="20.7109375" style="2" customWidth="1"/>
    <col min="8" max="16384" width="8.85546875" style="2"/>
  </cols>
  <sheetData>
    <row r="1" spans="1:10" x14ac:dyDescent="0.25">
      <c r="A1" s="104" t="s">
        <v>24</v>
      </c>
      <c r="B1" s="1405" t="str">
        <f>'YEAR 4--FY''18'!AC1</f>
        <v>FY18</v>
      </c>
      <c r="C1" s="1406"/>
      <c r="D1" s="1406"/>
      <c r="E1" s="1406"/>
      <c r="F1" s="1407"/>
      <c r="G1" s="41" t="s">
        <v>21</v>
      </c>
    </row>
    <row r="2" spans="1:10" ht="15" customHeight="1" x14ac:dyDescent="0.25">
      <c r="A2" s="216" t="s">
        <v>11</v>
      </c>
      <c r="B2" s="1408" t="str">
        <f>'YEAR 4--FY''18'!B28</f>
        <v>Community Enhancement Projects</v>
      </c>
      <c r="C2" s="1409"/>
      <c r="D2" s="1409"/>
      <c r="E2" s="1409"/>
      <c r="F2" s="1410"/>
      <c r="G2" s="1417"/>
    </row>
    <row r="3" spans="1:10" x14ac:dyDescent="0.25">
      <c r="A3" s="216" t="s">
        <v>26</v>
      </c>
      <c r="B3" s="1418" t="str">
        <f>'YEAR 4--FY''18'!D28</f>
        <v>Mayor's Office END</v>
      </c>
      <c r="C3" s="1409"/>
      <c r="D3" s="1409"/>
      <c r="E3" s="1409"/>
      <c r="F3" s="1410"/>
      <c r="G3" s="1307"/>
    </row>
    <row r="4" spans="1:10" x14ac:dyDescent="0.25">
      <c r="A4" s="216" t="s">
        <v>13</v>
      </c>
      <c r="B4" s="1408" t="str">
        <f>'YEAR 4--FY''18'!C28</f>
        <v>--</v>
      </c>
      <c r="C4" s="1409"/>
      <c r="D4" s="1409"/>
      <c r="E4" s="1409"/>
      <c r="F4" s="1410"/>
      <c r="G4" s="1307"/>
    </row>
    <row r="5" spans="1:10" ht="15.75" thickBot="1" x14ac:dyDescent="0.3">
      <c r="A5" s="217" t="s">
        <v>12</v>
      </c>
      <c r="B5" s="1419" t="str">
        <f>'YEAR 4--FY''18'!E28</f>
        <v>1-Time</v>
      </c>
      <c r="C5" s="1412"/>
      <c r="D5" s="1412"/>
      <c r="E5" s="1412"/>
      <c r="F5" s="1413"/>
      <c r="G5" s="1307"/>
    </row>
    <row r="6" spans="1:10" ht="15" customHeight="1" x14ac:dyDescent="0.25">
      <c r="A6" s="218" t="s">
        <v>14</v>
      </c>
      <c r="B6" s="1169" t="s">
        <v>512</v>
      </c>
      <c r="C6" s="1170"/>
      <c r="D6" s="1173" t="str">
        <f>'YEAR 4--FY''18'!P1</f>
        <v>FY'17 Carry-Fwd</v>
      </c>
      <c r="E6" s="1174"/>
      <c r="F6" s="813" t="s">
        <v>129</v>
      </c>
      <c r="G6" s="1307"/>
    </row>
    <row r="7" spans="1:10" ht="15.75" thickBot="1" x14ac:dyDescent="0.3">
      <c r="A7" s="644"/>
      <c r="B7" s="1171">
        <f>'YEAR 4--FY''18'!Q28</f>
        <v>0</v>
      </c>
      <c r="C7" s="1253"/>
      <c r="D7" s="1252">
        <f>F7-B7</f>
        <v>293660</v>
      </c>
      <c r="E7" s="1253"/>
      <c r="F7" s="350">
        <f>'YEAR 4--FY''18'!R28</f>
        <v>293660</v>
      </c>
      <c r="G7" s="1308"/>
    </row>
    <row r="8" spans="1:10" ht="33" customHeight="1" x14ac:dyDescent="0.25">
      <c r="A8" s="702" t="s">
        <v>22</v>
      </c>
      <c r="B8" s="584" t="s">
        <v>15</v>
      </c>
      <c r="C8" s="566" t="s">
        <v>16</v>
      </c>
      <c r="D8" s="566" t="s">
        <v>17</v>
      </c>
      <c r="E8" s="566" t="s">
        <v>18</v>
      </c>
      <c r="F8" s="585" t="s">
        <v>19</v>
      </c>
      <c r="G8" s="107" t="s">
        <v>20</v>
      </c>
    </row>
    <row r="9" spans="1:10" x14ac:dyDescent="0.25">
      <c r="A9" s="694" t="s">
        <v>389</v>
      </c>
      <c r="B9" s="700"/>
      <c r="C9" s="696"/>
      <c r="D9" s="696"/>
      <c r="E9" s="696"/>
      <c r="F9" s="701">
        <f>SUM(B9:E9)</f>
        <v>0</v>
      </c>
      <c r="G9" s="698">
        <f t="shared" ref="G9:G18" si="0">H9-F9</f>
        <v>10000</v>
      </c>
      <c r="H9" s="219">
        <v>10000</v>
      </c>
    </row>
    <row r="10" spans="1:10" s="655" customFormat="1" x14ac:dyDescent="0.25">
      <c r="A10" s="694" t="s">
        <v>388</v>
      </c>
      <c r="B10" s="700"/>
      <c r="C10" s="696"/>
      <c r="D10" s="696"/>
      <c r="E10" s="696"/>
      <c r="F10" s="701">
        <f>SUM(B10:E10)</f>
        <v>0</v>
      </c>
      <c r="G10" s="698">
        <f t="shared" si="0"/>
        <v>40000</v>
      </c>
      <c r="H10" s="219">
        <v>40000</v>
      </c>
      <c r="J10" s="804"/>
    </row>
    <row r="11" spans="1:10" x14ac:dyDescent="0.25">
      <c r="A11" s="694" t="s">
        <v>383</v>
      </c>
      <c r="B11" s="700"/>
      <c r="C11" s="696"/>
      <c r="D11" s="696"/>
      <c r="E11" s="696"/>
      <c r="F11" s="701">
        <f>SUM(B11:E11)</f>
        <v>0</v>
      </c>
      <c r="G11" s="698">
        <f t="shared" si="0"/>
        <v>16758</v>
      </c>
      <c r="H11" s="219">
        <v>16758</v>
      </c>
    </row>
    <row r="12" spans="1:10" x14ac:dyDescent="0.25">
      <c r="A12" s="694" t="s">
        <v>390</v>
      </c>
      <c r="B12" s="700"/>
      <c r="C12" s="696">
        <v>10000</v>
      </c>
      <c r="D12" s="696"/>
      <c r="E12" s="696"/>
      <c r="F12" s="701">
        <v>12500</v>
      </c>
      <c r="G12" s="698">
        <f t="shared" si="0"/>
        <v>0</v>
      </c>
      <c r="H12" s="219">
        <v>12500</v>
      </c>
    </row>
    <row r="13" spans="1:10" x14ac:dyDescent="0.25">
      <c r="A13" s="694" t="s">
        <v>391</v>
      </c>
      <c r="B13" s="700"/>
      <c r="C13" s="696"/>
      <c r="D13" s="696"/>
      <c r="E13" s="696"/>
      <c r="F13" s="701">
        <v>9827</v>
      </c>
      <c r="G13" s="698">
        <f t="shared" si="0"/>
        <v>0</v>
      </c>
      <c r="H13" s="219">
        <v>9827</v>
      </c>
    </row>
    <row r="14" spans="1:10" ht="14.1" customHeight="1" x14ac:dyDescent="0.25">
      <c r="A14" s="694" t="s">
        <v>392</v>
      </c>
      <c r="B14" s="700"/>
      <c r="C14" s="696"/>
      <c r="D14" s="696"/>
      <c r="E14" s="696"/>
      <c r="F14" s="701">
        <f>SUM(B14:E14)</f>
        <v>0</v>
      </c>
      <c r="G14" s="698">
        <f t="shared" si="0"/>
        <v>27500</v>
      </c>
      <c r="H14" s="219">
        <v>27500</v>
      </c>
      <c r="I14" s="252">
        <f>SUM(H12:H13)</f>
        <v>22327</v>
      </c>
      <c r="J14" s="252">
        <f>50000-I14</f>
        <v>27673</v>
      </c>
    </row>
    <row r="15" spans="1:10" s="655" customFormat="1" ht="14.1" customHeight="1" x14ac:dyDescent="0.25">
      <c r="A15" s="694" t="s">
        <v>385</v>
      </c>
      <c r="B15" s="699"/>
      <c r="C15" s="695"/>
      <c r="D15" s="695"/>
      <c r="E15" s="695"/>
      <c r="F15" s="611">
        <v>15000</v>
      </c>
      <c r="G15" s="698">
        <f t="shared" si="0"/>
        <v>270</v>
      </c>
      <c r="H15" s="219">
        <v>15270</v>
      </c>
    </row>
    <row r="16" spans="1:10" ht="36" x14ac:dyDescent="0.25">
      <c r="A16" s="694" t="s">
        <v>387</v>
      </c>
      <c r="B16" s="700"/>
      <c r="C16" s="696"/>
      <c r="D16" s="696"/>
      <c r="E16" s="696"/>
      <c r="F16" s="701">
        <f>SUM(B16:E16)</f>
        <v>0</v>
      </c>
      <c r="G16" s="698">
        <f t="shared" si="0"/>
        <v>2200</v>
      </c>
      <c r="H16" s="219">
        <v>2200</v>
      </c>
    </row>
    <row r="17" spans="1:10" x14ac:dyDescent="0.25">
      <c r="A17" s="694" t="s">
        <v>216</v>
      </c>
      <c r="B17" s="700"/>
      <c r="C17" s="696"/>
      <c r="D17" s="696"/>
      <c r="E17" s="696"/>
      <c r="F17" s="701">
        <v>50000</v>
      </c>
      <c r="G17" s="698">
        <f t="shared" si="0"/>
        <v>0</v>
      </c>
      <c r="H17" s="219">
        <v>50000</v>
      </c>
    </row>
    <row r="18" spans="1:10" s="655" customFormat="1" x14ac:dyDescent="0.25">
      <c r="A18" s="694" t="s">
        <v>381</v>
      </c>
      <c r="B18" s="699"/>
      <c r="C18" s="695"/>
      <c r="D18" s="695"/>
      <c r="E18" s="695"/>
      <c r="F18" s="611">
        <f>SUM(B18:E18)</f>
        <v>0</v>
      </c>
      <c r="G18" s="698">
        <f t="shared" si="0"/>
        <v>15000</v>
      </c>
      <c r="H18" s="219">
        <v>15000</v>
      </c>
    </row>
    <row r="19" spans="1:10" x14ac:dyDescent="0.25">
      <c r="A19" s="694" t="s">
        <v>382</v>
      </c>
      <c r="B19" s="699"/>
      <c r="C19" s="695"/>
      <c r="D19" s="695"/>
      <c r="E19" s="695"/>
      <c r="F19" s="611">
        <f>SUM(B19:E19)</f>
        <v>0</v>
      </c>
      <c r="G19" s="698">
        <v>24500</v>
      </c>
      <c r="H19" s="219">
        <v>24500</v>
      </c>
      <c r="I19" s="252">
        <f>SUM(H18:H19)</f>
        <v>39500</v>
      </c>
      <c r="J19" s="882">
        <v>39520</v>
      </c>
    </row>
    <row r="20" spans="1:10" x14ac:dyDescent="0.25">
      <c r="A20" s="694" t="s">
        <v>384</v>
      </c>
      <c r="B20" s="699"/>
      <c r="C20" s="695"/>
      <c r="D20" s="695"/>
      <c r="E20" s="695"/>
      <c r="F20" s="611">
        <v>40849</v>
      </c>
      <c r="G20" s="698">
        <f>H20-F20</f>
        <v>0</v>
      </c>
      <c r="H20" s="219">
        <v>40849</v>
      </c>
    </row>
    <row r="21" spans="1:10" s="655" customFormat="1" x14ac:dyDescent="0.25">
      <c r="A21" s="694" t="s">
        <v>557</v>
      </c>
      <c r="B21" s="699">
        <v>4500</v>
      </c>
      <c r="C21" s="695">
        <v>500</v>
      </c>
      <c r="D21" s="695"/>
      <c r="E21" s="695"/>
      <c r="F21" s="611">
        <v>4500</v>
      </c>
      <c r="G21" s="698">
        <f>10000-F21</f>
        <v>5500</v>
      </c>
      <c r="H21" s="219"/>
    </row>
    <row r="22" spans="1:10" x14ac:dyDescent="0.25">
      <c r="A22" s="694" t="s">
        <v>379</v>
      </c>
      <c r="B22" s="699"/>
      <c r="C22" s="695"/>
      <c r="D22" s="695"/>
      <c r="E22" s="695"/>
      <c r="F22" s="611">
        <f>SUM(B22:E22)</f>
        <v>0</v>
      </c>
      <c r="G22" s="698">
        <f>40000-F22</f>
        <v>40000</v>
      </c>
      <c r="H22" s="219">
        <v>50000</v>
      </c>
    </row>
    <row r="23" spans="1:10" x14ac:dyDescent="0.25">
      <c r="A23" s="694" t="s">
        <v>215</v>
      </c>
      <c r="B23" s="699"/>
      <c r="C23" s="695"/>
      <c r="D23" s="695"/>
      <c r="E23" s="695"/>
      <c r="F23" s="611">
        <f>SUM(B23:E23)</f>
        <v>0</v>
      </c>
      <c r="G23" s="698">
        <f>H23-F23</f>
        <v>49625</v>
      </c>
      <c r="H23" s="219">
        <v>49625</v>
      </c>
    </row>
    <row r="24" spans="1:10" s="655" customFormat="1" x14ac:dyDescent="0.25">
      <c r="A24" s="697" t="s">
        <v>386</v>
      </c>
      <c r="B24" s="700"/>
      <c r="C24" s="696"/>
      <c r="D24" s="696"/>
      <c r="E24" s="696"/>
      <c r="F24" s="701">
        <f>SUM(B24:E24)</f>
        <v>0</v>
      </c>
      <c r="G24" s="698">
        <f>H24-F24</f>
        <v>25000</v>
      </c>
      <c r="H24" s="219">
        <v>25000</v>
      </c>
    </row>
    <row r="25" spans="1:10" s="655" customFormat="1" ht="15.75" thickBot="1" x14ac:dyDescent="0.3">
      <c r="A25" s="697" t="s">
        <v>380</v>
      </c>
      <c r="B25" s="703"/>
      <c r="C25" s="704"/>
      <c r="D25" s="704"/>
      <c r="E25" s="704"/>
      <c r="F25" s="705">
        <v>25000</v>
      </c>
      <c r="G25" s="706">
        <f>H25-F25</f>
        <v>25000</v>
      </c>
      <c r="H25" s="219">
        <v>50000</v>
      </c>
    </row>
    <row r="26" spans="1:10" ht="20.100000000000001" customHeight="1" thickBot="1" x14ac:dyDescent="0.3">
      <c r="A26" s="643" t="s">
        <v>25</v>
      </c>
      <c r="B26" s="383">
        <f>SUM(B9:B25)</f>
        <v>4500</v>
      </c>
      <c r="C26" s="384">
        <f>SUM(C9:C25)</f>
        <v>10500</v>
      </c>
      <c r="D26" s="384">
        <f>SUM(D9:D23)</f>
        <v>0</v>
      </c>
      <c r="E26" s="384">
        <f>SUM(E9:E23)</f>
        <v>0</v>
      </c>
      <c r="F26" s="385">
        <f>SUM(B26:E26)</f>
        <v>15000</v>
      </c>
      <c r="G26" s="521">
        <f>SUM(G9:G25)</f>
        <v>281353</v>
      </c>
      <c r="H26" s="252">
        <f>SUM(F26:G26)</f>
        <v>296353</v>
      </c>
    </row>
    <row r="27" spans="1:10" ht="54.95" customHeight="1" thickBot="1" x14ac:dyDescent="0.3">
      <c r="A27" s="1420" t="s">
        <v>730</v>
      </c>
      <c r="B27" s="1421"/>
      <c r="C27" s="1421"/>
      <c r="D27" s="1421"/>
      <c r="E27" s="1421"/>
      <c r="F27" s="1421"/>
      <c r="G27" s="1422"/>
    </row>
    <row r="28" spans="1:10" ht="279" customHeight="1" thickBot="1" x14ac:dyDescent="0.3">
      <c r="A28" s="1156" t="s">
        <v>731</v>
      </c>
      <c r="B28" s="1295"/>
      <c r="C28" s="1295"/>
      <c r="D28" s="1295"/>
      <c r="E28" s="1295"/>
      <c r="F28" s="1295"/>
      <c r="G28" s="1296"/>
    </row>
    <row r="29" spans="1:10" ht="240" customHeight="1" thickBot="1" x14ac:dyDescent="0.3">
      <c r="A29" s="1156" t="s">
        <v>671</v>
      </c>
      <c r="B29" s="1295"/>
      <c r="C29" s="1295"/>
      <c r="D29" s="1295"/>
      <c r="E29" s="1295"/>
      <c r="F29" s="1295"/>
      <c r="G29" s="1296"/>
    </row>
  </sheetData>
  <sortState ref="A9:J25">
    <sortCondition ref="A9:A25"/>
  </sortState>
  <mergeCells count="13">
    <mergeCell ref="A29:G29"/>
    <mergeCell ref="A28:G28"/>
    <mergeCell ref="B1:F1"/>
    <mergeCell ref="B2:F2"/>
    <mergeCell ref="G2:G7"/>
    <mergeCell ref="B3:F3"/>
    <mergeCell ref="B4:F4"/>
    <mergeCell ref="B5:F5"/>
    <mergeCell ref="B6:C6"/>
    <mergeCell ref="D6:E6"/>
    <mergeCell ref="B7:C7"/>
    <mergeCell ref="D7:E7"/>
    <mergeCell ref="A27:G27"/>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K24" sqref="K24"/>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11" x14ac:dyDescent="0.25">
      <c r="A1" s="151" t="s">
        <v>24</v>
      </c>
      <c r="B1" s="1231" t="str">
        <f>'YEAR 4--FY''18'!AC1</f>
        <v>FY18</v>
      </c>
      <c r="C1" s="1232"/>
      <c r="D1" s="1232"/>
      <c r="E1" s="1232"/>
      <c r="F1" s="1233"/>
      <c r="G1" s="151" t="s">
        <v>21</v>
      </c>
    </row>
    <row r="2" spans="1:11" x14ac:dyDescent="0.25">
      <c r="A2" s="166" t="s">
        <v>11</v>
      </c>
      <c r="B2" s="1234" t="str">
        <f>'YEAR 4--FY''18'!B29</f>
        <v xml:space="preserve">Redevelopment Opportunities--Studies &amp; TA </v>
      </c>
      <c r="C2" s="1235"/>
      <c r="D2" s="1235"/>
      <c r="E2" s="1235"/>
      <c r="F2" s="1236"/>
      <c r="G2" s="1423"/>
    </row>
    <row r="3" spans="1:11" x14ac:dyDescent="0.25">
      <c r="A3" s="166" t="s">
        <v>26</v>
      </c>
      <c r="B3" s="1237" t="str">
        <f>'YEAR 4--FY''18'!D29</f>
        <v>Planning</v>
      </c>
      <c r="C3" s="1235"/>
      <c r="D3" s="1235"/>
      <c r="E3" s="1235"/>
      <c r="F3" s="1236"/>
      <c r="G3" s="1424"/>
    </row>
    <row r="4" spans="1:11" x14ac:dyDescent="0.25">
      <c r="A4" s="166" t="s">
        <v>13</v>
      </c>
      <c r="B4" s="1234" t="str">
        <f>'YEAR 4--FY''18'!C29</f>
        <v>--</v>
      </c>
      <c r="C4" s="1235"/>
      <c r="D4" s="1235"/>
      <c r="E4" s="1235"/>
      <c r="F4" s="1236"/>
      <c r="G4" s="1424"/>
    </row>
    <row r="5" spans="1:11" ht="15.75" thickBot="1" x14ac:dyDescent="0.3">
      <c r="A5" s="152" t="s">
        <v>12</v>
      </c>
      <c r="B5" s="1251" t="str">
        <f>'YEAR 4--FY''18'!E29</f>
        <v>1-Time</v>
      </c>
      <c r="C5" s="1239"/>
      <c r="D5" s="1239"/>
      <c r="E5" s="1239"/>
      <c r="F5" s="1240"/>
      <c r="G5" s="1424"/>
    </row>
    <row r="6" spans="1:11" ht="15" customHeight="1" x14ac:dyDescent="0.25">
      <c r="A6" s="153" t="s">
        <v>14</v>
      </c>
      <c r="B6" s="1169" t="s">
        <v>512</v>
      </c>
      <c r="C6" s="1170"/>
      <c r="D6" s="1173" t="str">
        <f>'YEAR 4--FY''18'!P1</f>
        <v>FY'17 Carry-Fwd</v>
      </c>
      <c r="E6" s="1174"/>
      <c r="F6" s="813" t="s">
        <v>129</v>
      </c>
      <c r="G6" s="1424"/>
    </row>
    <row r="7" spans="1:11" ht="15.75" thickBot="1" x14ac:dyDescent="0.3">
      <c r="A7" s="150"/>
      <c r="B7" s="1171">
        <f>'YEAR 4--FY''18'!Q29</f>
        <v>50000</v>
      </c>
      <c r="C7" s="1253"/>
      <c r="D7" s="1252">
        <f>F7-B7</f>
        <v>0</v>
      </c>
      <c r="E7" s="1253"/>
      <c r="F7" s="544">
        <f>'YEAR 4--FY''18'!R29</f>
        <v>50000</v>
      </c>
      <c r="G7" s="1425"/>
    </row>
    <row r="8" spans="1:11" ht="33" customHeight="1" x14ac:dyDescent="0.25">
      <c r="A8" s="155" t="s">
        <v>22</v>
      </c>
      <c r="B8" s="132" t="s">
        <v>15</v>
      </c>
      <c r="C8" s="133" t="s">
        <v>16</v>
      </c>
      <c r="D8" s="133" t="s">
        <v>17</v>
      </c>
      <c r="E8" s="133" t="s">
        <v>18</v>
      </c>
      <c r="F8" s="134" t="s">
        <v>19</v>
      </c>
      <c r="G8" s="111" t="s">
        <v>20</v>
      </c>
    </row>
    <row r="9" spans="1:11" x14ac:dyDescent="0.25">
      <c r="A9" s="167" t="s">
        <v>144</v>
      </c>
      <c r="B9" s="65">
        <v>0</v>
      </c>
      <c r="C9" s="66">
        <v>0</v>
      </c>
      <c r="D9" s="66">
        <v>0</v>
      </c>
      <c r="E9" s="66">
        <v>0</v>
      </c>
      <c r="F9" s="67">
        <f>SUM(B9:E9)</f>
        <v>0</v>
      </c>
      <c r="G9" s="177"/>
    </row>
    <row r="10" spans="1:11" x14ac:dyDescent="0.25">
      <c r="A10" s="166" t="s">
        <v>145</v>
      </c>
      <c r="B10" s="65">
        <v>0</v>
      </c>
      <c r="C10" s="66">
        <v>0</v>
      </c>
      <c r="D10" s="66">
        <v>0</v>
      </c>
      <c r="E10" s="66">
        <v>0</v>
      </c>
      <c r="F10" s="67">
        <f>SUM(B10:E10)</f>
        <v>0</v>
      </c>
      <c r="G10" s="228"/>
    </row>
    <row r="11" spans="1:11" x14ac:dyDescent="0.25">
      <c r="A11" s="152" t="s">
        <v>146</v>
      </c>
      <c r="B11" s="276">
        <v>0</v>
      </c>
      <c r="C11" s="277">
        <v>0</v>
      </c>
      <c r="D11" s="277">
        <v>0</v>
      </c>
      <c r="E11" s="277">
        <v>0</v>
      </c>
      <c r="F11" s="67">
        <f>SUM(B11:E11)</f>
        <v>0</v>
      </c>
      <c r="G11" s="278"/>
    </row>
    <row r="12" spans="1:11" ht="15.75" thickBot="1" x14ac:dyDescent="0.3">
      <c r="A12" s="165" t="s">
        <v>147</v>
      </c>
      <c r="B12" s="171">
        <v>0</v>
      </c>
      <c r="C12" s="172">
        <v>0</v>
      </c>
      <c r="D12" s="172">
        <v>0</v>
      </c>
      <c r="E12" s="172">
        <v>0</v>
      </c>
      <c r="F12" s="67">
        <f>SUM(B12:E12)</f>
        <v>0</v>
      </c>
      <c r="G12" s="178"/>
    </row>
    <row r="13" spans="1:11" s="1118" customFormat="1" ht="24.75" customHeight="1" thickBot="1" x14ac:dyDescent="0.3">
      <c r="A13" s="391" t="s">
        <v>25</v>
      </c>
      <c r="B13" s="142">
        <f>SUM(B9:B12)</f>
        <v>0</v>
      </c>
      <c r="C13" s="143">
        <f>SUM(C9:C12)</f>
        <v>0</v>
      </c>
      <c r="D13" s="143">
        <f>SUM(D9:D12)</f>
        <v>0</v>
      </c>
      <c r="E13" s="143">
        <f>SUM(E9:E12)</f>
        <v>0</v>
      </c>
      <c r="F13" s="144">
        <f>SUM(F9:F12)</f>
        <v>0</v>
      </c>
      <c r="G13" s="1110">
        <f>F7-F13</f>
        <v>50000</v>
      </c>
      <c r="H13" s="252"/>
    </row>
    <row r="14" spans="1:11" ht="39.950000000000003" customHeight="1" thickBot="1" x14ac:dyDescent="0.3">
      <c r="A14" s="1156" t="s">
        <v>732</v>
      </c>
      <c r="B14" s="1295"/>
      <c r="C14" s="1295"/>
      <c r="D14" s="1295"/>
      <c r="E14" s="1295"/>
      <c r="F14" s="1295"/>
      <c r="G14" s="1296"/>
    </row>
    <row r="15" spans="1:11" s="160" customFormat="1" ht="140.1" customHeight="1" thickBot="1" x14ac:dyDescent="0.3">
      <c r="A15" s="1180" t="s">
        <v>672</v>
      </c>
      <c r="B15" s="1295"/>
      <c r="C15" s="1295"/>
      <c r="D15" s="1295"/>
      <c r="E15" s="1295"/>
      <c r="F15" s="1295"/>
      <c r="G15" s="1296"/>
      <c r="J15" s="149"/>
      <c r="K15" s="149"/>
    </row>
  </sheetData>
  <mergeCells count="12">
    <mergeCell ref="A14:G14"/>
    <mergeCell ref="A15:G15"/>
    <mergeCell ref="B1:F1"/>
    <mergeCell ref="B2:F2"/>
    <mergeCell ref="G2:G7"/>
    <mergeCell ref="B3:F3"/>
    <mergeCell ref="B4:F4"/>
    <mergeCell ref="B5:F5"/>
    <mergeCell ref="B6:C6"/>
    <mergeCell ref="D6:E6"/>
    <mergeCell ref="B7:C7"/>
    <mergeCell ref="D7:E7"/>
  </mergeCells>
  <printOptions horizontalCentered="1"/>
  <pageMargins left="0.75" right="0.75"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L18" sqref="L18"/>
    </sheetView>
  </sheetViews>
  <sheetFormatPr defaultColWidth="8.85546875" defaultRowHeight="15" x14ac:dyDescent="0.25"/>
  <cols>
    <col min="1" max="1" width="31" style="654" customWidth="1"/>
    <col min="2" max="6" width="13.7109375" style="654" customWidth="1"/>
    <col min="7" max="7" width="20.7109375" style="654" customWidth="1"/>
    <col min="8" max="16384" width="8.85546875" style="654"/>
  </cols>
  <sheetData>
    <row r="1" spans="1:8" x14ac:dyDescent="0.25">
      <c r="A1" s="536" t="s">
        <v>24</v>
      </c>
      <c r="B1" s="1231" t="str">
        <f>'YEAR 4--FY''18'!AC1</f>
        <v>FY18</v>
      </c>
      <c r="C1" s="1232"/>
      <c r="D1" s="1232"/>
      <c r="E1" s="1232"/>
      <c r="F1" s="1233"/>
      <c r="G1" s="536" t="s">
        <v>21</v>
      </c>
    </row>
    <row r="2" spans="1:8" x14ac:dyDescent="0.25">
      <c r="A2" s="537" t="s">
        <v>11</v>
      </c>
      <c r="B2" s="1234" t="str">
        <f>'YEAR 4--FY''18'!B30</f>
        <v>Homeownership Counseling and Incentive Program</v>
      </c>
      <c r="C2" s="1235"/>
      <c r="D2" s="1235"/>
      <c r="E2" s="1235"/>
      <c r="F2" s="1236"/>
      <c r="G2" s="1423"/>
    </row>
    <row r="3" spans="1:8" x14ac:dyDescent="0.25">
      <c r="A3" s="537" t="s">
        <v>26</v>
      </c>
      <c r="B3" s="1237" t="str">
        <f>'YEAR 4--FY''18'!D30</f>
        <v>Housing/HCD</v>
      </c>
      <c r="C3" s="1235"/>
      <c r="D3" s="1235"/>
      <c r="E3" s="1235"/>
      <c r="F3" s="1236"/>
      <c r="G3" s="1424"/>
    </row>
    <row r="4" spans="1:8" x14ac:dyDescent="0.25">
      <c r="A4" s="537" t="s">
        <v>13</v>
      </c>
      <c r="B4" s="1234" t="str">
        <f>'YEAR 4--FY''18'!C30</f>
        <v>--</v>
      </c>
      <c r="C4" s="1235"/>
      <c r="D4" s="1235"/>
      <c r="E4" s="1235"/>
      <c r="F4" s="1236"/>
      <c r="G4" s="1424"/>
    </row>
    <row r="5" spans="1:8" ht="15.75" thickBot="1" x14ac:dyDescent="0.3">
      <c r="A5" s="540" t="s">
        <v>12</v>
      </c>
      <c r="B5" s="1251" t="str">
        <f>'YEAR 4--FY''18'!E30</f>
        <v>1-Time</v>
      </c>
      <c r="C5" s="1239"/>
      <c r="D5" s="1239"/>
      <c r="E5" s="1239"/>
      <c r="F5" s="1240"/>
      <c r="G5" s="1424"/>
    </row>
    <row r="6" spans="1:8" ht="15" customHeight="1" x14ac:dyDescent="0.25">
      <c r="A6" s="541" t="s">
        <v>14</v>
      </c>
      <c r="B6" s="1169" t="s">
        <v>512</v>
      </c>
      <c r="C6" s="1170"/>
      <c r="D6" s="1173" t="str">
        <f>'YEAR 4--FY''18'!P1</f>
        <v>FY'17 Carry-Fwd</v>
      </c>
      <c r="E6" s="1174"/>
      <c r="F6" s="813" t="s">
        <v>129</v>
      </c>
      <c r="G6" s="1424"/>
    </row>
    <row r="7" spans="1:8" ht="15.75" thickBot="1" x14ac:dyDescent="0.3">
      <c r="A7" s="543"/>
      <c r="B7" s="1171">
        <f>'YEAR 4--FY''18'!Q30</f>
        <v>140000</v>
      </c>
      <c r="C7" s="1253"/>
      <c r="D7" s="1252">
        <f>F7-B7</f>
        <v>0</v>
      </c>
      <c r="E7" s="1253"/>
      <c r="F7" s="544">
        <f>'YEAR 4--FY''18'!R30</f>
        <v>140000</v>
      </c>
      <c r="G7" s="1425"/>
    </row>
    <row r="8" spans="1:8" ht="33" customHeight="1" x14ac:dyDescent="0.25">
      <c r="A8" s="546" t="s">
        <v>22</v>
      </c>
      <c r="B8" s="132" t="s">
        <v>15</v>
      </c>
      <c r="C8" s="133" t="s">
        <v>16</v>
      </c>
      <c r="D8" s="133" t="s">
        <v>17</v>
      </c>
      <c r="E8" s="133" t="s">
        <v>18</v>
      </c>
      <c r="F8" s="647" t="s">
        <v>19</v>
      </c>
      <c r="G8" s="550" t="s">
        <v>20</v>
      </c>
    </row>
    <row r="9" spans="1:8" x14ac:dyDescent="0.25">
      <c r="A9" s="373" t="s">
        <v>144</v>
      </c>
      <c r="B9" s="65"/>
      <c r="C9" s="66"/>
      <c r="D9" s="66"/>
      <c r="E9" s="66"/>
      <c r="F9" s="67">
        <f>SUM(B9:E9)</f>
        <v>0</v>
      </c>
      <c r="G9" s="177"/>
    </row>
    <row r="10" spans="1:8" x14ac:dyDescent="0.25">
      <c r="A10" s="537" t="s">
        <v>145</v>
      </c>
      <c r="B10" s="65"/>
      <c r="C10" s="66"/>
      <c r="D10" s="66"/>
      <c r="E10" s="66"/>
      <c r="F10" s="67">
        <f>SUM(B10:E10)</f>
        <v>0</v>
      </c>
      <c r="G10" s="228"/>
    </row>
    <row r="11" spans="1:8" x14ac:dyDescent="0.25">
      <c r="A11" s="540" t="s">
        <v>146</v>
      </c>
      <c r="B11" s="276"/>
      <c r="C11" s="277"/>
      <c r="D11" s="277"/>
      <c r="E11" s="277"/>
      <c r="F11" s="67">
        <f>SUM(B11:E11)</f>
        <v>0</v>
      </c>
      <c r="G11" s="278"/>
    </row>
    <row r="12" spans="1:8" ht="15.75" thickBot="1" x14ac:dyDescent="0.3">
      <c r="A12" s="165" t="s">
        <v>147</v>
      </c>
      <c r="B12" s="171"/>
      <c r="C12" s="376"/>
      <c r="D12" s="376"/>
      <c r="E12" s="376"/>
      <c r="F12" s="67">
        <f>SUM(B12:E12)</f>
        <v>0</v>
      </c>
      <c r="G12" s="178"/>
    </row>
    <row r="13" spans="1:8" ht="24.75" customHeight="1" thickBot="1" x14ac:dyDescent="0.3">
      <c r="A13" s="9" t="s">
        <v>25</v>
      </c>
      <c r="B13" s="68">
        <f>SUM(B9:B12)</f>
        <v>0</v>
      </c>
      <c r="C13" s="69">
        <f>SUM(C9:C12)</f>
        <v>0</v>
      </c>
      <c r="D13" s="69">
        <f>SUM(D9:D12)</f>
        <v>0</v>
      </c>
      <c r="E13" s="69">
        <f>SUM(E9:E12)</f>
        <v>0</v>
      </c>
      <c r="F13" s="70">
        <f>SUM(F9:F12)</f>
        <v>0</v>
      </c>
      <c r="G13" s="556">
        <f>F7-F13</f>
        <v>140000</v>
      </c>
      <c r="H13" s="656"/>
    </row>
    <row r="14" spans="1:8" ht="110.1" customHeight="1" thickBot="1" x14ac:dyDescent="0.3">
      <c r="A14" s="1156" t="s">
        <v>674</v>
      </c>
      <c r="B14" s="1295"/>
      <c r="C14" s="1295"/>
      <c r="D14" s="1295"/>
      <c r="E14" s="1295"/>
      <c r="F14" s="1295"/>
      <c r="G14" s="1296"/>
    </row>
    <row r="15" spans="1:8" ht="60" customHeight="1" thickBot="1" x14ac:dyDescent="0.3">
      <c r="A15" s="1180" t="s">
        <v>673</v>
      </c>
      <c r="B15" s="1207"/>
      <c r="C15" s="1207"/>
      <c r="D15" s="1207"/>
      <c r="E15" s="1207"/>
      <c r="F15" s="1207"/>
      <c r="G15" s="1208"/>
    </row>
  </sheetData>
  <mergeCells count="12">
    <mergeCell ref="A14:G14"/>
    <mergeCell ref="A15:G15"/>
    <mergeCell ref="B1:F1"/>
    <mergeCell ref="B2:F2"/>
    <mergeCell ref="G2:G7"/>
    <mergeCell ref="B3:F3"/>
    <mergeCell ref="B4:F4"/>
    <mergeCell ref="B5:F5"/>
    <mergeCell ref="B6:C6"/>
    <mergeCell ref="D6:E6"/>
    <mergeCell ref="B7:C7"/>
    <mergeCell ref="D7:E7"/>
  </mergeCells>
  <printOptions horizontalCentered="1"/>
  <pageMargins left="0.75" right="0.75"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8" workbookViewId="0">
      <selection activeCell="F20" sqref="F20"/>
    </sheetView>
  </sheetViews>
  <sheetFormatPr defaultColWidth="8.85546875" defaultRowHeight="15" x14ac:dyDescent="0.25"/>
  <cols>
    <col min="1" max="1" width="31" style="2" customWidth="1"/>
    <col min="2" max="6" width="13.7109375" style="2" customWidth="1"/>
    <col min="7" max="7" width="20.7109375" style="2" customWidth="1"/>
    <col min="8" max="16384" width="8.85546875" style="2"/>
  </cols>
  <sheetData>
    <row r="1" spans="1:9" x14ac:dyDescent="0.25">
      <c r="A1" s="41" t="s">
        <v>24</v>
      </c>
      <c r="B1" s="1351" t="str">
        <f>'YEAR 4--FY''18'!AC1</f>
        <v>FY18</v>
      </c>
      <c r="C1" s="1352"/>
      <c r="D1" s="1352"/>
      <c r="E1" s="1352"/>
      <c r="F1" s="1353"/>
      <c r="G1" s="41" t="s">
        <v>21</v>
      </c>
    </row>
    <row r="2" spans="1:9" x14ac:dyDescent="0.25">
      <c r="A2" s="102" t="s">
        <v>11</v>
      </c>
      <c r="B2" s="1221" t="str">
        <f>'[6]YEAR 3--FY''17'!A35</f>
        <v>Expand small business support programs</v>
      </c>
      <c r="C2" s="1222"/>
      <c r="D2" s="1222"/>
      <c r="E2" s="1222"/>
      <c r="F2" s="1223"/>
      <c r="G2" s="103"/>
    </row>
    <row r="3" spans="1:9" x14ac:dyDescent="0.25">
      <c r="A3" s="102" t="s">
        <v>26</v>
      </c>
      <c r="B3" s="1394" t="str">
        <f>'[6]YEAR 3--FY''17'!C35</f>
        <v>BDC</v>
      </c>
      <c r="C3" s="1222"/>
      <c r="D3" s="1222"/>
      <c r="E3" s="1222"/>
      <c r="F3" s="1223"/>
      <c r="G3" s="440"/>
    </row>
    <row r="4" spans="1:9" x14ac:dyDescent="0.25">
      <c r="A4" s="102" t="s">
        <v>13</v>
      </c>
      <c r="B4" s="1221" t="str">
        <f>'[6]YEAR 3--FY''17'!B34</f>
        <v>--</v>
      </c>
      <c r="C4" s="1222"/>
      <c r="D4" s="1222"/>
      <c r="E4" s="1222"/>
      <c r="F4" s="1223"/>
      <c r="G4" s="440"/>
    </row>
    <row r="5" spans="1:9" ht="15.75" thickBot="1" x14ac:dyDescent="0.3">
      <c r="A5" s="103" t="s">
        <v>12</v>
      </c>
      <c r="B5" s="1395" t="str">
        <f>'[6]YEAR 3--FY''17'!D35</f>
        <v>Multi-Year</v>
      </c>
      <c r="C5" s="1225"/>
      <c r="D5" s="1225"/>
      <c r="E5" s="1225"/>
      <c r="F5" s="1226"/>
      <c r="G5" s="440"/>
    </row>
    <row r="6" spans="1:9" s="655" customFormat="1" ht="24.95" customHeight="1" x14ac:dyDescent="0.25">
      <c r="A6" s="42" t="s">
        <v>14</v>
      </c>
      <c r="B6" s="1169" t="s">
        <v>512</v>
      </c>
      <c r="C6" s="1170"/>
      <c r="D6" s="1173" t="str">
        <f>'YEAR 4--FY''18'!P1</f>
        <v>FY'17 Carry-Fwd</v>
      </c>
      <c r="E6" s="1174"/>
      <c r="F6" s="813" t="s">
        <v>129</v>
      </c>
      <c r="G6" s="758"/>
    </row>
    <row r="7" spans="1:9" ht="15.75" thickBot="1" x14ac:dyDescent="0.3">
      <c r="A7" s="43"/>
      <c r="B7" s="1171">
        <f>'YEAR 4--FY''18'!Q32</f>
        <v>0</v>
      </c>
      <c r="C7" s="1253"/>
      <c r="D7" s="1252">
        <f>F7-B7</f>
        <v>100000</v>
      </c>
      <c r="E7" s="1253"/>
      <c r="F7" s="544">
        <f>'YEAR 4--FY''18'!R32</f>
        <v>100000</v>
      </c>
      <c r="G7" s="141"/>
    </row>
    <row r="8" spans="1:9" ht="33" customHeight="1" x14ac:dyDescent="0.25">
      <c r="A8" s="320" t="s">
        <v>22</v>
      </c>
      <c r="B8" s="321" t="s">
        <v>15</v>
      </c>
      <c r="C8" s="322" t="s">
        <v>16</v>
      </c>
      <c r="D8" s="322" t="s">
        <v>17</v>
      </c>
      <c r="E8" s="322" t="s">
        <v>18</v>
      </c>
      <c r="F8" s="323" t="s">
        <v>19</v>
      </c>
      <c r="G8" s="324" t="s">
        <v>20</v>
      </c>
    </row>
    <row r="9" spans="1:9" ht="30" x14ac:dyDescent="0.25">
      <c r="A9" s="325" t="s">
        <v>561</v>
      </c>
      <c r="B9" s="136"/>
      <c r="C9" s="137">
        <v>17362</v>
      </c>
      <c r="D9" s="137"/>
      <c r="E9" s="137"/>
      <c r="F9" s="648">
        <f t="shared" ref="F9:F13" si="0">SUM(B9:E9)</f>
        <v>17362</v>
      </c>
      <c r="G9" s="393">
        <f>H9-F9</f>
        <v>0</v>
      </c>
      <c r="H9" s="252">
        <v>17362</v>
      </c>
    </row>
    <row r="10" spans="1:9" ht="30" x14ac:dyDescent="0.25">
      <c r="A10" s="325" t="s">
        <v>560</v>
      </c>
      <c r="B10" s="136"/>
      <c r="C10" s="137"/>
      <c r="D10" s="137"/>
      <c r="E10" s="137">
        <v>8700</v>
      </c>
      <c r="F10" s="138">
        <f t="shared" si="0"/>
        <v>8700</v>
      </c>
      <c r="G10" s="393">
        <f>H10-F10</f>
        <v>0</v>
      </c>
      <c r="H10" s="2">
        <v>8700</v>
      </c>
    </row>
    <row r="11" spans="1:9" s="655" customFormat="1" ht="30" x14ac:dyDescent="0.25">
      <c r="A11" s="883" t="s">
        <v>562</v>
      </c>
      <c r="B11" s="737"/>
      <c r="C11" s="738"/>
      <c r="D11" s="738"/>
      <c r="E11" s="738"/>
      <c r="F11" s="884"/>
      <c r="G11" s="885"/>
      <c r="H11" s="252">
        <v>7929</v>
      </c>
      <c r="I11" s="252">
        <f>H9+H10+H11</f>
        <v>33991</v>
      </c>
    </row>
    <row r="12" spans="1:9" ht="15.75" thickBot="1" x14ac:dyDescent="0.3">
      <c r="A12" s="325" t="s">
        <v>237</v>
      </c>
      <c r="B12" s="136"/>
      <c r="C12" s="137"/>
      <c r="D12" s="137"/>
      <c r="E12" s="137"/>
      <c r="F12" s="138">
        <f t="shared" si="0"/>
        <v>0</v>
      </c>
      <c r="G12" s="393">
        <f>H12-F12</f>
        <v>73938</v>
      </c>
      <c r="H12" s="252">
        <f>F7-SUM(H9:H10)</f>
        <v>73938</v>
      </c>
    </row>
    <row r="13" spans="1:9" s="392" customFormat="1" ht="15.75" thickBot="1" x14ac:dyDescent="0.3">
      <c r="A13" s="326" t="s">
        <v>25</v>
      </c>
      <c r="B13" s="395">
        <f>SUM(B9:B12)</f>
        <v>0</v>
      </c>
      <c r="C13" s="397">
        <f>SUM(C9:C12)</f>
        <v>17362</v>
      </c>
      <c r="D13" s="397">
        <f>SUM(D9:D12)</f>
        <v>0</v>
      </c>
      <c r="E13" s="397">
        <f>SUM(E9:E12)</f>
        <v>8700</v>
      </c>
      <c r="F13" s="398">
        <f t="shared" si="0"/>
        <v>26062</v>
      </c>
      <c r="G13" s="394">
        <f>SUM(G10:G12)</f>
        <v>73938</v>
      </c>
      <c r="H13" s="252">
        <f>SUM(F9:G12)</f>
        <v>100000</v>
      </c>
    </row>
    <row r="14" spans="1:9" ht="72" customHeight="1" thickBot="1" x14ac:dyDescent="0.3">
      <c r="A14" s="1192" t="s">
        <v>676</v>
      </c>
      <c r="B14" s="1429"/>
      <c r="C14" s="1429"/>
      <c r="D14" s="1429"/>
      <c r="E14" s="1429"/>
      <c r="F14" s="1429"/>
      <c r="G14" s="1430"/>
      <c r="H14" s="252"/>
    </row>
    <row r="15" spans="1:9" s="54" customFormat="1" ht="50.1" customHeight="1" thickBot="1" x14ac:dyDescent="0.3">
      <c r="A15" s="1426" t="s">
        <v>675</v>
      </c>
      <c r="B15" s="1427"/>
      <c r="C15" s="1427"/>
      <c r="D15" s="1427"/>
      <c r="E15" s="1427"/>
      <c r="F15" s="1427"/>
      <c r="G15" s="1428"/>
    </row>
  </sheetData>
  <mergeCells count="11">
    <mergeCell ref="B1:F1"/>
    <mergeCell ref="B2:F2"/>
    <mergeCell ref="B3:F3"/>
    <mergeCell ref="B4:F4"/>
    <mergeCell ref="B5:F5"/>
    <mergeCell ref="A15:G15"/>
    <mergeCell ref="B7:C7"/>
    <mergeCell ref="D7:E7"/>
    <mergeCell ref="B6:C6"/>
    <mergeCell ref="D6:E6"/>
    <mergeCell ref="A14:G14"/>
  </mergeCells>
  <printOptions horizontalCentered="1"/>
  <pageMargins left="0.75" right="0.75"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C29" sqref="B29:C29"/>
    </sheetView>
  </sheetViews>
  <sheetFormatPr defaultColWidth="8.85546875" defaultRowHeight="15" x14ac:dyDescent="0.25"/>
  <cols>
    <col min="1" max="1" width="31" style="2" customWidth="1"/>
    <col min="2" max="6" width="13.7109375" style="2" customWidth="1"/>
    <col min="7" max="7" width="20.7109375" style="2" customWidth="1"/>
    <col min="8" max="16384" width="8.85546875" style="2"/>
  </cols>
  <sheetData>
    <row r="1" spans="1:10" x14ac:dyDescent="0.25">
      <c r="A1" s="41" t="s">
        <v>24</v>
      </c>
      <c r="B1" s="1351" t="str">
        <f>'YEAR 4--FY''18'!AC1</f>
        <v>FY18</v>
      </c>
      <c r="C1" s="1352"/>
      <c r="D1" s="1352"/>
      <c r="E1" s="1352"/>
      <c r="F1" s="1353"/>
      <c r="G1" s="41" t="s">
        <v>21</v>
      </c>
    </row>
    <row r="2" spans="1:10" x14ac:dyDescent="0.25">
      <c r="A2" s="102" t="s">
        <v>11</v>
      </c>
      <c r="B2" s="1221" t="str">
        <f>'[6]YEAR 3--FY''17'!A34</f>
        <v>Assessment of Carroll-Camden &amp; Other Indust Areas</v>
      </c>
      <c r="C2" s="1222"/>
      <c r="D2" s="1222"/>
      <c r="E2" s="1222"/>
      <c r="F2" s="1223"/>
      <c r="G2" s="103"/>
    </row>
    <row r="3" spans="1:10" x14ac:dyDescent="0.25">
      <c r="A3" s="102" t="s">
        <v>26</v>
      </c>
      <c r="B3" s="1394" t="str">
        <f>'[6]YEAR 3--FY''17'!C34</f>
        <v>BDC</v>
      </c>
      <c r="C3" s="1222"/>
      <c r="D3" s="1222"/>
      <c r="E3" s="1222"/>
      <c r="F3" s="1223"/>
      <c r="G3" s="140"/>
    </row>
    <row r="4" spans="1:10" x14ac:dyDescent="0.25">
      <c r="A4" s="102" t="s">
        <v>13</v>
      </c>
      <c r="B4" s="1221" t="str">
        <f>'[6]YEAR 3--FY''17'!B34</f>
        <v>--</v>
      </c>
      <c r="C4" s="1222"/>
      <c r="D4" s="1222"/>
      <c r="E4" s="1222"/>
      <c r="F4" s="1223"/>
      <c r="G4" s="140"/>
    </row>
    <row r="5" spans="1:10" ht="15.75" thickBot="1" x14ac:dyDescent="0.3">
      <c r="A5" s="103" t="s">
        <v>12</v>
      </c>
      <c r="B5" s="1395" t="str">
        <f>'[6]YEAR 3--FY''17'!D34</f>
        <v>1-Time</v>
      </c>
      <c r="C5" s="1225"/>
      <c r="D5" s="1225"/>
      <c r="E5" s="1225"/>
      <c r="F5" s="1226"/>
      <c r="G5" s="140"/>
    </row>
    <row r="6" spans="1:10" s="655" customFormat="1" ht="24.95" customHeight="1" x14ac:dyDescent="0.25">
      <c r="A6" s="42" t="s">
        <v>14</v>
      </c>
      <c r="B6" s="1169" t="s">
        <v>512</v>
      </c>
      <c r="C6" s="1170"/>
      <c r="D6" s="1173" t="str">
        <f>'YEAR 4--FY''18'!P1</f>
        <v>FY'17 Carry-Fwd</v>
      </c>
      <c r="E6" s="1174"/>
      <c r="F6" s="813" t="s">
        <v>129</v>
      </c>
      <c r="G6" s="758"/>
    </row>
    <row r="7" spans="1:10" ht="15.75" thickBot="1" x14ac:dyDescent="0.3">
      <c r="A7" s="43"/>
      <c r="B7" s="1171">
        <f>'YEAR 4--FY''18'!Q33</f>
        <v>0</v>
      </c>
      <c r="C7" s="1253"/>
      <c r="D7" s="1252">
        <f>F7-B7</f>
        <v>50000</v>
      </c>
      <c r="E7" s="1253"/>
      <c r="F7" s="544">
        <f>'YEAR 4--FY''18'!R33</f>
        <v>50000</v>
      </c>
      <c r="G7" s="141"/>
    </row>
    <row r="8" spans="1:10" ht="33" customHeight="1" x14ac:dyDescent="0.25">
      <c r="A8" s="320" t="s">
        <v>22</v>
      </c>
      <c r="B8" s="321" t="s">
        <v>15</v>
      </c>
      <c r="C8" s="322" t="s">
        <v>16</v>
      </c>
      <c r="D8" s="322" t="s">
        <v>17</v>
      </c>
      <c r="E8" s="322" t="s">
        <v>18</v>
      </c>
      <c r="F8" s="323" t="s">
        <v>19</v>
      </c>
      <c r="G8" s="324" t="s">
        <v>20</v>
      </c>
    </row>
    <row r="9" spans="1:10" s="481" customFormat="1" ht="14.1" customHeight="1" x14ac:dyDescent="0.25">
      <c r="A9" s="524" t="s">
        <v>338</v>
      </c>
      <c r="B9" s="136">
        <v>4886</v>
      </c>
      <c r="C9" s="137">
        <v>0</v>
      </c>
      <c r="D9" s="137">
        <v>0</v>
      </c>
      <c r="E9" s="137">
        <v>0</v>
      </c>
      <c r="F9" s="138">
        <f>SUM(B9:E9)</f>
        <v>4886</v>
      </c>
      <c r="G9" s="139">
        <f>H9-F9</f>
        <v>5964</v>
      </c>
      <c r="H9" s="252">
        <v>10850</v>
      </c>
      <c r="I9" s="481" t="s">
        <v>559</v>
      </c>
      <c r="J9" s="481">
        <v>5443</v>
      </c>
    </row>
    <row r="10" spans="1:10" ht="14.1" customHeight="1" thickBot="1" x14ac:dyDescent="0.3">
      <c r="A10" s="325" t="s">
        <v>337</v>
      </c>
      <c r="B10" s="136">
        <v>0</v>
      </c>
      <c r="C10" s="137">
        <v>0</v>
      </c>
      <c r="D10" s="137">
        <v>0</v>
      </c>
      <c r="E10" s="137">
        <v>0</v>
      </c>
      <c r="F10" s="138">
        <f>SUM(B10:E10)</f>
        <v>0</v>
      </c>
      <c r="G10" s="139">
        <f>H10-F10</f>
        <v>39950</v>
      </c>
      <c r="H10" s="252">
        <v>39950</v>
      </c>
      <c r="I10" s="2" t="s">
        <v>558</v>
      </c>
    </row>
    <row r="11" spans="1:10" ht="32.25" customHeight="1" thickBot="1" x14ac:dyDescent="0.3">
      <c r="A11" s="326" t="s">
        <v>25</v>
      </c>
      <c r="B11" s="327">
        <f>SUM(B9:B10)</f>
        <v>4886</v>
      </c>
      <c r="C11" s="328">
        <f>SUM(C10:C10)</f>
        <v>0</v>
      </c>
      <c r="D11" s="328">
        <f>SUM(D10:D10)</f>
        <v>0</v>
      </c>
      <c r="E11" s="328">
        <f>SUM(E10:E10)</f>
        <v>0</v>
      </c>
      <c r="F11" s="329">
        <f>SUM(B11:E11)</f>
        <v>4886</v>
      </c>
      <c r="G11" s="330">
        <f>SUM(F7:F7)-F11</f>
        <v>45114</v>
      </c>
    </row>
    <row r="12" spans="1:10" ht="60" customHeight="1" thickBot="1" x14ac:dyDescent="0.3">
      <c r="A12" s="1180" t="s">
        <v>678</v>
      </c>
      <c r="B12" s="1295"/>
      <c r="C12" s="1295"/>
      <c r="D12" s="1295"/>
      <c r="E12" s="1295"/>
      <c r="F12" s="1295"/>
      <c r="G12" s="1296"/>
    </row>
    <row r="13" spans="1:10" ht="83.25" customHeight="1" thickBot="1" x14ac:dyDescent="0.3">
      <c r="A13" s="1431" t="s">
        <v>677</v>
      </c>
      <c r="B13" s="1432"/>
      <c r="C13" s="1432"/>
      <c r="D13" s="1432"/>
      <c r="E13" s="1432"/>
      <c r="F13" s="1432"/>
      <c r="G13" s="1433"/>
    </row>
  </sheetData>
  <mergeCells count="11">
    <mergeCell ref="B1:F1"/>
    <mergeCell ref="B2:F2"/>
    <mergeCell ref="B3:F3"/>
    <mergeCell ref="B4:F4"/>
    <mergeCell ref="B5:F5"/>
    <mergeCell ref="A13:G13"/>
    <mergeCell ref="B6:C6"/>
    <mergeCell ref="D6:E6"/>
    <mergeCell ref="B7:C7"/>
    <mergeCell ref="D7:E7"/>
    <mergeCell ref="A12:G12"/>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topLeftCell="A13" zoomScale="95" zoomScaleNormal="95" zoomScalePageLayoutView="95" workbookViewId="0">
      <selection activeCell="A28" sqref="A28:G28"/>
    </sheetView>
  </sheetViews>
  <sheetFormatPr defaultColWidth="8.85546875" defaultRowHeight="15" x14ac:dyDescent="0.25"/>
  <cols>
    <col min="1" max="1" width="31" customWidth="1"/>
    <col min="2" max="6" width="13.7109375" customWidth="1"/>
    <col min="7" max="7" width="20.7109375" customWidth="1"/>
    <col min="8" max="8" width="31.28515625" customWidth="1"/>
  </cols>
  <sheetData>
    <row r="1" spans="1:18" x14ac:dyDescent="0.25">
      <c r="A1" s="151" t="s">
        <v>24</v>
      </c>
      <c r="B1" s="1231" t="str">
        <f>'YEAR 4--FY''18'!AC1</f>
        <v>FY18</v>
      </c>
      <c r="C1" s="1232"/>
      <c r="D1" s="1232"/>
      <c r="E1" s="1232"/>
      <c r="F1" s="1233"/>
      <c r="G1" s="151" t="s">
        <v>21</v>
      </c>
      <c r="H1" s="149"/>
    </row>
    <row r="2" spans="1:18" ht="15" customHeight="1" x14ac:dyDescent="0.25">
      <c r="A2" s="166" t="s">
        <v>11</v>
      </c>
      <c r="B2" s="1162" t="s">
        <v>210</v>
      </c>
      <c r="C2" s="1163"/>
      <c r="D2" s="1163"/>
      <c r="E2" s="1163"/>
      <c r="F2" s="1164"/>
      <c r="G2" s="1248"/>
      <c r="H2" s="149"/>
    </row>
    <row r="3" spans="1:18" x14ac:dyDescent="0.25">
      <c r="A3" s="166" t="s">
        <v>26</v>
      </c>
      <c r="B3" s="1162" t="s">
        <v>3</v>
      </c>
      <c r="C3" s="1163"/>
      <c r="D3" s="1163"/>
      <c r="E3" s="1163"/>
      <c r="F3" s="1164"/>
      <c r="G3" s="1249"/>
      <c r="H3" s="149"/>
    </row>
    <row r="4" spans="1:18" x14ac:dyDescent="0.25">
      <c r="A4" s="166" t="s">
        <v>13</v>
      </c>
      <c r="B4" s="1162">
        <v>2</v>
      </c>
      <c r="C4" s="1163"/>
      <c r="D4" s="1163"/>
      <c r="E4" s="1163"/>
      <c r="F4" s="1164"/>
      <c r="G4" s="1249"/>
      <c r="H4" s="149"/>
    </row>
    <row r="5" spans="1:18" ht="15.75" thickBot="1" x14ac:dyDescent="0.3">
      <c r="A5" s="152" t="s">
        <v>12</v>
      </c>
      <c r="B5" s="1189" t="s">
        <v>9</v>
      </c>
      <c r="C5" s="1190"/>
      <c r="D5" s="1190"/>
      <c r="E5" s="1190"/>
      <c r="F5" s="1191"/>
      <c r="G5" s="1249"/>
      <c r="H5" s="149"/>
      <c r="R5">
        <f>30000/12</f>
        <v>2500</v>
      </c>
    </row>
    <row r="6" spans="1:18" ht="15" customHeight="1" x14ac:dyDescent="0.25">
      <c r="A6" s="153" t="s">
        <v>14</v>
      </c>
      <c r="B6" s="1169" t="s">
        <v>512</v>
      </c>
      <c r="C6" s="1170"/>
      <c r="D6" s="1173" t="str">
        <f>'YEAR 4--FY''18'!P1</f>
        <v>FY'17 Carry-Fwd</v>
      </c>
      <c r="E6" s="1174"/>
      <c r="F6" s="813" t="s">
        <v>129</v>
      </c>
      <c r="G6" s="1249"/>
      <c r="H6" s="149"/>
    </row>
    <row r="7" spans="1:18" ht="15.75" thickBot="1" x14ac:dyDescent="0.3">
      <c r="A7" s="150"/>
      <c r="B7" s="1171">
        <f>'YEAR 4--FY''18'!Q34</f>
        <v>575000</v>
      </c>
      <c r="C7" s="1253"/>
      <c r="D7" s="1252">
        <f>F7-B7</f>
        <v>0</v>
      </c>
      <c r="E7" s="1253"/>
      <c r="F7" s="544">
        <f>'YEAR 4--FY''18'!R34</f>
        <v>575000</v>
      </c>
      <c r="G7" s="1249"/>
      <c r="H7" s="1090"/>
      <c r="I7" s="1090" t="s">
        <v>697</v>
      </c>
    </row>
    <row r="8" spans="1:18" ht="32.25" thickBot="1" x14ac:dyDescent="0.3">
      <c r="A8" s="37" t="s">
        <v>22</v>
      </c>
      <c r="B8" s="755" t="s">
        <v>15</v>
      </c>
      <c r="C8" s="756" t="s">
        <v>16</v>
      </c>
      <c r="D8" s="756" t="s">
        <v>17</v>
      </c>
      <c r="E8" s="756" t="s">
        <v>18</v>
      </c>
      <c r="F8" s="757" t="s">
        <v>19</v>
      </c>
      <c r="G8" s="1060" t="s">
        <v>20</v>
      </c>
      <c r="H8" s="1091" t="s">
        <v>413</v>
      </c>
      <c r="I8" s="1091" t="s">
        <v>413</v>
      </c>
    </row>
    <row r="9" spans="1:18" ht="15" customHeight="1" x14ac:dyDescent="0.25">
      <c r="A9" s="1068" t="s">
        <v>679</v>
      </c>
      <c r="B9" s="1084">
        <v>0</v>
      </c>
      <c r="C9" s="1085"/>
      <c r="D9" s="1085">
        <v>0</v>
      </c>
      <c r="E9" s="1085">
        <v>0</v>
      </c>
      <c r="F9" s="1064">
        <v>0</v>
      </c>
      <c r="G9" s="1059"/>
      <c r="H9" s="1062">
        <v>0</v>
      </c>
      <c r="I9" s="1081">
        <v>0</v>
      </c>
      <c r="J9" s="1065"/>
      <c r="K9" s="1065"/>
      <c r="L9" s="1065"/>
      <c r="M9" s="1065"/>
      <c r="N9" s="1065"/>
      <c r="O9" s="1065"/>
      <c r="P9" s="1065"/>
      <c r="Q9" s="1065"/>
      <c r="R9" s="1065"/>
    </row>
    <row r="10" spans="1:18" ht="15" customHeight="1" x14ac:dyDescent="0.25">
      <c r="A10" s="1067" t="s">
        <v>680</v>
      </c>
      <c r="B10" s="1069">
        <v>8615</v>
      </c>
      <c r="C10" s="1086"/>
      <c r="D10" s="1070">
        <v>3024</v>
      </c>
      <c r="E10" s="1070">
        <v>0</v>
      </c>
      <c r="F10" s="1063">
        <v>11639</v>
      </c>
      <c r="G10" s="1078"/>
      <c r="H10" s="1062">
        <v>11639</v>
      </c>
      <c r="I10" s="1081">
        <v>1000</v>
      </c>
      <c r="J10" s="1065" t="s">
        <v>681</v>
      </c>
      <c r="K10" s="1065"/>
      <c r="L10" s="1065"/>
      <c r="M10" s="1065"/>
      <c r="N10" s="1065"/>
      <c r="O10" s="1065"/>
      <c r="P10" s="1065"/>
      <c r="Q10" s="1065"/>
      <c r="R10" s="1065"/>
    </row>
    <row r="11" spans="1:18" ht="15" customHeight="1" x14ac:dyDescent="0.25">
      <c r="A11" s="1067" t="s">
        <v>682</v>
      </c>
      <c r="B11" s="1069">
        <v>3678</v>
      </c>
      <c r="C11" s="1086">
        <v>3299</v>
      </c>
      <c r="D11" s="1070"/>
      <c r="E11" s="1070">
        <v>1210</v>
      </c>
      <c r="F11" s="1063">
        <v>8187</v>
      </c>
      <c r="G11" s="1078"/>
      <c r="H11" s="1062">
        <v>8187</v>
      </c>
      <c r="I11" s="1083">
        <v>5000</v>
      </c>
      <c r="J11" s="1065"/>
      <c r="K11" s="1065"/>
      <c r="L11" s="1065"/>
      <c r="M11" s="1065"/>
      <c r="N11" s="1065"/>
      <c r="O11" s="1065"/>
      <c r="P11" s="1065"/>
      <c r="Q11" s="1065"/>
      <c r="R11" s="1065"/>
    </row>
    <row r="12" spans="1:18" ht="15" customHeight="1" x14ac:dyDescent="0.25">
      <c r="A12" s="1067" t="s">
        <v>683</v>
      </c>
      <c r="B12" s="1069">
        <v>70</v>
      </c>
      <c r="C12" s="1086">
        <v>80</v>
      </c>
      <c r="D12" s="1070"/>
      <c r="E12" s="1070">
        <v>60</v>
      </c>
      <c r="F12" s="1063">
        <v>210</v>
      </c>
      <c r="G12" s="1078"/>
      <c r="H12" s="1062">
        <v>210</v>
      </c>
      <c r="I12" s="1081">
        <v>0</v>
      </c>
      <c r="J12" s="1065"/>
      <c r="K12" s="1065"/>
      <c r="L12" s="1065"/>
      <c r="M12" s="1065"/>
      <c r="N12" s="1065"/>
      <c r="O12" s="1065"/>
      <c r="P12" s="1065"/>
      <c r="Q12" s="1065"/>
      <c r="R12" s="1065"/>
    </row>
    <row r="13" spans="1:18" s="110" customFormat="1" ht="15" customHeight="1" x14ac:dyDescent="0.25">
      <c r="A13" s="1067" t="s">
        <v>684</v>
      </c>
      <c r="B13" s="1069">
        <v>109909</v>
      </c>
      <c r="C13" s="1086">
        <v>80616</v>
      </c>
      <c r="D13" s="1070">
        <v>84552</v>
      </c>
      <c r="E13" s="1070">
        <v>118082.39000000001</v>
      </c>
      <c r="F13" s="1063">
        <v>393159.39</v>
      </c>
      <c r="G13" s="1078"/>
      <c r="H13" s="1062">
        <v>393159.39</v>
      </c>
      <c r="I13" s="1083">
        <v>431229</v>
      </c>
      <c r="J13" s="1065"/>
      <c r="K13" s="1065"/>
      <c r="L13" s="1065"/>
      <c r="M13" s="1065"/>
      <c r="N13" s="1065"/>
      <c r="O13" s="1065"/>
      <c r="P13" s="1065"/>
      <c r="Q13" s="1065"/>
      <c r="R13" s="1065"/>
    </row>
    <row r="14" spans="1:18" s="110" customFormat="1" ht="15" customHeight="1" x14ac:dyDescent="0.25">
      <c r="A14" s="1067" t="s">
        <v>685</v>
      </c>
      <c r="B14" s="1069">
        <v>4635</v>
      </c>
      <c r="C14" s="1070">
        <v>10642</v>
      </c>
      <c r="D14" s="1076">
        <v>6828</v>
      </c>
      <c r="E14" s="1070">
        <v>5141.12</v>
      </c>
      <c r="F14" s="1063">
        <v>27246.12</v>
      </c>
      <c r="G14" s="1078"/>
      <c r="H14" s="1062">
        <v>27246.12</v>
      </c>
      <c r="I14" s="1083">
        <v>18225</v>
      </c>
      <c r="J14" s="1065"/>
      <c r="K14" s="1065"/>
      <c r="L14" s="1065"/>
      <c r="M14" s="1065"/>
      <c r="N14" s="1065"/>
      <c r="O14" s="1065"/>
      <c r="P14" s="1065"/>
      <c r="Q14" s="1065"/>
      <c r="R14" s="1065"/>
    </row>
    <row r="15" spans="1:18" s="110" customFormat="1" ht="15" customHeight="1" x14ac:dyDescent="0.25">
      <c r="A15" s="1067" t="s">
        <v>686</v>
      </c>
      <c r="B15" s="1072">
        <v>41</v>
      </c>
      <c r="C15" s="1073">
        <v>0</v>
      </c>
      <c r="D15" s="1077">
        <v>0</v>
      </c>
      <c r="E15" s="1073">
        <v>0</v>
      </c>
      <c r="F15" s="1063">
        <v>41</v>
      </c>
      <c r="G15" s="1078"/>
      <c r="H15" s="1062">
        <v>41</v>
      </c>
      <c r="I15" s="1083">
        <v>1200</v>
      </c>
      <c r="J15" s="1065"/>
      <c r="K15" s="1065"/>
      <c r="L15" s="1065"/>
      <c r="M15" s="1065"/>
      <c r="N15" s="1065"/>
      <c r="O15" s="1065"/>
      <c r="P15" s="1065"/>
      <c r="Q15" s="1065"/>
      <c r="R15" s="1065"/>
    </row>
    <row r="16" spans="1:18" s="654" customFormat="1" ht="15" customHeight="1" x14ac:dyDescent="0.25">
      <c r="A16" s="1067" t="s">
        <v>687</v>
      </c>
      <c r="B16" s="1072">
        <v>1703</v>
      </c>
      <c r="C16" s="1073">
        <v>88</v>
      </c>
      <c r="D16" s="1073">
        <v>972</v>
      </c>
      <c r="E16" s="1073">
        <v>0</v>
      </c>
      <c r="F16" s="1063">
        <v>2763</v>
      </c>
      <c r="G16" s="1078"/>
      <c r="H16" s="1062">
        <v>2763</v>
      </c>
      <c r="I16" s="1081">
        <v>0</v>
      </c>
      <c r="J16" s="1065"/>
      <c r="K16" s="1065"/>
      <c r="L16" s="1065"/>
      <c r="M16" s="1065"/>
      <c r="N16" s="824"/>
      <c r="O16" s="824"/>
      <c r="P16" s="824"/>
      <c r="Q16" s="824"/>
      <c r="R16" s="824"/>
    </row>
    <row r="17" spans="1:18" s="654" customFormat="1" ht="15" customHeight="1" x14ac:dyDescent="0.25">
      <c r="A17" s="1067" t="s">
        <v>688</v>
      </c>
      <c r="B17" s="1079">
        <v>520</v>
      </c>
      <c r="C17" s="1080">
        <v>1411</v>
      </c>
      <c r="D17" s="1080">
        <v>883</v>
      </c>
      <c r="E17" s="1080">
        <v>572</v>
      </c>
      <c r="F17" s="1063">
        <v>3386</v>
      </c>
      <c r="G17" s="1078"/>
      <c r="H17" s="1062">
        <v>3386</v>
      </c>
      <c r="I17" s="1083">
        <v>4800</v>
      </c>
      <c r="J17" s="1065"/>
      <c r="K17" s="1065"/>
      <c r="L17" s="1065"/>
      <c r="M17" s="1065"/>
      <c r="N17" s="824"/>
      <c r="O17" s="824"/>
      <c r="P17" s="824"/>
      <c r="Q17" s="824"/>
      <c r="R17" s="824"/>
    </row>
    <row r="18" spans="1:18" s="654" customFormat="1" ht="15" customHeight="1" x14ac:dyDescent="0.25">
      <c r="A18" s="1071" t="s">
        <v>689</v>
      </c>
      <c r="B18" s="1079"/>
      <c r="C18" s="1080"/>
      <c r="D18" s="1080" t="s">
        <v>518</v>
      </c>
      <c r="E18" s="1080"/>
      <c r="F18" s="1063">
        <v>0</v>
      </c>
      <c r="G18" s="1078"/>
      <c r="H18" s="1062">
        <v>0</v>
      </c>
      <c r="I18" s="1083">
        <v>3000</v>
      </c>
      <c r="J18" s="1065"/>
      <c r="K18" s="1065"/>
      <c r="L18" s="1065"/>
      <c r="M18" s="1065"/>
      <c r="N18" s="824"/>
      <c r="O18" s="824"/>
      <c r="P18" s="824"/>
      <c r="Q18" s="824"/>
      <c r="R18" s="824"/>
    </row>
    <row r="19" spans="1:18" s="654" customFormat="1" ht="15" customHeight="1" x14ac:dyDescent="0.25">
      <c r="A19" s="1071" t="s">
        <v>690</v>
      </c>
      <c r="B19" s="1079"/>
      <c r="C19" s="1080"/>
      <c r="D19" s="1080">
        <v>704</v>
      </c>
      <c r="E19" s="1080">
        <v>527</v>
      </c>
      <c r="F19" s="1063">
        <v>1231</v>
      </c>
      <c r="G19" s="1078"/>
      <c r="H19" s="1062">
        <v>1231</v>
      </c>
      <c r="I19" s="1083">
        <v>4000</v>
      </c>
      <c r="J19" s="1065"/>
      <c r="K19" s="1065"/>
      <c r="L19" s="1065"/>
      <c r="M19" s="1065"/>
      <c r="N19" s="824"/>
      <c r="O19" s="824"/>
      <c r="P19" s="824"/>
      <c r="Q19" s="824"/>
      <c r="R19" s="824"/>
    </row>
    <row r="20" spans="1:18" s="55" customFormat="1" ht="15" customHeight="1" x14ac:dyDescent="0.25">
      <c r="A20" s="1071" t="s">
        <v>691</v>
      </c>
      <c r="B20" s="1079">
        <v>4425</v>
      </c>
      <c r="C20" s="1080">
        <v>700</v>
      </c>
      <c r="D20" s="1080"/>
      <c r="E20" s="1080">
        <v>220</v>
      </c>
      <c r="F20" s="1063">
        <v>5345</v>
      </c>
      <c r="G20" s="1078"/>
      <c r="H20" s="1062">
        <v>5345</v>
      </c>
      <c r="I20" s="1083">
        <v>6000</v>
      </c>
      <c r="J20" s="1065"/>
      <c r="K20" s="1065"/>
      <c r="L20" s="1065"/>
      <c r="M20" s="1065"/>
      <c r="N20" s="657"/>
      <c r="O20" s="657"/>
      <c r="P20" s="657"/>
      <c r="Q20" s="657"/>
      <c r="R20" s="657"/>
    </row>
    <row r="21" spans="1:18" s="160" customFormat="1" ht="15" customHeight="1" x14ac:dyDescent="0.25">
      <c r="A21" s="1071" t="s">
        <v>692</v>
      </c>
      <c r="B21" s="1079"/>
      <c r="C21" s="1080">
        <v>21024</v>
      </c>
      <c r="D21" s="1080"/>
      <c r="E21" s="1080"/>
      <c r="F21" s="1063">
        <v>21024</v>
      </c>
      <c r="G21" s="1078"/>
      <c r="H21" s="1062">
        <v>21024</v>
      </c>
      <c r="I21" s="1083"/>
      <c r="J21" s="1065"/>
      <c r="K21" s="1065"/>
      <c r="L21" s="1065"/>
      <c r="M21" s="1087"/>
      <c r="N21" s="657"/>
      <c r="O21" s="657"/>
      <c r="P21" s="657"/>
      <c r="Q21" s="657"/>
      <c r="R21" s="657"/>
    </row>
    <row r="22" spans="1:18" s="657" customFormat="1" ht="15" customHeight="1" x14ac:dyDescent="0.25">
      <c r="A22" s="1071" t="s">
        <v>693</v>
      </c>
      <c r="B22" s="1079"/>
      <c r="C22" s="1080"/>
      <c r="D22" s="1080">
        <v>4195</v>
      </c>
      <c r="E22" s="1080"/>
      <c r="F22" s="1063">
        <v>4195</v>
      </c>
      <c r="G22" s="1078"/>
      <c r="H22" s="1062">
        <v>4195</v>
      </c>
      <c r="I22" s="1083"/>
      <c r="J22" s="1065"/>
      <c r="K22" s="1065"/>
      <c r="L22" s="1065"/>
      <c r="M22" s="1087"/>
    </row>
    <row r="23" spans="1:18" s="657" customFormat="1" ht="15" customHeight="1" x14ac:dyDescent="0.25">
      <c r="A23" s="1071" t="s">
        <v>694</v>
      </c>
      <c r="B23" s="1079"/>
      <c r="C23" s="1080"/>
      <c r="D23" s="1080"/>
      <c r="E23" s="1080">
        <v>4500</v>
      </c>
      <c r="F23" s="1063">
        <v>4500</v>
      </c>
      <c r="G23" s="1078"/>
      <c r="H23" s="1062">
        <v>4500</v>
      </c>
      <c r="I23" s="1081">
        <v>0</v>
      </c>
      <c r="J23" s="1065"/>
      <c r="K23" s="1065"/>
      <c r="L23" s="1065"/>
      <c r="M23" s="1065"/>
    </row>
    <row r="24" spans="1:18" s="160" customFormat="1" ht="15" customHeight="1" x14ac:dyDescent="0.25">
      <c r="A24" s="1071" t="s">
        <v>695</v>
      </c>
      <c r="B24" s="1079">
        <v>11023</v>
      </c>
      <c r="C24" s="1080">
        <v>22919</v>
      </c>
      <c r="D24" s="1080">
        <v>17980</v>
      </c>
      <c r="E24" s="1080">
        <v>4206</v>
      </c>
      <c r="F24" s="1063">
        <v>56128</v>
      </c>
      <c r="G24" s="1078"/>
      <c r="H24" s="1062">
        <v>56128</v>
      </c>
      <c r="I24" s="1083">
        <v>47445</v>
      </c>
      <c r="J24" s="1065"/>
      <c r="K24" s="1065"/>
      <c r="L24" s="1065"/>
      <c r="M24" s="1065"/>
      <c r="N24" s="657"/>
      <c r="O24" s="657"/>
      <c r="P24" s="657"/>
      <c r="Q24" s="657"/>
      <c r="R24" s="657"/>
    </row>
    <row r="25" spans="1:18" s="160" customFormat="1" ht="15" customHeight="1" thickBot="1" x14ac:dyDescent="0.3">
      <c r="A25" s="1071" t="s">
        <v>696</v>
      </c>
      <c r="B25" s="1074"/>
      <c r="C25" s="1075"/>
      <c r="D25" s="1075"/>
      <c r="E25" s="1075"/>
      <c r="F25" s="1063"/>
      <c r="G25" s="1058"/>
      <c r="H25" s="1061">
        <v>0</v>
      </c>
      <c r="I25" s="1082">
        <v>0</v>
      </c>
      <c r="J25" s="1066"/>
      <c r="K25" s="1066"/>
      <c r="L25" s="1066"/>
      <c r="M25" s="1066"/>
      <c r="N25" s="657"/>
      <c r="O25" s="657"/>
      <c r="P25" s="657"/>
      <c r="Q25" s="657"/>
      <c r="R25" s="657"/>
    </row>
    <row r="26" spans="1:18" s="148" customFormat="1" ht="21.95" customHeight="1" thickBot="1" x14ac:dyDescent="0.25">
      <c r="A26" s="391" t="s">
        <v>25</v>
      </c>
      <c r="B26" s="1095">
        <v>144619</v>
      </c>
      <c r="C26" s="1096">
        <v>140779</v>
      </c>
      <c r="D26" s="1096">
        <v>119138</v>
      </c>
      <c r="E26" s="1096">
        <v>134518.51</v>
      </c>
      <c r="F26" s="1094">
        <v>539054.51</v>
      </c>
      <c r="G26" s="390">
        <f>F7-F26</f>
        <v>35945.489999999991</v>
      </c>
      <c r="H26" s="887">
        <v>495269</v>
      </c>
    </row>
    <row r="27" spans="1:18" s="160" customFormat="1" ht="60" customHeight="1" thickBot="1" x14ac:dyDescent="0.3">
      <c r="A27" s="1213" t="s">
        <v>698</v>
      </c>
      <c r="B27" s="1216"/>
      <c r="C27" s="1216"/>
      <c r="D27" s="1216"/>
      <c r="E27" s="1216"/>
      <c r="F27" s="1216"/>
      <c r="G27" s="1217"/>
    </row>
    <row r="28" spans="1:18" ht="350.1" customHeight="1" thickBot="1" x14ac:dyDescent="0.3">
      <c r="A28" s="1218" t="s">
        <v>699</v>
      </c>
      <c r="B28" s="1219"/>
      <c r="C28" s="1219"/>
      <c r="D28" s="1219"/>
      <c r="E28" s="1219"/>
      <c r="F28" s="1219"/>
      <c r="G28" s="1220"/>
    </row>
  </sheetData>
  <mergeCells count="12">
    <mergeCell ref="A28:G28"/>
    <mergeCell ref="B1:F1"/>
    <mergeCell ref="B2:F2"/>
    <mergeCell ref="B3:F3"/>
    <mergeCell ref="B4:F4"/>
    <mergeCell ref="B5:F5"/>
    <mergeCell ref="A27:G27"/>
    <mergeCell ref="B7:C7"/>
    <mergeCell ref="D7:E7"/>
    <mergeCell ref="B6:C6"/>
    <mergeCell ref="D6:E6"/>
    <mergeCell ref="G2:G7"/>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15" sqref="A15:G15"/>
    </sheetView>
  </sheetViews>
  <sheetFormatPr defaultColWidth="8.85546875" defaultRowHeight="15" x14ac:dyDescent="0.25"/>
  <cols>
    <col min="1" max="1" width="31" style="824" customWidth="1"/>
    <col min="2" max="6" width="13.7109375" style="824" customWidth="1"/>
    <col min="7" max="7" width="20.7109375" style="824" customWidth="1"/>
    <col min="8" max="16384" width="8.85546875" style="824"/>
  </cols>
  <sheetData>
    <row r="1" spans="1:7" x14ac:dyDescent="0.25">
      <c r="A1" s="810" t="s">
        <v>24</v>
      </c>
      <c r="B1" s="1159" t="s">
        <v>23</v>
      </c>
      <c r="C1" s="1160"/>
      <c r="D1" s="1160"/>
      <c r="E1" s="1160"/>
      <c r="F1" s="1161"/>
      <c r="G1" s="810" t="s">
        <v>21</v>
      </c>
    </row>
    <row r="2" spans="1:7" x14ac:dyDescent="0.25">
      <c r="A2" s="537" t="s">
        <v>11</v>
      </c>
      <c r="B2" s="1162" t="s">
        <v>517</v>
      </c>
      <c r="C2" s="1163"/>
      <c r="D2" s="1163"/>
      <c r="E2" s="1163"/>
      <c r="F2" s="1164"/>
      <c r="G2" s="801"/>
    </row>
    <row r="3" spans="1:7" x14ac:dyDescent="0.25">
      <c r="A3" s="537" t="s">
        <v>26</v>
      </c>
      <c r="B3" s="1162" t="s">
        <v>3</v>
      </c>
      <c r="C3" s="1163"/>
      <c r="D3" s="1163"/>
      <c r="E3" s="1163"/>
      <c r="F3" s="1164"/>
      <c r="G3" s="802"/>
    </row>
    <row r="4" spans="1:7" x14ac:dyDescent="0.25">
      <c r="A4" s="537" t="s">
        <v>13</v>
      </c>
      <c r="B4" s="1162">
        <v>4</v>
      </c>
      <c r="C4" s="1163"/>
      <c r="D4" s="1163"/>
      <c r="E4" s="1163"/>
      <c r="F4" s="1164"/>
      <c r="G4" s="802"/>
    </row>
    <row r="5" spans="1:7" ht="15.75" thickBot="1" x14ac:dyDescent="0.3">
      <c r="A5" s="540" t="s">
        <v>12</v>
      </c>
      <c r="B5" s="1189" t="s">
        <v>7</v>
      </c>
      <c r="C5" s="1190"/>
      <c r="D5" s="1190"/>
      <c r="E5" s="1190"/>
      <c r="F5" s="1191"/>
      <c r="G5" s="802"/>
    </row>
    <row r="6" spans="1:7" ht="15" customHeight="1" x14ac:dyDescent="0.25">
      <c r="A6" s="541" t="s">
        <v>14</v>
      </c>
      <c r="B6" s="1169" t="s">
        <v>512</v>
      </c>
      <c r="C6" s="1170"/>
      <c r="D6" s="1173" t="str">
        <f>'YEAR 4--FY''18'!P1</f>
        <v>FY'17 Carry-Fwd</v>
      </c>
      <c r="E6" s="1174"/>
      <c r="F6" s="1093" t="s">
        <v>129</v>
      </c>
      <c r="G6" s="802"/>
    </row>
    <row r="7" spans="1:7" ht="15.75" thickBot="1" x14ac:dyDescent="0.3">
      <c r="A7" s="543"/>
      <c r="B7" s="1171" t="str">
        <f>'YEAR 4--FY''18'!Q35</f>
        <v>NA</v>
      </c>
      <c r="C7" s="1253"/>
      <c r="D7" s="1252">
        <v>0</v>
      </c>
      <c r="E7" s="1253"/>
      <c r="F7" s="1092" t="str">
        <f>'YEAR 4--FY''18'!R35</f>
        <v>NA</v>
      </c>
      <c r="G7" s="803"/>
    </row>
    <row r="8" spans="1:7" ht="32.25" thickBot="1" x14ac:dyDescent="0.3">
      <c r="A8" s="546" t="s">
        <v>22</v>
      </c>
      <c r="B8" s="547" t="s">
        <v>15</v>
      </c>
      <c r="C8" s="548" t="s">
        <v>16</v>
      </c>
      <c r="D8" s="548" t="s">
        <v>17</v>
      </c>
      <c r="E8" s="548" t="s">
        <v>18</v>
      </c>
      <c r="F8" s="549" t="s">
        <v>19</v>
      </c>
      <c r="G8" s="550" t="s">
        <v>20</v>
      </c>
    </row>
    <row r="9" spans="1:7" s="148" customFormat="1" ht="23.25" customHeight="1" thickBot="1" x14ac:dyDescent="0.3">
      <c r="A9" s="555" t="s">
        <v>25</v>
      </c>
      <c r="B9" s="68"/>
      <c r="C9" s="69"/>
      <c r="D9" s="69"/>
      <c r="E9" s="69"/>
      <c r="F9" s="70"/>
      <c r="G9" s="556"/>
    </row>
    <row r="10" spans="1:7" s="148" customFormat="1" ht="159" hidden="1" customHeight="1" thickBot="1" x14ac:dyDescent="0.25">
      <c r="A10" s="1156" t="s">
        <v>519</v>
      </c>
      <c r="B10" s="1295"/>
      <c r="C10" s="1295"/>
      <c r="D10" s="1295"/>
      <c r="E10" s="1295"/>
      <c r="F10" s="1295"/>
      <c r="G10" s="1296"/>
    </row>
    <row r="11" spans="1:7" ht="110.25" hidden="1" customHeight="1" thickBot="1" x14ac:dyDescent="0.3">
      <c r="A11" s="1213" t="s">
        <v>520</v>
      </c>
      <c r="B11" s="1387"/>
      <c r="C11" s="1387"/>
      <c r="D11" s="1387"/>
      <c r="E11" s="1387"/>
      <c r="F11" s="1387"/>
      <c r="G11" s="1388"/>
    </row>
    <row r="12" spans="1:7" ht="171.75" hidden="1" customHeight="1" thickBot="1" x14ac:dyDescent="0.3">
      <c r="A12" s="1213" t="s">
        <v>521</v>
      </c>
      <c r="B12" s="1387"/>
      <c r="C12" s="1387"/>
      <c r="D12" s="1387"/>
      <c r="E12" s="1387"/>
      <c r="F12" s="1387"/>
      <c r="G12" s="1388"/>
    </row>
    <row r="13" spans="1:7" ht="153" hidden="1" customHeight="1" thickBot="1" x14ac:dyDescent="0.3">
      <c r="A13" s="1213" t="s">
        <v>522</v>
      </c>
      <c r="B13" s="1387"/>
      <c r="C13" s="1387"/>
      <c r="D13" s="1387"/>
      <c r="E13" s="1387"/>
      <c r="F13" s="1387"/>
      <c r="G13" s="1388"/>
    </row>
    <row r="14" spans="1:7" ht="56.25" customHeight="1" thickBot="1" x14ac:dyDescent="0.3">
      <c r="A14" s="1156" t="s">
        <v>519</v>
      </c>
      <c r="B14" s="1295"/>
      <c r="C14" s="1295"/>
      <c r="D14" s="1295"/>
      <c r="E14" s="1295"/>
      <c r="F14" s="1295"/>
      <c r="G14" s="1296"/>
    </row>
    <row r="15" spans="1:7" ht="50.1" customHeight="1" thickBot="1" x14ac:dyDescent="0.3">
      <c r="A15" s="1213" t="s">
        <v>733</v>
      </c>
      <c r="B15" s="1387"/>
      <c r="C15" s="1387"/>
      <c r="D15" s="1387"/>
      <c r="E15" s="1387"/>
      <c r="F15" s="1387"/>
      <c r="G15" s="1388"/>
    </row>
  </sheetData>
  <mergeCells count="15">
    <mergeCell ref="B6:C6"/>
    <mergeCell ref="D6:E6"/>
    <mergeCell ref="B7:C7"/>
    <mergeCell ref="D7:E7"/>
    <mergeCell ref="B1:F1"/>
    <mergeCell ref="B2:F2"/>
    <mergeCell ref="B3:F3"/>
    <mergeCell ref="B4:F4"/>
    <mergeCell ref="B5:F5"/>
    <mergeCell ref="A15:G15"/>
    <mergeCell ref="A10:G10"/>
    <mergeCell ref="A11:G11"/>
    <mergeCell ref="A12:G12"/>
    <mergeCell ref="A13:G13"/>
    <mergeCell ref="A14:G14"/>
  </mergeCells>
  <printOptions horizontalCentered="1"/>
  <pageMargins left="0.7" right="0.7" top="1" bottom="0.5" header="0.3" footer="0.3"/>
  <pageSetup fitToHeight="2"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opLeftCell="A7" workbookViewId="0">
      <selection activeCell="B10" sqref="B10"/>
    </sheetView>
  </sheetViews>
  <sheetFormatPr defaultColWidth="8.85546875" defaultRowHeight="15" x14ac:dyDescent="0.25"/>
  <cols>
    <col min="1" max="1" width="31" customWidth="1"/>
    <col min="2" max="6" width="13.7109375" customWidth="1"/>
    <col min="7" max="7" width="20.7109375" customWidth="1"/>
  </cols>
  <sheetData>
    <row r="1" spans="1:9" x14ac:dyDescent="0.25">
      <c r="A1" s="151" t="s">
        <v>24</v>
      </c>
      <c r="B1" s="1231" t="str">
        <f>'YEAR 4--FY''18'!AC1</f>
        <v>FY18</v>
      </c>
      <c r="C1" s="1232"/>
      <c r="D1" s="1232"/>
      <c r="E1" s="1232"/>
      <c r="F1" s="1233"/>
      <c r="G1" s="151" t="s">
        <v>21</v>
      </c>
      <c r="H1" s="372"/>
    </row>
    <row r="2" spans="1:9" x14ac:dyDescent="0.25">
      <c r="A2" s="166" t="s">
        <v>11</v>
      </c>
      <c r="B2" s="1234" t="s">
        <v>211</v>
      </c>
      <c r="C2" s="1235"/>
      <c r="D2" s="1235"/>
      <c r="E2" s="1235"/>
      <c r="F2" s="1236"/>
      <c r="G2" s="1301"/>
      <c r="H2" s="372"/>
    </row>
    <row r="3" spans="1:9" x14ac:dyDescent="0.25">
      <c r="A3" s="166" t="s">
        <v>26</v>
      </c>
      <c r="B3" s="1234" t="s">
        <v>3</v>
      </c>
      <c r="C3" s="1235"/>
      <c r="D3" s="1235"/>
      <c r="E3" s="1235"/>
      <c r="F3" s="1236"/>
      <c r="G3" s="1302" t="s">
        <v>46</v>
      </c>
      <c r="H3" s="372"/>
    </row>
    <row r="4" spans="1:9" x14ac:dyDescent="0.25">
      <c r="A4" s="166" t="s">
        <v>13</v>
      </c>
      <c r="B4" s="1234">
        <v>11</v>
      </c>
      <c r="C4" s="1235"/>
      <c r="D4" s="1235"/>
      <c r="E4" s="1235"/>
      <c r="F4" s="1236"/>
      <c r="G4" s="1302"/>
      <c r="H4" s="372"/>
    </row>
    <row r="5" spans="1:9" ht="15.75" thickBot="1" x14ac:dyDescent="0.3">
      <c r="A5" s="152" t="s">
        <v>12</v>
      </c>
      <c r="B5" s="1238" t="s">
        <v>262</v>
      </c>
      <c r="C5" s="1239"/>
      <c r="D5" s="1239"/>
      <c r="E5" s="1239"/>
      <c r="F5" s="1240"/>
      <c r="G5" s="1302"/>
      <c r="H5" s="372"/>
    </row>
    <row r="6" spans="1:9" ht="15" customHeight="1" x14ac:dyDescent="0.25">
      <c r="A6" s="153" t="s">
        <v>14</v>
      </c>
      <c r="B6" s="1169" t="s">
        <v>512</v>
      </c>
      <c r="C6" s="1170"/>
      <c r="D6" s="1173" t="str">
        <f>'YEAR 4--FY''18'!P1</f>
        <v>FY'17 Carry-Fwd</v>
      </c>
      <c r="E6" s="1174"/>
      <c r="F6" s="813" t="s">
        <v>129</v>
      </c>
      <c r="G6" s="1302"/>
      <c r="H6" s="372"/>
    </row>
    <row r="7" spans="1:9" ht="15.75" thickBot="1" x14ac:dyDescent="0.3">
      <c r="A7" s="150"/>
      <c r="B7" s="1171">
        <f>'YEAR 4--FY''18'!Q36</f>
        <v>60000</v>
      </c>
      <c r="C7" s="1253"/>
      <c r="D7" s="1252">
        <f>F7-B7</f>
        <v>0</v>
      </c>
      <c r="E7" s="1253"/>
      <c r="F7" s="544">
        <f>'YEAR 4--FY''18'!R36</f>
        <v>60000</v>
      </c>
      <c r="G7" s="1303"/>
      <c r="H7" s="372" t="s">
        <v>701</v>
      </c>
    </row>
    <row r="8" spans="1:9" ht="31.5" x14ac:dyDescent="0.25">
      <c r="A8" s="155" t="s">
        <v>22</v>
      </c>
      <c r="B8" s="157" t="s">
        <v>15</v>
      </c>
      <c r="C8" s="156" t="s">
        <v>16</v>
      </c>
      <c r="D8" s="156" t="s">
        <v>17</v>
      </c>
      <c r="E8" s="156" t="s">
        <v>18</v>
      </c>
      <c r="F8" s="154" t="s">
        <v>19</v>
      </c>
      <c r="G8" s="111" t="s">
        <v>20</v>
      </c>
      <c r="H8" s="377">
        <v>53593</v>
      </c>
    </row>
    <row r="9" spans="1:9" x14ac:dyDescent="0.25">
      <c r="A9" s="1100" t="s">
        <v>706</v>
      </c>
      <c r="B9" s="1103">
        <v>20198</v>
      </c>
      <c r="C9" s="1104"/>
      <c r="D9" s="1104"/>
      <c r="E9" s="1104">
        <v>0</v>
      </c>
      <c r="F9" s="1105">
        <v>20198</v>
      </c>
      <c r="G9" s="177"/>
      <c r="H9" s="377" t="e">
        <f>H8-H11-#REF!</f>
        <v>#REF!</v>
      </c>
    </row>
    <row r="10" spans="1:9" s="1097" customFormat="1" x14ac:dyDescent="0.25">
      <c r="A10" s="1101" t="s">
        <v>702</v>
      </c>
      <c r="B10" s="1103" t="s">
        <v>518</v>
      </c>
      <c r="C10" s="1104"/>
      <c r="D10" s="1104"/>
      <c r="E10" s="1104"/>
      <c r="F10" s="1105">
        <v>0</v>
      </c>
      <c r="G10" s="1099"/>
      <c r="H10" s="1098"/>
    </row>
    <row r="11" spans="1:9" x14ac:dyDescent="0.25">
      <c r="A11" s="1102" t="s">
        <v>704</v>
      </c>
      <c r="B11" s="1106">
        <v>12624</v>
      </c>
      <c r="C11" s="1107">
        <v>1120</v>
      </c>
      <c r="D11" s="1107">
        <v>25768</v>
      </c>
      <c r="E11" s="1107">
        <v>0</v>
      </c>
      <c r="F11" s="1108">
        <v>39512</v>
      </c>
      <c r="G11" s="177"/>
      <c r="H11" s="377">
        <f>G11+F11</f>
        <v>39512</v>
      </c>
    </row>
    <row r="12" spans="1:9" s="654" customFormat="1" ht="15.75" thickBot="1" x14ac:dyDescent="0.3">
      <c r="A12" s="1111" t="s">
        <v>703</v>
      </c>
      <c r="B12" s="1106"/>
      <c r="C12" s="1107"/>
      <c r="D12" s="1107"/>
      <c r="E12" s="1107"/>
      <c r="F12" s="1108"/>
      <c r="G12" s="214"/>
      <c r="H12" s="656"/>
    </row>
    <row r="13" spans="1:9" s="164" customFormat="1" ht="21.95" customHeight="1" thickBot="1" x14ac:dyDescent="0.3">
      <c r="A13" s="555" t="s">
        <v>25</v>
      </c>
      <c r="B13" s="1112">
        <f>SUM(B9:B12)</f>
        <v>32822</v>
      </c>
      <c r="C13" s="1113">
        <f t="shared" ref="C13:F13" si="0">SUM(C9:C12)</f>
        <v>1120</v>
      </c>
      <c r="D13" s="1113">
        <f t="shared" si="0"/>
        <v>25768</v>
      </c>
      <c r="E13" s="1113">
        <f t="shared" si="0"/>
        <v>0</v>
      </c>
      <c r="F13" s="1114">
        <f t="shared" si="0"/>
        <v>59710</v>
      </c>
      <c r="G13" s="176">
        <f>F7-F13</f>
        <v>290</v>
      </c>
      <c r="H13" s="452" t="e">
        <f>SUM(H9:H12)</f>
        <v>#REF!</v>
      </c>
      <c r="I13" s="452">
        <f>SUM(F13:G13)</f>
        <v>60000</v>
      </c>
    </row>
    <row r="14" spans="1:9" s="148" customFormat="1" ht="99.95" customHeight="1" thickBot="1" x14ac:dyDescent="0.25">
      <c r="A14" s="1156" t="s">
        <v>700</v>
      </c>
      <c r="B14" s="1300"/>
      <c r="C14" s="1300"/>
      <c r="D14" s="1300"/>
      <c r="E14" s="1300"/>
      <c r="F14" s="1300"/>
      <c r="G14" s="1296"/>
    </row>
    <row r="15" spans="1:9" s="148" customFormat="1" ht="159" hidden="1" customHeight="1" thickBot="1" x14ac:dyDescent="0.25">
      <c r="A15" s="1218" t="s">
        <v>259</v>
      </c>
      <c r="B15" s="1440"/>
      <c r="C15" s="1440"/>
      <c r="D15" s="1440"/>
      <c r="E15" s="1440"/>
      <c r="F15" s="1440"/>
      <c r="G15" s="1441"/>
    </row>
    <row r="16" spans="1:9" ht="110.25" hidden="1" customHeight="1" thickBot="1" x14ac:dyDescent="0.3">
      <c r="A16" s="1437" t="s">
        <v>260</v>
      </c>
      <c r="B16" s="1438"/>
      <c r="C16" s="1438"/>
      <c r="D16" s="1438"/>
      <c r="E16" s="1438"/>
      <c r="F16" s="1438"/>
      <c r="G16" s="1439"/>
      <c r="H16" s="372"/>
    </row>
    <row r="17" spans="1:9" ht="171.75" hidden="1" customHeight="1" thickBot="1" x14ac:dyDescent="0.3">
      <c r="A17" s="1437" t="s">
        <v>261</v>
      </c>
      <c r="B17" s="1438"/>
      <c r="C17" s="1438"/>
      <c r="D17" s="1438"/>
      <c r="E17" s="1438"/>
      <c r="F17" s="1438"/>
      <c r="G17" s="1439"/>
      <c r="H17" s="372"/>
    </row>
    <row r="18" spans="1:9" ht="153" hidden="1" customHeight="1" thickBot="1" x14ac:dyDescent="0.3">
      <c r="A18" s="1434" t="s">
        <v>393</v>
      </c>
      <c r="B18" s="1435"/>
      <c r="C18" s="1435"/>
      <c r="D18" s="1435"/>
      <c r="E18" s="1435"/>
      <c r="F18" s="1435"/>
      <c r="G18" s="1436"/>
      <c r="I18">
        <f>55000/15</f>
        <v>3666.6666666666665</v>
      </c>
    </row>
    <row r="19" spans="1:9" ht="350.1" customHeight="1" thickBot="1" x14ac:dyDescent="0.3">
      <c r="A19" s="1431" t="s">
        <v>705</v>
      </c>
      <c r="B19" s="1432"/>
      <c r="C19" s="1432"/>
      <c r="D19" s="1432"/>
      <c r="E19" s="1432"/>
      <c r="F19" s="1432"/>
      <c r="G19" s="1433"/>
    </row>
  </sheetData>
  <mergeCells count="16">
    <mergeCell ref="A19:G19"/>
    <mergeCell ref="A18:G18"/>
    <mergeCell ref="B1:F1"/>
    <mergeCell ref="B2:F2"/>
    <mergeCell ref="B3:F3"/>
    <mergeCell ref="B4:F4"/>
    <mergeCell ref="B5:F5"/>
    <mergeCell ref="A17:G17"/>
    <mergeCell ref="A16:G16"/>
    <mergeCell ref="B6:C6"/>
    <mergeCell ref="D6:E6"/>
    <mergeCell ref="G2:G7"/>
    <mergeCell ref="A15:G15"/>
    <mergeCell ref="A14:G14"/>
    <mergeCell ref="B7:C7"/>
    <mergeCell ref="D7:E7"/>
  </mergeCells>
  <printOptions horizontalCentered="1"/>
  <pageMargins left="0.7" right="0.7" top="1" bottom="0.5" header="0.3" footer="0.3"/>
  <pageSetup fitToHeight="2" orientation="landscape" r:id="rId1"/>
  <headerFooter>
    <oddHeader xml:space="preserve">&amp;L&amp;"-,Bold"&amp;12Horseshoe Casino Impact Funds&amp;"-,Regular"&amp;11
Progress Reporting
</oddHeader>
    <oddFooter>&amp;L&amp;D&amp;R&amp;P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zoomScale="112" zoomScaleNormal="112" zoomScalePageLayoutView="112" workbookViewId="0"/>
  </sheetViews>
  <sheetFormatPr defaultColWidth="8.85546875" defaultRowHeight="15" x14ac:dyDescent="0.25"/>
  <cols>
    <col min="1" max="1" width="31" style="2" customWidth="1"/>
    <col min="2" max="6" width="13.7109375" style="2" customWidth="1"/>
    <col min="7" max="7" width="20.7109375" style="2" customWidth="1"/>
    <col min="8" max="8" width="9.140625" style="2" bestFit="1" customWidth="1"/>
    <col min="9" max="16384" width="8.85546875" style="2"/>
  </cols>
  <sheetData>
    <row r="1" spans="1:15" x14ac:dyDescent="0.25">
      <c r="A1" s="41" t="s">
        <v>24</v>
      </c>
      <c r="B1" s="1351" t="str">
        <f>'YEAR 4--FY''18'!AC1</f>
        <v>FY18</v>
      </c>
      <c r="C1" s="1352"/>
      <c r="D1" s="1352"/>
      <c r="E1" s="1352"/>
      <c r="F1" s="1353"/>
      <c r="G1" s="41" t="s">
        <v>21</v>
      </c>
    </row>
    <row r="2" spans="1:15" x14ac:dyDescent="0.25">
      <c r="A2" s="102" t="s">
        <v>11</v>
      </c>
      <c r="B2" s="1221" t="str">
        <f>'YEAR 4--FY''18'!B37</f>
        <v>Summer Youth Jobs &amp; Yr. Round Internships</v>
      </c>
      <c r="C2" s="1222"/>
      <c r="D2" s="1222"/>
      <c r="E2" s="1222"/>
      <c r="F2" s="1223"/>
      <c r="G2" s="103"/>
    </row>
    <row r="3" spans="1:15" x14ac:dyDescent="0.25">
      <c r="A3" s="102" t="s">
        <v>26</v>
      </c>
      <c r="B3" s="1394" t="str">
        <f>'YEAR 4--FY''18'!D37</f>
        <v>MOED</v>
      </c>
      <c r="C3" s="1222"/>
      <c r="D3" s="1222"/>
      <c r="E3" s="1222"/>
      <c r="F3" s="1223"/>
      <c r="G3" s="140"/>
    </row>
    <row r="4" spans="1:15" x14ac:dyDescent="0.25">
      <c r="A4" s="102" t="s">
        <v>13</v>
      </c>
      <c r="B4" s="1221">
        <f>'YEAR 4--FY''18'!C37</f>
        <v>17</v>
      </c>
      <c r="C4" s="1222"/>
      <c r="D4" s="1222"/>
      <c r="E4" s="1222"/>
      <c r="F4" s="1223"/>
      <c r="G4" s="140"/>
    </row>
    <row r="5" spans="1:15" ht="15.75" thickBot="1" x14ac:dyDescent="0.3">
      <c r="A5" s="103" t="s">
        <v>12</v>
      </c>
      <c r="B5" s="1395" t="str">
        <f>'YEAR 4--FY''18'!E37</f>
        <v xml:space="preserve">Ongoing </v>
      </c>
      <c r="C5" s="1225"/>
      <c r="D5" s="1225"/>
      <c r="E5" s="1225"/>
      <c r="F5" s="1226"/>
      <c r="G5" s="140"/>
    </row>
    <row r="6" spans="1:15" ht="24.95" customHeight="1" x14ac:dyDescent="0.25">
      <c r="A6" s="42" t="s">
        <v>14</v>
      </c>
      <c r="B6" s="1169" t="s">
        <v>512</v>
      </c>
      <c r="C6" s="1170"/>
      <c r="D6" s="1173" t="str">
        <f>'YEAR 4--FY''18'!P1</f>
        <v>FY'17 Carry-Fwd</v>
      </c>
      <c r="E6" s="1174"/>
      <c r="F6" s="813" t="s">
        <v>129</v>
      </c>
      <c r="G6" s="140"/>
    </row>
    <row r="7" spans="1:15" ht="15.75" thickBot="1" x14ac:dyDescent="0.3">
      <c r="A7" s="43"/>
      <c r="B7" s="1171">
        <f>'YEAR 4--FY''18'!Q37</f>
        <v>0</v>
      </c>
      <c r="C7" s="1253"/>
      <c r="D7" s="1252">
        <f>F7-B7</f>
        <v>450000</v>
      </c>
      <c r="E7" s="1253"/>
      <c r="F7" s="544">
        <f>'YEAR 4--FY''18'!R37</f>
        <v>450000</v>
      </c>
      <c r="G7" s="141"/>
    </row>
    <row r="8" spans="1:15" ht="33" customHeight="1" x14ac:dyDescent="0.25">
      <c r="A8" s="104" t="s">
        <v>22</v>
      </c>
      <c r="B8" s="105" t="s">
        <v>15</v>
      </c>
      <c r="C8" s="106" t="s">
        <v>16</v>
      </c>
      <c r="D8" s="106" t="s">
        <v>17</v>
      </c>
      <c r="E8" s="106" t="s">
        <v>18</v>
      </c>
      <c r="F8" s="107" t="s">
        <v>19</v>
      </c>
      <c r="G8" s="108" t="s">
        <v>20</v>
      </c>
    </row>
    <row r="9" spans="1:15" ht="30" x14ac:dyDescent="0.25">
      <c r="A9" s="135" t="s">
        <v>407</v>
      </c>
      <c r="B9" s="552">
        <v>404853.73</v>
      </c>
      <c r="C9" s="137"/>
      <c r="D9" s="137"/>
      <c r="E9" s="137"/>
      <c r="F9" s="138">
        <f>SUM(B9:E9)</f>
        <v>404853.73</v>
      </c>
      <c r="G9" s="366"/>
      <c r="H9" s="357">
        <f>B9/367</f>
        <v>1103.1436784741145</v>
      </c>
    </row>
    <row r="10" spans="1:15" ht="33.75" customHeight="1" thickBot="1" x14ac:dyDescent="0.3">
      <c r="A10" s="135" t="s">
        <v>408</v>
      </c>
      <c r="B10" s="552">
        <v>45146.27</v>
      </c>
      <c r="C10" s="137"/>
      <c r="D10" s="137"/>
      <c r="E10" s="137"/>
      <c r="F10" s="138">
        <f>SUM(B10:E10)</f>
        <v>45146.27</v>
      </c>
      <c r="G10" s="367"/>
      <c r="H10" s="357">
        <f>F10/157</f>
        <v>287.55585987261145</v>
      </c>
    </row>
    <row r="11" spans="1:15" ht="32.25" customHeight="1" thickBot="1" x14ac:dyDescent="0.3">
      <c r="A11" s="326" t="s">
        <v>25</v>
      </c>
      <c r="B11" s="142">
        <f>SUM(B9:B10)</f>
        <v>450000</v>
      </c>
      <c r="C11" s="143">
        <f>SUM(C9:C10)</f>
        <v>0</v>
      </c>
      <c r="D11" s="143">
        <f>SUM(D9:D10)</f>
        <v>0</v>
      </c>
      <c r="E11" s="143">
        <f>SUM(E9:E10)</f>
        <v>0</v>
      </c>
      <c r="F11" s="144">
        <f>SUM(B11:E11)</f>
        <v>450000</v>
      </c>
      <c r="G11" s="145">
        <f>F7-F11</f>
        <v>0</v>
      </c>
    </row>
    <row r="12" spans="1:15" ht="45" customHeight="1" thickBot="1" x14ac:dyDescent="0.3">
      <c r="A12" s="1213" t="s">
        <v>734</v>
      </c>
      <c r="B12" s="1387"/>
      <c r="C12" s="1387"/>
      <c r="D12" s="1387"/>
      <c r="E12" s="1387"/>
      <c r="F12" s="1387"/>
      <c r="G12" s="1388"/>
    </row>
    <row r="13" spans="1:15" s="54" customFormat="1" ht="90" hidden="1" customHeight="1" thickBot="1" x14ac:dyDescent="0.3">
      <c r="A13" s="1213" t="s">
        <v>249</v>
      </c>
      <c r="B13" s="1396"/>
      <c r="C13" s="1396"/>
      <c r="D13" s="1396"/>
      <c r="E13" s="1396"/>
      <c r="F13" s="1396"/>
      <c r="G13" s="1397"/>
      <c r="I13" s="54">
        <f>292*1500</f>
        <v>438000</v>
      </c>
      <c r="O13" s="54" t="s">
        <v>98</v>
      </c>
    </row>
    <row r="14" spans="1:15" s="54" customFormat="1" ht="66.75" hidden="1" customHeight="1" thickBot="1" x14ac:dyDescent="0.3">
      <c r="A14" s="1213" t="s">
        <v>212</v>
      </c>
      <c r="B14" s="1387"/>
      <c r="C14" s="1387"/>
      <c r="D14" s="1387"/>
      <c r="E14" s="1387"/>
      <c r="F14" s="1387"/>
      <c r="G14" s="1388"/>
      <c r="I14" s="54">
        <f>367*1500</f>
        <v>550500</v>
      </c>
    </row>
    <row r="15" spans="1:15" s="371" customFormat="1" ht="28.5" hidden="1" customHeight="1" thickBot="1" x14ac:dyDescent="0.3">
      <c r="A15" s="1442" t="s">
        <v>258</v>
      </c>
      <c r="B15" s="1443"/>
      <c r="C15" s="1443"/>
      <c r="D15" s="1443"/>
      <c r="E15" s="1443"/>
      <c r="F15" s="1443"/>
      <c r="G15" s="1444"/>
    </row>
    <row r="16" spans="1:15" s="371" customFormat="1" ht="99.95" hidden="1" customHeight="1" thickBot="1" x14ac:dyDescent="0.3">
      <c r="A16" s="1442" t="s">
        <v>250</v>
      </c>
      <c r="B16" s="1443"/>
      <c r="C16" s="1443"/>
      <c r="D16" s="1443"/>
      <c r="E16" s="1443"/>
      <c r="F16" s="1443"/>
      <c r="G16" s="1444"/>
    </row>
    <row r="17" spans="1:15" s="371" customFormat="1" ht="120" customHeight="1" thickBot="1" x14ac:dyDescent="0.3">
      <c r="A17" s="1442" t="s">
        <v>707</v>
      </c>
      <c r="B17" s="1443"/>
      <c r="C17" s="1443"/>
      <c r="D17" s="1443"/>
      <c r="E17" s="1443"/>
      <c r="F17" s="1443"/>
      <c r="G17" s="1444"/>
    </row>
    <row r="18" spans="1:15" s="202" customFormat="1" ht="12.75" x14ac:dyDescent="0.25">
      <c r="A18" s="450" t="s">
        <v>103</v>
      </c>
      <c r="B18" s="1451" t="s">
        <v>104</v>
      </c>
      <c r="C18" s="1452"/>
      <c r="D18" s="1452"/>
      <c r="E18" s="1452"/>
      <c r="F18" s="1452"/>
      <c r="G18" s="1453"/>
      <c r="H18" s="451"/>
      <c r="I18" s="451"/>
      <c r="J18" s="451"/>
      <c r="K18" s="451"/>
      <c r="L18" s="451"/>
      <c r="M18" s="451"/>
      <c r="N18" s="451"/>
      <c r="O18" s="451"/>
    </row>
    <row r="19" spans="1:15" s="202" customFormat="1" ht="12.75" x14ac:dyDescent="0.25">
      <c r="A19" s="229">
        <v>395</v>
      </c>
      <c r="B19" s="1445" t="s">
        <v>107</v>
      </c>
      <c r="C19" s="1446"/>
      <c r="D19" s="1446"/>
      <c r="E19" s="1446"/>
      <c r="F19" s="1446"/>
      <c r="G19" s="1447"/>
      <c r="H19" s="1458" t="s">
        <v>93</v>
      </c>
      <c r="I19" s="1446"/>
      <c r="J19" s="1446"/>
      <c r="K19" s="1446"/>
      <c r="L19" s="1446"/>
      <c r="M19" s="1446"/>
      <c r="N19" s="1446"/>
      <c r="O19" s="202" t="e">
        <f>#REF!-#REF!</f>
        <v>#REF!</v>
      </c>
    </row>
    <row r="20" spans="1:15" s="202" customFormat="1" ht="12.75" x14ac:dyDescent="0.25">
      <c r="A20" s="229">
        <v>-43</v>
      </c>
      <c r="B20" s="1445" t="s">
        <v>95</v>
      </c>
      <c r="C20" s="1446"/>
      <c r="D20" s="1446"/>
      <c r="E20" s="1446"/>
      <c r="F20" s="1446"/>
      <c r="G20" s="1447"/>
      <c r="H20" s="1458" t="s">
        <v>95</v>
      </c>
      <c r="I20" s="1446"/>
      <c r="J20" s="1446"/>
      <c r="K20" s="1446"/>
      <c r="L20" s="1446"/>
      <c r="M20" s="1446"/>
      <c r="N20" s="1446"/>
    </row>
    <row r="21" spans="1:15" s="202" customFormat="1" ht="12.75" x14ac:dyDescent="0.25">
      <c r="A21" s="229">
        <f>SUM(A19:A20)</f>
        <v>352</v>
      </c>
      <c r="B21" s="1445" t="s">
        <v>106</v>
      </c>
      <c r="C21" s="1446"/>
      <c r="D21" s="1446"/>
      <c r="E21" s="1446"/>
      <c r="F21" s="1446"/>
      <c r="G21" s="1447"/>
      <c r="H21" s="1458" t="s">
        <v>100</v>
      </c>
      <c r="I21" s="1446"/>
      <c r="J21" s="1446"/>
      <c r="K21" s="1446"/>
      <c r="L21" s="1446"/>
      <c r="M21" s="1446"/>
      <c r="N21" s="1446"/>
    </row>
    <row r="22" spans="1:15" s="202" customFormat="1" ht="12.75" x14ac:dyDescent="0.25">
      <c r="A22" s="229">
        <v>7</v>
      </c>
      <c r="B22" s="1445" t="s">
        <v>105</v>
      </c>
      <c r="C22" s="1446"/>
      <c r="D22" s="1446"/>
      <c r="E22" s="1446"/>
      <c r="F22" s="1446"/>
      <c r="G22" s="1447"/>
      <c r="H22" s="1458" t="s">
        <v>99</v>
      </c>
      <c r="I22" s="1446"/>
      <c r="J22" s="1446"/>
      <c r="K22" s="1446"/>
      <c r="L22" s="1446"/>
      <c r="M22" s="1446"/>
      <c r="N22" s="1446"/>
    </row>
    <row r="23" spans="1:15" s="202" customFormat="1" ht="12.75" x14ac:dyDescent="0.25">
      <c r="A23" s="229">
        <v>53</v>
      </c>
      <c r="B23" s="1445" t="s">
        <v>108</v>
      </c>
      <c r="C23" s="1446"/>
      <c r="D23" s="1446"/>
      <c r="E23" s="1446"/>
      <c r="F23" s="1446"/>
      <c r="G23" s="1447"/>
      <c r="H23" s="1458" t="s">
        <v>94</v>
      </c>
      <c r="I23" s="1446"/>
      <c r="J23" s="1446"/>
      <c r="K23" s="1446"/>
      <c r="L23" s="1446"/>
      <c r="M23" s="1446"/>
      <c r="N23" s="1446"/>
    </row>
    <row r="24" spans="1:15" s="202" customFormat="1" ht="12.75" x14ac:dyDescent="0.25">
      <c r="A24" s="230">
        <f>SUM(A22:A23)</f>
        <v>60</v>
      </c>
      <c r="B24" s="1454" t="s">
        <v>251</v>
      </c>
      <c r="C24" s="1455"/>
      <c r="D24" s="1455"/>
      <c r="E24" s="1455"/>
      <c r="F24" s="1455"/>
      <c r="G24" s="1456"/>
      <c r="H24" s="1457" t="s">
        <v>252</v>
      </c>
      <c r="I24" s="1455"/>
      <c r="J24" s="1455"/>
      <c r="K24" s="1455"/>
      <c r="L24" s="1455"/>
      <c r="M24" s="1455"/>
      <c r="N24" s="1455"/>
    </row>
    <row r="25" spans="1:15" s="202" customFormat="1" ht="12.75" x14ac:dyDescent="0.25">
      <c r="A25" s="231">
        <v>292</v>
      </c>
      <c r="B25" s="1454" t="s">
        <v>101</v>
      </c>
      <c r="C25" s="1454"/>
      <c r="D25" s="1454"/>
      <c r="E25" s="1454"/>
      <c r="F25" s="1454"/>
      <c r="G25" s="1459"/>
      <c r="H25" s="1457" t="s">
        <v>101</v>
      </c>
      <c r="I25" s="1454"/>
      <c r="J25" s="1454"/>
      <c r="K25" s="1454"/>
      <c r="L25" s="1454"/>
      <c r="M25" s="1454"/>
      <c r="N25" s="1454"/>
      <c r="O25" s="202" t="e">
        <f>O19-#REF!-#REF!</f>
        <v>#REF!</v>
      </c>
    </row>
    <row r="26" spans="1:15" s="202" customFormat="1" ht="12.75" x14ac:dyDescent="0.25">
      <c r="A26" s="232">
        <f>1500*A25</f>
        <v>438000</v>
      </c>
      <c r="B26" s="1454" t="s">
        <v>96</v>
      </c>
      <c r="C26" s="1455"/>
      <c r="D26" s="1455"/>
      <c r="E26" s="1455"/>
      <c r="F26" s="1455"/>
      <c r="G26" s="1456"/>
      <c r="H26" s="1457" t="s">
        <v>96</v>
      </c>
      <c r="I26" s="1455"/>
      <c r="J26" s="1455"/>
      <c r="K26" s="1455"/>
      <c r="L26" s="1455"/>
      <c r="M26" s="1455"/>
      <c r="N26" s="1455"/>
    </row>
    <row r="27" spans="1:15" s="202" customFormat="1" ht="12.75" x14ac:dyDescent="0.25">
      <c r="A27" s="233">
        <f>550000-A26</f>
        <v>112000</v>
      </c>
      <c r="B27" s="1445" t="s">
        <v>102</v>
      </c>
      <c r="C27" s="1446"/>
      <c r="D27" s="1446"/>
      <c r="E27" s="1446"/>
      <c r="F27" s="1446"/>
      <c r="G27" s="1447"/>
      <c r="H27" s="1458" t="s">
        <v>102</v>
      </c>
      <c r="I27" s="1446"/>
      <c r="J27" s="1446"/>
      <c r="K27" s="1446"/>
      <c r="L27" s="1446"/>
      <c r="M27" s="1446"/>
      <c r="N27" s="1446"/>
    </row>
    <row r="28" spans="1:15" ht="15.75" thickBot="1" x14ac:dyDescent="0.3">
      <c r="A28" s="234">
        <f>A27/1500</f>
        <v>74.666666666666671</v>
      </c>
      <c r="B28" s="1448" t="s">
        <v>97</v>
      </c>
      <c r="C28" s="1449"/>
      <c r="D28" s="1449"/>
      <c r="E28" s="1449"/>
      <c r="F28" s="1449"/>
      <c r="G28" s="1450"/>
      <c r="H28" s="1458" t="s">
        <v>97</v>
      </c>
      <c r="I28" s="1446"/>
      <c r="J28" s="1446"/>
      <c r="K28" s="1446"/>
      <c r="L28" s="1446"/>
      <c r="M28" s="1446"/>
      <c r="N28" s="1446"/>
      <c r="O28" s="202"/>
    </row>
  </sheetData>
  <mergeCells count="36">
    <mergeCell ref="H19:N19"/>
    <mergeCell ref="H25:N25"/>
    <mergeCell ref="H22:N22"/>
    <mergeCell ref="H23:N23"/>
    <mergeCell ref="B19:G19"/>
    <mergeCell ref="B20:G20"/>
    <mergeCell ref="H20:N20"/>
    <mergeCell ref="B24:G24"/>
    <mergeCell ref="B25:G25"/>
    <mergeCell ref="H26:N26"/>
    <mergeCell ref="H27:N27"/>
    <mergeCell ref="H28:N28"/>
    <mergeCell ref="H21:N21"/>
    <mergeCell ref="H24:N24"/>
    <mergeCell ref="A15:G15"/>
    <mergeCell ref="B27:G27"/>
    <mergeCell ref="B28:G28"/>
    <mergeCell ref="B18:G18"/>
    <mergeCell ref="B26:G26"/>
    <mergeCell ref="B21:G21"/>
    <mergeCell ref="B22:G22"/>
    <mergeCell ref="B23:G23"/>
    <mergeCell ref="A16:G16"/>
    <mergeCell ref="A17:G17"/>
    <mergeCell ref="B1:F1"/>
    <mergeCell ref="B2:F2"/>
    <mergeCell ref="B3:F3"/>
    <mergeCell ref="B4:F4"/>
    <mergeCell ref="B5:F5"/>
    <mergeCell ref="A14:G14"/>
    <mergeCell ref="A13:G13"/>
    <mergeCell ref="A12:G12"/>
    <mergeCell ref="B6:C6"/>
    <mergeCell ref="D6:E6"/>
    <mergeCell ref="B7:C7"/>
    <mergeCell ref="D7:E7"/>
  </mergeCells>
  <printOptions horizontalCentered="1"/>
  <pageMargins left="0.75" right="0.75" top="1" bottom="0.75" header="0.3" footer="0.3"/>
  <pageSetup fitToHeight="2"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3" zoomScale="98" zoomScaleNormal="98" zoomScalePageLayoutView="98" workbookViewId="0">
      <selection activeCell="A20" sqref="A20:G20"/>
    </sheetView>
  </sheetViews>
  <sheetFormatPr defaultColWidth="8.85546875" defaultRowHeight="15" x14ac:dyDescent="0.25"/>
  <cols>
    <col min="1" max="1" width="32.28515625" customWidth="1"/>
    <col min="2" max="6" width="13.7109375" customWidth="1"/>
    <col min="7" max="7" width="20.7109375" customWidth="1"/>
    <col min="8" max="8" width="11.140625" style="174" bestFit="1" customWidth="1"/>
    <col min="9" max="9" width="10.140625" bestFit="1" customWidth="1"/>
  </cols>
  <sheetData>
    <row r="1" spans="1:10" x14ac:dyDescent="0.25">
      <c r="A1" s="19" t="s">
        <v>24</v>
      </c>
      <c r="B1" s="1159" t="str">
        <f>'YEAR 4--FY''18'!AC1</f>
        <v>FY18</v>
      </c>
      <c r="C1" s="1160"/>
      <c r="D1" s="1160"/>
      <c r="E1" s="1160"/>
      <c r="F1" s="1161"/>
      <c r="G1" s="19" t="s">
        <v>21</v>
      </c>
    </row>
    <row r="2" spans="1:10" x14ac:dyDescent="0.25">
      <c r="A2" s="20" t="s">
        <v>11</v>
      </c>
      <c r="B2" s="1162" t="str">
        <f>'YEAR 4--FY''18'!B4</f>
        <v xml:space="preserve">Additional Police Coverage </v>
      </c>
      <c r="C2" s="1163"/>
      <c r="D2" s="1163"/>
      <c r="E2" s="1163"/>
      <c r="F2" s="1164"/>
      <c r="G2" s="1196"/>
    </row>
    <row r="3" spans="1:10" x14ac:dyDescent="0.25">
      <c r="A3" s="20" t="s">
        <v>26</v>
      </c>
      <c r="B3" s="1162" t="s">
        <v>1</v>
      </c>
      <c r="C3" s="1163"/>
      <c r="D3" s="1163"/>
      <c r="E3" s="1163"/>
      <c r="F3" s="1164"/>
      <c r="G3" s="1197"/>
      <c r="H3" s="117"/>
      <c r="I3" s="62"/>
    </row>
    <row r="4" spans="1:10" x14ac:dyDescent="0.25">
      <c r="A4" s="20" t="s">
        <v>13</v>
      </c>
      <c r="B4" s="1162" t="s">
        <v>48</v>
      </c>
      <c r="C4" s="1163"/>
      <c r="D4" s="1163"/>
      <c r="E4" s="1163"/>
      <c r="F4" s="1164"/>
      <c r="G4" s="1197"/>
      <c r="H4" s="117"/>
      <c r="I4" s="62"/>
    </row>
    <row r="5" spans="1:10" ht="15.75" thickBot="1" x14ac:dyDescent="0.3">
      <c r="A5" s="21" t="s">
        <v>12</v>
      </c>
      <c r="B5" s="1189" t="s">
        <v>9</v>
      </c>
      <c r="C5" s="1190"/>
      <c r="D5" s="1190"/>
      <c r="E5" s="1190"/>
      <c r="F5" s="1191"/>
      <c r="G5" s="1197"/>
      <c r="I5" s="62">
        <f>1360000/1700000</f>
        <v>0.8</v>
      </c>
    </row>
    <row r="6" spans="1:10" s="655" customFormat="1" ht="24.95" customHeight="1" x14ac:dyDescent="0.25">
      <c r="A6" s="42" t="s">
        <v>14</v>
      </c>
      <c r="B6" s="1169" t="s">
        <v>512</v>
      </c>
      <c r="C6" s="1170"/>
      <c r="D6" s="1173" t="str">
        <f>'YEAR 4--FY''18'!P1</f>
        <v>FY'17 Carry-Fwd</v>
      </c>
      <c r="E6" s="1174"/>
      <c r="F6" s="542" t="s">
        <v>129</v>
      </c>
      <c r="G6" s="1197"/>
      <c r="H6" s="252"/>
      <c r="I6" s="765"/>
    </row>
    <row r="7" spans="1:10" ht="15.75" thickBot="1" x14ac:dyDescent="0.3">
      <c r="A7" s="18"/>
      <c r="B7" s="1195">
        <f>'YEAR 4--FY''18'!Q4</f>
        <v>1803988</v>
      </c>
      <c r="C7" s="1176"/>
      <c r="D7" s="1175">
        <f>'YEAR 4--FY''18'!P4</f>
        <v>0</v>
      </c>
      <c r="E7" s="1176"/>
      <c r="F7" s="812">
        <f>SUM(B7:E7)</f>
        <v>1803988</v>
      </c>
      <c r="G7" s="1198"/>
    </row>
    <row r="8" spans="1:10" ht="33" customHeight="1" x14ac:dyDescent="0.25">
      <c r="A8" s="128" t="s">
        <v>22</v>
      </c>
      <c r="B8" s="388" t="s">
        <v>15</v>
      </c>
      <c r="C8" s="389" t="s">
        <v>16</v>
      </c>
      <c r="D8" s="389" t="s">
        <v>17</v>
      </c>
      <c r="E8" s="389" t="s">
        <v>18</v>
      </c>
      <c r="F8" s="786" t="s">
        <v>19</v>
      </c>
      <c r="G8" s="790" t="s">
        <v>20</v>
      </c>
    </row>
    <row r="9" spans="1:10" ht="12" customHeight="1" x14ac:dyDescent="0.25">
      <c r="A9" s="465" t="s">
        <v>221</v>
      </c>
      <c r="B9" s="1183">
        <v>307889</v>
      </c>
      <c r="C9" s="1185">
        <v>299980</v>
      </c>
      <c r="D9" s="1185">
        <v>311019</v>
      </c>
      <c r="E9" s="1185">
        <f>F9-SUM(B9:D12)</f>
        <v>733152</v>
      </c>
      <c r="F9" s="1199">
        <v>1652040</v>
      </c>
      <c r="G9" s="787"/>
    </row>
    <row r="10" spans="1:10" ht="12" customHeight="1" x14ac:dyDescent="0.25">
      <c r="A10" s="465" t="s">
        <v>253</v>
      </c>
      <c r="B10" s="1184"/>
      <c r="C10" s="1186"/>
      <c r="D10" s="1186"/>
      <c r="E10" s="1186"/>
      <c r="F10" s="1200"/>
      <c r="G10" s="788"/>
      <c r="H10" s="161"/>
    </row>
    <row r="11" spans="1:10" ht="12" customHeight="1" x14ac:dyDescent="0.25">
      <c r="A11" s="465" t="s">
        <v>177</v>
      </c>
      <c r="B11" s="1184"/>
      <c r="C11" s="1186"/>
      <c r="D11" s="1186"/>
      <c r="E11" s="1186"/>
      <c r="F11" s="1200"/>
      <c r="G11" s="789"/>
    </row>
    <row r="12" spans="1:10" s="110" customFormat="1" ht="12" customHeight="1" x14ac:dyDescent="0.25">
      <c r="A12" s="465" t="s">
        <v>205</v>
      </c>
      <c r="B12" s="1184"/>
      <c r="C12" s="1186"/>
      <c r="D12" s="1186"/>
      <c r="E12" s="1186"/>
      <c r="F12" s="1200"/>
      <c r="G12" s="787"/>
      <c r="H12" s="174"/>
    </row>
    <row r="13" spans="1:10" s="149" customFormat="1" ht="12" customHeight="1" x14ac:dyDescent="0.25">
      <c r="A13" s="466" t="s">
        <v>178</v>
      </c>
      <c r="B13" s="1201">
        <v>0</v>
      </c>
      <c r="C13" s="1203">
        <v>0</v>
      </c>
      <c r="D13" s="1203">
        <v>0</v>
      </c>
      <c r="E13" s="1203">
        <v>0</v>
      </c>
      <c r="F13" s="1205">
        <v>0</v>
      </c>
      <c r="G13" s="1187" t="s">
        <v>475</v>
      </c>
      <c r="H13" s="174"/>
    </row>
    <row r="14" spans="1:10" s="149" customFormat="1" ht="12" customHeight="1" thickBot="1" x14ac:dyDescent="0.3">
      <c r="A14" s="465" t="s">
        <v>174</v>
      </c>
      <c r="B14" s="1202"/>
      <c r="C14" s="1204"/>
      <c r="D14" s="1204"/>
      <c r="E14" s="1204"/>
      <c r="F14" s="1206"/>
      <c r="G14" s="1188"/>
    </row>
    <row r="15" spans="1:10" s="55" customFormat="1" ht="18" customHeight="1" thickBot="1" x14ac:dyDescent="0.3">
      <c r="A15" s="9">
        <f>209164-'0.3 Police-CSD Headquarters'!B11</f>
        <v>207899</v>
      </c>
      <c r="B15" s="118">
        <f>SUM(B9:B14)</f>
        <v>307889</v>
      </c>
      <c r="C15" s="118">
        <f>SUM(C9:C14)</f>
        <v>299980</v>
      </c>
      <c r="D15" s="118">
        <f>SUM(D9:D14)</f>
        <v>311019</v>
      </c>
      <c r="E15" s="118">
        <f>SUM(E9:E14)</f>
        <v>733152</v>
      </c>
      <c r="F15" s="161">
        <f>SUM(B15:E15)</f>
        <v>1652040</v>
      </c>
      <c r="G15" s="492">
        <f>F7-F15</f>
        <v>151948</v>
      </c>
      <c r="H15" s="161">
        <f>B15*4</f>
        <v>1231556</v>
      </c>
      <c r="I15" s="161">
        <f>F7-H15</f>
        <v>572432</v>
      </c>
    </row>
    <row r="16" spans="1:10" s="55" customFormat="1" ht="126" customHeight="1" thickBot="1" x14ac:dyDescent="0.3">
      <c r="A16" s="1180" t="s">
        <v>524</v>
      </c>
      <c r="B16" s="1181"/>
      <c r="C16" s="1181"/>
      <c r="D16" s="1181"/>
      <c r="E16" s="1181"/>
      <c r="F16" s="1181"/>
      <c r="G16" s="1182"/>
      <c r="H16" s="834">
        <f>G15/F7</f>
        <v>8.4228941655931186E-2</v>
      </c>
      <c r="I16" s="834">
        <f>1-1500000/F7</f>
        <v>0.16850888143380116</v>
      </c>
      <c r="J16" s="835">
        <f>1250000/F7</f>
        <v>0.6929092654718324</v>
      </c>
    </row>
    <row r="17" spans="1:12" s="55" customFormat="1" ht="84.75" hidden="1" customHeight="1" thickBot="1" x14ac:dyDescent="0.3">
      <c r="A17" s="1180" t="s">
        <v>218</v>
      </c>
      <c r="B17" s="1181"/>
      <c r="C17" s="1181"/>
      <c r="D17" s="1181"/>
      <c r="E17" s="1181"/>
      <c r="F17" s="1181"/>
      <c r="G17" s="1182"/>
      <c r="H17" s="161"/>
    </row>
    <row r="18" spans="1:12" ht="110.25" hidden="1" customHeight="1" thickBot="1" x14ac:dyDescent="0.3">
      <c r="A18" s="1192" t="s">
        <v>265</v>
      </c>
      <c r="B18" s="1193"/>
      <c r="C18" s="1193"/>
      <c r="D18" s="1193"/>
      <c r="E18" s="1193"/>
      <c r="F18" s="1193"/>
      <c r="G18" s="1194"/>
    </row>
    <row r="19" spans="1:12" ht="180" hidden="1" customHeight="1" thickBot="1" x14ac:dyDescent="0.3">
      <c r="A19" s="1192" t="s">
        <v>266</v>
      </c>
      <c r="B19" s="1193"/>
      <c r="C19" s="1193"/>
      <c r="D19" s="1193"/>
      <c r="E19" s="1193"/>
      <c r="F19" s="1193"/>
      <c r="G19" s="1194"/>
    </row>
    <row r="20" spans="1:12" s="654" customFormat="1" ht="144" customHeight="1" thickBot="1" x14ac:dyDescent="0.3">
      <c r="A20" s="1192" t="s">
        <v>723</v>
      </c>
      <c r="B20" s="1193"/>
      <c r="C20" s="1193"/>
      <c r="D20" s="1193"/>
      <c r="E20" s="1193"/>
      <c r="F20" s="1193"/>
      <c r="G20" s="1194"/>
      <c r="H20" s="656"/>
      <c r="L20" s="654">
        <f>1-1.5/1.8</f>
        <v>0.16666666666666674</v>
      </c>
    </row>
    <row r="21" spans="1:12" x14ac:dyDescent="0.25">
      <c r="L21" s="654">
        <f>1.2/1.8</f>
        <v>0.66666666666666663</v>
      </c>
    </row>
  </sheetData>
  <mergeCells count="26">
    <mergeCell ref="A20:G20"/>
    <mergeCell ref="B6:C6"/>
    <mergeCell ref="D6:E6"/>
    <mergeCell ref="B7:C7"/>
    <mergeCell ref="D7:E7"/>
    <mergeCell ref="G2:G7"/>
    <mergeCell ref="A19:G19"/>
    <mergeCell ref="E9:E12"/>
    <mergeCell ref="F9:F12"/>
    <mergeCell ref="B13:B14"/>
    <mergeCell ref="C13:C14"/>
    <mergeCell ref="D13:D14"/>
    <mergeCell ref="E13:E14"/>
    <mergeCell ref="F13:F14"/>
    <mergeCell ref="A18:G18"/>
    <mergeCell ref="A17:G17"/>
    <mergeCell ref="B1:F1"/>
    <mergeCell ref="B2:F2"/>
    <mergeCell ref="B3:F3"/>
    <mergeCell ref="B4:F4"/>
    <mergeCell ref="B5:F5"/>
    <mergeCell ref="A16:G16"/>
    <mergeCell ref="B9:B12"/>
    <mergeCell ref="C9:C12"/>
    <mergeCell ref="D9:D12"/>
    <mergeCell ref="G13:G14"/>
  </mergeCells>
  <phoneticPr fontId="38" type="noConversion"/>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workbookViewId="0">
      <selection activeCell="A11" sqref="A11:XFD11"/>
    </sheetView>
  </sheetViews>
  <sheetFormatPr defaultColWidth="8.85546875" defaultRowHeight="15" x14ac:dyDescent="0.25"/>
  <cols>
    <col min="1" max="1" width="31" style="110" customWidth="1"/>
    <col min="2" max="6" width="13.7109375" style="110" customWidth="1"/>
    <col min="7" max="7" width="20.7109375" style="110" customWidth="1"/>
    <col min="8" max="10" width="8.85546875" style="110"/>
    <col min="11" max="11" width="9.28515625" style="110" bestFit="1" customWidth="1"/>
    <col min="12" max="16384" width="8.85546875" style="110"/>
  </cols>
  <sheetData>
    <row r="1" spans="1:11" x14ac:dyDescent="0.25">
      <c r="A1" s="526" t="s">
        <v>24</v>
      </c>
      <c r="B1" s="1351" t="str">
        <f>'YEAR 4--FY''18'!AC1</f>
        <v>FY18</v>
      </c>
      <c r="C1" s="1352"/>
      <c r="D1" s="1352"/>
      <c r="E1" s="1352"/>
      <c r="F1" s="1353"/>
      <c r="G1" s="526" t="s">
        <v>21</v>
      </c>
      <c r="H1" s="525"/>
    </row>
    <row r="2" spans="1:11" x14ac:dyDescent="0.25">
      <c r="A2" s="527" t="s">
        <v>11</v>
      </c>
      <c r="B2" s="1162" t="s">
        <v>167</v>
      </c>
      <c r="C2" s="1163"/>
      <c r="D2" s="1163"/>
      <c r="E2" s="1163"/>
      <c r="F2" s="1164"/>
      <c r="G2" s="528"/>
      <c r="H2" s="525"/>
    </row>
    <row r="3" spans="1:11" x14ac:dyDescent="0.25">
      <c r="A3" s="527" t="s">
        <v>26</v>
      </c>
      <c r="B3" s="1460" t="s">
        <v>166</v>
      </c>
      <c r="C3" s="1461"/>
      <c r="D3" s="1461"/>
      <c r="E3" s="1461"/>
      <c r="F3" s="1462"/>
      <c r="G3" s="529"/>
      <c r="H3" s="525"/>
    </row>
    <row r="4" spans="1:11" x14ac:dyDescent="0.25">
      <c r="A4" s="527" t="s">
        <v>13</v>
      </c>
      <c r="B4" s="1162">
        <v>18</v>
      </c>
      <c r="C4" s="1163"/>
      <c r="D4" s="1163"/>
      <c r="E4" s="1163"/>
      <c r="F4" s="1164"/>
      <c r="G4" s="529"/>
      <c r="H4" s="525"/>
    </row>
    <row r="5" spans="1:11" ht="15.75" thickBot="1" x14ac:dyDescent="0.3">
      <c r="A5" s="530" t="s">
        <v>12</v>
      </c>
      <c r="B5" s="1209" t="s">
        <v>9</v>
      </c>
      <c r="C5" s="1190"/>
      <c r="D5" s="1190"/>
      <c r="E5" s="1190"/>
      <c r="F5" s="1191"/>
      <c r="G5" s="529"/>
      <c r="H5" s="525"/>
    </row>
    <row r="6" spans="1:11" s="655" customFormat="1" ht="24.95" customHeight="1" x14ac:dyDescent="0.25">
      <c r="A6" s="42" t="s">
        <v>14</v>
      </c>
      <c r="B6" s="1169" t="s">
        <v>512</v>
      </c>
      <c r="C6" s="1170"/>
      <c r="D6" s="1173" t="str">
        <f>'YEAR 4--FY''18'!P1</f>
        <v>FY'17 Carry-Fwd</v>
      </c>
      <c r="E6" s="1174"/>
      <c r="F6" s="813" t="s">
        <v>129</v>
      </c>
      <c r="G6" s="758"/>
    </row>
    <row r="7" spans="1:11" ht="15.75" thickBot="1" x14ac:dyDescent="0.3">
      <c r="A7" s="531"/>
      <c r="B7" s="1171">
        <f>'YEAR 4--FY''18'!Q39</f>
        <v>0</v>
      </c>
      <c r="C7" s="1253"/>
      <c r="D7" s="1252">
        <f>F7-B7</f>
        <v>24287</v>
      </c>
      <c r="E7" s="1253"/>
      <c r="F7" s="544">
        <f>'YEAR 4--FY''18'!R39</f>
        <v>24287</v>
      </c>
      <c r="G7" s="532"/>
      <c r="H7" s="525"/>
    </row>
    <row r="8" spans="1:11" ht="33" customHeight="1" x14ac:dyDescent="0.25">
      <c r="A8" s="128" t="s">
        <v>22</v>
      </c>
      <c r="B8" s="388" t="s">
        <v>15</v>
      </c>
      <c r="C8" s="389" t="s">
        <v>16</v>
      </c>
      <c r="D8" s="389" t="s">
        <v>17</v>
      </c>
      <c r="E8" s="389" t="s">
        <v>18</v>
      </c>
      <c r="F8" s="402" t="s">
        <v>19</v>
      </c>
      <c r="G8" s="549" t="s">
        <v>20</v>
      </c>
      <c r="H8" s="525"/>
    </row>
    <row r="9" spans="1:11" s="149" customFormat="1" ht="45" customHeight="1" thickBot="1" x14ac:dyDescent="0.3">
      <c r="A9" s="533" t="s">
        <v>710</v>
      </c>
      <c r="B9" s="686"/>
      <c r="C9" s="1089"/>
      <c r="D9" s="1043">
        <v>114000</v>
      </c>
      <c r="E9" s="687"/>
      <c r="F9" s="586">
        <f>SUM(B9:E9)</f>
        <v>114000</v>
      </c>
      <c r="G9" s="652">
        <f>H9-F9</f>
        <v>0</v>
      </c>
      <c r="H9" s="525">
        <v>114000</v>
      </c>
    </row>
    <row r="10" spans="1:11" ht="22.5" customHeight="1" thickBot="1" x14ac:dyDescent="0.3">
      <c r="A10" s="1109" t="s">
        <v>25</v>
      </c>
      <c r="B10" s="395">
        <v>0</v>
      </c>
      <c r="C10" s="384">
        <f>SUM(C9:C9)</f>
        <v>0</v>
      </c>
      <c r="D10" s="384">
        <v>114000</v>
      </c>
      <c r="E10" s="384">
        <f>SUM(E9:E9)</f>
        <v>0</v>
      </c>
      <c r="F10" s="385">
        <f>SUM(B10:E10)</f>
        <v>114000</v>
      </c>
      <c r="G10" s="1110">
        <f>F7-F10</f>
        <v>-89713</v>
      </c>
      <c r="H10" s="534">
        <v>0</v>
      </c>
    </row>
    <row r="11" spans="1:11" ht="80.099999999999994" customHeight="1" thickBot="1" x14ac:dyDescent="0.3">
      <c r="A11" s="1210" t="s">
        <v>708</v>
      </c>
      <c r="B11" s="1387"/>
      <c r="C11" s="1387"/>
      <c r="D11" s="1387"/>
      <c r="E11" s="1387"/>
      <c r="F11" s="1387"/>
      <c r="G11" s="1388"/>
      <c r="H11" s="525"/>
      <c r="K11" s="365"/>
    </row>
    <row r="12" spans="1:11" s="149" customFormat="1" ht="45" hidden="1" customHeight="1" thickBot="1" x14ac:dyDescent="0.3">
      <c r="A12" s="1180" t="s">
        <v>219</v>
      </c>
      <c r="B12" s="1181"/>
      <c r="C12" s="1181"/>
      <c r="D12" s="1181"/>
      <c r="E12" s="1181"/>
      <c r="F12" s="1181"/>
      <c r="G12" s="1182"/>
      <c r="H12" s="525"/>
      <c r="K12" s="365"/>
    </row>
    <row r="13" spans="1:11" s="55" customFormat="1" ht="140.1" customHeight="1" thickBot="1" x14ac:dyDescent="0.3">
      <c r="A13" s="1180" t="s">
        <v>711</v>
      </c>
      <c r="B13" s="1295"/>
      <c r="C13" s="1295"/>
      <c r="D13" s="1295"/>
      <c r="E13" s="1295"/>
      <c r="F13" s="1295"/>
      <c r="G13" s="1296"/>
      <c r="H13" s="535"/>
    </row>
  </sheetData>
  <mergeCells count="12">
    <mergeCell ref="B1:F1"/>
    <mergeCell ref="B2:F2"/>
    <mergeCell ref="B3:F3"/>
    <mergeCell ref="B4:F4"/>
    <mergeCell ref="B5:F5"/>
    <mergeCell ref="A12:G12"/>
    <mergeCell ref="A13:G13"/>
    <mergeCell ref="B6:C6"/>
    <mergeCell ref="D6:E6"/>
    <mergeCell ref="B7:C7"/>
    <mergeCell ref="D7:E7"/>
    <mergeCell ref="A11:G11"/>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A16" sqref="A16:G16"/>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7" x14ac:dyDescent="0.25">
      <c r="A1" s="151" t="s">
        <v>24</v>
      </c>
      <c r="B1" s="1351" t="str">
        <f>'YEAR 4--FY''18'!AC1</f>
        <v>FY18</v>
      </c>
      <c r="C1" s="1352"/>
      <c r="D1" s="1352"/>
      <c r="E1" s="1352"/>
      <c r="F1" s="1353"/>
      <c r="G1" s="151" t="s">
        <v>21</v>
      </c>
    </row>
    <row r="2" spans="1:7" x14ac:dyDescent="0.25">
      <c r="A2" s="166" t="s">
        <v>11</v>
      </c>
      <c r="B2" s="1162" t="str">
        <f>'[7]YEAR 3--FY''17'!A38</f>
        <v>Expand Reading Partners</v>
      </c>
      <c r="C2" s="1163"/>
      <c r="D2" s="1163"/>
      <c r="E2" s="1163"/>
      <c r="F2" s="1164"/>
      <c r="G2" s="44"/>
    </row>
    <row r="3" spans="1:7" x14ac:dyDescent="0.25">
      <c r="A3" s="166" t="s">
        <v>26</v>
      </c>
      <c r="B3" s="1165" t="str">
        <f>'[7]YEAR 3--FY''17'!C38</f>
        <v>MOHS</v>
      </c>
      <c r="C3" s="1163"/>
      <c r="D3" s="1163"/>
      <c r="E3" s="1163"/>
      <c r="F3" s="1164"/>
      <c r="G3" s="45"/>
    </row>
    <row r="4" spans="1:7" x14ac:dyDescent="0.25">
      <c r="A4" s="166" t="s">
        <v>13</v>
      </c>
      <c r="B4" s="1162" t="str">
        <f>'[7]YEAR 3--FY''17'!B38</f>
        <v>--</v>
      </c>
      <c r="C4" s="1163"/>
      <c r="D4" s="1163"/>
      <c r="E4" s="1163"/>
      <c r="F4" s="1164"/>
      <c r="G4" s="45"/>
    </row>
    <row r="5" spans="1:7" ht="15.75" thickBot="1" x14ac:dyDescent="0.3">
      <c r="A5" s="152" t="s">
        <v>12</v>
      </c>
      <c r="B5" s="1209" t="str">
        <f>'[7]YEAR 3--FY''17'!D38</f>
        <v>Multi-Year</v>
      </c>
      <c r="C5" s="1190"/>
      <c r="D5" s="1190"/>
      <c r="E5" s="1190"/>
      <c r="F5" s="1191"/>
      <c r="G5" s="45"/>
    </row>
    <row r="6" spans="1:7" s="655" customFormat="1" ht="24.95" customHeight="1" x14ac:dyDescent="0.25">
      <c r="A6" s="42" t="s">
        <v>14</v>
      </c>
      <c r="B6" s="1169" t="s">
        <v>512</v>
      </c>
      <c r="C6" s="1170"/>
      <c r="D6" s="1173" t="str">
        <f>'YEAR 4--FY''18'!P1</f>
        <v>FY'17 Carry-Fwd</v>
      </c>
      <c r="E6" s="1174"/>
      <c r="F6" s="813" t="s">
        <v>129</v>
      </c>
      <c r="G6" s="758"/>
    </row>
    <row r="7" spans="1:7" ht="15.75" thickBot="1" x14ac:dyDescent="0.3">
      <c r="A7" s="150"/>
      <c r="B7" s="1171" t="str">
        <f>'YEAR 4--FY''18'!Q40</f>
        <v>NA</v>
      </c>
      <c r="C7" s="1253"/>
      <c r="D7" s="1252">
        <v>0</v>
      </c>
      <c r="E7" s="1253"/>
      <c r="F7" s="544" t="str">
        <f>'YEAR 4--FY''18'!R40</f>
        <v>NA</v>
      </c>
      <c r="G7" s="46"/>
    </row>
    <row r="8" spans="1:7" ht="33" customHeight="1" thickBot="1" x14ac:dyDescent="0.3">
      <c r="A8" s="155" t="s">
        <v>22</v>
      </c>
      <c r="B8" s="157" t="s">
        <v>15</v>
      </c>
      <c r="C8" s="156" t="s">
        <v>16</v>
      </c>
      <c r="D8" s="156" t="s">
        <v>17</v>
      </c>
      <c r="E8" s="156" t="s">
        <v>18</v>
      </c>
      <c r="F8" s="154" t="s">
        <v>19</v>
      </c>
      <c r="G8" s="111" t="s">
        <v>20</v>
      </c>
    </row>
    <row r="9" spans="1:7" ht="15.95" hidden="1" customHeight="1" x14ac:dyDescent="0.25">
      <c r="A9" s="407" t="s">
        <v>199</v>
      </c>
      <c r="B9" s="408"/>
      <c r="C9" s="409"/>
      <c r="D9" s="409"/>
      <c r="E9" s="409"/>
      <c r="F9" s="410">
        <f>SUM(B9:E9)</f>
        <v>0</v>
      </c>
      <c r="G9" s="138"/>
    </row>
    <row r="10" spans="1:7" ht="15.95" hidden="1" customHeight="1" x14ac:dyDescent="0.25">
      <c r="A10" s="407" t="s">
        <v>203</v>
      </c>
      <c r="B10" s="408"/>
      <c r="C10" s="409"/>
      <c r="D10" s="409"/>
      <c r="E10" s="409"/>
      <c r="F10" s="410">
        <f t="shared" ref="F10:F14" si="0">SUM(B10:E10)</f>
        <v>0</v>
      </c>
      <c r="G10" s="138"/>
    </row>
    <row r="11" spans="1:7" ht="15.95" hidden="1" customHeight="1" x14ac:dyDescent="0.25">
      <c r="A11" s="407" t="s">
        <v>200</v>
      </c>
      <c r="B11" s="408"/>
      <c r="C11" s="409"/>
      <c r="D11" s="409"/>
      <c r="E11" s="409"/>
      <c r="F11" s="410">
        <f t="shared" si="0"/>
        <v>0</v>
      </c>
      <c r="G11" s="138"/>
    </row>
    <row r="12" spans="1:7" ht="15.95" hidden="1" customHeight="1" x14ac:dyDescent="0.25">
      <c r="A12" s="407" t="s">
        <v>201</v>
      </c>
      <c r="B12" s="408"/>
      <c r="C12" s="409"/>
      <c r="D12" s="409"/>
      <c r="E12" s="409"/>
      <c r="F12" s="410">
        <f t="shared" si="0"/>
        <v>0</v>
      </c>
      <c r="G12" s="138"/>
    </row>
    <row r="13" spans="1:7" ht="15.95" hidden="1" customHeight="1" x14ac:dyDescent="0.25">
      <c r="A13" s="407" t="s">
        <v>204</v>
      </c>
      <c r="B13" s="408"/>
      <c r="C13" s="409"/>
      <c r="D13" s="409"/>
      <c r="E13" s="409"/>
      <c r="F13" s="410">
        <f t="shared" si="0"/>
        <v>0</v>
      </c>
      <c r="G13" s="138"/>
    </row>
    <row r="14" spans="1:7" s="2" customFormat="1" ht="15.95" hidden="1" customHeight="1" thickBot="1" x14ac:dyDescent="0.3">
      <c r="A14" s="325" t="s">
        <v>202</v>
      </c>
      <c r="B14" s="408"/>
      <c r="C14" s="411"/>
      <c r="D14" s="411"/>
      <c r="E14" s="411"/>
      <c r="F14" s="410">
        <f t="shared" si="0"/>
        <v>0</v>
      </c>
      <c r="G14" s="139"/>
    </row>
    <row r="15" spans="1:7" ht="22.5" customHeight="1" thickBot="1" x14ac:dyDescent="0.3">
      <c r="A15" s="175" t="s">
        <v>25</v>
      </c>
      <c r="B15" s="399"/>
      <c r="C15" s="400"/>
      <c r="D15" s="400"/>
      <c r="E15" s="400"/>
      <c r="F15" s="412"/>
      <c r="G15" s="413"/>
    </row>
    <row r="16" spans="1:7" ht="174.95" customHeight="1" thickBot="1" x14ac:dyDescent="0.3">
      <c r="A16" s="1180" t="s">
        <v>712</v>
      </c>
      <c r="B16" s="1295"/>
      <c r="C16" s="1295"/>
      <c r="D16" s="1295"/>
      <c r="E16" s="1295"/>
      <c r="F16" s="1295"/>
      <c r="G16" s="1296"/>
    </row>
    <row r="17" spans="1:7" ht="50.1" customHeight="1" thickBot="1" x14ac:dyDescent="0.3">
      <c r="A17" s="1463" t="s">
        <v>713</v>
      </c>
      <c r="B17" s="1157"/>
      <c r="C17" s="1157"/>
      <c r="D17" s="1157"/>
      <c r="E17" s="1157"/>
      <c r="F17" s="1157"/>
      <c r="G17" s="1158"/>
    </row>
  </sheetData>
  <mergeCells count="11">
    <mergeCell ref="A17:G17"/>
    <mergeCell ref="B6:C6"/>
    <mergeCell ref="D6:E6"/>
    <mergeCell ref="B1:F1"/>
    <mergeCell ref="B2:F2"/>
    <mergeCell ref="B3:F3"/>
    <mergeCell ref="B4:F4"/>
    <mergeCell ref="B5:F5"/>
    <mergeCell ref="B7:C7"/>
    <mergeCell ref="D7:E7"/>
    <mergeCell ref="A16:G16"/>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D17" sqref="D17"/>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8" x14ac:dyDescent="0.25">
      <c r="A1" s="151" t="s">
        <v>24</v>
      </c>
      <c r="B1" s="1351" t="str">
        <f>'YEAR 4--FY''18'!AC1</f>
        <v>FY18</v>
      </c>
      <c r="C1" s="1352"/>
      <c r="D1" s="1352"/>
      <c r="E1" s="1352"/>
      <c r="F1" s="1353"/>
      <c r="G1" s="151" t="s">
        <v>21</v>
      </c>
    </row>
    <row r="2" spans="1:8" x14ac:dyDescent="0.25">
      <c r="A2" s="166" t="s">
        <v>11</v>
      </c>
      <c r="B2" s="1162" t="str">
        <f>'YEAR 4--FY''18'!B41</f>
        <v>Expand Environmental Education</v>
      </c>
      <c r="C2" s="1163"/>
      <c r="D2" s="1163"/>
      <c r="E2" s="1163"/>
      <c r="F2" s="1164"/>
      <c r="G2" s="44"/>
    </row>
    <row r="3" spans="1:8" x14ac:dyDescent="0.25">
      <c r="A3" s="166" t="s">
        <v>26</v>
      </c>
      <c r="B3" s="1165" t="str">
        <f>'YEAR 4--FY''18'!D41</f>
        <v>Planning</v>
      </c>
      <c r="C3" s="1163"/>
      <c r="D3" s="1163"/>
      <c r="E3" s="1163"/>
      <c r="F3" s="1164"/>
      <c r="G3" s="45"/>
    </row>
    <row r="4" spans="1:8" x14ac:dyDescent="0.25">
      <c r="A4" s="166" t="s">
        <v>13</v>
      </c>
      <c r="B4" s="1162" t="str">
        <f>'YEAR 4--FY''18'!C41</f>
        <v>--</v>
      </c>
      <c r="C4" s="1163"/>
      <c r="D4" s="1163"/>
      <c r="E4" s="1163"/>
      <c r="F4" s="1164"/>
      <c r="G4" s="45"/>
    </row>
    <row r="5" spans="1:8" ht="15.75" thickBot="1" x14ac:dyDescent="0.3">
      <c r="A5" s="152" t="s">
        <v>12</v>
      </c>
      <c r="B5" s="1209" t="str">
        <f>'YEAR 4--FY''18'!E41</f>
        <v>Multi-Year</v>
      </c>
      <c r="C5" s="1190"/>
      <c r="D5" s="1190"/>
      <c r="E5" s="1190"/>
      <c r="F5" s="1191"/>
      <c r="G5" s="45"/>
    </row>
    <row r="6" spans="1:8" s="655" customFormat="1" ht="24.95" customHeight="1" x14ac:dyDescent="0.25">
      <c r="A6" s="42" t="s">
        <v>14</v>
      </c>
      <c r="B6" s="1169" t="s">
        <v>512</v>
      </c>
      <c r="C6" s="1170"/>
      <c r="D6" s="1173" t="str">
        <f>'YEAR 4--FY''18'!P1</f>
        <v>FY'17 Carry-Fwd</v>
      </c>
      <c r="E6" s="1174"/>
      <c r="F6" s="813" t="s">
        <v>129</v>
      </c>
      <c r="G6" s="758"/>
    </row>
    <row r="7" spans="1:8" ht="15.75" thickBot="1" x14ac:dyDescent="0.3">
      <c r="A7" s="150"/>
      <c r="B7" s="1195">
        <f>'YEAR 4--FY''18'!Q41</f>
        <v>10000</v>
      </c>
      <c r="C7" s="1176"/>
      <c r="D7" s="1175">
        <f>F7-B7</f>
        <v>25000</v>
      </c>
      <c r="E7" s="1176"/>
      <c r="F7" s="812">
        <f>'YEAR 4--FY''18'!R41</f>
        <v>35000</v>
      </c>
      <c r="G7" s="46"/>
    </row>
    <row r="8" spans="1:8" ht="33" customHeight="1" x14ac:dyDescent="0.25">
      <c r="A8" s="128" t="s">
        <v>22</v>
      </c>
      <c r="B8" s="388" t="s">
        <v>15</v>
      </c>
      <c r="C8" s="389" t="s">
        <v>16</v>
      </c>
      <c r="D8" s="389" t="s">
        <v>17</v>
      </c>
      <c r="E8" s="389" t="s">
        <v>18</v>
      </c>
      <c r="F8" s="402" t="s">
        <v>19</v>
      </c>
      <c r="G8" s="549" t="s">
        <v>20</v>
      </c>
    </row>
    <row r="9" spans="1:8" ht="15.95" customHeight="1" x14ac:dyDescent="0.25">
      <c r="A9" s="672" t="s">
        <v>198</v>
      </c>
      <c r="B9" s="670"/>
      <c r="C9" s="890"/>
      <c r="D9" s="890"/>
      <c r="E9" s="890"/>
      <c r="F9" s="671">
        <f>SUM(B9:E9)</f>
        <v>0</v>
      </c>
      <c r="G9" s="138">
        <v>25000</v>
      </c>
    </row>
    <row r="10" spans="1:8" s="654" customFormat="1" ht="15.95" customHeight="1" thickBot="1" x14ac:dyDescent="0.3">
      <c r="A10" s="672" t="s">
        <v>409</v>
      </c>
      <c r="B10" s="686"/>
      <c r="C10" s="1088"/>
      <c r="D10" s="687">
        <v>1600</v>
      </c>
      <c r="E10" s="687">
        <v>4999</v>
      </c>
      <c r="F10" s="586">
        <f>SUM(B10:E10)</f>
        <v>6599</v>
      </c>
      <c r="G10" s="648">
        <v>10000</v>
      </c>
    </row>
    <row r="11" spans="1:8" ht="15" customHeight="1" thickBot="1" x14ac:dyDescent="0.3">
      <c r="A11" s="175" t="s">
        <v>25</v>
      </c>
      <c r="B11" s="661">
        <f>SUM(B9:B10)</f>
        <v>0</v>
      </c>
      <c r="C11" s="662">
        <f>SUM(C9:C10)</f>
        <v>0</v>
      </c>
      <c r="D11" s="662">
        <f>SUM(D9:D10)</f>
        <v>1600</v>
      </c>
      <c r="E11" s="662">
        <f>SUM(E9:E10)</f>
        <v>4999</v>
      </c>
      <c r="F11" s="663">
        <f>SUM(B11:E11)</f>
        <v>6599</v>
      </c>
      <c r="G11" s="71">
        <f>H11-F11</f>
        <v>28401</v>
      </c>
      <c r="H11" s="149">
        <v>35000</v>
      </c>
    </row>
    <row r="12" spans="1:8" ht="65.099999999999994" customHeight="1" thickBot="1" x14ac:dyDescent="0.3">
      <c r="A12" s="1180" t="s">
        <v>735</v>
      </c>
      <c r="B12" s="1295"/>
      <c r="C12" s="1295"/>
      <c r="D12" s="1295"/>
      <c r="E12" s="1295"/>
      <c r="F12" s="1295"/>
      <c r="G12" s="1296"/>
    </row>
    <row r="13" spans="1:8" ht="264.95" customHeight="1" thickBot="1" x14ac:dyDescent="0.3">
      <c r="A13" s="1263" t="s">
        <v>736</v>
      </c>
      <c r="B13" s="1157"/>
      <c r="C13" s="1157"/>
      <c r="D13" s="1157"/>
      <c r="E13" s="1157"/>
      <c r="F13" s="1157"/>
      <c r="G13" s="1158"/>
    </row>
  </sheetData>
  <mergeCells count="11">
    <mergeCell ref="A13:G13"/>
    <mergeCell ref="B6:C6"/>
    <mergeCell ref="D6:E6"/>
    <mergeCell ref="B1:F1"/>
    <mergeCell ref="B2:F2"/>
    <mergeCell ref="B3:F3"/>
    <mergeCell ref="B4:F4"/>
    <mergeCell ref="B5:F5"/>
    <mergeCell ref="B7:C7"/>
    <mergeCell ref="D7:E7"/>
    <mergeCell ref="A12:G12"/>
  </mergeCells>
  <printOptions horizontalCentered="1"/>
  <pageMargins left="0.7" right="0.7" top="0.85" bottom="0.4"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34" workbookViewId="0">
      <selection activeCell="K71" sqref="K71"/>
    </sheetView>
  </sheetViews>
  <sheetFormatPr defaultColWidth="8.85546875" defaultRowHeight="15" x14ac:dyDescent="0.25"/>
  <cols>
    <col min="1" max="1" width="31" style="149" customWidth="1"/>
    <col min="2" max="6" width="13.7109375" style="149" customWidth="1"/>
    <col min="7" max="7" width="20.7109375" style="149" customWidth="1"/>
    <col min="8" max="8" width="21.42578125" style="149" customWidth="1"/>
    <col min="9" max="9" width="13.42578125" style="773" customWidth="1"/>
    <col min="10" max="16384" width="8.85546875" style="149"/>
  </cols>
  <sheetData>
    <row r="1" spans="1:9" x14ac:dyDescent="0.25">
      <c r="A1" s="536" t="s">
        <v>24</v>
      </c>
      <c r="B1" s="1351" t="str">
        <f>'YEAR 4--FY''18'!AC1</f>
        <v>FY18</v>
      </c>
      <c r="C1" s="1352"/>
      <c r="D1" s="1352"/>
      <c r="E1" s="1352"/>
      <c r="F1" s="1353"/>
      <c r="G1" s="536" t="s">
        <v>21</v>
      </c>
    </row>
    <row r="2" spans="1:9" ht="15.75" x14ac:dyDescent="0.25">
      <c r="A2" s="537" t="s">
        <v>11</v>
      </c>
      <c r="B2" s="1162" t="str">
        <f>'[8]YEAR 3--FY''17'!A40</f>
        <v>Expand Weinberg Foundation School Libraries</v>
      </c>
      <c r="C2" s="1163"/>
      <c r="D2" s="1163"/>
      <c r="E2" s="1163"/>
      <c r="F2" s="1164"/>
      <c r="G2" s="538"/>
      <c r="H2" s="714" t="s">
        <v>442</v>
      </c>
    </row>
    <row r="3" spans="1:9" x14ac:dyDescent="0.25">
      <c r="A3" s="537" t="s">
        <v>26</v>
      </c>
      <c r="B3" s="1165" t="str">
        <f>'[8]YEAR 3--FY''17'!C40</f>
        <v>MOHS</v>
      </c>
      <c r="C3" s="1163"/>
      <c r="D3" s="1163"/>
      <c r="E3" s="1163"/>
      <c r="F3" s="1164"/>
      <c r="G3" s="539"/>
      <c r="H3" s="769">
        <v>101051.02</v>
      </c>
      <c r="I3" s="774">
        <v>42790</v>
      </c>
    </row>
    <row r="4" spans="1:9" x14ac:dyDescent="0.25">
      <c r="A4" s="537" t="s">
        <v>13</v>
      </c>
      <c r="B4" s="1162" t="str">
        <f>'[8]YEAR 3--FY''17'!B40</f>
        <v>--</v>
      </c>
      <c r="C4" s="1163"/>
      <c r="D4" s="1163"/>
      <c r="E4" s="1163"/>
      <c r="F4" s="1164"/>
      <c r="G4" s="539"/>
      <c r="H4" s="769">
        <v>34068.01</v>
      </c>
      <c r="I4" s="774">
        <v>42866</v>
      </c>
    </row>
    <row r="5" spans="1:9" ht="15.75" thickBot="1" x14ac:dyDescent="0.3">
      <c r="A5" s="540" t="s">
        <v>12</v>
      </c>
      <c r="B5" s="1209" t="str">
        <f>'[8]YEAR 3--FY''17'!D40</f>
        <v>Multi-Year</v>
      </c>
      <c r="C5" s="1190"/>
      <c r="D5" s="1190"/>
      <c r="E5" s="1190"/>
      <c r="F5" s="1191"/>
      <c r="G5" s="539"/>
      <c r="H5" s="771">
        <v>3173.97</v>
      </c>
      <c r="I5" s="774">
        <v>42915</v>
      </c>
    </row>
    <row r="6" spans="1:9" s="655" customFormat="1" ht="24.95" customHeight="1" x14ac:dyDescent="0.25">
      <c r="A6" s="42" t="s">
        <v>14</v>
      </c>
      <c r="B6" s="1169" t="s">
        <v>512</v>
      </c>
      <c r="C6" s="1170"/>
      <c r="D6" s="1173" t="str">
        <f>'YEAR 4--FY''18'!P1</f>
        <v>FY'17 Carry-Fwd</v>
      </c>
      <c r="E6" s="1174"/>
      <c r="F6" s="813" t="s">
        <v>129</v>
      </c>
      <c r="G6" s="758"/>
      <c r="H6" s="772">
        <f>SUM(H3:H5)</f>
        <v>138293</v>
      </c>
      <c r="I6" s="773" t="s">
        <v>428</v>
      </c>
    </row>
    <row r="7" spans="1:9" ht="15.75" thickBot="1" x14ac:dyDescent="0.3">
      <c r="A7" s="543"/>
      <c r="B7" s="1171">
        <f>'YEAR 4--FY''18'!Q42</f>
        <v>0</v>
      </c>
      <c r="C7" s="1253"/>
      <c r="D7" s="1252">
        <f>F7-B7</f>
        <v>11707</v>
      </c>
      <c r="E7" s="1253"/>
      <c r="F7" s="544">
        <f>'YEAR 4--FY''18'!R42</f>
        <v>11707</v>
      </c>
      <c r="G7" s="545"/>
      <c r="H7" s="770">
        <f>150000-H6</f>
        <v>11707</v>
      </c>
      <c r="I7" s="773" t="s">
        <v>443</v>
      </c>
    </row>
    <row r="8" spans="1:9" ht="19.5" customHeight="1" thickBot="1" x14ac:dyDescent="0.3">
      <c r="A8" s="546" t="s">
        <v>22</v>
      </c>
      <c r="B8" s="547" t="s">
        <v>15</v>
      </c>
      <c r="C8" s="548" t="s">
        <v>16</v>
      </c>
      <c r="D8" s="368" t="s">
        <v>17</v>
      </c>
      <c r="E8" s="368" t="s">
        <v>18</v>
      </c>
      <c r="F8" s="549" t="s">
        <v>19</v>
      </c>
      <c r="G8" s="550" t="s">
        <v>20</v>
      </c>
    </row>
    <row r="9" spans="1:9" ht="15.95" hidden="1" customHeight="1" x14ac:dyDescent="0.25">
      <c r="A9" s="551" t="s">
        <v>194</v>
      </c>
      <c r="B9" s="552"/>
      <c r="C9" s="387"/>
      <c r="D9" s="387"/>
      <c r="E9" s="387"/>
      <c r="F9" s="553">
        <f>SUM(B9:E9)</f>
        <v>0</v>
      </c>
      <c r="G9" s="553"/>
    </row>
    <row r="10" spans="1:9" ht="15.95" hidden="1" customHeight="1" x14ac:dyDescent="0.25">
      <c r="A10" s="551" t="s">
        <v>195</v>
      </c>
      <c r="B10" s="552"/>
      <c r="C10" s="387"/>
      <c r="D10" s="387"/>
      <c r="E10" s="387"/>
      <c r="F10" s="553">
        <f t="shared" ref="F10:F12" si="0">SUM(B10:E10)</f>
        <v>0</v>
      </c>
      <c r="G10" s="553"/>
    </row>
    <row r="11" spans="1:9" ht="15.95" hidden="1" customHeight="1" x14ac:dyDescent="0.25">
      <c r="A11" s="551" t="s">
        <v>196</v>
      </c>
      <c r="B11" s="552"/>
      <c r="C11" s="387"/>
      <c r="D11" s="387"/>
      <c r="E11" s="387"/>
      <c r="F11" s="553">
        <f t="shared" si="0"/>
        <v>0</v>
      </c>
      <c r="G11" s="553"/>
    </row>
    <row r="12" spans="1:9" ht="15.95" hidden="1" customHeight="1" thickBot="1" x14ac:dyDescent="0.3">
      <c r="A12" s="551" t="s">
        <v>197</v>
      </c>
      <c r="B12" s="552"/>
      <c r="C12" s="387"/>
      <c r="D12" s="387"/>
      <c r="E12" s="387"/>
      <c r="F12" s="553">
        <f t="shared" si="0"/>
        <v>0</v>
      </c>
      <c r="G12" s="553"/>
    </row>
    <row r="13" spans="1:9" ht="22.5" customHeight="1" thickBot="1" x14ac:dyDescent="0.3">
      <c r="A13" s="555" t="s">
        <v>25</v>
      </c>
      <c r="B13" s="361">
        <f>SUM(B9:B12)</f>
        <v>0</v>
      </c>
      <c r="C13" s="362">
        <f>SUM(C9:C12)</f>
        <v>0</v>
      </c>
      <c r="D13" s="362">
        <f>SUM(D9:D12)</f>
        <v>0</v>
      </c>
      <c r="E13" s="362">
        <f>SUM(E9:E12)</f>
        <v>0</v>
      </c>
      <c r="F13" s="363">
        <f>SUM(B13:E13)</f>
        <v>0</v>
      </c>
      <c r="G13" s="556">
        <f>F7-F13</f>
        <v>11707</v>
      </c>
    </row>
    <row r="14" spans="1:9" ht="116.25" customHeight="1" thickBot="1" x14ac:dyDescent="0.3">
      <c r="A14" s="1180" t="s">
        <v>714</v>
      </c>
      <c r="B14" s="1295"/>
      <c r="C14" s="1295"/>
      <c r="D14" s="1295"/>
      <c r="E14" s="1295"/>
      <c r="F14" s="1295"/>
      <c r="G14" s="1296"/>
    </row>
    <row r="15" spans="1:9" s="160" customFormat="1" ht="91.5" hidden="1" customHeight="1" thickBot="1" x14ac:dyDescent="0.3">
      <c r="A15" s="1180" t="s">
        <v>240</v>
      </c>
      <c r="B15" s="1295"/>
      <c r="C15" s="1295"/>
      <c r="D15" s="1295"/>
      <c r="E15" s="1295"/>
      <c r="F15" s="1295"/>
      <c r="G15" s="1296"/>
      <c r="H15" s="149"/>
      <c r="I15" s="773"/>
    </row>
    <row r="16" spans="1:9" ht="60" customHeight="1" thickBot="1" x14ac:dyDescent="0.3">
      <c r="A16" s="1431" t="s">
        <v>715</v>
      </c>
      <c r="B16" s="1432"/>
      <c r="C16" s="1432"/>
      <c r="D16" s="1432"/>
      <c r="E16" s="1432"/>
      <c r="F16" s="1432"/>
      <c r="G16" s="1433"/>
      <c r="H16" s="149">
        <v>11707</v>
      </c>
    </row>
  </sheetData>
  <mergeCells count="12">
    <mergeCell ref="A16:G16"/>
    <mergeCell ref="B6:C6"/>
    <mergeCell ref="D6:E6"/>
    <mergeCell ref="B1:F1"/>
    <mergeCell ref="B2:F2"/>
    <mergeCell ref="B3:F3"/>
    <mergeCell ref="B4:F4"/>
    <mergeCell ref="B5:F5"/>
    <mergeCell ref="B7:C7"/>
    <mergeCell ref="D7:E7"/>
    <mergeCell ref="A14:G14"/>
    <mergeCell ref="A15:G15"/>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H19" sqref="H19"/>
    </sheetView>
  </sheetViews>
  <sheetFormatPr defaultColWidth="8.85546875" defaultRowHeight="15" x14ac:dyDescent="0.25"/>
  <cols>
    <col min="1" max="1" width="31" style="554" customWidth="1"/>
    <col min="2" max="6" width="13.7109375" style="554" customWidth="1"/>
    <col min="7" max="7" width="20.7109375" style="554" customWidth="1"/>
    <col min="8" max="8" width="28" style="554" customWidth="1"/>
    <col min="9" max="9" width="40.7109375" style="558" customWidth="1"/>
    <col min="10" max="16384" width="8.85546875" style="554"/>
  </cols>
  <sheetData>
    <row r="1" spans="1:9" x14ac:dyDescent="0.25">
      <c r="A1" s="41" t="s">
        <v>24</v>
      </c>
      <c r="B1" s="1351" t="str">
        <f>'YEAR 4--FY''18'!AC1</f>
        <v>FY18</v>
      </c>
      <c r="C1" s="1352"/>
      <c r="D1" s="1352"/>
      <c r="E1" s="1352"/>
      <c r="F1" s="1353"/>
      <c r="G1" s="41" t="s">
        <v>21</v>
      </c>
    </row>
    <row r="2" spans="1:9" x14ac:dyDescent="0.25">
      <c r="A2" s="102" t="s">
        <v>11</v>
      </c>
      <c r="B2" s="1221" t="str">
        <f>'YEAR 4--FY''18'!B43</f>
        <v>Support Lakeland STEAM Center Renovation</v>
      </c>
      <c r="C2" s="1222"/>
      <c r="D2" s="1222"/>
      <c r="E2" s="1222"/>
      <c r="F2" s="1223"/>
      <c r="G2" s="103"/>
    </row>
    <row r="3" spans="1:9" x14ac:dyDescent="0.25">
      <c r="A3" s="102" t="s">
        <v>26</v>
      </c>
      <c r="B3" s="1394" t="str">
        <f>'YEAR 4--FY''18'!D43</f>
        <v xml:space="preserve">BCRP-Capital </v>
      </c>
      <c r="C3" s="1222"/>
      <c r="D3" s="1222"/>
      <c r="E3" s="1222"/>
      <c r="F3" s="1223"/>
      <c r="G3" s="440"/>
    </row>
    <row r="4" spans="1:9" x14ac:dyDescent="0.25">
      <c r="A4" s="102" t="s">
        <v>13</v>
      </c>
      <c r="B4" s="1221" t="str">
        <f>'YEAR 4--FY''18'!C42</f>
        <v>--</v>
      </c>
      <c r="C4" s="1222"/>
      <c r="D4" s="1222"/>
      <c r="E4" s="1222"/>
      <c r="F4" s="1223"/>
      <c r="G4" s="440"/>
    </row>
    <row r="5" spans="1:9" ht="15.75" thickBot="1" x14ac:dyDescent="0.3">
      <c r="A5" s="103" t="s">
        <v>12</v>
      </c>
      <c r="B5" s="1395" t="str">
        <f>'YEAR 4--FY''18'!E42</f>
        <v>Multi-Year</v>
      </c>
      <c r="C5" s="1225"/>
      <c r="D5" s="1225"/>
      <c r="E5" s="1225"/>
      <c r="F5" s="1226"/>
      <c r="G5" s="440"/>
    </row>
    <row r="6" spans="1:9" s="655" customFormat="1" ht="24.95" customHeight="1" x14ac:dyDescent="0.25">
      <c r="A6" s="42" t="s">
        <v>14</v>
      </c>
      <c r="B6" s="1169" t="s">
        <v>512</v>
      </c>
      <c r="C6" s="1170"/>
      <c r="D6" s="1173" t="str">
        <f>'YEAR 4--FY''18'!P1</f>
        <v>FY'17 Carry-Fwd</v>
      </c>
      <c r="E6" s="1174"/>
      <c r="F6" s="813" t="s">
        <v>129</v>
      </c>
      <c r="G6" s="758"/>
    </row>
    <row r="7" spans="1:9" ht="15.75" thickBot="1" x14ac:dyDescent="0.3">
      <c r="A7" s="564"/>
      <c r="B7" s="1171">
        <f>'YEAR 4--FY''18'!Q43</f>
        <v>0</v>
      </c>
      <c r="C7" s="1253"/>
      <c r="D7" s="1252">
        <f>F7-B7</f>
        <v>44483</v>
      </c>
      <c r="E7" s="1253"/>
      <c r="F7" s="544">
        <f>'YEAR 4--FY''18'!R43</f>
        <v>44483</v>
      </c>
      <c r="G7" s="440"/>
    </row>
    <row r="8" spans="1:9" x14ac:dyDescent="0.25">
      <c r="A8" s="42" t="s">
        <v>349</v>
      </c>
      <c r="B8" s="1169" t="s">
        <v>127</v>
      </c>
      <c r="C8" s="1170"/>
      <c r="D8" s="1398" t="s">
        <v>128</v>
      </c>
      <c r="E8" s="1170"/>
      <c r="F8" s="542" t="s">
        <v>129</v>
      </c>
      <c r="G8" s="491"/>
    </row>
    <row r="9" spans="1:9" ht="15.75" thickBot="1" x14ac:dyDescent="0.3">
      <c r="A9" s="564" t="s">
        <v>350</v>
      </c>
      <c r="B9" s="1354">
        <v>200000</v>
      </c>
      <c r="C9" s="1355"/>
      <c r="D9" s="1356" t="s">
        <v>37</v>
      </c>
      <c r="E9" s="1355"/>
      <c r="F9" s="505">
        <f>B9</f>
        <v>200000</v>
      </c>
      <c r="G9" s="491"/>
    </row>
    <row r="10" spans="1:9" ht="33" customHeight="1" x14ac:dyDescent="0.25">
      <c r="A10" s="562" t="s">
        <v>22</v>
      </c>
      <c r="B10" s="571" t="s">
        <v>15</v>
      </c>
      <c r="C10" s="566" t="s">
        <v>16</v>
      </c>
      <c r="D10" s="566" t="s">
        <v>17</v>
      </c>
      <c r="E10" s="566" t="s">
        <v>18</v>
      </c>
      <c r="F10" s="567" t="s">
        <v>19</v>
      </c>
      <c r="G10" s="568" t="s">
        <v>20</v>
      </c>
    </row>
    <row r="11" spans="1:9" ht="15.95" customHeight="1" x14ac:dyDescent="0.25">
      <c r="A11" s="563" t="s">
        <v>718</v>
      </c>
      <c r="B11" s="572"/>
      <c r="C11" s="371"/>
      <c r="D11" s="565"/>
      <c r="E11" s="565"/>
      <c r="F11" s="767" t="s">
        <v>437</v>
      </c>
      <c r="G11" s="569">
        <v>0</v>
      </c>
      <c r="H11" s="554" t="s">
        <v>342</v>
      </c>
      <c r="I11" s="559">
        <v>24799</v>
      </c>
    </row>
    <row r="12" spans="1:9" ht="15.95" customHeight="1" x14ac:dyDescent="0.25">
      <c r="A12" s="563" t="s">
        <v>344</v>
      </c>
      <c r="B12" s="572"/>
      <c r="C12" s="565"/>
      <c r="D12" s="565"/>
      <c r="E12" s="565"/>
      <c r="F12" s="767" t="s">
        <v>438</v>
      </c>
      <c r="G12" s="569">
        <v>483</v>
      </c>
      <c r="H12" s="554" t="s">
        <v>343</v>
      </c>
      <c r="I12" s="559">
        <v>59</v>
      </c>
    </row>
    <row r="13" spans="1:9" ht="15.95" customHeight="1" x14ac:dyDescent="0.25">
      <c r="A13" s="573" t="s">
        <v>339</v>
      </c>
      <c r="B13" s="572"/>
      <c r="C13" s="565"/>
      <c r="D13" s="565"/>
      <c r="E13" s="565"/>
      <c r="F13" s="767" t="s">
        <v>439</v>
      </c>
      <c r="G13" s="569">
        <v>0</v>
      </c>
      <c r="H13" s="554" t="s">
        <v>339</v>
      </c>
      <c r="I13" s="558">
        <v>2404</v>
      </c>
    </row>
    <row r="14" spans="1:9" ht="15.95" customHeight="1" x14ac:dyDescent="0.25">
      <c r="A14" s="573" t="s">
        <v>340</v>
      </c>
      <c r="B14" s="572"/>
      <c r="C14" s="565"/>
      <c r="D14" s="565"/>
      <c r="E14" s="565"/>
      <c r="F14" s="767" t="s">
        <v>440</v>
      </c>
      <c r="G14" s="569">
        <v>0</v>
      </c>
      <c r="H14" s="554" t="s">
        <v>340</v>
      </c>
      <c r="I14" s="558">
        <v>15451</v>
      </c>
    </row>
    <row r="15" spans="1:9" ht="15.95" customHeight="1" x14ac:dyDescent="0.25">
      <c r="A15" s="573" t="s">
        <v>341</v>
      </c>
      <c r="B15" s="576"/>
      <c r="C15" s="575"/>
      <c r="D15" s="575"/>
      <c r="E15" s="575"/>
      <c r="F15" s="768" t="s">
        <v>441</v>
      </c>
      <c r="G15" s="569">
        <v>0</v>
      </c>
      <c r="H15" s="554" t="s">
        <v>341</v>
      </c>
      <c r="I15" s="558">
        <v>12804</v>
      </c>
    </row>
    <row r="16" spans="1:9" ht="15.95" customHeight="1" thickBot="1" x14ac:dyDescent="0.3">
      <c r="A16" s="574" t="s">
        <v>351</v>
      </c>
      <c r="B16" s="576"/>
      <c r="C16" s="575"/>
      <c r="D16" s="575"/>
      <c r="E16" s="575"/>
      <c r="F16" s="577">
        <f t="shared" ref="F16" si="0">SUM(B16:E16)</f>
        <v>0</v>
      </c>
      <c r="G16" s="570">
        <f>44000-F16+F9</f>
        <v>244000</v>
      </c>
      <c r="I16" s="558">
        <f>SUM(I11:I15)</f>
        <v>55517</v>
      </c>
    </row>
    <row r="17" spans="1:9" ht="20.100000000000001" customHeight="1" thickBot="1" x14ac:dyDescent="0.3">
      <c r="A17" s="561" t="s">
        <v>25</v>
      </c>
      <c r="B17" s="383">
        <f>SUM(B11:B16)</f>
        <v>0</v>
      </c>
      <c r="C17" s="384">
        <f>SUM(C11:C16)</f>
        <v>0</v>
      </c>
      <c r="D17" s="384">
        <f>SUM(D11:D16)</f>
        <v>0</v>
      </c>
      <c r="E17" s="384">
        <f>SUM(E11:E16)</f>
        <v>0</v>
      </c>
      <c r="F17" s="385">
        <f>SUM(B17:E17)</f>
        <v>0</v>
      </c>
      <c r="G17" s="557">
        <f>F7-F17+F9</f>
        <v>244483</v>
      </c>
      <c r="H17" s="252"/>
      <c r="I17" s="554"/>
    </row>
    <row r="18" spans="1:9" ht="81" customHeight="1" thickBot="1" x14ac:dyDescent="0.3">
      <c r="A18" s="1180" t="s">
        <v>716</v>
      </c>
      <c r="B18" s="1300"/>
      <c r="C18" s="1300"/>
      <c r="D18" s="1300"/>
      <c r="E18" s="1300"/>
      <c r="F18" s="1300"/>
      <c r="G18" s="1296"/>
      <c r="I18" s="554"/>
    </row>
    <row r="19" spans="1:9" s="371" customFormat="1" ht="189" customHeight="1" thickBot="1" x14ac:dyDescent="0.3">
      <c r="A19" s="1180" t="s">
        <v>717</v>
      </c>
      <c r="B19" s="1295"/>
      <c r="C19" s="1295"/>
      <c r="D19" s="1295"/>
      <c r="E19" s="1295"/>
      <c r="F19" s="1295"/>
      <c r="G19" s="1296"/>
      <c r="I19" s="560"/>
    </row>
  </sheetData>
  <mergeCells count="15">
    <mergeCell ref="B9:C9"/>
    <mergeCell ref="D9:E9"/>
    <mergeCell ref="B6:C6"/>
    <mergeCell ref="D6:E6"/>
    <mergeCell ref="A19:G19"/>
    <mergeCell ref="B7:C7"/>
    <mergeCell ref="D7:E7"/>
    <mergeCell ref="A18:G18"/>
    <mergeCell ref="B8:C8"/>
    <mergeCell ref="D8:E8"/>
    <mergeCell ref="B1:F1"/>
    <mergeCell ref="B2:F2"/>
    <mergeCell ref="B3:F3"/>
    <mergeCell ref="B4:F4"/>
    <mergeCell ref="B5:F5"/>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22" sqref="A22"/>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8" x14ac:dyDescent="0.25">
      <c r="A1" s="151" t="s">
        <v>24</v>
      </c>
      <c r="B1" s="1351" t="str">
        <f>'YEAR 4--FY''18'!AC1</f>
        <v>FY18</v>
      </c>
      <c r="C1" s="1352"/>
      <c r="D1" s="1352"/>
      <c r="E1" s="1352"/>
      <c r="F1" s="1353"/>
      <c r="G1" s="151" t="s">
        <v>21</v>
      </c>
    </row>
    <row r="2" spans="1:8" x14ac:dyDescent="0.25">
      <c r="A2" s="166" t="s">
        <v>11</v>
      </c>
      <c r="B2" s="1162" t="str">
        <f>'[9]YEAR 3--FY''17'!A42</f>
        <v>UMB/Public Allies -- School Support</v>
      </c>
      <c r="C2" s="1163"/>
      <c r="D2" s="1163"/>
      <c r="E2" s="1163"/>
      <c r="F2" s="1164"/>
      <c r="G2" s="44"/>
    </row>
    <row r="3" spans="1:8" x14ac:dyDescent="0.25">
      <c r="A3" s="166" t="s">
        <v>26</v>
      </c>
      <c r="B3" s="1165" t="str">
        <f>'[9]YEAR 3--FY''17'!C42</f>
        <v>MOHS</v>
      </c>
      <c r="C3" s="1163"/>
      <c r="D3" s="1163"/>
      <c r="E3" s="1163"/>
      <c r="F3" s="1164"/>
      <c r="G3" s="45"/>
    </row>
    <row r="4" spans="1:8" x14ac:dyDescent="0.25">
      <c r="A4" s="166" t="s">
        <v>13</v>
      </c>
      <c r="B4" s="1162" t="str">
        <f>'[9]YEAR 3--FY''17'!B42</f>
        <v>--</v>
      </c>
      <c r="C4" s="1163"/>
      <c r="D4" s="1163"/>
      <c r="E4" s="1163"/>
      <c r="F4" s="1164"/>
      <c r="G4" s="45"/>
    </row>
    <row r="5" spans="1:8" ht="15.75" thickBot="1" x14ac:dyDescent="0.3">
      <c r="A5" s="152" t="s">
        <v>12</v>
      </c>
      <c r="B5" s="1209" t="str">
        <f>'[9]YEAR 3--FY''17'!D42</f>
        <v>Multi-Year</v>
      </c>
      <c r="C5" s="1190"/>
      <c r="D5" s="1190"/>
      <c r="E5" s="1190"/>
      <c r="F5" s="1191"/>
      <c r="G5" s="45"/>
    </row>
    <row r="6" spans="1:8" ht="15" customHeight="1" x14ac:dyDescent="0.25">
      <c r="A6" s="153" t="s">
        <v>14</v>
      </c>
      <c r="B6" s="1169" t="s">
        <v>512</v>
      </c>
      <c r="C6" s="1170"/>
      <c r="D6" s="1173" t="str">
        <f>'YEAR 4--FY''18'!P1</f>
        <v>FY'17 Carry-Fwd</v>
      </c>
      <c r="E6" s="1174"/>
      <c r="F6" s="813" t="s">
        <v>129</v>
      </c>
      <c r="G6" s="45"/>
    </row>
    <row r="7" spans="1:8" ht="15.75" thickBot="1" x14ac:dyDescent="0.3">
      <c r="A7" s="150"/>
      <c r="B7" s="1171">
        <f>'YEAR 4--FY''18'!Q44</f>
        <v>0</v>
      </c>
      <c r="C7" s="1253"/>
      <c r="D7" s="1252">
        <f>F7-B7</f>
        <v>143350</v>
      </c>
      <c r="E7" s="1253"/>
      <c r="F7" s="544">
        <f>'YEAR 4--FY''18'!R44</f>
        <v>143350</v>
      </c>
      <c r="G7" s="46"/>
    </row>
    <row r="8" spans="1:8" ht="33" customHeight="1" x14ac:dyDescent="0.25">
      <c r="A8" s="155" t="s">
        <v>22</v>
      </c>
      <c r="B8" s="157" t="s">
        <v>15</v>
      </c>
      <c r="C8" s="156" t="s">
        <v>16</v>
      </c>
      <c r="D8" s="156" t="s">
        <v>17</v>
      </c>
      <c r="E8" s="156" t="s">
        <v>18</v>
      </c>
      <c r="F8" s="154" t="s">
        <v>19</v>
      </c>
      <c r="G8" s="111" t="s">
        <v>20</v>
      </c>
    </row>
    <row r="9" spans="1:8" ht="15.95" customHeight="1" x14ac:dyDescent="0.25">
      <c r="A9" s="364" t="s">
        <v>189</v>
      </c>
      <c r="B9" s="136"/>
      <c r="C9" s="380"/>
      <c r="D9" s="380"/>
      <c r="E9" s="578"/>
      <c r="F9" s="138">
        <f>SUM(B9:E9)</f>
        <v>0</v>
      </c>
      <c r="G9" s="138">
        <f>1319-F9</f>
        <v>1319</v>
      </c>
      <c r="H9" s="656">
        <v>1319</v>
      </c>
    </row>
    <row r="10" spans="1:8" ht="15.95" customHeight="1" x14ac:dyDescent="0.25">
      <c r="A10" s="364" t="s">
        <v>190</v>
      </c>
      <c r="B10" s="136"/>
      <c r="C10" s="380"/>
      <c r="D10" s="380"/>
      <c r="E10" s="578"/>
      <c r="F10" s="648">
        <f t="shared" ref="F10:F13" si="0">SUM(B10:E10)</f>
        <v>0</v>
      </c>
      <c r="G10" s="138">
        <f>45000-F10</f>
        <v>45000</v>
      </c>
      <c r="H10" s="656">
        <v>45000</v>
      </c>
    </row>
    <row r="11" spans="1:8" ht="15.95" customHeight="1" x14ac:dyDescent="0.25">
      <c r="A11" s="364" t="s">
        <v>191</v>
      </c>
      <c r="B11" s="136"/>
      <c r="C11" s="380"/>
      <c r="D11" s="380"/>
      <c r="E11" s="578"/>
      <c r="F11" s="648">
        <f t="shared" si="0"/>
        <v>0</v>
      </c>
      <c r="G11" s="138">
        <f>0-F11</f>
        <v>0</v>
      </c>
      <c r="H11" s="656">
        <v>0</v>
      </c>
    </row>
    <row r="12" spans="1:8" ht="15.95" customHeight="1" x14ac:dyDescent="0.25">
      <c r="A12" s="331" t="s">
        <v>192</v>
      </c>
      <c r="B12" s="136"/>
      <c r="C12" s="380"/>
      <c r="D12" s="380"/>
      <c r="E12" s="578"/>
      <c r="F12" s="648">
        <f t="shared" si="0"/>
        <v>0</v>
      </c>
      <c r="G12" s="138">
        <v>2315</v>
      </c>
      <c r="H12" s="656">
        <v>2315</v>
      </c>
    </row>
    <row r="13" spans="1:8" s="2" customFormat="1" ht="15.95" customHeight="1" thickBot="1" x14ac:dyDescent="0.3">
      <c r="A13" s="135" t="s">
        <v>193</v>
      </c>
      <c r="B13" s="136"/>
      <c r="C13" s="359"/>
      <c r="D13" s="359"/>
      <c r="E13" s="359"/>
      <c r="F13" s="648">
        <f t="shared" si="0"/>
        <v>0</v>
      </c>
      <c r="G13" s="139">
        <f>4864-F13</f>
        <v>4864</v>
      </c>
      <c r="H13" s="656">
        <v>4864</v>
      </c>
    </row>
    <row r="14" spans="1:8" ht="22.5" customHeight="1" thickBot="1" x14ac:dyDescent="0.3">
      <c r="A14" s="175" t="s">
        <v>25</v>
      </c>
      <c r="B14" s="361">
        <f>SUM(B9:B13)</f>
        <v>0</v>
      </c>
      <c r="C14" s="362">
        <f t="shared" ref="C14:E14" si="1">SUM(C9:C13)</f>
        <v>0</v>
      </c>
      <c r="D14" s="362">
        <f t="shared" si="1"/>
        <v>0</v>
      </c>
      <c r="E14" s="362">
        <f t="shared" si="1"/>
        <v>0</v>
      </c>
      <c r="F14" s="363">
        <f>SUM(F9:F13)</f>
        <v>0</v>
      </c>
      <c r="G14" s="71">
        <f>F7-F14</f>
        <v>143350</v>
      </c>
      <c r="H14" s="656">
        <f>SUM(H9:H13)</f>
        <v>53498</v>
      </c>
    </row>
    <row r="15" spans="1:8" ht="124.5" customHeight="1" thickBot="1" x14ac:dyDescent="0.3">
      <c r="A15" s="1180" t="s">
        <v>719</v>
      </c>
      <c r="B15" s="1295"/>
      <c r="C15" s="1295"/>
      <c r="D15" s="1295"/>
      <c r="E15" s="1295"/>
      <c r="F15" s="1295"/>
      <c r="G15" s="1296"/>
    </row>
    <row r="16" spans="1:8" s="160" customFormat="1" ht="32.25" hidden="1" customHeight="1" thickBot="1" x14ac:dyDescent="0.3">
      <c r="A16" s="1180" t="s">
        <v>224</v>
      </c>
      <c r="B16" s="1181"/>
      <c r="C16" s="1181"/>
      <c r="D16" s="1181"/>
      <c r="E16" s="1181"/>
      <c r="F16" s="1181"/>
      <c r="G16" s="1182"/>
    </row>
    <row r="17" spans="1:7" ht="223.5" customHeight="1" thickBot="1" x14ac:dyDescent="0.3">
      <c r="A17" s="1180" t="s">
        <v>720</v>
      </c>
      <c r="B17" s="1295"/>
      <c r="C17" s="1295"/>
      <c r="D17" s="1295"/>
      <c r="E17" s="1295"/>
      <c r="F17" s="1295"/>
      <c r="G17" s="1296"/>
    </row>
  </sheetData>
  <mergeCells count="12">
    <mergeCell ref="B6:C6"/>
    <mergeCell ref="D6:E6"/>
    <mergeCell ref="B1:F1"/>
    <mergeCell ref="B2:F2"/>
    <mergeCell ref="B3:F3"/>
    <mergeCell ref="B4:F4"/>
    <mergeCell ref="B5:F5"/>
    <mergeCell ref="A17:G17"/>
    <mergeCell ref="B7:C7"/>
    <mergeCell ref="D7:E7"/>
    <mergeCell ref="A15:G15"/>
    <mergeCell ref="A16:G16"/>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2" sqref="A22:XFD22"/>
    </sheetView>
  </sheetViews>
  <sheetFormatPr defaultColWidth="8.85546875" defaultRowHeight="15" x14ac:dyDescent="0.25"/>
  <cols>
    <col min="1" max="1" width="31" style="149" customWidth="1"/>
    <col min="2" max="6" width="13.7109375" style="149" customWidth="1"/>
    <col min="7" max="7" width="20.7109375" style="149" customWidth="1"/>
    <col min="8" max="9" width="15.7109375" style="149" customWidth="1"/>
    <col min="10" max="10" width="15.7109375" style="654" customWidth="1"/>
    <col min="11" max="11" width="15.7109375" style="149" customWidth="1"/>
    <col min="12" max="16384" width="8.85546875" style="149"/>
  </cols>
  <sheetData>
    <row r="1" spans="1:11" x14ac:dyDescent="0.25">
      <c r="A1" s="536" t="s">
        <v>24</v>
      </c>
      <c r="B1" s="1351" t="str">
        <f>'[10]YEAR 4--FY''18'!Z1</f>
        <v>FY'18</v>
      </c>
      <c r="C1" s="1352"/>
      <c r="D1" s="1352"/>
      <c r="E1" s="1352"/>
      <c r="F1" s="1353"/>
      <c r="G1" s="536" t="s">
        <v>21</v>
      </c>
      <c r="H1" s="654"/>
      <c r="I1" s="654"/>
      <c r="K1" s="654"/>
    </row>
    <row r="2" spans="1:11" ht="15" customHeight="1" x14ac:dyDescent="0.25">
      <c r="A2" s="537" t="s">
        <v>11</v>
      </c>
      <c r="B2" s="1162" t="str">
        <f>'[11]YEAR 3--FY''17'!A44</f>
        <v>Food Access Strategies</v>
      </c>
      <c r="C2" s="1163"/>
      <c r="D2" s="1163"/>
      <c r="E2" s="1163"/>
      <c r="F2" s="1164"/>
      <c r="G2" s="1248"/>
      <c r="H2" s="654"/>
      <c r="I2" s="654"/>
      <c r="K2" s="654"/>
    </row>
    <row r="3" spans="1:11" x14ac:dyDescent="0.25">
      <c r="A3" s="537" t="s">
        <v>26</v>
      </c>
      <c r="B3" s="1165" t="str">
        <f>'[11]YEAR 3--FY''17'!C44</f>
        <v>Health Department</v>
      </c>
      <c r="C3" s="1163"/>
      <c r="D3" s="1163"/>
      <c r="E3" s="1163"/>
      <c r="F3" s="1164"/>
      <c r="G3" s="1249"/>
      <c r="H3" s="654"/>
      <c r="I3" s="654"/>
      <c r="K3" s="654"/>
    </row>
    <row r="4" spans="1:11" x14ac:dyDescent="0.25">
      <c r="A4" s="537" t="s">
        <v>13</v>
      </c>
      <c r="B4" s="1162">
        <f>'[11]YEAR 3--FY''17'!B44</f>
        <v>16</v>
      </c>
      <c r="C4" s="1163"/>
      <c r="D4" s="1163"/>
      <c r="E4" s="1163"/>
      <c r="F4" s="1164"/>
      <c r="G4" s="1249"/>
      <c r="H4" s="654"/>
      <c r="I4" s="654"/>
      <c r="K4" s="654"/>
    </row>
    <row r="5" spans="1:11" ht="15.75" thickBot="1" x14ac:dyDescent="0.3">
      <c r="A5" s="540" t="s">
        <v>12</v>
      </c>
      <c r="B5" s="1209" t="str">
        <f>'[11]YEAR 3--FY''17'!D44</f>
        <v>Multi-year</v>
      </c>
      <c r="C5" s="1190"/>
      <c r="D5" s="1190"/>
      <c r="E5" s="1190"/>
      <c r="F5" s="1191"/>
      <c r="G5" s="1249"/>
      <c r="H5" s="654"/>
      <c r="I5" s="654"/>
      <c r="K5" s="654"/>
    </row>
    <row r="6" spans="1:11" ht="15" customHeight="1" x14ac:dyDescent="0.25">
      <c r="A6" s="541" t="s">
        <v>14</v>
      </c>
      <c r="B6" s="1169" t="s">
        <v>512</v>
      </c>
      <c r="C6" s="1170"/>
      <c r="D6" s="1173" t="str">
        <f>'YEAR 4--FY''18'!P1</f>
        <v>FY'17 Carry-Fwd</v>
      </c>
      <c r="E6" s="1174"/>
      <c r="F6" s="813" t="s">
        <v>129</v>
      </c>
      <c r="G6" s="1249"/>
      <c r="H6" s="654"/>
      <c r="I6" s="654"/>
      <c r="K6" s="654"/>
    </row>
    <row r="7" spans="1:11" ht="15.75" thickBot="1" x14ac:dyDescent="0.3">
      <c r="A7" s="543"/>
      <c r="B7" s="1171">
        <f>'[10]YEAR 4--FY''18'!P46</f>
        <v>0</v>
      </c>
      <c r="C7" s="1253"/>
      <c r="D7" s="1252">
        <f>'YEAR 4--FY''18'!P46</f>
        <v>100167</v>
      </c>
      <c r="E7" s="1253"/>
      <c r="F7" s="544">
        <f>'YEAR 4--FY''18'!R46</f>
        <v>100167</v>
      </c>
      <c r="G7" s="1250"/>
      <c r="H7" s="654"/>
      <c r="I7" s="654"/>
      <c r="K7" s="654"/>
    </row>
    <row r="8" spans="1:11" ht="33" customHeight="1" x14ac:dyDescent="0.25">
      <c r="A8" s="128" t="s">
        <v>22</v>
      </c>
      <c r="B8" s="388" t="s">
        <v>15</v>
      </c>
      <c r="C8" s="389" t="s">
        <v>16</v>
      </c>
      <c r="D8" s="389" t="s">
        <v>17</v>
      </c>
      <c r="E8" s="389" t="s">
        <v>18</v>
      </c>
      <c r="F8" s="402" t="s">
        <v>19</v>
      </c>
      <c r="G8" s="549" t="s">
        <v>20</v>
      </c>
      <c r="H8" s="735" t="s">
        <v>432</v>
      </c>
      <c r="I8" s="735" t="s">
        <v>429</v>
      </c>
      <c r="J8" s="735" t="str">
        <f t="shared" ref="J8:J13" si="0">G8</f>
        <v>Balance Remaining</v>
      </c>
      <c r="K8" s="735" t="s">
        <v>430</v>
      </c>
    </row>
    <row r="9" spans="1:11" ht="15.95" customHeight="1" x14ac:dyDescent="0.25">
      <c r="A9" s="401" t="s">
        <v>187</v>
      </c>
      <c r="B9" s="670">
        <f>47062-B12</f>
        <v>27062</v>
      </c>
      <c r="C9" s="669">
        <v>0</v>
      </c>
      <c r="D9" s="669">
        <v>3105</v>
      </c>
      <c r="E9" s="669">
        <v>14000</v>
      </c>
      <c r="F9" s="671">
        <f>SUM(B9:E9)</f>
        <v>44167</v>
      </c>
      <c r="G9" s="648"/>
      <c r="H9" s="891">
        <v>60000</v>
      </c>
      <c r="I9" s="891">
        <v>40894</v>
      </c>
      <c r="J9" s="891">
        <f>H9-I9</f>
        <v>19106</v>
      </c>
      <c r="K9" s="892"/>
    </row>
    <row r="10" spans="1:11" ht="15.95" customHeight="1" x14ac:dyDescent="0.25">
      <c r="A10" s="401" t="s">
        <v>188</v>
      </c>
      <c r="B10" s="670">
        <v>3000</v>
      </c>
      <c r="C10" s="669">
        <v>0</v>
      </c>
      <c r="D10" s="669">
        <v>0</v>
      </c>
      <c r="E10" s="669">
        <v>0</v>
      </c>
      <c r="F10" s="671">
        <f>SUM(B10:E10)</f>
        <v>3000</v>
      </c>
      <c r="G10" s="648"/>
      <c r="H10" s="891">
        <v>40000</v>
      </c>
      <c r="I10" s="891">
        <v>40000</v>
      </c>
      <c r="J10" s="891">
        <f>H10-I10</f>
        <v>0</v>
      </c>
      <c r="K10" s="893">
        <v>5059</v>
      </c>
    </row>
    <row r="11" spans="1:11" ht="15.95" customHeight="1" x14ac:dyDescent="0.25">
      <c r="A11" s="754" t="s">
        <v>236</v>
      </c>
      <c r="B11" s="670">
        <v>0</v>
      </c>
      <c r="C11" s="669">
        <v>0</v>
      </c>
      <c r="D11" s="669">
        <v>0</v>
      </c>
      <c r="E11" s="669">
        <v>0</v>
      </c>
      <c r="F11" s="671">
        <f>SUM(B11:E11)</f>
        <v>0</v>
      </c>
      <c r="G11" s="648"/>
      <c r="H11" s="891">
        <v>30000</v>
      </c>
      <c r="I11" s="891">
        <v>30000</v>
      </c>
      <c r="J11" s="891">
        <f>H11-I11</f>
        <v>0</v>
      </c>
      <c r="K11" s="892"/>
    </row>
    <row r="12" spans="1:11" ht="15.95" customHeight="1" thickBot="1" x14ac:dyDescent="0.3">
      <c r="A12" s="406" t="s">
        <v>578</v>
      </c>
      <c r="B12" s="403">
        <v>20000</v>
      </c>
      <c r="C12" s="404">
        <v>0</v>
      </c>
      <c r="D12" s="404">
        <v>0</v>
      </c>
      <c r="E12" s="404">
        <v>0</v>
      </c>
      <c r="F12" s="405">
        <f>SUM(B12:E12)</f>
        <v>20000</v>
      </c>
      <c r="G12" s="648"/>
      <c r="H12" s="891">
        <v>15000</v>
      </c>
      <c r="I12" s="891">
        <v>20000</v>
      </c>
      <c r="J12" s="891">
        <f>H12-I12</f>
        <v>-5000</v>
      </c>
      <c r="K12" s="892"/>
    </row>
    <row r="13" spans="1:11" ht="22.5" customHeight="1" thickBot="1" x14ac:dyDescent="0.3">
      <c r="A13" s="555" t="s">
        <v>25</v>
      </c>
      <c r="B13" s="353">
        <f t="shared" ref="B13:E13" si="1">SUM(B9:B12)</f>
        <v>50062</v>
      </c>
      <c r="C13" s="354">
        <f t="shared" si="1"/>
        <v>0</v>
      </c>
      <c r="D13" s="354">
        <f t="shared" si="1"/>
        <v>3105</v>
      </c>
      <c r="E13" s="354">
        <f t="shared" si="1"/>
        <v>14000</v>
      </c>
      <c r="F13" s="355">
        <f>SUM(B13:E13)</f>
        <v>67167</v>
      </c>
      <c r="G13" s="556">
        <f>F7-F13</f>
        <v>33000</v>
      </c>
      <c r="H13" s="894">
        <f>SUM(H9:H12)</f>
        <v>145000</v>
      </c>
      <c r="I13" s="895">
        <f>SUM(I9:I12)</f>
        <v>130894</v>
      </c>
      <c r="J13" s="896">
        <f t="shared" si="0"/>
        <v>33000</v>
      </c>
      <c r="K13" s="895">
        <f>SUM(K9:K12)</f>
        <v>5059</v>
      </c>
    </row>
    <row r="14" spans="1:11" ht="159.94999999999999" customHeight="1" thickBot="1" x14ac:dyDescent="0.3">
      <c r="A14" s="1180" t="s">
        <v>738</v>
      </c>
      <c r="B14" s="1295"/>
      <c r="C14" s="1295"/>
      <c r="D14" s="1295"/>
      <c r="E14" s="1295"/>
      <c r="F14" s="1295"/>
      <c r="G14" s="1296"/>
      <c r="H14" s="654"/>
      <c r="I14" s="654"/>
      <c r="K14" s="654"/>
    </row>
    <row r="15" spans="1:11" s="160" customFormat="1" ht="84.75" hidden="1" customHeight="1" thickBot="1" x14ac:dyDescent="0.3">
      <c r="A15" s="1180" t="s">
        <v>238</v>
      </c>
      <c r="B15" s="1295"/>
      <c r="C15" s="1295"/>
      <c r="D15" s="1295"/>
      <c r="E15" s="1295"/>
      <c r="F15" s="1295"/>
      <c r="G15" s="1296"/>
      <c r="H15" s="657"/>
      <c r="I15" s="657"/>
      <c r="J15" s="657"/>
      <c r="K15" s="657"/>
    </row>
    <row r="16" spans="1:11" s="160" customFormat="1" ht="78" hidden="1" customHeight="1" thickBot="1" x14ac:dyDescent="0.3">
      <c r="A16" s="1180" t="s">
        <v>345</v>
      </c>
      <c r="B16" s="1295"/>
      <c r="C16" s="1295"/>
      <c r="D16" s="1295"/>
      <c r="E16" s="1295"/>
      <c r="F16" s="1295"/>
      <c r="G16" s="1296"/>
      <c r="H16" s="657"/>
      <c r="I16" s="657"/>
      <c r="J16" s="657"/>
      <c r="K16" s="657"/>
    </row>
    <row r="17" spans="1:11" ht="153" hidden="1" customHeight="1" thickBot="1" x14ac:dyDescent="0.3">
      <c r="A17" s="1180" t="s">
        <v>352</v>
      </c>
      <c r="B17" s="1465"/>
      <c r="C17" s="1465"/>
      <c r="D17" s="1465"/>
      <c r="E17" s="1465"/>
      <c r="F17" s="1465"/>
      <c r="G17" s="1466"/>
      <c r="H17" s="654"/>
      <c r="I17" s="654"/>
      <c r="K17" s="654"/>
    </row>
    <row r="18" spans="1:11" ht="353.25" hidden="1" customHeight="1" thickBot="1" x14ac:dyDescent="0.3">
      <c r="A18" s="1180" t="s">
        <v>431</v>
      </c>
      <c r="B18" s="1465"/>
      <c r="C18" s="1465"/>
      <c r="D18" s="1465"/>
      <c r="E18" s="1465"/>
      <c r="F18" s="1465"/>
      <c r="G18" s="1466"/>
      <c r="H18" s="654"/>
      <c r="I18" s="654"/>
      <c r="K18" s="654"/>
    </row>
    <row r="19" spans="1:11" ht="192.75" customHeight="1" thickBot="1" x14ac:dyDescent="0.3">
      <c r="A19" s="1431" t="s">
        <v>739</v>
      </c>
      <c r="B19" s="1432"/>
      <c r="C19" s="1432"/>
      <c r="D19" s="1432"/>
      <c r="E19" s="1432"/>
      <c r="F19" s="1432"/>
      <c r="G19" s="1433"/>
      <c r="H19" s="654"/>
      <c r="I19" s="654"/>
      <c r="K19" s="654"/>
    </row>
    <row r="20" spans="1:11" s="1097" customFormat="1" ht="114.75" customHeight="1" thickBot="1" x14ac:dyDescent="0.3">
      <c r="A20" s="1467" t="s">
        <v>740</v>
      </c>
      <c r="B20" s="1432"/>
      <c r="C20" s="1432"/>
      <c r="D20" s="1432"/>
      <c r="E20" s="1432"/>
      <c r="F20" s="1432"/>
      <c r="G20" s="1433"/>
    </row>
    <row r="21" spans="1:11" s="1097" customFormat="1" ht="69.95" customHeight="1" thickBot="1" x14ac:dyDescent="0.3">
      <c r="A21" s="1467" t="s">
        <v>741</v>
      </c>
      <c r="B21" s="1432"/>
      <c r="C21" s="1432"/>
      <c r="D21" s="1432"/>
      <c r="E21" s="1432"/>
      <c r="F21" s="1432"/>
      <c r="G21" s="1433"/>
    </row>
    <row r="22" spans="1:11" s="1097" customFormat="1" ht="39.950000000000003" customHeight="1" thickBot="1" x14ac:dyDescent="0.3">
      <c r="A22" s="1464" t="s">
        <v>742</v>
      </c>
      <c r="B22" s="1432"/>
      <c r="C22" s="1432"/>
      <c r="D22" s="1432"/>
      <c r="E22" s="1432"/>
      <c r="F22" s="1432"/>
      <c r="G22" s="1433"/>
    </row>
    <row r="23" spans="1:11" s="1097" customFormat="1" ht="90" customHeight="1" thickBot="1" x14ac:dyDescent="0.3">
      <c r="A23" s="1464" t="s">
        <v>743</v>
      </c>
      <c r="B23" s="1432"/>
      <c r="C23" s="1432"/>
      <c r="D23" s="1432"/>
      <c r="E23" s="1432"/>
      <c r="F23" s="1432"/>
      <c r="G23" s="1433"/>
    </row>
    <row r="24" spans="1:11" x14ac:dyDescent="0.25">
      <c r="A24" s="149" t="s">
        <v>575</v>
      </c>
    </row>
    <row r="25" spans="1:11" s="824" customFormat="1" x14ac:dyDescent="0.25">
      <c r="A25" s="824" t="s">
        <v>576</v>
      </c>
      <c r="B25" s="656">
        <f>D7</f>
        <v>100167</v>
      </c>
    </row>
    <row r="26" spans="1:11" x14ac:dyDescent="0.25">
      <c r="A26" s="149" t="s">
        <v>577</v>
      </c>
      <c r="B26" s="656">
        <v>-67167</v>
      </c>
    </row>
    <row r="27" spans="1:11" x14ac:dyDescent="0.25">
      <c r="A27" s="149" t="s">
        <v>443</v>
      </c>
      <c r="B27" s="750">
        <f>SUM(B25:B26)</f>
        <v>33000</v>
      </c>
    </row>
  </sheetData>
  <mergeCells count="20">
    <mergeCell ref="A14:G14"/>
    <mergeCell ref="A15:G15"/>
    <mergeCell ref="A20:G20"/>
    <mergeCell ref="A21:G21"/>
    <mergeCell ref="A22:G22"/>
    <mergeCell ref="A23:G23"/>
    <mergeCell ref="B1:F1"/>
    <mergeCell ref="B2:F2"/>
    <mergeCell ref="B3:F3"/>
    <mergeCell ref="B4:F4"/>
    <mergeCell ref="B5:F5"/>
    <mergeCell ref="A19:G19"/>
    <mergeCell ref="A18:G18"/>
    <mergeCell ref="A17:G17"/>
    <mergeCell ref="B6:C6"/>
    <mergeCell ref="D6:E6"/>
    <mergeCell ref="G2:G7"/>
    <mergeCell ref="A16:G16"/>
    <mergeCell ref="B7:C7"/>
    <mergeCell ref="D7:E7"/>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A17" sqref="A17:G17"/>
    </sheetView>
  </sheetViews>
  <sheetFormatPr defaultColWidth="8.85546875" defaultRowHeight="15" x14ac:dyDescent="0.25"/>
  <cols>
    <col min="1" max="1" width="31" style="654" customWidth="1"/>
    <col min="2" max="6" width="13.7109375" style="654" customWidth="1"/>
    <col min="7" max="7" width="20.7109375" style="654" customWidth="1"/>
    <col min="8" max="16384" width="8.85546875" style="654"/>
  </cols>
  <sheetData>
    <row r="1" spans="1:8" x14ac:dyDescent="0.25">
      <c r="A1" s="536" t="s">
        <v>24</v>
      </c>
      <c r="B1" s="1351" t="str">
        <f>'YEAR 4--FY''18'!AC1</f>
        <v>FY18</v>
      </c>
      <c r="C1" s="1352"/>
      <c r="D1" s="1352"/>
      <c r="E1" s="1352"/>
      <c r="F1" s="1353"/>
      <c r="G1" s="536" t="s">
        <v>21</v>
      </c>
    </row>
    <row r="2" spans="1:8" ht="15" customHeight="1" x14ac:dyDescent="0.25">
      <c r="A2" s="537" t="s">
        <v>11</v>
      </c>
      <c r="B2" s="1162" t="str">
        <f>'YEAR 4--FY''18'!B47</f>
        <v>Addressing Homelessness Strategies</v>
      </c>
      <c r="C2" s="1163"/>
      <c r="D2" s="1163"/>
      <c r="E2" s="1163"/>
      <c r="F2" s="1164"/>
      <c r="G2" s="1248"/>
    </row>
    <row r="3" spans="1:8" x14ac:dyDescent="0.25">
      <c r="A3" s="537" t="s">
        <v>26</v>
      </c>
      <c r="B3" s="1165" t="str">
        <f>'YEAR 4--FY''18'!D47</f>
        <v>MOHS</v>
      </c>
      <c r="C3" s="1163"/>
      <c r="D3" s="1163"/>
      <c r="E3" s="1163"/>
      <c r="F3" s="1164"/>
      <c r="G3" s="1249"/>
    </row>
    <row r="4" spans="1:8" x14ac:dyDescent="0.25">
      <c r="A4" s="537" t="s">
        <v>13</v>
      </c>
      <c r="B4" s="1162" t="str">
        <f>'YEAR 4--FY''18'!C47</f>
        <v>--</v>
      </c>
      <c r="C4" s="1163"/>
      <c r="D4" s="1163"/>
      <c r="E4" s="1163"/>
      <c r="F4" s="1164"/>
      <c r="G4" s="1249"/>
    </row>
    <row r="5" spans="1:8" ht="15.75" thickBot="1" x14ac:dyDescent="0.3">
      <c r="A5" s="540" t="s">
        <v>12</v>
      </c>
      <c r="B5" s="1209" t="str">
        <f>'[11]YEAR 3--FY''17'!D44</f>
        <v>Multi-year</v>
      </c>
      <c r="C5" s="1190"/>
      <c r="D5" s="1190"/>
      <c r="E5" s="1190"/>
      <c r="F5" s="1191"/>
      <c r="G5" s="1249"/>
    </row>
    <row r="6" spans="1:8" ht="15" customHeight="1" x14ac:dyDescent="0.25">
      <c r="A6" s="541" t="s">
        <v>14</v>
      </c>
      <c r="B6" s="1169" t="s">
        <v>512</v>
      </c>
      <c r="C6" s="1170"/>
      <c r="D6" s="1173" t="str">
        <f>'YEAR 4--FY''18'!P1</f>
        <v>FY'17 Carry-Fwd</v>
      </c>
      <c r="E6" s="1174"/>
      <c r="F6" s="813" t="s">
        <v>129</v>
      </c>
      <c r="G6" s="1249"/>
    </row>
    <row r="7" spans="1:8" ht="15.75" thickBot="1" x14ac:dyDescent="0.3">
      <c r="A7" s="543"/>
      <c r="B7" s="1171">
        <f>'YEAR 4--FY''18'!Q47</f>
        <v>110000</v>
      </c>
      <c r="C7" s="1253"/>
      <c r="D7" s="1252">
        <f>F7-B7</f>
        <v>0</v>
      </c>
      <c r="E7" s="1253"/>
      <c r="F7" s="544">
        <f>'YEAR 4--FY''18'!R47</f>
        <v>110000</v>
      </c>
      <c r="G7" s="1250"/>
    </row>
    <row r="8" spans="1:8" ht="33" customHeight="1" x14ac:dyDescent="0.25">
      <c r="A8" s="546" t="s">
        <v>22</v>
      </c>
      <c r="B8" s="132" t="s">
        <v>15</v>
      </c>
      <c r="C8" s="133" t="s">
        <v>16</v>
      </c>
      <c r="D8" s="133" t="s">
        <v>17</v>
      </c>
      <c r="E8" s="133" t="s">
        <v>18</v>
      </c>
      <c r="F8" s="647" t="s">
        <v>19</v>
      </c>
      <c r="G8" s="550" t="s">
        <v>20</v>
      </c>
    </row>
    <row r="9" spans="1:8" ht="15.95" customHeight="1" x14ac:dyDescent="0.25">
      <c r="A9" s="162" t="s">
        <v>472</v>
      </c>
      <c r="B9" s="65"/>
      <c r="C9" s="66"/>
      <c r="D9" s="66"/>
      <c r="E9" s="66"/>
      <c r="F9" s="67">
        <f>SUM(B9:E9)</f>
        <v>0</v>
      </c>
      <c r="G9" s="177">
        <f>H9*0.2*0.3333-F9</f>
        <v>6243.3755999999994</v>
      </c>
      <c r="H9" s="654">
        <v>93660</v>
      </c>
    </row>
    <row r="10" spans="1:8" ht="15.95" customHeight="1" x14ac:dyDescent="0.25">
      <c r="A10" s="159" t="s">
        <v>469</v>
      </c>
      <c r="B10" s="65"/>
      <c r="C10" s="66"/>
      <c r="D10" s="66"/>
      <c r="E10" s="66"/>
      <c r="F10" s="67">
        <f>SUM(B10:E10)</f>
        <v>0</v>
      </c>
      <c r="G10" s="228">
        <f>18333-F10-F10</f>
        <v>18333</v>
      </c>
    </row>
    <row r="11" spans="1:8" ht="15.95" customHeight="1" x14ac:dyDescent="0.25">
      <c r="A11" s="795" t="s">
        <v>470</v>
      </c>
      <c r="B11" s="276"/>
      <c r="C11" s="277"/>
      <c r="D11" s="277"/>
      <c r="E11" s="277"/>
      <c r="F11" s="67">
        <f>SUM(B11:E11)</f>
        <v>0</v>
      </c>
      <c r="G11" s="278">
        <f>7833-F11</f>
        <v>7833</v>
      </c>
    </row>
    <row r="12" spans="1:8" ht="15.95" customHeight="1" x14ac:dyDescent="0.25">
      <c r="A12" s="795" t="s">
        <v>471</v>
      </c>
      <c r="B12" s="276"/>
      <c r="C12" s="277"/>
      <c r="D12" s="277"/>
      <c r="E12" s="277"/>
      <c r="F12" s="67">
        <v>0</v>
      </c>
      <c r="G12" s="278">
        <f>730-F12</f>
        <v>730</v>
      </c>
    </row>
    <row r="13" spans="1:8" ht="15.95" customHeight="1" x14ac:dyDescent="0.25">
      <c r="A13" s="795" t="s">
        <v>473</v>
      </c>
      <c r="B13" s="276"/>
      <c r="C13" s="277"/>
      <c r="D13" s="277"/>
      <c r="E13" s="277"/>
      <c r="F13" s="67">
        <f>SUM(B13:E13)</f>
        <v>0</v>
      </c>
      <c r="G13" s="278">
        <f>G15-SUM(G9:G12)-G14</f>
        <v>29460.624400000001</v>
      </c>
    </row>
    <row r="14" spans="1:8" ht="15.95" customHeight="1" thickBot="1" x14ac:dyDescent="0.3">
      <c r="A14" s="796" t="s">
        <v>474</v>
      </c>
      <c r="B14" s="171"/>
      <c r="C14" s="376"/>
      <c r="D14" s="376"/>
      <c r="E14" s="376"/>
      <c r="F14" s="67">
        <f>SUM(B14:E14)</f>
        <v>0</v>
      </c>
      <c r="G14" s="178">
        <f>7400-F14</f>
        <v>7400</v>
      </c>
    </row>
    <row r="15" spans="1:8" ht="22.5" customHeight="1" thickBot="1" x14ac:dyDescent="0.3">
      <c r="A15" s="9" t="s">
        <v>25</v>
      </c>
      <c r="B15" s="68">
        <f>SUM(B9:B14)</f>
        <v>0</v>
      </c>
      <c r="C15" s="69">
        <f>SUM(C9:C14)</f>
        <v>0</v>
      </c>
      <c r="D15" s="69">
        <f>SUM(D9:D14)</f>
        <v>0</v>
      </c>
      <c r="E15" s="69">
        <f>SUM(E9:E14)</f>
        <v>0</v>
      </c>
      <c r="F15" s="70">
        <f>SUM(F9:F14)</f>
        <v>0</v>
      </c>
      <c r="G15" s="556">
        <v>70000</v>
      </c>
      <c r="H15" s="797" t="b">
        <f>SUM(G9:G14)=G15</f>
        <v>1</v>
      </c>
    </row>
    <row r="16" spans="1:8" ht="174.95" customHeight="1" thickBot="1" x14ac:dyDescent="0.3">
      <c r="A16" s="1156" t="s">
        <v>744</v>
      </c>
      <c r="B16" s="1295"/>
      <c r="C16" s="1295"/>
      <c r="D16" s="1295"/>
      <c r="E16" s="1295"/>
      <c r="F16" s="1295"/>
      <c r="G16" s="1296"/>
    </row>
    <row r="17" spans="1:7" ht="72" customHeight="1" thickBot="1" x14ac:dyDescent="0.3">
      <c r="A17" s="1156" t="s">
        <v>745</v>
      </c>
      <c r="B17" s="1207"/>
      <c r="C17" s="1207"/>
      <c r="D17" s="1207"/>
      <c r="E17" s="1207"/>
      <c r="F17" s="1207"/>
      <c r="G17" s="1208"/>
    </row>
    <row r="18" spans="1:7" s="824" customFormat="1" ht="33" customHeight="1" x14ac:dyDescent="0.25">
      <c r="A18" s="853" t="s">
        <v>568</v>
      </c>
      <c r="B18" s="853" t="s">
        <v>569</v>
      </c>
      <c r="C18" s="853" t="s">
        <v>570</v>
      </c>
      <c r="D18" s="853" t="s">
        <v>572</v>
      </c>
      <c r="E18" s="853"/>
      <c r="F18" s="853"/>
      <c r="G18" s="853"/>
    </row>
    <row r="19" spans="1:7" x14ac:dyDescent="0.25">
      <c r="A19" s="654" t="s">
        <v>567</v>
      </c>
      <c r="B19" s="664">
        <v>55000</v>
      </c>
      <c r="C19" s="664" t="s">
        <v>571</v>
      </c>
      <c r="D19" s="654">
        <f>1/12*2.5</f>
        <v>0.20833333333333331</v>
      </c>
      <c r="E19" s="888">
        <f>B19*D19</f>
        <v>11458.333333333332</v>
      </c>
    </row>
    <row r="20" spans="1:7" x14ac:dyDescent="0.25">
      <c r="A20" s="654" t="s">
        <v>566</v>
      </c>
      <c r="B20" s="664">
        <v>5500</v>
      </c>
      <c r="C20" s="664"/>
      <c r="D20" s="654">
        <v>1</v>
      </c>
      <c r="E20" s="888">
        <f>B20*D20</f>
        <v>5500</v>
      </c>
    </row>
    <row r="21" spans="1:7" x14ac:dyDescent="0.25">
      <c r="E21" s="818">
        <f>SUM(E19:E20)</f>
        <v>16958.333333333332</v>
      </c>
    </row>
  </sheetData>
  <mergeCells count="12">
    <mergeCell ref="A16:G16"/>
    <mergeCell ref="A17:G17"/>
    <mergeCell ref="B1:F1"/>
    <mergeCell ref="B2:F2"/>
    <mergeCell ref="G2:G7"/>
    <mergeCell ref="B3:F3"/>
    <mergeCell ref="B4:F4"/>
    <mergeCell ref="B5:F5"/>
    <mergeCell ref="B6:C6"/>
    <mergeCell ref="D6:E6"/>
    <mergeCell ref="B7:C7"/>
    <mergeCell ref="D7:E7"/>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6" workbookViewId="0">
      <selection activeCell="A17" sqref="A17:XFD17"/>
    </sheetView>
  </sheetViews>
  <sheetFormatPr defaultColWidth="8.85546875" defaultRowHeight="18" customHeight="1" x14ac:dyDescent="0.25"/>
  <cols>
    <col min="1" max="1" width="31" style="110" customWidth="1"/>
    <col min="2" max="6" width="13.7109375" style="110" customWidth="1"/>
    <col min="7" max="7" width="20.7109375" style="110" customWidth="1"/>
    <col min="8" max="8" width="17.42578125" style="110" customWidth="1"/>
    <col min="9" max="9" width="14.7109375" style="110" customWidth="1"/>
    <col min="10" max="10" width="13.42578125" style="110" customWidth="1"/>
    <col min="11" max="11" width="13.42578125" style="654" customWidth="1"/>
    <col min="12" max="12" width="14.7109375" style="110" customWidth="1"/>
    <col min="14" max="16384" width="8.85546875" style="110"/>
  </cols>
  <sheetData>
    <row r="1" spans="1:13" ht="15" x14ac:dyDescent="0.25">
      <c r="A1" s="151" t="s">
        <v>24</v>
      </c>
      <c r="B1" s="1159" t="str">
        <f>'YEAR 4--FY''18'!AC1</f>
        <v>FY18</v>
      </c>
      <c r="C1" s="1160"/>
      <c r="D1" s="1160"/>
      <c r="E1" s="1160"/>
      <c r="F1" s="1161"/>
      <c r="G1" s="151" t="s">
        <v>21</v>
      </c>
    </row>
    <row r="2" spans="1:13" ht="15" x14ac:dyDescent="0.25">
      <c r="A2" s="166" t="s">
        <v>11</v>
      </c>
      <c r="B2" s="1162" t="str">
        <f>'[12]YEAR 3--FY''17'!A48</f>
        <v xml:space="preserve">Increase support for Public Art projects </v>
      </c>
      <c r="C2" s="1163"/>
      <c r="D2" s="1163"/>
      <c r="E2" s="1163"/>
      <c r="F2" s="1164"/>
      <c r="G2" s="44"/>
    </row>
    <row r="3" spans="1:13" ht="15" x14ac:dyDescent="0.25">
      <c r="A3" s="166" t="s">
        <v>26</v>
      </c>
      <c r="B3" s="1165" t="str">
        <f>'[12]YEAR 3--FY''17'!C48</f>
        <v>BOPA</v>
      </c>
      <c r="C3" s="1163"/>
      <c r="D3" s="1163"/>
      <c r="E3" s="1163"/>
      <c r="F3" s="1164"/>
      <c r="G3" s="45"/>
    </row>
    <row r="4" spans="1:13" ht="15" x14ac:dyDescent="0.25">
      <c r="A4" s="166" t="s">
        <v>13</v>
      </c>
      <c r="B4" s="1162">
        <f>'[12]YEAR 3--FY''17'!B48</f>
        <v>18</v>
      </c>
      <c r="C4" s="1163"/>
      <c r="D4" s="1163"/>
      <c r="E4" s="1163"/>
      <c r="F4" s="1164"/>
      <c r="G4" s="45"/>
    </row>
    <row r="5" spans="1:13" ht="15.75" thickBot="1" x14ac:dyDescent="0.3">
      <c r="A5" s="152" t="s">
        <v>12</v>
      </c>
      <c r="B5" s="1209" t="str">
        <f>'[12]YEAR 3--FY''17'!D48</f>
        <v>Multi-Year</v>
      </c>
      <c r="C5" s="1190"/>
      <c r="D5" s="1190"/>
      <c r="E5" s="1190"/>
      <c r="F5" s="1191"/>
      <c r="G5" s="45"/>
    </row>
    <row r="6" spans="1:13" ht="15" customHeight="1" x14ac:dyDescent="0.25">
      <c r="A6" s="153" t="s">
        <v>14</v>
      </c>
      <c r="B6" s="1169" t="s">
        <v>512</v>
      </c>
      <c r="C6" s="1170"/>
      <c r="D6" s="1173" t="str">
        <f>'YEAR 4--FY''18'!P1</f>
        <v>FY'17 Carry-Fwd</v>
      </c>
      <c r="E6" s="1174"/>
      <c r="F6" s="813" t="s">
        <v>129</v>
      </c>
      <c r="G6" s="45"/>
    </row>
    <row r="7" spans="1:13" ht="15" customHeight="1" thickBot="1" x14ac:dyDescent="0.3">
      <c r="A7" s="150"/>
      <c r="B7" s="1171">
        <f>'YEAR 4--FY''18'!Q49</f>
        <v>0</v>
      </c>
      <c r="C7" s="1253"/>
      <c r="D7" s="1252">
        <f>F7-B7</f>
        <v>83000</v>
      </c>
      <c r="E7" s="1253"/>
      <c r="F7" s="544">
        <f>'YEAR 4--FY''18'!R49</f>
        <v>83000</v>
      </c>
      <c r="G7" s="46"/>
    </row>
    <row r="8" spans="1:13" ht="33" customHeight="1" x14ac:dyDescent="0.25">
      <c r="A8" s="104" t="s">
        <v>22</v>
      </c>
      <c r="B8" s="105" t="s">
        <v>15</v>
      </c>
      <c r="C8" s="106" t="s">
        <v>16</v>
      </c>
      <c r="D8" s="106" t="s">
        <v>17</v>
      </c>
      <c r="E8" s="106" t="s">
        <v>18</v>
      </c>
      <c r="F8" s="107" t="s">
        <v>19</v>
      </c>
      <c r="G8" s="108" t="s">
        <v>20</v>
      </c>
      <c r="H8" s="735" t="s">
        <v>276</v>
      </c>
      <c r="I8" s="735" t="s">
        <v>419</v>
      </c>
      <c r="J8" s="735" t="s">
        <v>423</v>
      </c>
      <c r="K8" s="735" t="s">
        <v>424</v>
      </c>
      <c r="L8" s="735" t="s">
        <v>420</v>
      </c>
    </row>
    <row r="9" spans="1:13" s="2" customFormat="1" ht="30" x14ac:dyDescent="0.25">
      <c r="A9" s="135" t="s">
        <v>182</v>
      </c>
      <c r="B9" s="136">
        <v>0</v>
      </c>
      <c r="C9" s="137">
        <v>0</v>
      </c>
      <c r="D9" s="137">
        <v>0</v>
      </c>
      <c r="E9" s="688">
        <v>0</v>
      </c>
      <c r="F9" s="138">
        <f>SUM(B9:E9)</f>
        <v>0</v>
      </c>
      <c r="G9" s="139">
        <f>H9-F9-I9</f>
        <v>15000</v>
      </c>
      <c r="H9" s="656">
        <v>15000</v>
      </c>
      <c r="I9" s="656">
        <v>0</v>
      </c>
      <c r="J9" s="656">
        <v>0</v>
      </c>
      <c r="K9" s="656">
        <v>0</v>
      </c>
      <c r="L9" s="656">
        <f>H9-SUM(I9:K9)</f>
        <v>15000</v>
      </c>
    </row>
    <row r="10" spans="1:13" ht="15" x14ac:dyDescent="0.25">
      <c r="A10" s="216" t="s">
        <v>82</v>
      </c>
      <c r="B10" s="136">
        <v>0</v>
      </c>
      <c r="C10" s="137">
        <v>15000</v>
      </c>
      <c r="D10" s="137">
        <v>0</v>
      </c>
      <c r="E10" s="688">
        <v>0</v>
      </c>
      <c r="F10" s="648">
        <f>SUM(B10:E10)</f>
        <v>15000</v>
      </c>
      <c r="G10" s="139">
        <f>H10-F10-I10</f>
        <v>0</v>
      </c>
      <c r="H10" s="656">
        <v>30000</v>
      </c>
      <c r="I10" s="656">
        <v>15000</v>
      </c>
      <c r="J10" s="656">
        <v>0</v>
      </c>
      <c r="K10" s="656">
        <v>15000</v>
      </c>
      <c r="L10" s="656">
        <f>H10-SUM(I10:K10)</f>
        <v>0</v>
      </c>
    </row>
    <row r="11" spans="1:13" s="748" customFormat="1" ht="30" x14ac:dyDescent="0.25">
      <c r="A11" s="742" t="s">
        <v>417</v>
      </c>
      <c r="B11" s="743" t="s">
        <v>416</v>
      </c>
      <c r="C11" s="744"/>
      <c r="D11" s="744"/>
      <c r="E11" s="745"/>
      <c r="F11" s="746" t="s">
        <v>416</v>
      </c>
      <c r="G11" s="366"/>
      <c r="H11" s="747" t="s">
        <v>416</v>
      </c>
      <c r="I11" s="747" t="s">
        <v>416</v>
      </c>
      <c r="J11" s="747"/>
      <c r="K11" s="747"/>
      <c r="L11" s="747" t="s">
        <v>416</v>
      </c>
    </row>
    <row r="12" spans="1:13" s="654" customFormat="1" ht="15" x14ac:dyDescent="0.25">
      <c r="A12" s="216" t="s">
        <v>414</v>
      </c>
      <c r="B12" s="552">
        <v>0</v>
      </c>
      <c r="C12" s="137">
        <f>5625+16875</f>
        <v>22500</v>
      </c>
      <c r="D12" s="137">
        <v>0</v>
      </c>
      <c r="E12" s="689">
        <v>0</v>
      </c>
      <c r="F12" s="648">
        <f>SUM(B12:E12)</f>
        <v>22500</v>
      </c>
      <c r="G12" s="139">
        <f>H12-F12</f>
        <v>0</v>
      </c>
      <c r="H12" s="656">
        <f>22500</f>
        <v>22500</v>
      </c>
      <c r="I12" s="656">
        <v>0</v>
      </c>
      <c r="J12" s="656">
        <v>5625</v>
      </c>
      <c r="K12" s="656">
        <f>H12-I12-J12</f>
        <v>16875</v>
      </c>
      <c r="L12" s="656">
        <f>H12-SUM(I12:K12)</f>
        <v>0</v>
      </c>
    </row>
    <row r="13" spans="1:13" s="654" customFormat="1" ht="15.75" thickBot="1" x14ac:dyDescent="0.3">
      <c r="A13" s="736" t="s">
        <v>415</v>
      </c>
      <c r="B13" s="737">
        <v>0</v>
      </c>
      <c r="C13" s="738">
        <v>0</v>
      </c>
      <c r="D13" s="738">
        <v>0</v>
      </c>
      <c r="E13" s="739">
        <v>0</v>
      </c>
      <c r="F13" s="648">
        <f>SUM(B13:E13)</f>
        <v>0</v>
      </c>
      <c r="G13" s="139">
        <f>H13-F13-I13</f>
        <v>22500</v>
      </c>
      <c r="H13" s="656">
        <f>22500</f>
        <v>22500</v>
      </c>
      <c r="I13" s="656">
        <v>0</v>
      </c>
      <c r="J13" s="656">
        <v>0</v>
      </c>
      <c r="K13" s="656">
        <v>0</v>
      </c>
      <c r="L13" s="656">
        <f>H13-SUM(I13:K13)</f>
        <v>22500</v>
      </c>
    </row>
    <row r="14" spans="1:13" ht="32.25" customHeight="1" thickBot="1" x14ac:dyDescent="0.3">
      <c r="A14" s="326" t="s">
        <v>25</v>
      </c>
      <c r="B14" s="142">
        <f t="shared" ref="B14:L14" si="0">SUM(B9:B13)</f>
        <v>0</v>
      </c>
      <c r="C14" s="143">
        <f t="shared" si="0"/>
        <v>37500</v>
      </c>
      <c r="D14" s="143">
        <f t="shared" si="0"/>
        <v>0</v>
      </c>
      <c r="E14" s="143">
        <f t="shared" si="0"/>
        <v>0</v>
      </c>
      <c r="F14" s="144">
        <f t="shared" si="0"/>
        <v>37500</v>
      </c>
      <c r="G14" s="145">
        <f t="shared" si="0"/>
        <v>37500</v>
      </c>
      <c r="H14" s="749">
        <f t="shared" si="0"/>
        <v>90000</v>
      </c>
      <c r="I14" s="750">
        <f t="shared" si="0"/>
        <v>15000</v>
      </c>
      <c r="J14" s="750">
        <f t="shared" si="0"/>
        <v>5625</v>
      </c>
      <c r="K14" s="750">
        <f t="shared" si="0"/>
        <v>31875</v>
      </c>
      <c r="L14" s="750">
        <f t="shared" si="0"/>
        <v>37500</v>
      </c>
      <c r="M14" s="656">
        <f>H14-SUM(I14:K14)</f>
        <v>37500</v>
      </c>
    </row>
    <row r="15" spans="1:13" ht="90" customHeight="1" thickBot="1" x14ac:dyDescent="0.3">
      <c r="A15" s="1180" t="s">
        <v>746</v>
      </c>
      <c r="B15" s="1295"/>
      <c r="C15" s="1295"/>
      <c r="D15" s="1295"/>
      <c r="E15" s="1295"/>
      <c r="F15" s="1295"/>
      <c r="G15" s="1296"/>
      <c r="I15" s="656">
        <f>L14+F14</f>
        <v>75000</v>
      </c>
    </row>
    <row r="16" spans="1:13" s="55" customFormat="1" ht="80.25" hidden="1" customHeight="1" thickBot="1" x14ac:dyDescent="0.3">
      <c r="A16" s="1180" t="s">
        <v>231</v>
      </c>
      <c r="B16" s="1295"/>
      <c r="C16" s="1295"/>
      <c r="D16" s="1295"/>
      <c r="E16" s="1295"/>
      <c r="F16" s="1295"/>
      <c r="G16" s="1296"/>
      <c r="K16" s="657"/>
    </row>
    <row r="17" spans="1:7" ht="200.1" customHeight="1" thickBot="1" x14ac:dyDescent="0.3">
      <c r="A17" s="1468" t="s">
        <v>754</v>
      </c>
      <c r="B17" s="1469"/>
      <c r="C17" s="1469"/>
      <c r="D17" s="1469"/>
      <c r="E17" s="1469"/>
      <c r="F17" s="1469"/>
      <c r="G17" s="1470"/>
    </row>
  </sheetData>
  <mergeCells count="12">
    <mergeCell ref="A17:G17"/>
    <mergeCell ref="B6:C6"/>
    <mergeCell ref="D6:E6"/>
    <mergeCell ref="B1:F1"/>
    <mergeCell ref="B2:F2"/>
    <mergeCell ref="B3:F3"/>
    <mergeCell ref="B4:F4"/>
    <mergeCell ref="B5:F5"/>
    <mergeCell ref="A16:G16"/>
    <mergeCell ref="B7:C7"/>
    <mergeCell ref="D7:E7"/>
    <mergeCell ref="A15:G15"/>
  </mergeCells>
  <printOptions horizontalCentered="1"/>
  <pageMargins left="0.7" right="0.7" top="1" bottom="1"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0" zoomScale="166" zoomScaleNormal="166" zoomScalePageLayoutView="142" workbookViewId="0">
      <selection activeCell="I16" sqref="I16"/>
    </sheetView>
  </sheetViews>
  <sheetFormatPr defaultColWidth="8.85546875" defaultRowHeight="15" x14ac:dyDescent="0.25"/>
  <cols>
    <col min="1" max="1" width="31" style="149" customWidth="1"/>
    <col min="2" max="6" width="13.7109375" style="149" customWidth="1"/>
    <col min="7" max="7" width="20.7109375" style="149" customWidth="1"/>
    <col min="8" max="8" width="15.7109375" style="149" customWidth="1"/>
    <col min="9" max="9" width="14.7109375" style="149" customWidth="1"/>
    <col min="10" max="10" width="14.7109375" style="824" customWidth="1"/>
    <col min="11" max="11" width="14.7109375" style="149" customWidth="1"/>
    <col min="12" max="16384" width="8.85546875" style="149"/>
  </cols>
  <sheetData>
    <row r="1" spans="1:12" x14ac:dyDescent="0.25">
      <c r="A1" s="151" t="s">
        <v>24</v>
      </c>
      <c r="B1" s="1159" t="str">
        <f>'[12]YEAR 3--FY''17'!T1</f>
        <v>FY'17</v>
      </c>
      <c r="C1" s="1160"/>
      <c r="D1" s="1160"/>
      <c r="E1" s="1160"/>
      <c r="F1" s="1161"/>
      <c r="G1" s="151" t="s">
        <v>21</v>
      </c>
      <c r="H1" s="372"/>
    </row>
    <row r="2" spans="1:12" x14ac:dyDescent="0.25">
      <c r="A2" s="166" t="s">
        <v>11</v>
      </c>
      <c r="B2" s="1162" t="str">
        <f>'[12]YEAR 3--FY''17'!A47</f>
        <v>Increase support for community events</v>
      </c>
      <c r="C2" s="1163"/>
      <c r="D2" s="1163"/>
      <c r="E2" s="1163"/>
      <c r="F2" s="1164"/>
      <c r="G2" s="44"/>
      <c r="H2" s="372"/>
    </row>
    <row r="3" spans="1:12" x14ac:dyDescent="0.25">
      <c r="A3" s="166" t="s">
        <v>26</v>
      </c>
      <c r="B3" s="1165" t="str">
        <f>'[12]YEAR 3--FY''17'!C47</f>
        <v>BOPA</v>
      </c>
      <c r="C3" s="1163"/>
      <c r="D3" s="1163"/>
      <c r="E3" s="1163"/>
      <c r="F3" s="1164"/>
      <c r="G3" s="45"/>
      <c r="H3" s="372"/>
    </row>
    <row r="4" spans="1:12" x14ac:dyDescent="0.25">
      <c r="A4" s="166" t="s">
        <v>13</v>
      </c>
      <c r="B4" s="1162" t="str">
        <f>'[12]YEAR 3--FY''17'!B47</f>
        <v>--</v>
      </c>
      <c r="C4" s="1163"/>
      <c r="D4" s="1163"/>
      <c r="E4" s="1163"/>
      <c r="F4" s="1164"/>
      <c r="G4" s="45"/>
      <c r="H4" s="372"/>
    </row>
    <row r="5" spans="1:12" ht="15.75" thickBot="1" x14ac:dyDescent="0.3">
      <c r="A5" s="152" t="s">
        <v>12</v>
      </c>
      <c r="B5" s="1209" t="str">
        <f>'[12]YEAR 3--FY''17'!D47</f>
        <v>Multi-Year</v>
      </c>
      <c r="C5" s="1190"/>
      <c r="D5" s="1190"/>
      <c r="E5" s="1190"/>
      <c r="F5" s="1191"/>
      <c r="G5" s="45"/>
      <c r="H5" s="372"/>
    </row>
    <row r="6" spans="1:12" ht="15" customHeight="1" x14ac:dyDescent="0.25">
      <c r="A6" s="153" t="s">
        <v>14</v>
      </c>
      <c r="B6" s="1169" t="s">
        <v>512</v>
      </c>
      <c r="C6" s="1170"/>
      <c r="D6" s="1173" t="str">
        <f>'YEAR 4--FY''18'!P1</f>
        <v>FY'17 Carry-Fwd</v>
      </c>
      <c r="E6" s="1174"/>
      <c r="F6" s="813" t="s">
        <v>129</v>
      </c>
      <c r="G6" s="45"/>
      <c r="H6" s="372"/>
    </row>
    <row r="7" spans="1:12" ht="15.75" thickBot="1" x14ac:dyDescent="0.3">
      <c r="A7" s="150"/>
      <c r="B7" s="1171">
        <f>'YEAR 4--FY''18'!Q50</f>
        <v>0</v>
      </c>
      <c r="C7" s="1253"/>
      <c r="D7" s="1252">
        <f>F7-B7</f>
        <v>12913</v>
      </c>
      <c r="E7" s="1253"/>
      <c r="F7" s="544">
        <f>'YEAR 4--FY''18'!R50</f>
        <v>12913</v>
      </c>
      <c r="G7" s="46"/>
      <c r="H7" s="372"/>
    </row>
    <row r="8" spans="1:12" s="2" customFormat="1" ht="33" customHeight="1" x14ac:dyDescent="0.25">
      <c r="A8" s="320" t="s">
        <v>22</v>
      </c>
      <c r="B8" s="321" t="s">
        <v>15</v>
      </c>
      <c r="C8" s="322" t="s">
        <v>16</v>
      </c>
      <c r="D8" s="322" t="s">
        <v>17</v>
      </c>
      <c r="E8" s="322" t="s">
        <v>18</v>
      </c>
      <c r="F8" s="323" t="s">
        <v>19</v>
      </c>
      <c r="G8" s="324" t="s">
        <v>20</v>
      </c>
      <c r="H8" s="735" t="s">
        <v>276</v>
      </c>
      <c r="I8" s="735" t="s">
        <v>419</v>
      </c>
      <c r="J8" s="735" t="s">
        <v>756</v>
      </c>
      <c r="K8" s="735" t="s">
        <v>757</v>
      </c>
    </row>
    <row r="9" spans="1:12" s="655" customFormat="1" ht="42.95" customHeight="1" x14ac:dyDescent="0.25">
      <c r="A9" s="524" t="s">
        <v>421</v>
      </c>
      <c r="B9" s="740">
        <f>J9</f>
        <v>6754</v>
      </c>
      <c r="C9" s="741">
        <v>0</v>
      </c>
      <c r="D9" s="741">
        <v>0</v>
      </c>
      <c r="E9" s="741">
        <v>0</v>
      </c>
      <c r="F9" s="648">
        <f>SUM(B9:E9)</f>
        <v>6754</v>
      </c>
      <c r="G9" s="139">
        <f>J9-F9</f>
        <v>0</v>
      </c>
      <c r="H9" s="252">
        <v>12000</v>
      </c>
      <c r="I9" s="252">
        <f>H9-H12-J9</f>
        <v>587</v>
      </c>
      <c r="J9" s="252">
        <f>J13-SUM(J10:J12)</f>
        <v>6754</v>
      </c>
      <c r="K9" s="215">
        <f>SUM(I9:J9)</f>
        <v>7341</v>
      </c>
      <c r="L9" s="252"/>
    </row>
    <row r="10" spans="1:12" s="655" customFormat="1" ht="15.95" customHeight="1" x14ac:dyDescent="0.25">
      <c r="A10" s="414" t="s">
        <v>239</v>
      </c>
      <c r="B10" s="740">
        <v>0</v>
      </c>
      <c r="C10" s="741">
        <v>0</v>
      </c>
      <c r="D10" s="741">
        <v>0</v>
      </c>
      <c r="E10" s="741">
        <v>0</v>
      </c>
      <c r="F10" s="648">
        <f>SUM(B10:E10)</f>
        <v>0</v>
      </c>
      <c r="G10" s="139">
        <f>H10-F10-I10</f>
        <v>0</v>
      </c>
      <c r="H10" s="252">
        <v>5000</v>
      </c>
      <c r="I10" s="252">
        <v>5000</v>
      </c>
      <c r="J10" s="252">
        <f>H10-I10</f>
        <v>0</v>
      </c>
      <c r="K10" s="215">
        <f t="shared" ref="K10:K12" si="0">SUM(I10:J10)</f>
        <v>5000</v>
      </c>
    </row>
    <row r="11" spans="1:12" s="347" customFormat="1" ht="15.95" customHeight="1" x14ac:dyDescent="0.25">
      <c r="A11" s="524" t="s">
        <v>183</v>
      </c>
      <c r="B11" s="740">
        <v>0</v>
      </c>
      <c r="C11" s="741">
        <v>750</v>
      </c>
      <c r="D11" s="741">
        <v>0</v>
      </c>
      <c r="E11" s="741">
        <v>750</v>
      </c>
      <c r="F11" s="648">
        <f>SUM(B11:E11)</f>
        <v>1500</v>
      </c>
      <c r="G11" s="139">
        <f>H11-F11-I11</f>
        <v>0</v>
      </c>
      <c r="H11" s="252">
        <v>3000</v>
      </c>
      <c r="I11" s="252">
        <v>1500</v>
      </c>
      <c r="J11" s="252">
        <f>H11-I11</f>
        <v>1500</v>
      </c>
      <c r="K11" s="215">
        <f t="shared" si="0"/>
        <v>3000</v>
      </c>
    </row>
    <row r="12" spans="1:12" s="347" customFormat="1" ht="15.95" customHeight="1" thickBot="1" x14ac:dyDescent="0.3">
      <c r="A12" s="1141" t="s">
        <v>755</v>
      </c>
      <c r="B12" s="1142">
        <v>4659</v>
      </c>
      <c r="C12" s="1143">
        <v>0</v>
      </c>
      <c r="D12" s="1143">
        <v>0</v>
      </c>
      <c r="E12" s="1143">
        <v>0</v>
      </c>
      <c r="F12" s="648">
        <f>SUM(B12:E12)</f>
        <v>4659</v>
      </c>
      <c r="G12" s="139">
        <f>H12-F12-I12</f>
        <v>0</v>
      </c>
      <c r="H12" s="252">
        <v>4659</v>
      </c>
      <c r="I12" s="252">
        <v>0</v>
      </c>
      <c r="J12" s="252">
        <f>H12-I12</f>
        <v>4659</v>
      </c>
      <c r="K12" s="215">
        <f t="shared" si="0"/>
        <v>4659</v>
      </c>
    </row>
    <row r="13" spans="1:12" s="2" customFormat="1" ht="22.5" customHeight="1" thickBot="1" x14ac:dyDescent="0.3">
      <c r="A13" s="326" t="s">
        <v>25</v>
      </c>
      <c r="B13" s="327">
        <f>SUM(B9:B12)</f>
        <v>11413</v>
      </c>
      <c r="C13" s="328">
        <f>SUM(C9:C12)</f>
        <v>750</v>
      </c>
      <c r="D13" s="328">
        <f>SUM(D9:D12)</f>
        <v>0</v>
      </c>
      <c r="E13" s="328">
        <f>SUM(E9:E12)</f>
        <v>750</v>
      </c>
      <c r="F13" s="329">
        <f>SUM(F9:F12)</f>
        <v>12913</v>
      </c>
      <c r="G13" s="145">
        <f>SUM(G9:G11)</f>
        <v>0</v>
      </c>
      <c r="H13" s="751">
        <f>SUM(H9:H11)</f>
        <v>20000</v>
      </c>
      <c r="I13" s="752">
        <f>SUM(I9:I11)</f>
        <v>7087</v>
      </c>
      <c r="J13" s="752">
        <f>F7</f>
        <v>12913</v>
      </c>
      <c r="K13" s="752">
        <f>SUM(I13:J13)</f>
        <v>20000</v>
      </c>
      <c r="L13" s="2" t="b">
        <f>K13=SUM(K9:K12)</f>
        <v>1</v>
      </c>
    </row>
    <row r="14" spans="1:12" ht="47.25" customHeight="1" thickBot="1" x14ac:dyDescent="0.3">
      <c r="A14" s="1180" t="s">
        <v>759</v>
      </c>
      <c r="B14" s="1295"/>
      <c r="C14" s="1295"/>
      <c r="D14" s="1295"/>
      <c r="E14" s="1295"/>
      <c r="F14" s="1295"/>
      <c r="G14" s="1296"/>
      <c r="H14" s="372"/>
    </row>
    <row r="15" spans="1:12" s="654" customFormat="1" ht="90" customHeight="1" thickBot="1" x14ac:dyDescent="0.3">
      <c r="A15" s="1471" t="s">
        <v>758</v>
      </c>
      <c r="B15" s="1472"/>
      <c r="C15" s="1472"/>
      <c r="D15" s="1472"/>
      <c r="E15" s="1472"/>
      <c r="F15" s="1472"/>
      <c r="G15" s="1473"/>
      <c r="H15" s="657"/>
      <c r="J15" s="824"/>
    </row>
    <row r="28" ht="17.25" customHeight="1" x14ac:dyDescent="0.25"/>
  </sheetData>
  <mergeCells count="11">
    <mergeCell ref="A15:G15"/>
    <mergeCell ref="B6:C6"/>
    <mergeCell ref="D6:E6"/>
    <mergeCell ref="B1:F1"/>
    <mergeCell ref="B2:F2"/>
    <mergeCell ref="B3:F3"/>
    <mergeCell ref="B4:F4"/>
    <mergeCell ref="B5:F5"/>
    <mergeCell ref="B7:C7"/>
    <mergeCell ref="D7:E7"/>
    <mergeCell ref="A14:G14"/>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75" zoomScaleNormal="75" zoomScalePageLayoutView="136" workbookViewId="0">
      <selection activeCell="A23" sqref="A23:G23"/>
    </sheetView>
  </sheetViews>
  <sheetFormatPr defaultColWidth="8.85546875" defaultRowHeight="15" x14ac:dyDescent="0.25"/>
  <cols>
    <col min="1" max="1" width="31" customWidth="1"/>
    <col min="2" max="6" width="13.7109375" customWidth="1"/>
    <col min="7" max="7" width="20.7109375" customWidth="1"/>
    <col min="8" max="8" width="8.85546875" style="28"/>
  </cols>
  <sheetData>
    <row r="1" spans="1:11" x14ac:dyDescent="0.25">
      <c r="A1" s="19" t="s">
        <v>24</v>
      </c>
      <c r="B1" s="1159" t="str">
        <f>'YEAR 4--FY''18'!AC1</f>
        <v>FY18</v>
      </c>
      <c r="C1" s="1160"/>
      <c r="D1" s="1160"/>
      <c r="E1" s="1160"/>
      <c r="F1" s="1161"/>
      <c r="G1" s="19" t="s">
        <v>21</v>
      </c>
    </row>
    <row r="2" spans="1:11" ht="15" customHeight="1" x14ac:dyDescent="0.25">
      <c r="A2" s="20" t="s">
        <v>11</v>
      </c>
      <c r="B2" s="1162" t="str">
        <f>'YEAR 4--FY''18'!B5</f>
        <v>Casino Sub-District (CSD) Headquarters</v>
      </c>
      <c r="C2" s="1163"/>
      <c r="D2" s="1163"/>
      <c r="E2" s="1163"/>
      <c r="F2" s="1164"/>
      <c r="G2" s="1196"/>
    </row>
    <row r="3" spans="1:11" x14ac:dyDescent="0.25">
      <c r="A3" s="20" t="s">
        <v>26</v>
      </c>
      <c r="B3" s="1165" t="str">
        <f>'YEAR 4--FY''18'!D5</f>
        <v>Police</v>
      </c>
      <c r="C3" s="1163"/>
      <c r="D3" s="1163"/>
      <c r="E3" s="1163"/>
      <c r="F3" s="1164"/>
      <c r="G3" s="1197"/>
      <c r="H3" s="222"/>
      <c r="I3" s="62"/>
    </row>
    <row r="4" spans="1:11" x14ac:dyDescent="0.25">
      <c r="A4" s="20" t="s">
        <v>13</v>
      </c>
      <c r="B4" s="1162" t="str">
        <f>'YEAR 4--FY''18'!C5</f>
        <v>5B</v>
      </c>
      <c r="C4" s="1163"/>
      <c r="D4" s="1163"/>
      <c r="E4" s="1163"/>
      <c r="F4" s="1164"/>
      <c r="G4" s="1197"/>
      <c r="H4" s="222"/>
      <c r="I4" s="62"/>
    </row>
    <row r="5" spans="1:11" ht="15.75" thickBot="1" x14ac:dyDescent="0.3">
      <c r="A5" s="21" t="s">
        <v>12</v>
      </c>
      <c r="B5" s="1209" t="str">
        <f>'YEAR 4--FY''18'!E5</f>
        <v>Ongoing</v>
      </c>
      <c r="C5" s="1190"/>
      <c r="D5" s="1190"/>
      <c r="E5" s="1190"/>
      <c r="F5" s="1191"/>
      <c r="G5" s="1197"/>
      <c r="H5" s="222"/>
      <c r="I5" s="62"/>
    </row>
    <row r="6" spans="1:11" s="655" customFormat="1" ht="24.95" customHeight="1" x14ac:dyDescent="0.25">
      <c r="A6" s="42" t="s">
        <v>14</v>
      </c>
      <c r="B6" s="1169" t="s">
        <v>512</v>
      </c>
      <c r="C6" s="1170"/>
      <c r="D6" s="1173" t="str">
        <f>'YEAR 4--FY''18'!P1</f>
        <v>FY'17 Carry-Fwd</v>
      </c>
      <c r="E6" s="1174"/>
      <c r="F6" s="542" t="s">
        <v>129</v>
      </c>
      <c r="G6" s="1197"/>
      <c r="H6" s="252"/>
      <c r="I6" s="765"/>
    </row>
    <row r="7" spans="1:11" ht="15.75" thickBot="1" x14ac:dyDescent="0.3">
      <c r="A7" s="18"/>
      <c r="B7" s="1195">
        <f>'YEAR 4--FY''18'!Q5</f>
        <v>25557</v>
      </c>
      <c r="C7" s="1176"/>
      <c r="D7" s="1175">
        <f>'YEAR 4--FY''18'!P5</f>
        <v>0</v>
      </c>
      <c r="E7" s="1176"/>
      <c r="F7" s="812">
        <f>SUM(B7:E7)</f>
        <v>25557</v>
      </c>
      <c r="G7" s="1198"/>
      <c r="I7" s="62"/>
    </row>
    <row r="8" spans="1:11" ht="33" customHeight="1" x14ac:dyDescent="0.25">
      <c r="A8" s="25" t="s">
        <v>22</v>
      </c>
      <c r="B8" s="27" t="s">
        <v>15</v>
      </c>
      <c r="C8" s="26" t="s">
        <v>16</v>
      </c>
      <c r="D8" s="26" t="s">
        <v>17</v>
      </c>
      <c r="E8" s="26" t="s">
        <v>18</v>
      </c>
      <c r="F8" s="60" t="s">
        <v>19</v>
      </c>
      <c r="G8" s="111" t="s">
        <v>21</v>
      </c>
      <c r="H8" s="223"/>
      <c r="I8" s="62"/>
      <c r="K8" s="39"/>
    </row>
    <row r="9" spans="1:11" s="149" customFormat="1" x14ac:dyDescent="0.25">
      <c r="A9" s="167" t="s">
        <v>435</v>
      </c>
      <c r="B9" s="169">
        <v>1200</v>
      </c>
      <c r="C9" s="169">
        <v>0</v>
      </c>
      <c r="D9" s="375">
        <v>0</v>
      </c>
      <c r="E9" s="375">
        <v>0</v>
      </c>
      <c r="F9" s="61">
        <f t="shared" ref="F9:F10" si="0">SUM(B9:E9)</f>
        <v>1200</v>
      </c>
      <c r="G9" s="116" t="s">
        <v>488</v>
      </c>
      <c r="H9" s="224"/>
      <c r="I9" s="62"/>
      <c r="K9" s="174"/>
    </row>
    <row r="10" spans="1:11" ht="15.75" thickBot="1" x14ac:dyDescent="0.3">
      <c r="A10" s="17" t="s">
        <v>436</v>
      </c>
      <c r="B10" s="127">
        <v>65</v>
      </c>
      <c r="C10" s="30">
        <v>0</v>
      </c>
      <c r="D10" s="30">
        <v>0</v>
      </c>
      <c r="E10" s="30">
        <v>0</v>
      </c>
      <c r="F10" s="61">
        <f t="shared" si="0"/>
        <v>65</v>
      </c>
      <c r="G10" s="438"/>
      <c r="I10" s="62"/>
    </row>
    <row r="11" spans="1:11" s="55" customFormat="1" ht="31.5" customHeight="1" thickBot="1" x14ac:dyDescent="0.3">
      <c r="A11" s="40" t="s">
        <v>25</v>
      </c>
      <c r="B11" s="52">
        <f>SUM(B9:B10)</f>
        <v>1265</v>
      </c>
      <c r="C11" s="52">
        <f>SUM(C9:C10)</f>
        <v>0</v>
      </c>
      <c r="D11" s="52">
        <f>SUM(D9:D10)</f>
        <v>0</v>
      </c>
      <c r="E11" s="52">
        <f>SUM(E9:E10)</f>
        <v>0</v>
      </c>
      <c r="F11" s="51">
        <f>SUM(F9:F10)</f>
        <v>1265</v>
      </c>
      <c r="G11" s="75"/>
      <c r="H11" s="225"/>
    </row>
    <row r="12" spans="1:11" s="55" customFormat="1" ht="108" customHeight="1" thickBot="1" x14ac:dyDescent="0.3">
      <c r="A12" s="1156" t="s">
        <v>525</v>
      </c>
      <c r="B12" s="1207"/>
      <c r="C12" s="1207"/>
      <c r="D12" s="1207"/>
      <c r="E12" s="1207"/>
      <c r="F12" s="1207"/>
      <c r="G12" s="1208"/>
      <c r="H12" s="226"/>
    </row>
    <row r="13" spans="1:11" ht="96" customHeight="1" thickBot="1" x14ac:dyDescent="0.3">
      <c r="A13" s="1156" t="s">
        <v>526</v>
      </c>
      <c r="B13" s="1207"/>
      <c r="C13" s="1207"/>
      <c r="D13" s="1207"/>
      <c r="E13" s="1207"/>
      <c r="F13" s="1207"/>
      <c r="G13" s="1208"/>
    </row>
    <row r="14" spans="1:11" s="654" customFormat="1" ht="21.75" customHeight="1" x14ac:dyDescent="0.25">
      <c r="A14" s="654" t="s">
        <v>484</v>
      </c>
    </row>
    <row r="15" spans="1:11" x14ac:dyDescent="0.25">
      <c r="A15" t="s">
        <v>477</v>
      </c>
      <c r="B15" s="664">
        <v>5000</v>
      </c>
      <c r="C15" t="s">
        <v>478</v>
      </c>
      <c r="D15" t="s">
        <v>485</v>
      </c>
    </row>
    <row r="16" spans="1:11" x14ac:dyDescent="0.25">
      <c r="A16" t="s">
        <v>479</v>
      </c>
      <c r="B16" s="664">
        <f>B15/12*3.5</f>
        <v>1458.3333333333335</v>
      </c>
      <c r="C16" t="s">
        <v>481</v>
      </c>
      <c r="D16" t="s">
        <v>480</v>
      </c>
    </row>
    <row r="17" spans="1:2" x14ac:dyDescent="0.25">
      <c r="A17" t="s">
        <v>482</v>
      </c>
      <c r="B17" s="656">
        <f>SUM(B9:B10)</f>
        <v>1265</v>
      </c>
    </row>
    <row r="18" spans="1:2" x14ac:dyDescent="0.25">
      <c r="A18" t="s">
        <v>483</v>
      </c>
      <c r="B18" s="818">
        <f>SUM(B16:B17)</f>
        <v>2723.3333333333335</v>
      </c>
    </row>
  </sheetData>
  <mergeCells count="12">
    <mergeCell ref="A13:G13"/>
    <mergeCell ref="A12:G12"/>
    <mergeCell ref="B1:F1"/>
    <mergeCell ref="B2:F2"/>
    <mergeCell ref="G2:G7"/>
    <mergeCell ref="B3:F3"/>
    <mergeCell ref="B4:F4"/>
    <mergeCell ref="B5:F5"/>
    <mergeCell ref="B6:C6"/>
    <mergeCell ref="D6:E6"/>
    <mergeCell ref="B7:C7"/>
    <mergeCell ref="D7:E7"/>
  </mergeCells>
  <phoneticPr fontId="38" type="noConversion"/>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10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A9" workbookViewId="0">
      <selection activeCell="A15" sqref="A15:XFD15"/>
    </sheetView>
  </sheetViews>
  <sheetFormatPr defaultColWidth="8.85546875" defaultRowHeight="15" x14ac:dyDescent="0.25"/>
  <cols>
    <col min="1" max="1" width="34.7109375" style="149" customWidth="1"/>
    <col min="2" max="6" width="12.7109375" style="149" customWidth="1"/>
    <col min="7" max="7" width="20.7109375" style="149" customWidth="1"/>
    <col min="8" max="10" width="16.7109375" style="149" customWidth="1"/>
    <col min="11" max="16384" width="8.85546875" style="149"/>
  </cols>
  <sheetData>
    <row r="1" spans="1:14" x14ac:dyDescent="0.25">
      <c r="A1" s="41" t="s">
        <v>24</v>
      </c>
      <c r="B1" s="1351" t="str">
        <f>'[12]YEAR 3--FY''17'!T1</f>
        <v>FY'17</v>
      </c>
      <c r="C1" s="1352"/>
      <c r="D1" s="1352"/>
      <c r="E1" s="1352"/>
      <c r="F1" s="1353"/>
      <c r="G1" s="41" t="s">
        <v>21</v>
      </c>
      <c r="H1" s="2"/>
    </row>
    <row r="2" spans="1:14" x14ac:dyDescent="0.25">
      <c r="A2" s="102" t="s">
        <v>11</v>
      </c>
      <c r="B2" s="1221" t="str">
        <f>'[12]YEAR 3--FY''17'!A49</f>
        <v>Coordinate historic/cultural programming</v>
      </c>
      <c r="C2" s="1222"/>
      <c r="D2" s="1222"/>
      <c r="E2" s="1222"/>
      <c r="F2" s="1223"/>
      <c r="G2" s="103"/>
      <c r="H2" s="2"/>
    </row>
    <row r="3" spans="1:14" x14ac:dyDescent="0.25">
      <c r="A3" s="102" t="s">
        <v>26</v>
      </c>
      <c r="B3" s="1394" t="str">
        <f>'[12]YEAR 3--FY''17'!C49</f>
        <v>BOPA</v>
      </c>
      <c r="C3" s="1474"/>
      <c r="D3" s="1474"/>
      <c r="E3" s="1474"/>
      <c r="F3" s="1475"/>
      <c r="G3" s="140"/>
      <c r="H3" s="2"/>
    </row>
    <row r="4" spans="1:14" x14ac:dyDescent="0.25">
      <c r="A4" s="102" t="s">
        <v>13</v>
      </c>
      <c r="B4" s="1221" t="str">
        <f>'[12]YEAR 3--FY''17'!B49</f>
        <v>--</v>
      </c>
      <c r="C4" s="1222"/>
      <c r="D4" s="1222"/>
      <c r="E4" s="1222"/>
      <c r="F4" s="1223"/>
      <c r="G4" s="140"/>
      <c r="H4" s="2"/>
    </row>
    <row r="5" spans="1:14" ht="15.75" thickBot="1" x14ac:dyDescent="0.3">
      <c r="A5" s="103" t="s">
        <v>12</v>
      </c>
      <c r="B5" s="1395" t="str">
        <f>'[12]YEAR 3--FY''17'!D49</f>
        <v>Multi-Year</v>
      </c>
      <c r="C5" s="1476"/>
      <c r="D5" s="1476"/>
      <c r="E5" s="1476"/>
      <c r="F5" s="1477"/>
      <c r="G5" s="140"/>
      <c r="H5" s="2"/>
    </row>
    <row r="6" spans="1:14" ht="15" customHeight="1" x14ac:dyDescent="0.25">
      <c r="A6" s="42" t="s">
        <v>14</v>
      </c>
      <c r="B6" s="1169" t="s">
        <v>512</v>
      </c>
      <c r="C6" s="1170"/>
      <c r="D6" s="1173" t="str">
        <f>'YEAR 4--FY''18'!P1</f>
        <v>FY'17 Carry-Fwd</v>
      </c>
      <c r="E6" s="1174"/>
      <c r="F6" s="813" t="s">
        <v>129</v>
      </c>
      <c r="G6" s="140"/>
      <c r="H6" s="2"/>
    </row>
    <row r="7" spans="1:14" ht="15.75" thickBot="1" x14ac:dyDescent="0.3">
      <c r="A7" s="43"/>
      <c r="B7" s="1171">
        <f>'YEAR 4--FY''18'!Q51</f>
        <v>38000</v>
      </c>
      <c r="C7" s="1253"/>
      <c r="D7" s="1252">
        <f>F7-B7</f>
        <v>43000</v>
      </c>
      <c r="E7" s="1253"/>
      <c r="F7" s="544">
        <f>'YEAR 4--FY''18'!R51</f>
        <v>81000</v>
      </c>
      <c r="G7" s="141"/>
      <c r="H7" s="2"/>
    </row>
    <row r="8" spans="1:14" ht="33" customHeight="1" x14ac:dyDescent="0.25">
      <c r="A8" s="104" t="s">
        <v>22</v>
      </c>
      <c r="B8" s="105" t="s">
        <v>15</v>
      </c>
      <c r="C8" s="106" t="s">
        <v>16</v>
      </c>
      <c r="D8" s="106" t="s">
        <v>17</v>
      </c>
      <c r="E8" s="106" t="s">
        <v>18</v>
      </c>
      <c r="F8" s="107" t="s">
        <v>19</v>
      </c>
      <c r="G8" s="108" t="s">
        <v>20</v>
      </c>
      <c r="H8" s="735" t="s">
        <v>276</v>
      </c>
      <c r="I8" s="735" t="s">
        <v>419</v>
      </c>
      <c r="J8" s="735" t="s">
        <v>420</v>
      </c>
    </row>
    <row r="9" spans="1:14" s="655" customFormat="1" ht="39" customHeight="1" x14ac:dyDescent="0.25">
      <c r="A9" s="690" t="s">
        <v>422</v>
      </c>
      <c r="B9" s="552">
        <v>0</v>
      </c>
      <c r="C9" s="137">
        <v>17000</v>
      </c>
      <c r="D9" s="137">
        <v>0</v>
      </c>
      <c r="E9" s="137">
        <v>0</v>
      </c>
      <c r="F9" s="648">
        <f>SUM(B9:E9)</f>
        <v>17000</v>
      </c>
      <c r="G9" s="139">
        <f>H9-F9</f>
        <v>0</v>
      </c>
      <c r="H9" s="252">
        <v>17000</v>
      </c>
      <c r="I9" s="252">
        <v>17000</v>
      </c>
      <c r="J9" s="252">
        <f t="shared" ref="J9:J10" si="0">H9-I9</f>
        <v>0</v>
      </c>
    </row>
    <row r="10" spans="1:14" s="655" customFormat="1" ht="33.75" customHeight="1" x14ac:dyDescent="0.25">
      <c r="A10" s="691" t="s">
        <v>378</v>
      </c>
      <c r="B10" s="552">
        <v>0</v>
      </c>
      <c r="C10" s="137">
        <v>0</v>
      </c>
      <c r="D10" s="137">
        <v>0</v>
      </c>
      <c r="E10" s="137">
        <v>0</v>
      </c>
      <c r="F10" s="648">
        <f>SUM(B10:E10)</f>
        <v>0</v>
      </c>
      <c r="G10" s="139">
        <f>H10-F10</f>
        <v>23827</v>
      </c>
      <c r="H10" s="252">
        <v>23827</v>
      </c>
      <c r="I10" s="252">
        <v>0</v>
      </c>
      <c r="J10" s="252">
        <f t="shared" si="0"/>
        <v>23827</v>
      </c>
    </row>
    <row r="11" spans="1:14" s="655" customFormat="1" ht="15.95" customHeight="1" x14ac:dyDescent="0.25">
      <c r="A11" s="369" t="s">
        <v>229</v>
      </c>
      <c r="B11" s="552">
        <v>0</v>
      </c>
      <c r="C11" s="137">
        <v>1858</v>
      </c>
      <c r="D11" s="137">
        <v>0</v>
      </c>
      <c r="E11" s="137">
        <v>1858</v>
      </c>
      <c r="F11" s="648">
        <f>SUM(B11:E11)</f>
        <v>3716</v>
      </c>
      <c r="G11" s="139">
        <v>0</v>
      </c>
      <c r="H11" s="252">
        <v>7434</v>
      </c>
      <c r="I11" s="252">
        <v>7434</v>
      </c>
      <c r="J11" s="252">
        <f t="shared" ref="J11:J12" si="1">H11-I11</f>
        <v>0</v>
      </c>
    </row>
    <row r="12" spans="1:14" s="655" customFormat="1" ht="15.95" customHeight="1" thickBot="1" x14ac:dyDescent="0.3">
      <c r="A12" s="369" t="s">
        <v>418</v>
      </c>
      <c r="B12" s="552">
        <v>0</v>
      </c>
      <c r="C12" s="137">
        <v>2935</v>
      </c>
      <c r="D12" s="137">
        <v>0</v>
      </c>
      <c r="E12" s="137">
        <v>2935</v>
      </c>
      <c r="F12" s="648">
        <f>SUM(B12:E12)</f>
        <v>5870</v>
      </c>
      <c r="G12" s="139">
        <v>0</v>
      </c>
      <c r="H12" s="252">
        <v>11739</v>
      </c>
      <c r="I12" s="252">
        <v>11739</v>
      </c>
      <c r="J12" s="252">
        <f t="shared" si="1"/>
        <v>0</v>
      </c>
      <c r="K12" s="252"/>
    </row>
    <row r="13" spans="1:14" ht="24.95" customHeight="1" thickBot="1" x14ac:dyDescent="0.3">
      <c r="A13" s="326" t="s">
        <v>25</v>
      </c>
      <c r="B13" s="142">
        <f t="shared" ref="B13:J13" si="2">SUM(B9:B12)</f>
        <v>0</v>
      </c>
      <c r="C13" s="143">
        <f t="shared" si="2"/>
        <v>21793</v>
      </c>
      <c r="D13" s="143">
        <f t="shared" si="2"/>
        <v>0</v>
      </c>
      <c r="E13" s="143">
        <f t="shared" si="2"/>
        <v>4793</v>
      </c>
      <c r="F13" s="144">
        <f t="shared" si="2"/>
        <v>26586</v>
      </c>
      <c r="G13" s="145">
        <f t="shared" si="2"/>
        <v>23827</v>
      </c>
      <c r="H13" s="749">
        <f t="shared" si="2"/>
        <v>60000</v>
      </c>
      <c r="I13" s="750">
        <f t="shared" si="2"/>
        <v>36173</v>
      </c>
      <c r="J13" s="750">
        <f t="shared" si="2"/>
        <v>23827</v>
      </c>
    </row>
    <row r="14" spans="1:14" s="148" customFormat="1" ht="80.099999999999994" customHeight="1" thickBot="1" x14ac:dyDescent="0.3">
      <c r="A14" s="1180" t="s">
        <v>230</v>
      </c>
      <c r="B14" s="1181"/>
      <c r="C14" s="1181"/>
      <c r="D14" s="1181"/>
      <c r="E14" s="1181"/>
      <c r="F14" s="1181"/>
      <c r="G14" s="1182"/>
      <c r="H14" s="656"/>
      <c r="I14" s="656"/>
      <c r="J14" s="656"/>
    </row>
    <row r="15" spans="1:14" s="164" customFormat="1" ht="75" customHeight="1" thickBot="1" x14ac:dyDescent="0.25">
      <c r="A15" s="1478" t="s">
        <v>760</v>
      </c>
      <c r="B15" s="1479"/>
      <c r="C15" s="1479"/>
      <c r="D15" s="1479"/>
      <c r="E15" s="1479"/>
      <c r="F15" s="1479"/>
      <c r="G15" s="1480"/>
      <c r="H15" s="148"/>
      <c r="I15" s="148"/>
      <c r="J15" s="148"/>
      <c r="K15" s="148"/>
      <c r="L15" s="148"/>
      <c r="M15" s="148"/>
      <c r="N15" s="148"/>
    </row>
  </sheetData>
  <mergeCells count="11">
    <mergeCell ref="A15:G15"/>
    <mergeCell ref="B6:C6"/>
    <mergeCell ref="D6:E6"/>
    <mergeCell ref="B7:C7"/>
    <mergeCell ref="D7:E7"/>
    <mergeCell ref="A14:G14"/>
    <mergeCell ref="B1:F1"/>
    <mergeCell ref="B2:F2"/>
    <mergeCell ref="B3:F3"/>
    <mergeCell ref="B4:F4"/>
    <mergeCell ref="B5:F5"/>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K16" sqref="K16"/>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7" x14ac:dyDescent="0.25">
      <c r="A1" s="151" t="s">
        <v>24</v>
      </c>
      <c r="B1" s="1351" t="str">
        <f>'YEAR 4--FY''18'!AC1</f>
        <v>FY18</v>
      </c>
      <c r="C1" s="1352"/>
      <c r="D1" s="1352"/>
      <c r="E1" s="1352"/>
      <c r="F1" s="1353"/>
      <c r="G1" s="151" t="s">
        <v>21</v>
      </c>
    </row>
    <row r="2" spans="1:7" x14ac:dyDescent="0.25">
      <c r="A2" s="166" t="s">
        <v>11</v>
      </c>
      <c r="B2" s="1162" t="str">
        <f>'[13]YEAR 3--FY''17'!A46</f>
        <v>Expand Waterfront Recreation Opportunities</v>
      </c>
      <c r="C2" s="1163"/>
      <c r="D2" s="1163"/>
      <c r="E2" s="1163"/>
      <c r="F2" s="1164"/>
      <c r="G2" s="1481" t="s">
        <v>235</v>
      </c>
    </row>
    <row r="3" spans="1:7" x14ac:dyDescent="0.25">
      <c r="A3" s="166" t="s">
        <v>26</v>
      </c>
      <c r="B3" s="1165" t="str">
        <f>'[13]YEAR 3--FY''17'!C46</f>
        <v>BCRP-Recreation</v>
      </c>
      <c r="C3" s="1163"/>
      <c r="D3" s="1163"/>
      <c r="E3" s="1163"/>
      <c r="F3" s="1164"/>
      <c r="G3" s="1482"/>
    </row>
    <row r="4" spans="1:7" x14ac:dyDescent="0.25">
      <c r="A4" s="166" t="s">
        <v>13</v>
      </c>
      <c r="B4" s="1162" t="str">
        <f>'[13]YEAR 3--FY''17'!B46</f>
        <v>--</v>
      </c>
      <c r="C4" s="1163"/>
      <c r="D4" s="1163"/>
      <c r="E4" s="1163"/>
      <c r="F4" s="1164"/>
      <c r="G4" s="1482"/>
    </row>
    <row r="5" spans="1:7" ht="15.75" thickBot="1" x14ac:dyDescent="0.3">
      <c r="A5" s="152" t="s">
        <v>12</v>
      </c>
      <c r="B5" s="1209" t="str">
        <f>'[13]YEAR 3--FY''17'!D46</f>
        <v>Multi-Year</v>
      </c>
      <c r="C5" s="1190"/>
      <c r="D5" s="1190"/>
      <c r="E5" s="1190"/>
      <c r="F5" s="1191"/>
      <c r="G5" s="1482"/>
    </row>
    <row r="6" spans="1:7" ht="15" customHeight="1" x14ac:dyDescent="0.25">
      <c r="A6" s="153" t="s">
        <v>14</v>
      </c>
      <c r="B6" s="1169" t="s">
        <v>512</v>
      </c>
      <c r="C6" s="1170"/>
      <c r="D6" s="1173" t="str">
        <f>'YEAR 4--FY''18'!P1</f>
        <v>FY'17 Carry-Fwd</v>
      </c>
      <c r="E6" s="1174"/>
      <c r="F6" s="813" t="s">
        <v>129</v>
      </c>
      <c r="G6" s="1482"/>
    </row>
    <row r="7" spans="1:7" ht="15.75" thickBot="1" x14ac:dyDescent="0.3">
      <c r="A7" s="150"/>
      <c r="B7" s="1195">
        <f>'YEAR 4--FY''18'!Q52</f>
        <v>0</v>
      </c>
      <c r="C7" s="1176"/>
      <c r="D7" s="1175">
        <f>F7-B7</f>
        <v>66819</v>
      </c>
      <c r="E7" s="1176"/>
      <c r="F7" s="1124">
        <f>'YEAR 4--FY''18'!R52</f>
        <v>66819</v>
      </c>
      <c r="G7" s="1483"/>
    </row>
    <row r="8" spans="1:7" ht="33" customHeight="1" x14ac:dyDescent="0.25">
      <c r="A8" s="1120" t="s">
        <v>22</v>
      </c>
      <c r="B8" s="1125" t="s">
        <v>15</v>
      </c>
      <c r="C8" s="1126" t="s">
        <v>16</v>
      </c>
      <c r="D8" s="1126" t="s">
        <v>17</v>
      </c>
      <c r="E8" s="1126" t="s">
        <v>18</v>
      </c>
      <c r="F8" s="1128" t="s">
        <v>19</v>
      </c>
      <c r="G8" s="1119" t="s">
        <v>20</v>
      </c>
    </row>
    <row r="9" spans="1:7" ht="15.95" customHeight="1" x14ac:dyDescent="0.25">
      <c r="A9" s="1134" t="s">
        <v>232</v>
      </c>
      <c r="B9" s="1129">
        <v>31715.79</v>
      </c>
      <c r="C9" s="1140"/>
      <c r="D9" s="1140"/>
      <c r="E9" s="1140"/>
      <c r="F9" s="1130">
        <f>SUM(B9:E9)</f>
        <v>31715.79</v>
      </c>
      <c r="G9" s="138"/>
    </row>
    <row r="10" spans="1:7" ht="15.95" customHeight="1" x14ac:dyDescent="0.25">
      <c r="A10" s="1134" t="s">
        <v>233</v>
      </c>
      <c r="B10" s="1129"/>
      <c r="C10" s="1140"/>
      <c r="D10" s="1140"/>
      <c r="E10" s="1140"/>
      <c r="F10" s="1130">
        <f t="shared" ref="F10:F12" si="0">SUM(B10:E10)</f>
        <v>0</v>
      </c>
      <c r="G10" s="1122"/>
    </row>
    <row r="11" spans="1:7" ht="15.95" customHeight="1" x14ac:dyDescent="0.25">
      <c r="A11" s="1134" t="s">
        <v>234</v>
      </c>
      <c r="B11" s="1129">
        <v>3546.37</v>
      </c>
      <c r="C11" s="1140"/>
      <c r="D11" s="1140"/>
      <c r="E11" s="1140"/>
      <c r="F11" s="1130">
        <f t="shared" si="0"/>
        <v>3546.37</v>
      </c>
      <c r="G11" s="1122"/>
    </row>
    <row r="12" spans="1:7" ht="15.95" customHeight="1" x14ac:dyDescent="0.25">
      <c r="A12" s="1134"/>
      <c r="B12" s="1129">
        <v>32.65</v>
      </c>
      <c r="C12" s="1127"/>
      <c r="D12" s="1127"/>
      <c r="E12" s="1127"/>
      <c r="F12" s="1130">
        <f t="shared" si="0"/>
        <v>32.65</v>
      </c>
      <c r="G12" s="1122"/>
    </row>
    <row r="13" spans="1:7" s="2" customFormat="1" ht="15.95" customHeight="1" thickBot="1" x14ac:dyDescent="0.3">
      <c r="A13" s="1135"/>
      <c r="B13" s="1131"/>
      <c r="C13" s="1132"/>
      <c r="D13" s="1132"/>
      <c r="E13" s="1132"/>
      <c r="F13" s="1133"/>
      <c r="G13" s="1136"/>
    </row>
    <row r="14" spans="1:7" s="655" customFormat="1" ht="22.5" customHeight="1" thickBot="1" x14ac:dyDescent="0.3">
      <c r="A14" s="326" t="s">
        <v>25</v>
      </c>
      <c r="B14" s="1138">
        <v>35294.810000000005</v>
      </c>
      <c r="C14" s="1139">
        <f>SUM(C9:C13)</f>
        <v>0</v>
      </c>
      <c r="D14" s="1139">
        <f>SUM(D9:D13)</f>
        <v>0</v>
      </c>
      <c r="E14" s="1139">
        <f>SUM(E9:E13)</f>
        <v>0</v>
      </c>
      <c r="F14" s="1139">
        <f>SUM(F9:F13)</f>
        <v>35294.810000000005</v>
      </c>
      <c r="G14" s="726">
        <f>F7-F14</f>
        <v>31524.189999999995</v>
      </c>
    </row>
    <row r="15" spans="1:7" ht="50.1" customHeight="1" thickBot="1" x14ac:dyDescent="0.3">
      <c r="A15" s="1180" t="s">
        <v>762</v>
      </c>
      <c r="B15" s="1300"/>
      <c r="C15" s="1300"/>
      <c r="D15" s="1300"/>
      <c r="E15" s="1300"/>
      <c r="F15" s="1300"/>
      <c r="G15" s="1296"/>
    </row>
    <row r="16" spans="1:7" ht="215.1" customHeight="1" thickBot="1" x14ac:dyDescent="0.3">
      <c r="A16" s="1431" t="s">
        <v>761</v>
      </c>
      <c r="B16" s="1432"/>
      <c r="C16" s="1432"/>
      <c r="D16" s="1432"/>
      <c r="E16" s="1432"/>
      <c r="F16" s="1432"/>
      <c r="G16" s="1433"/>
    </row>
  </sheetData>
  <mergeCells count="12">
    <mergeCell ref="A16:G16"/>
    <mergeCell ref="B6:C6"/>
    <mergeCell ref="D6:E6"/>
    <mergeCell ref="G2:G7"/>
    <mergeCell ref="B1:F1"/>
    <mergeCell ref="B2:F2"/>
    <mergeCell ref="B3:F3"/>
    <mergeCell ref="B4:F4"/>
    <mergeCell ref="B5:F5"/>
    <mergeCell ref="B7:C7"/>
    <mergeCell ref="D7:E7"/>
    <mergeCell ref="A15:G15"/>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A21" sqref="A21:G21"/>
    </sheetView>
  </sheetViews>
  <sheetFormatPr defaultColWidth="8.85546875" defaultRowHeight="15" x14ac:dyDescent="0.25"/>
  <cols>
    <col min="1" max="1" width="31" style="149" customWidth="1"/>
    <col min="2" max="6" width="13.7109375" style="149" customWidth="1"/>
    <col min="7" max="7" width="20.7109375" style="149" customWidth="1"/>
    <col min="8" max="16384" width="8.85546875" style="149"/>
  </cols>
  <sheetData>
    <row r="1" spans="1:10" x14ac:dyDescent="0.25">
      <c r="A1" s="151" t="s">
        <v>24</v>
      </c>
      <c r="B1" s="1159" t="str">
        <f>'[13]YEAR 3--FY''17'!T1</f>
        <v>FY'17</v>
      </c>
      <c r="C1" s="1160"/>
      <c r="D1" s="1160"/>
      <c r="E1" s="1160"/>
      <c r="F1" s="1161"/>
      <c r="G1" s="151" t="s">
        <v>21</v>
      </c>
    </row>
    <row r="2" spans="1:10" x14ac:dyDescent="0.25">
      <c r="A2" s="166" t="s">
        <v>11</v>
      </c>
      <c r="B2" s="1162" t="str">
        <f>'[13]YEAR 3--FY''17'!A47</f>
        <v>Expand Community Recreation Opportunities</v>
      </c>
      <c r="C2" s="1163"/>
      <c r="D2" s="1163"/>
      <c r="E2" s="1163"/>
      <c r="F2" s="1164"/>
      <c r="G2" s="44"/>
    </row>
    <row r="3" spans="1:10" x14ac:dyDescent="0.25">
      <c r="A3" s="166" t="s">
        <v>26</v>
      </c>
      <c r="B3" s="1165" t="str">
        <f>'[13]YEAR 3--FY''17'!C47</f>
        <v>BCRP-Recreation</v>
      </c>
      <c r="C3" s="1163"/>
      <c r="D3" s="1163"/>
      <c r="E3" s="1163"/>
      <c r="F3" s="1164"/>
      <c r="G3" s="45"/>
    </row>
    <row r="4" spans="1:10" x14ac:dyDescent="0.25">
      <c r="A4" s="166" t="s">
        <v>13</v>
      </c>
      <c r="B4" s="1162" t="str">
        <f>'[13]YEAR 3--FY''17'!B47</f>
        <v>--</v>
      </c>
      <c r="C4" s="1163"/>
      <c r="D4" s="1163"/>
      <c r="E4" s="1163"/>
      <c r="F4" s="1164"/>
      <c r="G4" s="45"/>
    </row>
    <row r="5" spans="1:10" ht="15.75" thickBot="1" x14ac:dyDescent="0.3">
      <c r="A5" s="152" t="s">
        <v>12</v>
      </c>
      <c r="B5" s="1209" t="str">
        <f>'[13]YEAR 3--FY''17'!D47</f>
        <v>Multi-Year</v>
      </c>
      <c r="C5" s="1190"/>
      <c r="D5" s="1190"/>
      <c r="E5" s="1190"/>
      <c r="F5" s="1191"/>
      <c r="G5" s="45"/>
    </row>
    <row r="6" spans="1:10" ht="15" customHeight="1" x14ac:dyDescent="0.25">
      <c r="A6" s="153" t="s">
        <v>14</v>
      </c>
      <c r="B6" s="1169" t="s">
        <v>512</v>
      </c>
      <c r="C6" s="1170"/>
      <c r="D6" s="1173" t="str">
        <f>'YEAR 4--FY''18'!P1</f>
        <v>FY'17 Carry-Fwd</v>
      </c>
      <c r="E6" s="1174"/>
      <c r="F6" s="813" t="s">
        <v>129</v>
      </c>
      <c r="G6" s="45"/>
    </row>
    <row r="7" spans="1:10" ht="15.75" thickBot="1" x14ac:dyDescent="0.3">
      <c r="A7" s="150"/>
      <c r="B7" s="1171">
        <f>'YEAR 4--FY''18'!Q53</f>
        <v>0</v>
      </c>
      <c r="C7" s="1253"/>
      <c r="D7" s="1252">
        <f>F7-B7</f>
        <v>0</v>
      </c>
      <c r="E7" s="1253"/>
      <c r="F7" s="544">
        <f>'YEAR 4--FY''18'!R53</f>
        <v>0</v>
      </c>
      <c r="G7" s="46"/>
    </row>
    <row r="8" spans="1:10" ht="33" customHeight="1" x14ac:dyDescent="0.25">
      <c r="A8" s="128" t="s">
        <v>22</v>
      </c>
      <c r="B8" s="436" t="s">
        <v>15</v>
      </c>
      <c r="C8" s="368" t="s">
        <v>16</v>
      </c>
      <c r="D8" s="368" t="s">
        <v>17</v>
      </c>
      <c r="E8" s="368" t="s">
        <v>18</v>
      </c>
      <c r="F8" s="437" t="s">
        <v>19</v>
      </c>
      <c r="G8" s="154" t="s">
        <v>20</v>
      </c>
      <c r="H8" s="674" t="s">
        <v>365</v>
      </c>
      <c r="I8"/>
      <c r="J8"/>
    </row>
    <row r="9" spans="1:10" s="655" customFormat="1" ht="33" customHeight="1" x14ac:dyDescent="0.25">
      <c r="A9" s="680" t="s">
        <v>373</v>
      </c>
      <c r="B9" s="681"/>
      <c r="C9" s="682"/>
      <c r="D9" s="682"/>
      <c r="E9" s="682"/>
      <c r="F9" s="683"/>
      <c r="G9" s="668"/>
      <c r="H9" s="684"/>
    </row>
    <row r="10" spans="1:10" ht="15.95" customHeight="1" x14ac:dyDescent="0.25">
      <c r="A10" s="679" t="s">
        <v>370</v>
      </c>
      <c r="B10" s="650"/>
      <c r="C10" s="649"/>
      <c r="D10" s="653"/>
      <c r="E10" s="653"/>
      <c r="F10" s="651">
        <v>1550</v>
      </c>
      <c r="G10" s="648"/>
      <c r="H10" s="675" t="s">
        <v>366</v>
      </c>
      <c r="I10" s="676">
        <v>1550</v>
      </c>
      <c r="J10"/>
    </row>
    <row r="11" spans="1:10" s="654" customFormat="1" ht="15.95" customHeight="1" x14ac:dyDescent="0.25">
      <c r="A11" s="672" t="s">
        <v>371</v>
      </c>
      <c r="B11" s="670"/>
      <c r="C11" s="669"/>
      <c r="D11" s="673"/>
      <c r="E11" s="673"/>
      <c r="F11" s="671">
        <v>1558</v>
      </c>
      <c r="G11" s="666"/>
      <c r="H11" s="675" t="s">
        <v>367</v>
      </c>
      <c r="I11" s="676">
        <v>1558</v>
      </c>
      <c r="J11"/>
    </row>
    <row r="12" spans="1:10" s="654" customFormat="1" ht="15.95" customHeight="1" x14ac:dyDescent="0.25">
      <c r="A12" s="672" t="s">
        <v>372</v>
      </c>
      <c r="B12" s="670"/>
      <c r="C12" s="669"/>
      <c r="D12" s="673"/>
      <c r="E12" s="673"/>
      <c r="F12" s="671">
        <v>5280</v>
      </c>
      <c r="G12" s="666"/>
      <c r="H12" s="675" t="s">
        <v>368</v>
      </c>
      <c r="I12" s="676">
        <v>5280</v>
      </c>
      <c r="J12"/>
    </row>
    <row r="13" spans="1:10" s="655" customFormat="1" ht="33" customHeight="1" x14ac:dyDescent="0.25">
      <c r="A13" s="680" t="s">
        <v>374</v>
      </c>
      <c r="B13" s="681"/>
      <c r="C13" s="682"/>
      <c r="D13" s="682"/>
      <c r="E13" s="682"/>
      <c r="F13" s="683"/>
      <c r="G13" s="668"/>
      <c r="H13" s="684"/>
    </row>
    <row r="14" spans="1:10" s="654" customFormat="1" ht="15.95" customHeight="1" x14ac:dyDescent="0.25">
      <c r="A14" s="672" t="s">
        <v>372</v>
      </c>
      <c r="B14" s="685"/>
      <c r="C14" s="583"/>
      <c r="D14" s="673"/>
      <c r="E14" s="673"/>
      <c r="F14" s="671">
        <v>10080</v>
      </c>
      <c r="G14" s="666"/>
      <c r="H14" s="675"/>
      <c r="I14" s="676"/>
    </row>
    <row r="15" spans="1:10" s="654" customFormat="1" ht="15.95" customHeight="1" x14ac:dyDescent="0.25">
      <c r="A15" s="672" t="s">
        <v>377</v>
      </c>
      <c r="B15" s="685"/>
      <c r="C15" s="583"/>
      <c r="D15" s="673"/>
      <c r="E15" s="673"/>
      <c r="F15" s="671">
        <v>5000</v>
      </c>
      <c r="G15" s="666"/>
      <c r="H15" s="675"/>
      <c r="I15" s="676"/>
    </row>
    <row r="16" spans="1:10" s="654" customFormat="1" ht="15.95" customHeight="1" x14ac:dyDescent="0.25">
      <c r="A16" s="672" t="s">
        <v>375</v>
      </c>
      <c r="B16" s="685"/>
      <c r="C16" s="583"/>
      <c r="D16" s="673"/>
      <c r="E16" s="673"/>
      <c r="F16" s="671">
        <v>6000</v>
      </c>
      <c r="G16" s="666"/>
      <c r="H16" s="675"/>
      <c r="I16" s="676"/>
    </row>
    <row r="17" spans="1:11" ht="15.95" customHeight="1" x14ac:dyDescent="0.25">
      <c r="A17" s="434" t="s">
        <v>376</v>
      </c>
      <c r="B17" s="685"/>
      <c r="C17" s="583"/>
      <c r="D17" s="673"/>
      <c r="E17" s="673"/>
      <c r="F17" s="671">
        <v>5600</v>
      </c>
      <c r="G17" s="647"/>
      <c r="H17" s="677" t="s">
        <v>369</v>
      </c>
      <c r="I17"/>
      <c r="J17" s="678">
        <v>34924</v>
      </c>
      <c r="K17" s="664">
        <f>SUM(I10:I12)</f>
        <v>8388</v>
      </c>
    </row>
    <row r="18" spans="1:11" ht="15.95" customHeight="1" thickBot="1" x14ac:dyDescent="0.3">
      <c r="A18" s="435"/>
      <c r="B18" s="686"/>
      <c r="C18" s="687"/>
      <c r="D18" s="687"/>
      <c r="E18" s="687"/>
      <c r="F18" s="586"/>
      <c r="G18" s="652"/>
    </row>
    <row r="19" spans="1:11" ht="15.95" customHeight="1" thickBot="1" x14ac:dyDescent="0.3">
      <c r="A19" s="175" t="s">
        <v>25</v>
      </c>
      <c r="B19" s="661">
        <f>SUM(B10:B18)</f>
        <v>0</v>
      </c>
      <c r="C19" s="662">
        <f>SUM(C10:C18)</f>
        <v>0</v>
      </c>
      <c r="D19" s="662">
        <f>SUM(D10:D18)</f>
        <v>0</v>
      </c>
      <c r="E19" s="662">
        <f>SUM(E10:E18)</f>
        <v>0</v>
      </c>
      <c r="F19" s="663">
        <f>SUM(F10:F18)</f>
        <v>35068</v>
      </c>
      <c r="G19" s="659">
        <f>50000-F19</f>
        <v>14932</v>
      </c>
      <c r="H19" s="656">
        <f>50000-G19</f>
        <v>35068</v>
      </c>
    </row>
    <row r="20" spans="1:11" s="2" customFormat="1" ht="69.95" customHeight="1" thickBot="1" x14ac:dyDescent="0.3">
      <c r="A20" s="1180" t="s">
        <v>721</v>
      </c>
      <c r="B20" s="1300"/>
      <c r="C20" s="1300"/>
      <c r="D20" s="1300"/>
      <c r="E20" s="1300"/>
      <c r="F20" s="1300"/>
      <c r="G20" s="1296"/>
    </row>
    <row r="21" spans="1:11" ht="60" customHeight="1" thickBot="1" x14ac:dyDescent="0.3">
      <c r="A21" s="1431" t="s">
        <v>763</v>
      </c>
      <c r="B21" s="1432"/>
      <c r="C21" s="1432"/>
      <c r="D21" s="1432"/>
      <c r="E21" s="1432"/>
      <c r="F21" s="1432"/>
      <c r="G21" s="1433"/>
    </row>
  </sheetData>
  <mergeCells count="11">
    <mergeCell ref="A21:G21"/>
    <mergeCell ref="B7:C7"/>
    <mergeCell ref="D7:E7"/>
    <mergeCell ref="B6:C6"/>
    <mergeCell ref="D6:E6"/>
    <mergeCell ref="A20:G20"/>
    <mergeCell ref="B1:F1"/>
    <mergeCell ref="B2:F2"/>
    <mergeCell ref="B3:F3"/>
    <mergeCell ref="B4:F4"/>
    <mergeCell ref="B5:F5"/>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5" zoomScale="124" zoomScaleNormal="124" zoomScalePageLayoutView="124" workbookViewId="0">
      <selection activeCell="A22" sqref="A22:G22"/>
    </sheetView>
  </sheetViews>
  <sheetFormatPr defaultColWidth="8.85546875" defaultRowHeight="15" x14ac:dyDescent="0.25"/>
  <cols>
    <col min="1" max="1" width="40.85546875" style="2" customWidth="1"/>
    <col min="2" max="6" width="11.7109375" style="2" customWidth="1"/>
    <col min="7" max="7" width="20.7109375" style="2" customWidth="1"/>
    <col min="8" max="8" width="9.140625" style="2" bestFit="1" customWidth="1"/>
    <col min="9" max="11" width="8.85546875" style="2"/>
    <col min="12" max="12" width="8.85546875" style="2" customWidth="1"/>
    <col min="13" max="16384" width="8.85546875" style="2"/>
  </cols>
  <sheetData>
    <row r="1" spans="1:9" x14ac:dyDescent="0.25">
      <c r="A1" s="41" t="s">
        <v>24</v>
      </c>
      <c r="B1" s="1351" t="str">
        <f>'[14]YEAR 3--FY''17'!T1</f>
        <v>FY'17</v>
      </c>
      <c r="C1" s="1352"/>
      <c r="D1" s="1352"/>
      <c r="E1" s="1352"/>
      <c r="F1" s="1353"/>
      <c r="G1" s="41" t="s">
        <v>21</v>
      </c>
    </row>
    <row r="2" spans="1:9" x14ac:dyDescent="0.25">
      <c r="A2" s="102" t="s">
        <v>11</v>
      </c>
      <c r="B2" s="1221" t="str">
        <f>'[14]YEAR 3--FY''17'!A52</f>
        <v>Expand City fiberoptic cable/broadband network</v>
      </c>
      <c r="C2" s="1222"/>
      <c r="D2" s="1222"/>
      <c r="E2" s="1222"/>
      <c r="F2" s="1223"/>
      <c r="G2" s="1301"/>
    </row>
    <row r="3" spans="1:9" x14ac:dyDescent="0.25">
      <c r="A3" s="102" t="s">
        <v>26</v>
      </c>
      <c r="B3" s="1394" t="str">
        <f>'[14]YEAR 3--FY''17'!C52</f>
        <v>MOIT</v>
      </c>
      <c r="C3" s="1222"/>
      <c r="D3" s="1222"/>
      <c r="E3" s="1222"/>
      <c r="F3" s="1223"/>
      <c r="G3" s="1302"/>
    </row>
    <row r="4" spans="1:9" x14ac:dyDescent="0.25">
      <c r="A4" s="102" t="s">
        <v>13</v>
      </c>
      <c r="B4" s="1221" t="str">
        <f>'[14]YEAR 3--FY''17'!B52</f>
        <v>7B</v>
      </c>
      <c r="C4" s="1222"/>
      <c r="D4" s="1222"/>
      <c r="E4" s="1222"/>
      <c r="F4" s="1223"/>
      <c r="G4" s="1302"/>
    </row>
    <row r="5" spans="1:9" ht="15.75" thickBot="1" x14ac:dyDescent="0.3">
      <c r="A5" s="103" t="s">
        <v>12</v>
      </c>
      <c r="B5" s="1395" t="str">
        <f>'[14]YEAR 3--FY''17'!D52</f>
        <v>Multi-year</v>
      </c>
      <c r="C5" s="1225"/>
      <c r="D5" s="1225"/>
      <c r="E5" s="1225"/>
      <c r="F5" s="1226"/>
      <c r="G5" s="1302"/>
    </row>
    <row r="6" spans="1:9" s="655" customFormat="1" ht="24.95" customHeight="1" x14ac:dyDescent="0.25">
      <c r="A6" s="42" t="s">
        <v>14</v>
      </c>
      <c r="B6" s="1169" t="s">
        <v>512</v>
      </c>
      <c r="C6" s="1170"/>
      <c r="D6" s="1173" t="str">
        <f>'YEAR 4--FY''18'!P1</f>
        <v>FY'17 Carry-Fwd</v>
      </c>
      <c r="E6" s="1174"/>
      <c r="F6" s="813" t="s">
        <v>129</v>
      </c>
      <c r="G6" s="1302"/>
      <c r="H6" s="252"/>
      <c r="I6" s="765"/>
    </row>
    <row r="7" spans="1:9" ht="15.75" thickBot="1" x14ac:dyDescent="0.3">
      <c r="A7" s="43"/>
      <c r="B7" s="1171">
        <f>'YEAR 4--FY''18'!Q55</f>
        <v>100000</v>
      </c>
      <c r="C7" s="1253"/>
      <c r="D7" s="1252">
        <f>'YEAR 4--FY''18'!P55</f>
        <v>502740</v>
      </c>
      <c r="E7" s="1253"/>
      <c r="F7" s="544">
        <f>'YEAR 4--FY''18'!R55</f>
        <v>602740</v>
      </c>
      <c r="G7" s="1303"/>
      <c r="H7" s="252">
        <f>500000-D7</f>
        <v>-2740</v>
      </c>
    </row>
    <row r="8" spans="1:9" ht="21.95" customHeight="1" thickBot="1" x14ac:dyDescent="0.3">
      <c r="A8" s="616" t="s">
        <v>22</v>
      </c>
      <c r="B8" s="624" t="s">
        <v>15</v>
      </c>
      <c r="C8" s="625" t="s">
        <v>16</v>
      </c>
      <c r="D8" s="625" t="s">
        <v>227</v>
      </c>
      <c r="E8" s="626" t="s">
        <v>18</v>
      </c>
      <c r="F8" s="627" t="s">
        <v>220</v>
      </c>
      <c r="G8" s="628" t="s">
        <v>20</v>
      </c>
    </row>
    <row r="9" spans="1:9" ht="15" customHeight="1" thickBot="1" x14ac:dyDescent="0.3">
      <c r="A9" s="616" t="s">
        <v>184</v>
      </c>
      <c r="B9" s="629">
        <v>0</v>
      </c>
      <c r="C9" s="630">
        <v>0</v>
      </c>
      <c r="D9" s="630">
        <v>0</v>
      </c>
      <c r="E9" s="630">
        <v>0</v>
      </c>
      <c r="F9" s="631">
        <f>SUM(B9:E9)</f>
        <v>0</v>
      </c>
      <c r="G9" s="632">
        <f>2740-F9</f>
        <v>2740</v>
      </c>
    </row>
    <row r="10" spans="1:9" s="382" customFormat="1" ht="15" customHeight="1" x14ac:dyDescent="0.25">
      <c r="A10" s="708" t="s">
        <v>356</v>
      </c>
      <c r="B10" s="1484" t="s">
        <v>358</v>
      </c>
      <c r="C10" s="1485"/>
      <c r="D10" s="1485"/>
      <c r="E10" s="1485"/>
      <c r="F10" s="1486"/>
      <c r="G10" s="603">
        <v>500000</v>
      </c>
    </row>
    <row r="11" spans="1:9" s="382" customFormat="1" ht="15" customHeight="1" x14ac:dyDescent="0.25">
      <c r="A11" s="709" t="s">
        <v>580</v>
      </c>
      <c r="B11" s="900">
        <v>31438</v>
      </c>
      <c r="C11" s="901"/>
      <c r="D11" s="901"/>
      <c r="E11" s="901"/>
      <c r="F11" s="609">
        <f t="shared" ref="F11:F14" si="0">SUM(B11:E11)</f>
        <v>31438</v>
      </c>
      <c r="G11" s="610">
        <f>H11-F11</f>
        <v>0</v>
      </c>
      <c r="H11" s="382">
        <v>31438</v>
      </c>
    </row>
    <row r="12" spans="1:9" s="382" customFormat="1" ht="15" customHeight="1" x14ac:dyDescent="0.25">
      <c r="A12" s="709" t="s">
        <v>581</v>
      </c>
      <c r="B12" s="900"/>
      <c r="C12" s="901"/>
      <c r="D12" s="901"/>
      <c r="E12" s="901"/>
      <c r="F12" s="609">
        <f t="shared" si="0"/>
        <v>0</v>
      </c>
      <c r="G12" s="610">
        <f>H12-F12</f>
        <v>282517</v>
      </c>
      <c r="H12" s="382">
        <v>282517</v>
      </c>
    </row>
    <row r="13" spans="1:9" s="347" customFormat="1" ht="15" customHeight="1" x14ac:dyDescent="0.25">
      <c r="A13" s="709" t="s">
        <v>582</v>
      </c>
      <c r="B13" s="900"/>
      <c r="C13" s="901"/>
      <c r="D13" s="901"/>
      <c r="E13" s="901"/>
      <c r="F13" s="609">
        <f t="shared" si="0"/>
        <v>0</v>
      </c>
      <c r="G13" s="610">
        <f>H13-F13</f>
        <v>38918</v>
      </c>
      <c r="H13" s="347">
        <v>38918</v>
      </c>
    </row>
    <row r="14" spans="1:9" s="381" customFormat="1" ht="15" customHeight="1" thickBot="1" x14ac:dyDescent="0.3">
      <c r="A14" s="710" t="s">
        <v>583</v>
      </c>
      <c r="B14" s="902"/>
      <c r="C14" s="612"/>
      <c r="D14" s="612">
        <v>91832</v>
      </c>
      <c r="E14" s="612"/>
      <c r="F14" s="779">
        <f t="shared" si="0"/>
        <v>91832</v>
      </c>
      <c r="G14" s="610">
        <f>H14-F14</f>
        <v>0</v>
      </c>
      <c r="H14" s="381">
        <v>91832</v>
      </c>
    </row>
    <row r="15" spans="1:9" s="554" customFormat="1" ht="32.25" customHeight="1" thickBot="1" x14ac:dyDescent="0.3">
      <c r="A15" s="707" t="s">
        <v>243</v>
      </c>
      <c r="B15" s="613">
        <f>SUM(B11:B14)</f>
        <v>31438</v>
      </c>
      <c r="C15" s="614">
        <f>SUM(C11:C14)</f>
        <v>0</v>
      </c>
      <c r="D15" s="614">
        <f t="shared" ref="D15:E15" si="1">SUM(D11:D14)</f>
        <v>91832</v>
      </c>
      <c r="E15" s="614">
        <f t="shared" si="1"/>
        <v>0</v>
      </c>
      <c r="F15" s="899">
        <f>SUM(B15:E15)</f>
        <v>123270</v>
      </c>
      <c r="G15" s="615">
        <f>500000-F15</f>
        <v>376730</v>
      </c>
      <c r="H15" s="252">
        <f>G15+2740+100000</f>
        <v>479470</v>
      </c>
    </row>
    <row r="16" spans="1:9" s="554" customFormat="1" ht="15" customHeight="1" x14ac:dyDescent="0.25">
      <c r="A16" s="617" t="s">
        <v>355</v>
      </c>
      <c r="B16" s="1392" t="s">
        <v>358</v>
      </c>
      <c r="C16" s="1487"/>
      <c r="D16" s="1487"/>
      <c r="E16" s="1487"/>
      <c r="F16" s="1488"/>
      <c r="G16" s="618">
        <v>155000</v>
      </c>
      <c r="H16" s="554" t="s">
        <v>228</v>
      </c>
    </row>
    <row r="17" spans="1:8" s="554" customFormat="1" ht="15" customHeight="1" x14ac:dyDescent="0.25">
      <c r="A17" s="778" t="s">
        <v>357</v>
      </c>
      <c r="B17" s="594"/>
      <c r="C17" s="593"/>
      <c r="D17" s="593"/>
      <c r="E17" s="593"/>
      <c r="F17" s="775">
        <f t="shared" ref="F17:F18" si="2">SUM(B17:E17)</f>
        <v>0</v>
      </c>
      <c r="G17" s="777" t="s">
        <v>444</v>
      </c>
    </row>
    <row r="18" spans="1:8" s="554" customFormat="1" ht="15" customHeight="1" x14ac:dyDescent="0.25">
      <c r="A18" s="619" t="s">
        <v>360</v>
      </c>
      <c r="B18" s="594">
        <v>13717</v>
      </c>
      <c r="C18" s="593"/>
      <c r="D18" s="593"/>
      <c r="E18" s="593"/>
      <c r="F18" s="775">
        <f t="shared" si="2"/>
        <v>13717</v>
      </c>
      <c r="G18" s="588">
        <f>13717-F18</f>
        <v>0</v>
      </c>
    </row>
    <row r="19" spans="1:8" s="382" customFormat="1" ht="15" customHeight="1" thickBot="1" x14ac:dyDescent="0.3">
      <c r="A19" s="620" t="s">
        <v>359</v>
      </c>
      <c r="B19" s="604"/>
      <c r="C19" s="605"/>
      <c r="D19" s="605">
        <v>129454</v>
      </c>
      <c r="E19" s="605"/>
      <c r="F19" s="776">
        <f>SUM(B19:E19)</f>
        <v>129454</v>
      </c>
      <c r="G19" s="606">
        <f>129454-F19</f>
        <v>0</v>
      </c>
      <c r="H19" s="382">
        <v>17000</v>
      </c>
    </row>
    <row r="20" spans="1:8" s="554" customFormat="1" ht="32.25" customHeight="1" thickBot="1" x14ac:dyDescent="0.3">
      <c r="A20" s="607" t="s">
        <v>243</v>
      </c>
      <c r="B20" s="621">
        <f>SUM(B16:B19)</f>
        <v>13717</v>
      </c>
      <c r="C20" s="622">
        <f t="shared" ref="C20:E20" si="3">SUM(C16:C19)</f>
        <v>0</v>
      </c>
      <c r="D20" s="622">
        <f t="shared" si="3"/>
        <v>129454</v>
      </c>
      <c r="E20" s="622">
        <f t="shared" si="3"/>
        <v>0</v>
      </c>
      <c r="F20" s="623">
        <f>SUM(B20:E20)</f>
        <v>143171</v>
      </c>
      <c r="G20" s="608">
        <f>G16-F20</f>
        <v>11829</v>
      </c>
      <c r="H20" s="252">
        <f>SUM(F17:F19)</f>
        <v>143171</v>
      </c>
    </row>
    <row r="21" spans="1:8" ht="114.95" customHeight="1" thickBot="1" x14ac:dyDescent="0.3">
      <c r="A21" s="1489" t="s">
        <v>752</v>
      </c>
      <c r="B21" s="1490"/>
      <c r="C21" s="1490"/>
      <c r="D21" s="1490"/>
      <c r="E21" s="1490"/>
      <c r="F21" s="1490"/>
      <c r="G21" s="1422"/>
    </row>
    <row r="22" spans="1:8" ht="212.25" customHeight="1" thickBot="1" x14ac:dyDescent="0.3">
      <c r="A22" s="1431" t="s">
        <v>753</v>
      </c>
      <c r="B22" s="1432"/>
      <c r="C22" s="1432"/>
      <c r="D22" s="1432"/>
      <c r="E22" s="1432"/>
      <c r="F22" s="1432"/>
      <c r="G22" s="1433"/>
    </row>
  </sheetData>
  <mergeCells count="14">
    <mergeCell ref="B7:C7"/>
    <mergeCell ref="D7:E7"/>
    <mergeCell ref="A22:G22"/>
    <mergeCell ref="B1:F1"/>
    <mergeCell ref="B2:F2"/>
    <mergeCell ref="B3:F3"/>
    <mergeCell ref="B4:F4"/>
    <mergeCell ref="B5:F5"/>
    <mergeCell ref="B6:C6"/>
    <mergeCell ref="D6:E6"/>
    <mergeCell ref="B10:F10"/>
    <mergeCell ref="B16:F16"/>
    <mergeCell ref="G2:G7"/>
    <mergeCell ref="A21:G21"/>
  </mergeCells>
  <printOptions horizontalCentered="1"/>
  <pageMargins left="0.75" right="0.75"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Normal="100" zoomScalePageLayoutView="75" workbookViewId="0">
      <selection activeCell="F25" sqref="F25"/>
    </sheetView>
  </sheetViews>
  <sheetFormatPr defaultColWidth="8.85546875" defaultRowHeight="15" x14ac:dyDescent="0.25"/>
  <cols>
    <col min="1" max="1" width="31" customWidth="1"/>
    <col min="2" max="6" width="13.7109375" customWidth="1"/>
    <col min="7" max="7" width="20.7109375" customWidth="1"/>
  </cols>
  <sheetData>
    <row r="1" spans="1:9" x14ac:dyDescent="0.25">
      <c r="A1" s="5" t="s">
        <v>24</v>
      </c>
      <c r="B1" s="1159" t="str">
        <f>'YEAR 4--FY''18'!AC1</f>
        <v>FY18</v>
      </c>
      <c r="C1" s="1160"/>
      <c r="D1" s="1160"/>
      <c r="E1" s="1160"/>
      <c r="F1" s="1161"/>
      <c r="G1" s="19" t="s">
        <v>39</v>
      </c>
    </row>
    <row r="2" spans="1:9" x14ac:dyDescent="0.25">
      <c r="A2" s="7" t="s">
        <v>11</v>
      </c>
      <c r="B2" s="1162" t="str">
        <f>'YEAR 4--FY''18'!B58</f>
        <v>Infrastructure Upgrades in Public Right of Way</v>
      </c>
      <c r="C2" s="1163"/>
      <c r="D2" s="1163"/>
      <c r="E2" s="1163"/>
      <c r="F2" s="1164"/>
      <c r="G2" s="1423"/>
    </row>
    <row r="3" spans="1:9" x14ac:dyDescent="0.25">
      <c r="A3" s="7" t="s">
        <v>26</v>
      </c>
      <c r="B3" s="1234" t="s">
        <v>2</v>
      </c>
      <c r="C3" s="1235"/>
      <c r="D3" s="1235"/>
      <c r="E3" s="1235"/>
      <c r="F3" s="1236"/>
      <c r="G3" s="1424"/>
    </row>
    <row r="4" spans="1:9" x14ac:dyDescent="0.25">
      <c r="A4" s="7" t="s">
        <v>13</v>
      </c>
      <c r="B4" s="1234">
        <v>20</v>
      </c>
      <c r="C4" s="1235"/>
      <c r="D4" s="1235"/>
      <c r="E4" s="1235"/>
      <c r="F4" s="1236"/>
      <c r="G4" s="1424"/>
    </row>
    <row r="5" spans="1:9" ht="15.75" thickBot="1" x14ac:dyDescent="0.3">
      <c r="A5" s="8" t="s">
        <v>12</v>
      </c>
      <c r="B5" s="1251" t="str">
        <f>'YEAR 4--FY''18'!E58</f>
        <v>FY'15-FY'18</v>
      </c>
      <c r="C5" s="1239"/>
      <c r="D5" s="1239"/>
      <c r="E5" s="1239"/>
      <c r="F5" s="1240"/>
      <c r="G5" s="1424"/>
    </row>
    <row r="6" spans="1:9" s="655" customFormat="1" ht="24.95" customHeight="1" x14ac:dyDescent="0.25">
      <c r="A6" s="42" t="s">
        <v>14</v>
      </c>
      <c r="B6" s="1169" t="s">
        <v>512</v>
      </c>
      <c r="C6" s="1170"/>
      <c r="D6" s="1173" t="str">
        <f>'YEAR 4--FY''18'!P1</f>
        <v>FY'17 Carry-Fwd</v>
      </c>
      <c r="E6" s="1174"/>
      <c r="F6" s="813" t="s">
        <v>129</v>
      </c>
      <c r="G6" s="1424"/>
      <c r="H6" s="252"/>
      <c r="I6" s="765"/>
    </row>
    <row r="7" spans="1:9" ht="15.75" thickBot="1" x14ac:dyDescent="0.3">
      <c r="A7" s="4"/>
      <c r="B7" s="1171">
        <f>'YEAR 4--FY''18'!Q58</f>
        <v>1500000</v>
      </c>
      <c r="C7" s="1253"/>
      <c r="D7" s="1252">
        <f>F7-B7</f>
        <v>500000</v>
      </c>
      <c r="E7" s="1253"/>
      <c r="F7" s="544">
        <f>'YEAR 4--FY''18'!R58</f>
        <v>2000000</v>
      </c>
      <c r="G7" s="1425"/>
    </row>
    <row r="8" spans="1:9" ht="33" customHeight="1" x14ac:dyDescent="0.25">
      <c r="A8" s="12" t="s">
        <v>22</v>
      </c>
      <c r="B8" s="15" t="s">
        <v>15</v>
      </c>
      <c r="C8" s="14" t="s">
        <v>16</v>
      </c>
      <c r="D8" s="14" t="s">
        <v>17</v>
      </c>
      <c r="E8" s="14" t="s">
        <v>18</v>
      </c>
      <c r="F8" s="11" t="s">
        <v>19</v>
      </c>
      <c r="G8" s="10" t="s">
        <v>20</v>
      </c>
    </row>
    <row r="9" spans="1:9" x14ac:dyDescent="0.25">
      <c r="A9" s="13" t="s">
        <v>412</v>
      </c>
      <c r="B9" s="29">
        <v>2000000</v>
      </c>
      <c r="C9" s="30"/>
      <c r="D9" s="30"/>
      <c r="E9" s="30"/>
      <c r="F9" s="31">
        <f>SUM(B9:E9)</f>
        <v>2000000</v>
      </c>
      <c r="G9" s="32">
        <f>2000000-F9</f>
        <v>0</v>
      </c>
    </row>
    <row r="10" spans="1:9" ht="15.75" thickBot="1" x14ac:dyDescent="0.3">
      <c r="A10" s="6"/>
      <c r="B10" s="34"/>
      <c r="C10" s="35"/>
      <c r="D10" s="35"/>
      <c r="E10" s="35"/>
      <c r="F10" s="31"/>
      <c r="G10" s="33"/>
    </row>
    <row r="11" spans="1:9" s="1118" customFormat="1" ht="32.25" customHeight="1" thickBot="1" x14ac:dyDescent="0.3">
      <c r="A11" s="1117" t="s">
        <v>25</v>
      </c>
      <c r="B11" s="1116">
        <f>SUM(B9:B10)</f>
        <v>2000000</v>
      </c>
      <c r="C11" s="766">
        <f>SUM(C9:C10)</f>
        <v>0</v>
      </c>
      <c r="D11" s="766">
        <f>SUM(D9:D10)</f>
        <v>0</v>
      </c>
      <c r="E11" s="766">
        <f>SUM(E9:E10)</f>
        <v>0</v>
      </c>
      <c r="F11" s="1115">
        <f>SUM(B11:E11)</f>
        <v>2000000</v>
      </c>
      <c r="G11" s="1137">
        <f>SUM(F7:F7)-F11</f>
        <v>0</v>
      </c>
    </row>
    <row r="12" spans="1:9" ht="84.95" customHeight="1" thickBot="1" x14ac:dyDescent="0.3">
      <c r="A12" s="1156" t="s">
        <v>750</v>
      </c>
      <c r="B12" s="1465"/>
      <c r="C12" s="1465"/>
      <c r="D12" s="1465"/>
      <c r="E12" s="1465"/>
      <c r="F12" s="1465"/>
      <c r="G12" s="1466"/>
    </row>
    <row r="13" spans="1:9" ht="45" customHeight="1" thickBot="1" x14ac:dyDescent="0.3">
      <c r="A13" s="1468" t="s">
        <v>751</v>
      </c>
      <c r="B13" s="1469"/>
      <c r="C13" s="1469"/>
      <c r="D13" s="1469"/>
      <c r="E13" s="1469"/>
      <c r="F13" s="1469"/>
      <c r="G13" s="1470"/>
    </row>
    <row r="22" spans="8:8" x14ac:dyDescent="0.25">
      <c r="H22" t="s">
        <v>518</v>
      </c>
    </row>
  </sheetData>
  <mergeCells count="12">
    <mergeCell ref="A13:G13"/>
    <mergeCell ref="B1:F1"/>
    <mergeCell ref="B2:F2"/>
    <mergeCell ref="B3:F3"/>
    <mergeCell ref="B4:F4"/>
    <mergeCell ref="B5:F5"/>
    <mergeCell ref="B7:C7"/>
    <mergeCell ref="D7:E7"/>
    <mergeCell ref="B6:C6"/>
    <mergeCell ref="D6:E6"/>
    <mergeCell ref="G2:G7"/>
    <mergeCell ref="A12:G12"/>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I15" sqref="I15"/>
    </sheetView>
  </sheetViews>
  <sheetFormatPr defaultColWidth="8.85546875" defaultRowHeight="15" x14ac:dyDescent="0.25"/>
  <cols>
    <col min="1" max="1" width="31" style="149" customWidth="1"/>
    <col min="2" max="6" width="13.7109375" style="149" customWidth="1"/>
    <col min="7" max="7" width="20.7109375" style="149" customWidth="1"/>
    <col min="8" max="8" width="10.140625" style="149" bestFit="1" customWidth="1"/>
    <col min="9" max="16384" width="8.85546875" style="149"/>
  </cols>
  <sheetData>
    <row r="1" spans="1:9" x14ac:dyDescent="0.25">
      <c r="A1" s="151" t="s">
        <v>24</v>
      </c>
      <c r="B1" s="1159" t="str">
        <f>'YEAR 4--FY''18'!AC1</f>
        <v>FY18</v>
      </c>
      <c r="C1" s="1160"/>
      <c r="D1" s="1160"/>
      <c r="E1" s="1160"/>
      <c r="F1" s="1161"/>
      <c r="G1" s="151" t="s">
        <v>39</v>
      </c>
    </row>
    <row r="2" spans="1:9" x14ac:dyDescent="0.25">
      <c r="A2" s="166" t="s">
        <v>11</v>
      </c>
      <c r="B2" s="1162" t="str">
        <f>'YEAR 4--FY''18'!B59</f>
        <v>Steam Line Relocation</v>
      </c>
      <c r="C2" s="1163"/>
      <c r="D2" s="1163"/>
      <c r="E2" s="1163"/>
      <c r="F2" s="1164"/>
      <c r="G2" s="1423"/>
    </row>
    <row r="3" spans="1:9" x14ac:dyDescent="0.25">
      <c r="A3" s="166" t="s">
        <v>26</v>
      </c>
      <c r="B3" s="1237" t="str">
        <f>'YEAR 4--FY''18'!D59</f>
        <v>DOT</v>
      </c>
      <c r="C3" s="1235"/>
      <c r="D3" s="1235"/>
      <c r="E3" s="1235"/>
      <c r="F3" s="1236"/>
      <c r="G3" s="1424"/>
    </row>
    <row r="4" spans="1:9" x14ac:dyDescent="0.25">
      <c r="A4" s="166" t="s">
        <v>13</v>
      </c>
      <c r="B4" s="1234">
        <f>'YEAR 4--FY''18'!C59</f>
        <v>0</v>
      </c>
      <c r="C4" s="1235"/>
      <c r="D4" s="1235"/>
      <c r="E4" s="1235"/>
      <c r="F4" s="1236"/>
      <c r="G4" s="1424"/>
    </row>
    <row r="5" spans="1:9" ht="15.75" thickBot="1" x14ac:dyDescent="0.3">
      <c r="A5" s="152" t="s">
        <v>12</v>
      </c>
      <c r="B5" s="1251" t="str">
        <f>'YEAR 4--FY''18'!E59</f>
        <v>FY'16-FY'17</v>
      </c>
      <c r="C5" s="1239"/>
      <c r="D5" s="1239"/>
      <c r="E5" s="1239"/>
      <c r="F5" s="1240"/>
      <c r="G5" s="1424"/>
    </row>
    <row r="6" spans="1:9" s="655" customFormat="1" ht="24.95" customHeight="1" x14ac:dyDescent="0.25">
      <c r="A6" s="42" t="s">
        <v>14</v>
      </c>
      <c r="B6" s="1169" t="s">
        <v>512</v>
      </c>
      <c r="C6" s="1170"/>
      <c r="D6" s="1173" t="str">
        <f>'YEAR 4--FY''18'!P1</f>
        <v>FY'17 Carry-Fwd</v>
      </c>
      <c r="E6" s="1174"/>
      <c r="F6" s="813" t="s">
        <v>129</v>
      </c>
      <c r="G6" s="1424"/>
      <c r="H6" s="252"/>
      <c r="I6" s="765"/>
    </row>
    <row r="7" spans="1:9" ht="15.75" thickBot="1" x14ac:dyDescent="0.3">
      <c r="A7" s="150"/>
      <c r="B7" s="1171" t="str">
        <f>'YEAR 4--FY''18'!Q59</f>
        <v>NA</v>
      </c>
      <c r="C7" s="1253"/>
      <c r="D7" s="1252" t="e">
        <f>F7-B7</f>
        <v>#VALUE!</v>
      </c>
      <c r="E7" s="1253"/>
      <c r="F7" s="544" t="str">
        <f>'YEAR 4--FY''18'!R59</f>
        <v>NA</v>
      </c>
      <c r="G7" s="1425"/>
      <c r="H7" s="174" t="e">
        <f>F7*2</f>
        <v>#VALUE!</v>
      </c>
    </row>
    <row r="8" spans="1:9" ht="33" customHeight="1" x14ac:dyDescent="0.25">
      <c r="A8" s="155" t="s">
        <v>22</v>
      </c>
      <c r="B8" s="157" t="s">
        <v>15</v>
      </c>
      <c r="C8" s="156" t="s">
        <v>16</v>
      </c>
      <c r="D8" s="156" t="s">
        <v>17</v>
      </c>
      <c r="E8" s="156" t="s">
        <v>18</v>
      </c>
      <c r="F8" s="154" t="s">
        <v>19</v>
      </c>
      <c r="G8" s="111" t="s">
        <v>20</v>
      </c>
    </row>
    <row r="9" spans="1:9" ht="15.75" thickBot="1" x14ac:dyDescent="0.3">
      <c r="A9" s="167" t="s">
        <v>175</v>
      </c>
      <c r="B9" s="374"/>
      <c r="C9" s="375"/>
      <c r="D9" s="169"/>
      <c r="E9" s="169"/>
      <c r="F9" s="170"/>
      <c r="G9" s="32"/>
    </row>
    <row r="10" spans="1:9" ht="20.100000000000001" customHeight="1" thickBot="1" x14ac:dyDescent="0.3">
      <c r="A10" s="40" t="s">
        <v>25</v>
      </c>
      <c r="B10" s="48"/>
      <c r="C10" s="49"/>
      <c r="D10" s="49"/>
      <c r="E10" s="49"/>
      <c r="F10" s="50"/>
      <c r="G10" s="51"/>
    </row>
    <row r="11" spans="1:9" ht="52.5" customHeight="1" thickBot="1" x14ac:dyDescent="0.3">
      <c r="A11" s="1156" t="s">
        <v>209</v>
      </c>
      <c r="B11" s="1295"/>
      <c r="C11" s="1295"/>
      <c r="D11" s="1295"/>
      <c r="E11" s="1295"/>
      <c r="F11" s="1295"/>
      <c r="G11" s="1296"/>
    </row>
    <row r="12" spans="1:9" ht="46.5" customHeight="1" thickBot="1" x14ac:dyDescent="0.3">
      <c r="A12" s="1431" t="s">
        <v>749</v>
      </c>
      <c r="B12" s="1432"/>
      <c r="C12" s="1432"/>
      <c r="D12" s="1432"/>
      <c r="E12" s="1432"/>
      <c r="F12" s="1432"/>
      <c r="G12" s="1433"/>
    </row>
    <row r="13" spans="1:9" x14ac:dyDescent="0.25">
      <c r="A13" s="64"/>
      <c r="B13" s="64"/>
      <c r="C13" s="64"/>
      <c r="D13" s="64"/>
      <c r="E13" s="64"/>
      <c r="F13" s="64"/>
      <c r="G13" s="64"/>
    </row>
  </sheetData>
  <mergeCells count="12">
    <mergeCell ref="A12:G12"/>
    <mergeCell ref="A11:G11"/>
    <mergeCell ref="B1:F1"/>
    <mergeCell ref="B2:F2"/>
    <mergeCell ref="G2:G7"/>
    <mergeCell ref="B3:F3"/>
    <mergeCell ref="B4:F4"/>
    <mergeCell ref="B5:F5"/>
    <mergeCell ref="B6:C6"/>
    <mergeCell ref="D6:E6"/>
    <mergeCell ref="B7:C7"/>
    <mergeCell ref="D7:E7"/>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A21" sqref="A21"/>
    </sheetView>
  </sheetViews>
  <sheetFormatPr defaultColWidth="8.85546875" defaultRowHeight="15" x14ac:dyDescent="0.25"/>
  <cols>
    <col min="1" max="1" width="31" style="654" customWidth="1"/>
    <col min="2" max="6" width="13.7109375" style="654" customWidth="1"/>
    <col min="7" max="7" width="20.7109375" style="654" customWidth="1"/>
    <col min="8" max="8" width="10.140625" style="654" bestFit="1" customWidth="1"/>
    <col min="9" max="16384" width="8.85546875" style="654"/>
  </cols>
  <sheetData>
    <row r="1" spans="1:9" x14ac:dyDescent="0.25">
      <c r="A1" s="536" t="s">
        <v>24</v>
      </c>
      <c r="B1" s="1159" t="str">
        <f>'YEAR 4--FY''18'!AC1</f>
        <v>FY18</v>
      </c>
      <c r="C1" s="1160"/>
      <c r="D1" s="1160"/>
      <c r="E1" s="1160"/>
      <c r="F1" s="1161"/>
      <c r="G1" s="536" t="s">
        <v>39</v>
      </c>
    </row>
    <row r="2" spans="1:9" x14ac:dyDescent="0.25">
      <c r="A2" s="537" t="s">
        <v>11</v>
      </c>
      <c r="B2" s="1162" t="str">
        <f>'YEAR 4--FY''18'!B60</f>
        <v>Middle Branch Fitness and Wellness Center</v>
      </c>
      <c r="C2" s="1163"/>
      <c r="D2" s="1163"/>
      <c r="E2" s="1163"/>
      <c r="F2" s="1164"/>
      <c r="G2" s="1423"/>
    </row>
    <row r="3" spans="1:9" x14ac:dyDescent="0.25">
      <c r="A3" s="537" t="s">
        <v>26</v>
      </c>
      <c r="B3" s="1237" t="str">
        <f>'YEAR 4--FY''18'!D60</f>
        <v>BDC</v>
      </c>
      <c r="C3" s="1235"/>
      <c r="D3" s="1235"/>
      <c r="E3" s="1235"/>
      <c r="F3" s="1236"/>
      <c r="G3" s="1424"/>
    </row>
    <row r="4" spans="1:9" x14ac:dyDescent="0.25">
      <c r="A4" s="537" t="s">
        <v>13</v>
      </c>
      <c r="B4" s="1234">
        <f>'YEAR 4--FY''18'!C60</f>
        <v>0</v>
      </c>
      <c r="C4" s="1235"/>
      <c r="D4" s="1235"/>
      <c r="E4" s="1235"/>
      <c r="F4" s="1236"/>
      <c r="G4" s="1424"/>
    </row>
    <row r="5" spans="1:9" ht="15.75" thickBot="1" x14ac:dyDescent="0.3">
      <c r="A5" s="540" t="s">
        <v>12</v>
      </c>
      <c r="B5" s="1251" t="str">
        <f>'YEAR 4--FY''18'!E60</f>
        <v>Multi-year</v>
      </c>
      <c r="C5" s="1239"/>
      <c r="D5" s="1239"/>
      <c r="E5" s="1239"/>
      <c r="F5" s="1240"/>
      <c r="G5" s="1424"/>
    </row>
    <row r="6" spans="1:9" s="655" customFormat="1" ht="24.95" customHeight="1" x14ac:dyDescent="0.25">
      <c r="A6" s="42" t="s">
        <v>14</v>
      </c>
      <c r="B6" s="1169" t="s">
        <v>512</v>
      </c>
      <c r="C6" s="1170"/>
      <c r="D6" s="1173" t="str">
        <f>'YEAR 4--FY''18'!P1</f>
        <v>FY'17 Carry-Fwd</v>
      </c>
      <c r="E6" s="1174"/>
      <c r="F6" s="813" t="s">
        <v>129</v>
      </c>
      <c r="G6" s="1424"/>
      <c r="H6" s="252"/>
      <c r="I6" s="765"/>
    </row>
    <row r="7" spans="1:9" ht="15.75" thickBot="1" x14ac:dyDescent="0.3">
      <c r="A7" s="543"/>
      <c r="B7" s="1171">
        <f>'YEAR 4--FY''18'!Q60</f>
        <v>1000000</v>
      </c>
      <c r="C7" s="1253"/>
      <c r="D7" s="1252">
        <f>F7-B7</f>
        <v>0</v>
      </c>
      <c r="E7" s="1253"/>
      <c r="F7" s="544">
        <f>'YEAR 4--FY''18'!R60</f>
        <v>1000000</v>
      </c>
      <c r="G7" s="1425"/>
      <c r="H7" s="656">
        <f>F7*2</f>
        <v>2000000</v>
      </c>
    </row>
    <row r="8" spans="1:9" ht="33" customHeight="1" x14ac:dyDescent="0.25">
      <c r="A8" s="546" t="s">
        <v>22</v>
      </c>
      <c r="B8" s="547" t="s">
        <v>15</v>
      </c>
      <c r="C8" s="548" t="s">
        <v>16</v>
      </c>
      <c r="D8" s="548" t="s">
        <v>17</v>
      </c>
      <c r="E8" s="548" t="s">
        <v>18</v>
      </c>
      <c r="F8" s="549" t="s">
        <v>19</v>
      </c>
      <c r="G8" s="550" t="s">
        <v>20</v>
      </c>
    </row>
    <row r="9" spans="1:9" x14ac:dyDescent="0.25">
      <c r="A9" s="373"/>
      <c r="B9" s="374"/>
      <c r="C9" s="375"/>
      <c r="D9" s="375"/>
      <c r="E9" s="375"/>
      <c r="F9" s="170">
        <f>SUM(B9:E9)</f>
        <v>0</v>
      </c>
      <c r="G9" s="32"/>
    </row>
    <row r="10" spans="1:9" ht="15.75" thickBot="1" x14ac:dyDescent="0.3">
      <c r="A10" s="537"/>
      <c r="B10" s="374"/>
      <c r="C10" s="375"/>
      <c r="D10" s="375"/>
      <c r="E10" s="375"/>
      <c r="F10" s="170"/>
      <c r="G10" s="32"/>
    </row>
    <row r="11" spans="1:9" s="1118" customFormat="1" ht="32.25" customHeight="1" thickBot="1" x14ac:dyDescent="0.3">
      <c r="A11" s="1117" t="s">
        <v>25</v>
      </c>
      <c r="B11" s="1116">
        <f>SUM(B9:B10)</f>
        <v>0</v>
      </c>
      <c r="C11" s="766">
        <f>SUM(C9:C10)</f>
        <v>0</v>
      </c>
      <c r="D11" s="766">
        <f>SUM(D9:D10)</f>
        <v>0</v>
      </c>
      <c r="E11" s="766">
        <f>SUM(E9:E10)</f>
        <v>0</v>
      </c>
      <c r="F11" s="1115">
        <f>SUM(B11:E11)</f>
        <v>0</v>
      </c>
      <c r="G11" s="1137">
        <f>SUM(F7:F7)-F11</f>
        <v>1000000</v>
      </c>
    </row>
    <row r="12" spans="1:9" ht="52.5" customHeight="1" thickBot="1" x14ac:dyDescent="0.3">
      <c r="A12" s="1180" t="s">
        <v>748</v>
      </c>
      <c r="B12" s="1295"/>
      <c r="C12" s="1295"/>
      <c r="D12" s="1295"/>
      <c r="E12" s="1295"/>
      <c r="F12" s="1295"/>
      <c r="G12" s="1296"/>
    </row>
    <row r="13" spans="1:9" ht="70.5" customHeight="1" thickBot="1" x14ac:dyDescent="0.3">
      <c r="A13" s="1431" t="s">
        <v>747</v>
      </c>
      <c r="B13" s="1432"/>
      <c r="C13" s="1432"/>
      <c r="D13" s="1432"/>
      <c r="E13" s="1432"/>
      <c r="F13" s="1432"/>
      <c r="G13" s="1433"/>
    </row>
    <row r="14" spans="1:9" x14ac:dyDescent="0.25">
      <c r="A14" s="64"/>
      <c r="B14" s="64"/>
      <c r="C14" s="64"/>
      <c r="D14" s="64"/>
      <c r="E14" s="64"/>
      <c r="F14" s="64"/>
      <c r="G14" s="64"/>
    </row>
  </sheetData>
  <mergeCells count="12">
    <mergeCell ref="A12:G12"/>
    <mergeCell ref="A13:G13"/>
    <mergeCell ref="B1:F1"/>
    <mergeCell ref="B2:F2"/>
    <mergeCell ref="G2:G7"/>
    <mergeCell ref="B3:F3"/>
    <mergeCell ref="B4:F4"/>
    <mergeCell ref="B5:F5"/>
    <mergeCell ref="B6:C6"/>
    <mergeCell ref="D6:E6"/>
    <mergeCell ref="B7:C7"/>
    <mergeCell ref="D7:E7"/>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2" sqref="B2"/>
    </sheetView>
  </sheetViews>
  <sheetFormatPr defaultColWidth="8.85546875" defaultRowHeight="15" x14ac:dyDescent="0.25"/>
  <cols>
    <col min="1" max="1" width="31" customWidth="1"/>
    <col min="2" max="6" width="13.7109375" customWidth="1"/>
    <col min="7" max="7" width="20.7109375" customWidth="1"/>
    <col min="8" max="8" width="11.140625" style="455" bestFit="1" customWidth="1"/>
  </cols>
  <sheetData>
    <row r="1" spans="1:11" x14ac:dyDescent="0.25">
      <c r="A1" s="76" t="s">
        <v>24</v>
      </c>
      <c r="B1" s="87" t="str">
        <f>'YEAR 4--FY''18'!AC1</f>
        <v>FY18</v>
      </c>
      <c r="C1" s="88"/>
      <c r="D1" s="88"/>
      <c r="E1" s="88"/>
      <c r="F1" s="89"/>
      <c r="G1" s="79" t="s">
        <v>21</v>
      </c>
    </row>
    <row r="2" spans="1:11" x14ac:dyDescent="0.25">
      <c r="A2" s="77" t="s">
        <v>11</v>
      </c>
      <c r="B2" s="90" t="str">
        <f>'YEAR 4--FY''18'!B6</f>
        <v>Enhanced Medic Services</v>
      </c>
      <c r="C2" s="86"/>
      <c r="D2" s="86"/>
      <c r="E2" s="86"/>
      <c r="F2" s="91"/>
      <c r="G2" s="84"/>
    </row>
    <row r="3" spans="1:11" x14ac:dyDescent="0.25">
      <c r="A3" s="77" t="s">
        <v>26</v>
      </c>
      <c r="B3" s="268" t="str">
        <f>'YEAR 4--FY''18'!D6</f>
        <v>Fire Dept./EMS</v>
      </c>
      <c r="C3" s="86"/>
      <c r="D3" s="86"/>
      <c r="E3" s="86"/>
      <c r="F3" s="91"/>
      <c r="G3" s="85"/>
    </row>
    <row r="4" spans="1:11" x14ac:dyDescent="0.25">
      <c r="A4" s="77" t="s">
        <v>13</v>
      </c>
      <c r="B4" s="90" t="str">
        <f>'YEAR 4--FY''18'!C6</f>
        <v>5C</v>
      </c>
      <c r="C4" s="86"/>
      <c r="D4" s="86"/>
      <c r="E4" s="86"/>
      <c r="F4" s="91"/>
      <c r="G4" s="85"/>
    </row>
    <row r="5" spans="1:11" ht="15.75" thickBot="1" x14ac:dyDescent="0.3">
      <c r="A5" s="78" t="s">
        <v>12</v>
      </c>
      <c r="B5" s="269" t="str">
        <f>'YEAR 4--FY''18'!E6</f>
        <v>Ongoing</v>
      </c>
      <c r="C5" s="82"/>
      <c r="D5" s="82"/>
      <c r="E5" s="82"/>
      <c r="F5" s="83"/>
      <c r="G5" s="85"/>
    </row>
    <row r="6" spans="1:11" s="655" customFormat="1" ht="24.95" customHeight="1" x14ac:dyDescent="0.25">
      <c r="A6" s="42" t="s">
        <v>14</v>
      </c>
      <c r="B6" s="1169" t="s">
        <v>512</v>
      </c>
      <c r="C6" s="1170"/>
      <c r="D6" s="1173" t="str">
        <f>'YEAR 4--FY''18'!P1</f>
        <v>FY'17 Carry-Fwd</v>
      </c>
      <c r="E6" s="1174"/>
      <c r="F6" s="542" t="s">
        <v>129</v>
      </c>
      <c r="G6" s="73"/>
      <c r="H6" s="252"/>
      <c r="I6" s="765"/>
    </row>
    <row r="7" spans="1:11" ht="15.75" thickBot="1" x14ac:dyDescent="0.3">
      <c r="A7" s="18"/>
      <c r="B7" s="1195">
        <f>'YEAR 4--FY''18'!Q6</f>
        <v>334150</v>
      </c>
      <c r="C7" s="1176"/>
      <c r="D7" s="1175">
        <f>F7-B7</f>
        <v>0</v>
      </c>
      <c r="E7" s="1176"/>
      <c r="F7" s="350">
        <f>'YEAR 4--FY''18'!R6</f>
        <v>334150</v>
      </c>
      <c r="G7" s="74"/>
    </row>
    <row r="8" spans="1:11" ht="33" customHeight="1" x14ac:dyDescent="0.25">
      <c r="A8" s="128" t="s">
        <v>22</v>
      </c>
      <c r="B8" s="388" t="s">
        <v>15</v>
      </c>
      <c r="C8" s="389" t="s">
        <v>16</v>
      </c>
      <c r="D8" s="389" t="s">
        <v>17</v>
      </c>
      <c r="E8" s="389" t="s">
        <v>18</v>
      </c>
      <c r="F8" s="402" t="s">
        <v>19</v>
      </c>
      <c r="G8" s="154" t="s">
        <v>20</v>
      </c>
      <c r="H8" s="454"/>
    </row>
    <row r="9" spans="1:11" x14ac:dyDescent="0.25">
      <c r="A9" s="129" t="s">
        <v>66</v>
      </c>
      <c r="B9" s="47"/>
      <c r="C9" s="814"/>
      <c r="D9" s="814"/>
      <c r="E9" s="814"/>
      <c r="F9" s="462">
        <f>SUM(B9:E9)</f>
        <v>0</v>
      </c>
      <c r="G9" s="459"/>
    </row>
    <row r="10" spans="1:11" s="110" customFormat="1" x14ac:dyDescent="0.25">
      <c r="A10" s="129" t="s">
        <v>67</v>
      </c>
      <c r="B10" s="461">
        <v>89571</v>
      </c>
      <c r="C10" s="815">
        <v>101998</v>
      </c>
      <c r="D10" s="815">
        <v>105010</v>
      </c>
      <c r="E10" s="815">
        <f>H10-SUM(B10:D10)+I10</f>
        <v>61946</v>
      </c>
      <c r="F10" s="462">
        <f>SUM(B10:E10)</f>
        <v>358525</v>
      </c>
      <c r="G10" s="459"/>
      <c r="H10" s="821">
        <f>F7</f>
        <v>334150</v>
      </c>
      <c r="I10" s="821">
        <v>24375</v>
      </c>
      <c r="J10" s="213"/>
    </row>
    <row r="11" spans="1:11" s="372" customFormat="1" ht="15.75" thickBot="1" x14ac:dyDescent="0.3">
      <c r="A11" s="129" t="s">
        <v>263</v>
      </c>
      <c r="B11" s="467"/>
      <c r="C11" s="468"/>
      <c r="D11" s="468"/>
      <c r="E11" s="468"/>
      <c r="F11" s="463">
        <f>SUM(B11:E11)</f>
        <v>0</v>
      </c>
      <c r="G11" s="459"/>
      <c r="H11" s="457"/>
      <c r="I11" s="213"/>
      <c r="J11" s="213"/>
    </row>
    <row r="12" spans="1:11" ht="32.25" customHeight="1" thickBot="1" x14ac:dyDescent="0.3">
      <c r="A12" s="37" t="s">
        <v>25</v>
      </c>
      <c r="B12" s="460">
        <f>SUM(B10:B11)</f>
        <v>89571</v>
      </c>
      <c r="C12" s="460">
        <f>SUM(C9:C11)</f>
        <v>101998</v>
      </c>
      <c r="D12" s="460">
        <f>SUM(D9:D11)</f>
        <v>105010</v>
      </c>
      <c r="E12" s="460">
        <f>SUM(E9:E11)</f>
        <v>61946</v>
      </c>
      <c r="F12" s="460">
        <f t="shared" ref="F12" si="0">SUM(B12:E12)</f>
        <v>358525</v>
      </c>
      <c r="G12" s="38">
        <f>B7-F12</f>
        <v>-24375</v>
      </c>
      <c r="H12" s="821">
        <v>358525</v>
      </c>
      <c r="K12" t="s">
        <v>244</v>
      </c>
    </row>
    <row r="13" spans="1:11" s="55" customFormat="1" ht="90" customHeight="1" thickBot="1" x14ac:dyDescent="0.3">
      <c r="A13" s="1213" t="s">
        <v>527</v>
      </c>
      <c r="B13" s="1214"/>
      <c r="C13" s="1214"/>
      <c r="D13" s="1214"/>
      <c r="E13" s="1214"/>
      <c r="F13" s="1214"/>
      <c r="G13" s="1215"/>
      <c r="H13" s="456"/>
    </row>
    <row r="14" spans="1:11" s="55" customFormat="1" ht="54" hidden="1" customHeight="1" thickBot="1" x14ac:dyDescent="0.3">
      <c r="A14" s="1218" t="s">
        <v>225</v>
      </c>
      <c r="B14" s="1219"/>
      <c r="C14" s="1219"/>
      <c r="D14" s="1219"/>
      <c r="E14" s="1219"/>
      <c r="F14" s="1219"/>
      <c r="G14" s="1220"/>
      <c r="H14" s="456"/>
    </row>
    <row r="15" spans="1:11" s="54" customFormat="1" ht="32.1" hidden="1" customHeight="1" thickBot="1" x14ac:dyDescent="0.3">
      <c r="A15" s="1213" t="s">
        <v>226</v>
      </c>
      <c r="B15" s="1216"/>
      <c r="C15" s="1216"/>
      <c r="D15" s="1216"/>
      <c r="E15" s="1216"/>
      <c r="F15" s="1216"/>
      <c r="G15" s="1217"/>
      <c r="H15" s="457"/>
    </row>
    <row r="16" spans="1:11" ht="32.1" hidden="1" customHeight="1" thickBot="1" x14ac:dyDescent="0.3">
      <c r="A16" s="1213" t="s">
        <v>247</v>
      </c>
      <c r="B16" s="1216"/>
      <c r="C16" s="1216"/>
      <c r="D16" s="1216"/>
      <c r="E16" s="1216"/>
      <c r="F16" s="1216"/>
      <c r="G16" s="1217"/>
      <c r="H16" s="458" t="s">
        <v>83</v>
      </c>
      <c r="I16" s="1" t="s">
        <v>84</v>
      </c>
    </row>
    <row r="17" spans="1:8" s="372" customFormat="1" ht="126" customHeight="1" thickBot="1" x14ac:dyDescent="0.3">
      <c r="A17" s="1210" t="s">
        <v>528</v>
      </c>
      <c r="B17" s="1211"/>
      <c r="C17" s="1211"/>
      <c r="D17" s="1211"/>
      <c r="E17" s="1211"/>
      <c r="F17" s="1211"/>
      <c r="G17" s="1212"/>
      <c r="H17" s="455"/>
    </row>
  </sheetData>
  <mergeCells count="9">
    <mergeCell ref="A17:G17"/>
    <mergeCell ref="B6:C6"/>
    <mergeCell ref="D6:E6"/>
    <mergeCell ref="B7:C7"/>
    <mergeCell ref="D7:E7"/>
    <mergeCell ref="A13:G13"/>
    <mergeCell ref="A16:G16"/>
    <mergeCell ref="A15:G15"/>
    <mergeCell ref="A14:G14"/>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5" sqref="A15:G15"/>
    </sheetView>
  </sheetViews>
  <sheetFormatPr defaultColWidth="8.85546875" defaultRowHeight="15" x14ac:dyDescent="0.25"/>
  <cols>
    <col min="1" max="1" width="31" style="2" customWidth="1"/>
    <col min="2" max="6" width="13.7109375" style="2" customWidth="1"/>
    <col min="7" max="7" width="20.7109375" style="2" customWidth="1"/>
    <col min="8" max="8" width="8.85546875" style="2"/>
    <col min="9" max="9" width="10.140625" style="2" bestFit="1" customWidth="1"/>
    <col min="10" max="16384" width="8.85546875" style="2"/>
  </cols>
  <sheetData>
    <row r="1" spans="1:11" ht="15" customHeight="1" x14ac:dyDescent="0.25">
      <c r="A1" s="798" t="s">
        <v>24</v>
      </c>
      <c r="B1" s="1159" t="s">
        <v>398</v>
      </c>
      <c r="C1" s="1160"/>
      <c r="D1" s="1160"/>
      <c r="E1" s="1160"/>
      <c r="F1" s="1161"/>
      <c r="G1" s="810" t="s">
        <v>21</v>
      </c>
    </row>
    <row r="2" spans="1:11" x14ac:dyDescent="0.25">
      <c r="A2" s="804" t="s">
        <v>11</v>
      </c>
      <c r="B2" s="1221" t="str">
        <f>'YEAR 4--FY''18'!B7</f>
        <v>Enhanced Traffic Enforcement</v>
      </c>
      <c r="C2" s="1222"/>
      <c r="D2" s="1222"/>
      <c r="E2" s="1222"/>
      <c r="F2" s="1223"/>
      <c r="G2" s="801"/>
    </row>
    <row r="3" spans="1:11" x14ac:dyDescent="0.25">
      <c r="A3" s="804" t="s">
        <v>26</v>
      </c>
      <c r="B3" s="1221" t="s">
        <v>2</v>
      </c>
      <c r="C3" s="1222"/>
      <c r="D3" s="1222"/>
      <c r="E3" s="1222"/>
      <c r="F3" s="1223"/>
      <c r="G3" s="802"/>
    </row>
    <row r="4" spans="1:11" x14ac:dyDescent="0.25">
      <c r="A4" s="804" t="s">
        <v>13</v>
      </c>
      <c r="B4" s="1221" t="s">
        <v>52</v>
      </c>
      <c r="C4" s="1222"/>
      <c r="D4" s="1222"/>
      <c r="E4" s="1222"/>
      <c r="F4" s="1223"/>
      <c r="G4" s="802"/>
    </row>
    <row r="5" spans="1:11" ht="15.75" thickBot="1" x14ac:dyDescent="0.3">
      <c r="A5" s="805" t="s">
        <v>12</v>
      </c>
      <c r="B5" s="1224" t="s">
        <v>9</v>
      </c>
      <c r="C5" s="1225"/>
      <c r="D5" s="1225"/>
      <c r="E5" s="1225"/>
      <c r="F5" s="1226"/>
      <c r="G5" s="802"/>
    </row>
    <row r="6" spans="1:11" s="655" customFormat="1" ht="24.95" customHeight="1" x14ac:dyDescent="0.25">
      <c r="A6" s="799" t="s">
        <v>14</v>
      </c>
      <c r="B6" s="1169" t="s">
        <v>512</v>
      </c>
      <c r="C6" s="1170"/>
      <c r="D6" s="1173" t="str">
        <f>'YEAR 4--FY''18'!P1</f>
        <v>FY'17 Carry-Fwd</v>
      </c>
      <c r="E6" s="1174"/>
      <c r="F6" s="813" t="s">
        <v>129</v>
      </c>
      <c r="G6" s="802"/>
      <c r="H6" s="252"/>
      <c r="I6" s="765"/>
    </row>
    <row r="7" spans="1:11" ht="15.75" thickBot="1" x14ac:dyDescent="0.3">
      <c r="A7" s="800"/>
      <c r="B7" s="1195">
        <f>'YEAR 4--FY''18'!Q7</f>
        <v>45000</v>
      </c>
      <c r="C7" s="1176"/>
      <c r="D7" s="1175">
        <f>'YEAR 4--FY''18'!P7</f>
        <v>0</v>
      </c>
      <c r="E7" s="1176"/>
      <c r="F7" s="812">
        <f>SUM(B7:E7)</f>
        <v>45000</v>
      </c>
      <c r="G7" s="803"/>
    </row>
    <row r="8" spans="1:11" ht="33" customHeight="1" x14ac:dyDescent="0.25">
      <c r="A8" s="836" t="s">
        <v>22</v>
      </c>
      <c r="B8" s="806" t="s">
        <v>15</v>
      </c>
      <c r="C8" s="807" t="s">
        <v>16</v>
      </c>
      <c r="D8" s="807" t="s">
        <v>17</v>
      </c>
      <c r="E8" s="807" t="s">
        <v>18</v>
      </c>
      <c r="F8" s="808" t="s">
        <v>19</v>
      </c>
      <c r="G8" s="808" t="s">
        <v>20</v>
      </c>
    </row>
    <row r="9" spans="1:11" ht="15.75" thickBot="1" x14ac:dyDescent="0.3">
      <c r="A9" s="837" t="s">
        <v>487</v>
      </c>
      <c r="B9" s="842">
        <v>3960</v>
      </c>
      <c r="C9" s="843">
        <v>6143</v>
      </c>
      <c r="D9" s="843">
        <v>0</v>
      </c>
      <c r="E9" s="843">
        <v>902</v>
      </c>
      <c r="F9" s="844">
        <v>0</v>
      </c>
      <c r="G9" s="838"/>
      <c r="H9" s="655"/>
      <c r="I9" s="357">
        <v>0</v>
      </c>
      <c r="J9" s="2" t="s">
        <v>445</v>
      </c>
    </row>
    <row r="10" spans="1:11" s="54" customFormat="1" ht="31.5" customHeight="1" thickBot="1" x14ac:dyDescent="0.3">
      <c r="A10" s="811" t="s">
        <v>25</v>
      </c>
      <c r="B10" s="839">
        <f>SUM(B9)</f>
        <v>3960</v>
      </c>
      <c r="C10" s="840">
        <f>SUM(C9)</f>
        <v>6143</v>
      </c>
      <c r="D10" s="840">
        <f>SUM(D9)</f>
        <v>0</v>
      </c>
      <c r="E10" s="840">
        <f>SUM(E9)</f>
        <v>902</v>
      </c>
      <c r="F10" s="841">
        <f>SUM(B10:E10)</f>
        <v>11005</v>
      </c>
      <c r="G10" s="809">
        <f>F7-F10</f>
        <v>33995</v>
      </c>
      <c r="H10" s="215"/>
      <c r="I10" s="782">
        <f>SUM(I9:I9)</f>
        <v>0</v>
      </c>
    </row>
    <row r="11" spans="1:11" s="54" customFormat="1" ht="134.1" customHeight="1" thickBot="1" x14ac:dyDescent="0.3">
      <c r="A11" s="1156" t="s">
        <v>529</v>
      </c>
      <c r="B11" s="1230"/>
      <c r="C11" s="1230"/>
      <c r="D11" s="1230"/>
      <c r="E11" s="1230"/>
      <c r="F11" s="1230"/>
      <c r="G11" s="1208"/>
    </row>
    <row r="12" spans="1:11" ht="107.25" hidden="1" customHeight="1" thickBot="1" x14ac:dyDescent="0.3">
      <c r="A12" s="1227" t="s">
        <v>223</v>
      </c>
      <c r="B12" s="1228"/>
      <c r="C12" s="1228"/>
      <c r="D12" s="1228"/>
      <c r="E12" s="1228"/>
      <c r="F12" s="1228"/>
      <c r="G12" s="1229"/>
    </row>
    <row r="13" spans="1:11" ht="36" hidden="1" customHeight="1" thickBot="1" x14ac:dyDescent="0.3">
      <c r="A13" s="1156" t="s">
        <v>78</v>
      </c>
      <c r="B13" s="1207"/>
      <c r="C13" s="1207"/>
      <c r="D13" s="1207"/>
      <c r="E13" s="1207"/>
      <c r="F13" s="1207"/>
      <c r="G13" s="1208"/>
    </row>
    <row r="14" spans="1:11" ht="45" hidden="1" customHeight="1" thickBot="1" x14ac:dyDescent="0.3">
      <c r="A14" s="1156" t="s">
        <v>246</v>
      </c>
      <c r="B14" s="1207"/>
      <c r="C14" s="1207"/>
      <c r="D14" s="1207"/>
      <c r="E14" s="1207"/>
      <c r="F14" s="1207"/>
      <c r="G14" s="1208"/>
      <c r="K14" s="2" t="s">
        <v>222</v>
      </c>
    </row>
    <row r="15" spans="1:11" s="655" customFormat="1" ht="57" customHeight="1" thickBot="1" x14ac:dyDescent="0.3">
      <c r="A15" s="1156" t="s">
        <v>530</v>
      </c>
      <c r="B15" s="1207"/>
      <c r="C15" s="1207"/>
      <c r="D15" s="1207"/>
      <c r="E15" s="1207"/>
      <c r="F15" s="1207"/>
      <c r="G15" s="1208"/>
    </row>
  </sheetData>
  <mergeCells count="14">
    <mergeCell ref="A15:G15"/>
    <mergeCell ref="A14:G14"/>
    <mergeCell ref="B1:F1"/>
    <mergeCell ref="B2:F2"/>
    <mergeCell ref="B3:F3"/>
    <mergeCell ref="B4:F4"/>
    <mergeCell ref="B5:F5"/>
    <mergeCell ref="B7:C7"/>
    <mergeCell ref="D7:E7"/>
    <mergeCell ref="B6:C6"/>
    <mergeCell ref="D6:E6"/>
    <mergeCell ref="A13:G13"/>
    <mergeCell ref="A12:G12"/>
    <mergeCell ref="A11:G11"/>
  </mergeCells>
  <phoneticPr fontId="38" type="noConversion"/>
  <printOptions horizontalCentered="1"/>
  <pageMargins left="0.75" right="0.75" top="1" bottom="0.5" header="0.3" footer="0.3"/>
  <pageSetup fitToHeight="2"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A23" sqref="A23:G23"/>
    </sheetView>
  </sheetViews>
  <sheetFormatPr defaultColWidth="8.85546875" defaultRowHeight="15" x14ac:dyDescent="0.25"/>
  <cols>
    <col min="1" max="1" width="31" customWidth="1"/>
    <col min="2" max="6" width="13.7109375" customWidth="1"/>
    <col min="7" max="7" width="20.7109375" customWidth="1"/>
    <col min="8" max="8" width="17.85546875" customWidth="1"/>
  </cols>
  <sheetData>
    <row r="1" spans="1:9" x14ac:dyDescent="0.25">
      <c r="A1" s="151" t="s">
        <v>24</v>
      </c>
      <c r="B1" s="1231" t="s">
        <v>398</v>
      </c>
      <c r="C1" s="1232"/>
      <c r="D1" s="1232"/>
      <c r="E1" s="1232"/>
      <c r="F1" s="1233"/>
      <c r="G1" s="151" t="s">
        <v>21</v>
      </c>
    </row>
    <row r="2" spans="1:9" x14ac:dyDescent="0.25">
      <c r="A2" s="166" t="s">
        <v>11</v>
      </c>
      <c r="B2" s="1234" t="str">
        <f>'[1]YEAR 3--FY''17'!A8</f>
        <v>CitiWatch Initial Installation, Maintenance &amp; Study</v>
      </c>
      <c r="C2" s="1235"/>
      <c r="D2" s="1235"/>
      <c r="E2" s="1235"/>
      <c r="F2" s="1236"/>
      <c r="G2" s="44"/>
    </row>
    <row r="3" spans="1:9" x14ac:dyDescent="0.25">
      <c r="A3" s="166" t="s">
        <v>26</v>
      </c>
      <c r="B3" s="1237" t="str">
        <f>'[1]YEAR 3--FY''17'!C8</f>
        <v>MOCJ</v>
      </c>
      <c r="C3" s="1235"/>
      <c r="D3" s="1235"/>
      <c r="E3" s="1235"/>
      <c r="F3" s="1236"/>
      <c r="G3" s="45"/>
    </row>
    <row r="4" spans="1:9" x14ac:dyDescent="0.25">
      <c r="A4" s="166" t="s">
        <v>13</v>
      </c>
      <c r="B4" s="1234">
        <f>'[1]YEAR 3--FY''17'!B8</f>
        <v>7</v>
      </c>
      <c r="C4" s="1235"/>
      <c r="D4" s="1235"/>
      <c r="E4" s="1235"/>
      <c r="F4" s="1236"/>
      <c r="G4" s="45"/>
    </row>
    <row r="5" spans="1:9" ht="15.75" thickBot="1" x14ac:dyDescent="0.3">
      <c r="A5" s="152" t="s">
        <v>12</v>
      </c>
      <c r="B5" s="1238" t="s">
        <v>42</v>
      </c>
      <c r="C5" s="1239"/>
      <c r="D5" s="1239"/>
      <c r="E5" s="1239"/>
      <c r="F5" s="1240"/>
      <c r="G5" s="45"/>
    </row>
    <row r="6" spans="1:9" s="655" customFormat="1" ht="24.95" customHeight="1" x14ac:dyDescent="0.25">
      <c r="A6" s="42" t="s">
        <v>14</v>
      </c>
      <c r="B6" s="1169" t="s">
        <v>512</v>
      </c>
      <c r="C6" s="1170"/>
      <c r="D6" s="1173" t="str">
        <f>'YEAR 4--FY''18'!P1</f>
        <v>FY'17 Carry-Fwd</v>
      </c>
      <c r="E6" s="1174"/>
      <c r="F6" s="813" t="s">
        <v>129</v>
      </c>
      <c r="G6" s="73"/>
      <c r="H6" s="252"/>
      <c r="I6" s="765"/>
    </row>
    <row r="7" spans="1:9" ht="15.75" thickBot="1" x14ac:dyDescent="0.3">
      <c r="A7" s="150"/>
      <c r="B7" s="1195">
        <f>'YEAR 4--FY''18'!Q8</f>
        <v>30000</v>
      </c>
      <c r="C7" s="1176"/>
      <c r="D7" s="1175">
        <f>F7-B7</f>
        <v>5850</v>
      </c>
      <c r="E7" s="1176"/>
      <c r="F7" s="350">
        <f>'YEAR 4--FY''18'!R8</f>
        <v>35850</v>
      </c>
      <c r="G7" s="46"/>
    </row>
    <row r="8" spans="1:9" ht="33" customHeight="1" x14ac:dyDescent="0.25">
      <c r="A8" s="155" t="s">
        <v>22</v>
      </c>
      <c r="B8" s="157" t="s">
        <v>15</v>
      </c>
      <c r="C8" s="156" t="s">
        <v>16</v>
      </c>
      <c r="D8" s="156" t="s">
        <v>17</v>
      </c>
      <c r="E8" s="156" t="s">
        <v>18</v>
      </c>
      <c r="F8" s="154" t="s">
        <v>19</v>
      </c>
      <c r="G8" s="550" t="s">
        <v>21</v>
      </c>
    </row>
    <row r="9" spans="1:9" s="655" customFormat="1" x14ac:dyDescent="0.25">
      <c r="A9" s="59" t="s">
        <v>491</v>
      </c>
      <c r="B9" s="827">
        <v>1904</v>
      </c>
      <c r="C9" s="827">
        <v>1298</v>
      </c>
      <c r="D9" s="827">
        <v>792</v>
      </c>
      <c r="E9" s="827">
        <v>0</v>
      </c>
      <c r="F9" s="828">
        <f t="shared" ref="F9" si="0">SUM(B9:E9)</f>
        <v>3994</v>
      </c>
      <c r="G9" s="826" t="s">
        <v>508</v>
      </c>
      <c r="H9" s="252">
        <v>23733.53</v>
      </c>
      <c r="I9" s="655">
        <f>398+88</f>
        <v>486</v>
      </c>
    </row>
    <row r="10" spans="1:9" ht="15.75" thickBot="1" x14ac:dyDescent="0.3">
      <c r="A10" s="159" t="s">
        <v>490</v>
      </c>
      <c r="B10" s="171"/>
      <c r="C10" s="376"/>
      <c r="D10" s="376"/>
      <c r="E10" s="376"/>
      <c r="F10" s="173">
        <f>SUM(B10:E10)</f>
        <v>0</v>
      </c>
      <c r="G10" s="214"/>
      <c r="H10" s="174">
        <f>SUM(F9:F10)</f>
        <v>3994</v>
      </c>
    </row>
    <row r="11" spans="1:9" ht="24" customHeight="1" thickBot="1" x14ac:dyDescent="0.3">
      <c r="A11" s="40" t="s">
        <v>25</v>
      </c>
      <c r="B11" s="48">
        <f>SUM(B9:B10)</f>
        <v>1904</v>
      </c>
      <c r="C11" s="52">
        <f>SUM(C9:C10)</f>
        <v>1298</v>
      </c>
      <c r="D11" s="52">
        <f>SUM(D9:D10)</f>
        <v>792</v>
      </c>
      <c r="E11" s="52">
        <f>SUM(E9:E10)</f>
        <v>0</v>
      </c>
      <c r="F11" s="51">
        <f>SUM(B11:E11)</f>
        <v>3994</v>
      </c>
      <c r="G11" s="53">
        <f>F7-F11</f>
        <v>31856</v>
      </c>
    </row>
    <row r="12" spans="1:9" s="55" customFormat="1" ht="216" customHeight="1" thickBot="1" x14ac:dyDescent="0.3">
      <c r="A12" s="1241" t="s">
        <v>531</v>
      </c>
      <c r="B12" s="1242"/>
      <c r="C12" s="1242"/>
      <c r="D12" s="1242"/>
      <c r="E12" s="1242"/>
      <c r="F12" s="1242"/>
      <c r="G12" s="1243"/>
    </row>
    <row r="13" spans="1:9" s="55" customFormat="1" ht="68.25" hidden="1" customHeight="1" thickBot="1" x14ac:dyDescent="0.3">
      <c r="A13" s="1156" t="s">
        <v>206</v>
      </c>
      <c r="B13" s="1207"/>
      <c r="C13" s="1207"/>
      <c r="D13" s="1207"/>
      <c r="E13" s="1207"/>
      <c r="F13" s="1207"/>
      <c r="G13" s="1208"/>
    </row>
    <row r="14" spans="1:9" ht="90" customHeight="1" thickBot="1" x14ac:dyDescent="0.3">
      <c r="A14" s="1180" t="s">
        <v>532</v>
      </c>
      <c r="B14" s="1207"/>
      <c r="C14" s="1207"/>
      <c r="D14" s="1207"/>
      <c r="E14" s="1207"/>
      <c r="F14" s="1207"/>
      <c r="G14" s="1208"/>
    </row>
    <row r="15" spans="1:9" x14ac:dyDescent="0.25">
      <c r="A15" s="558" t="s">
        <v>494</v>
      </c>
      <c r="B15" s="252">
        <v>924</v>
      </c>
      <c r="C15" s="656"/>
    </row>
    <row r="16" spans="1:9" x14ac:dyDescent="0.25">
      <c r="A16" s="558" t="s">
        <v>495</v>
      </c>
      <c r="B16" s="252">
        <v>374</v>
      </c>
      <c r="C16" s="656"/>
    </row>
    <row r="17" spans="1:3" x14ac:dyDescent="0.25">
      <c r="A17" s="558" t="s">
        <v>496</v>
      </c>
      <c r="B17" s="252">
        <v>44</v>
      </c>
      <c r="C17" s="656">
        <f>SUM(B15:B17)</f>
        <v>1342</v>
      </c>
    </row>
    <row r="18" spans="1:3" x14ac:dyDescent="0.25">
      <c r="A18" s="558" t="s">
        <v>497</v>
      </c>
      <c r="B18" s="252">
        <v>462</v>
      </c>
      <c r="C18" s="656"/>
    </row>
    <row r="19" spans="1:3" x14ac:dyDescent="0.25">
      <c r="A19" s="558" t="s">
        <v>498</v>
      </c>
      <c r="B19" s="252">
        <v>748</v>
      </c>
      <c r="C19" s="656"/>
    </row>
    <row r="20" spans="1:3" x14ac:dyDescent="0.25">
      <c r="A20" s="558" t="s">
        <v>499</v>
      </c>
      <c r="B20" s="252">
        <v>1628</v>
      </c>
      <c r="C20" s="656">
        <f>SUM(B18:B20)</f>
        <v>2838</v>
      </c>
    </row>
    <row r="21" spans="1:3" x14ac:dyDescent="0.25">
      <c r="A21" s="558" t="s">
        <v>500</v>
      </c>
      <c r="B21" s="252">
        <v>132</v>
      </c>
      <c r="C21" s="656"/>
    </row>
    <row r="22" spans="1:3" x14ac:dyDescent="0.25">
      <c r="A22" s="558" t="s">
        <v>493</v>
      </c>
      <c r="B22" s="252"/>
      <c r="C22" s="656"/>
    </row>
    <row r="23" spans="1:3" x14ac:dyDescent="0.25">
      <c r="A23" s="558" t="s">
        <v>501</v>
      </c>
      <c r="B23" s="252">
        <v>1584</v>
      </c>
      <c r="C23" s="656">
        <f>SUM(B21:B23)</f>
        <v>1716</v>
      </c>
    </row>
    <row r="24" spans="1:3" x14ac:dyDescent="0.25">
      <c r="A24" s="822">
        <v>43191</v>
      </c>
      <c r="B24" s="252"/>
      <c r="C24" s="656"/>
    </row>
    <row r="25" spans="1:3" x14ac:dyDescent="0.25">
      <c r="A25" s="822">
        <v>43221</v>
      </c>
      <c r="B25" s="656"/>
      <c r="C25" s="656"/>
    </row>
    <row r="26" spans="1:3" x14ac:dyDescent="0.25">
      <c r="A26" s="558" t="s">
        <v>502</v>
      </c>
      <c r="B26" s="656"/>
      <c r="C26" s="656">
        <f>SUM(B24:B26)</f>
        <v>0</v>
      </c>
    </row>
    <row r="27" spans="1:3" x14ac:dyDescent="0.25">
      <c r="B27" s="656"/>
      <c r="C27" s="750">
        <f>SUM(C15:C26)</f>
        <v>5896</v>
      </c>
    </row>
  </sheetData>
  <mergeCells count="12">
    <mergeCell ref="A13:G13"/>
    <mergeCell ref="A14:G14"/>
    <mergeCell ref="B1:F1"/>
    <mergeCell ref="B2:F2"/>
    <mergeCell ref="B3:F3"/>
    <mergeCell ref="B4:F4"/>
    <mergeCell ref="B5:F5"/>
    <mergeCell ref="B6:C6"/>
    <mergeCell ref="D6:E6"/>
    <mergeCell ref="B7:C7"/>
    <mergeCell ref="D7:E7"/>
    <mergeCell ref="A12:G12"/>
  </mergeCells>
  <printOptions horizontalCentered="1"/>
  <pageMargins left="0.7" right="0.7" top="1" bottom="0.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3" sqref="A23:G23"/>
    </sheetView>
  </sheetViews>
  <sheetFormatPr defaultColWidth="8.85546875" defaultRowHeight="15" x14ac:dyDescent="0.25"/>
  <cols>
    <col min="1" max="1" width="31" style="149" customWidth="1"/>
    <col min="2" max="6" width="13.7109375" style="149" customWidth="1"/>
    <col min="7" max="7" width="20.7109375" style="149" customWidth="1"/>
    <col min="8" max="8" width="13.140625" style="149" customWidth="1"/>
    <col min="9" max="16384" width="8.85546875" style="149"/>
  </cols>
  <sheetData>
    <row r="1" spans="1:9" x14ac:dyDescent="0.25">
      <c r="A1" s="151" t="s">
        <v>24</v>
      </c>
      <c r="B1" s="1231" t="str">
        <f>'YEAR 4--FY''18'!AC1</f>
        <v>FY18</v>
      </c>
      <c r="C1" s="1232"/>
      <c r="D1" s="1232"/>
      <c r="E1" s="1232"/>
      <c r="F1" s="1233"/>
      <c r="G1" s="151" t="s">
        <v>21</v>
      </c>
    </row>
    <row r="2" spans="1:9" x14ac:dyDescent="0.25">
      <c r="A2" s="166" t="s">
        <v>11</v>
      </c>
      <c r="B2" s="1234" t="str">
        <f>'YEAR 4--FY''18'!B9</f>
        <v>Project Management/Coordination, LDC Support</v>
      </c>
      <c r="C2" s="1235"/>
      <c r="D2" s="1235"/>
      <c r="E2" s="1235"/>
      <c r="F2" s="1236"/>
      <c r="G2" s="1248"/>
    </row>
    <row r="3" spans="1:9" x14ac:dyDescent="0.25">
      <c r="A3" s="166" t="s">
        <v>26</v>
      </c>
      <c r="B3" s="1237" t="str">
        <f>'YEAR 4--FY''18'!D9</f>
        <v>Mayor's Office END</v>
      </c>
      <c r="C3" s="1235"/>
      <c r="D3" s="1235"/>
      <c r="E3" s="1235"/>
      <c r="F3" s="1236"/>
      <c r="G3" s="1249"/>
    </row>
    <row r="4" spans="1:9" x14ac:dyDescent="0.25">
      <c r="A4" s="166" t="s">
        <v>13</v>
      </c>
      <c r="B4" s="1234">
        <f>'YEAR 4--FY''18'!C9</f>
        <v>21</v>
      </c>
      <c r="C4" s="1235"/>
      <c r="D4" s="1235"/>
      <c r="E4" s="1235"/>
      <c r="F4" s="1236"/>
      <c r="G4" s="1249"/>
    </row>
    <row r="5" spans="1:9" ht="15.75" thickBot="1" x14ac:dyDescent="0.3">
      <c r="A5" s="152" t="s">
        <v>12</v>
      </c>
      <c r="B5" s="1251" t="str">
        <f>'YEAR 4--FY''18'!E9</f>
        <v>Ongoing</v>
      </c>
      <c r="C5" s="1239"/>
      <c r="D5" s="1239"/>
      <c r="E5" s="1239"/>
      <c r="F5" s="1240"/>
      <c r="G5" s="1249"/>
    </row>
    <row r="6" spans="1:9" s="655" customFormat="1" ht="24.95" customHeight="1" x14ac:dyDescent="0.25">
      <c r="A6" s="42" t="s">
        <v>14</v>
      </c>
      <c r="B6" s="1169" t="s">
        <v>512</v>
      </c>
      <c r="C6" s="1170"/>
      <c r="D6" s="1173" t="str">
        <f>'YEAR 4--FY''18'!P1</f>
        <v>FY'17 Carry-Fwd</v>
      </c>
      <c r="E6" s="1174"/>
      <c r="F6" s="813" t="s">
        <v>129</v>
      </c>
      <c r="G6" s="1249"/>
      <c r="H6" s="252"/>
      <c r="I6" s="765"/>
    </row>
    <row r="7" spans="1:9" ht="15.75" thickBot="1" x14ac:dyDescent="0.3">
      <c r="A7" s="150"/>
      <c r="B7" s="1195">
        <f>'YEAR 4--FY''18'!Q9</f>
        <v>152703</v>
      </c>
      <c r="C7" s="1176"/>
      <c r="D7" s="1175">
        <f>F7-B7</f>
        <v>0</v>
      </c>
      <c r="E7" s="1176"/>
      <c r="F7" s="350">
        <f>'YEAR 4--FY''18'!R9</f>
        <v>152703</v>
      </c>
      <c r="G7" s="1250"/>
    </row>
    <row r="8" spans="1:9" ht="33" customHeight="1" x14ac:dyDescent="0.25">
      <c r="A8" s="155" t="s">
        <v>22</v>
      </c>
      <c r="B8" s="157" t="s">
        <v>15</v>
      </c>
      <c r="C8" s="156" t="s">
        <v>16</v>
      </c>
      <c r="D8" s="368" t="s">
        <v>17</v>
      </c>
      <c r="E8" s="156" t="s">
        <v>18</v>
      </c>
      <c r="F8" s="154" t="s">
        <v>19</v>
      </c>
      <c r="G8" s="111" t="s">
        <v>21</v>
      </c>
    </row>
    <row r="9" spans="1:9" x14ac:dyDescent="0.25">
      <c r="A9" s="167" t="s">
        <v>264</v>
      </c>
      <c r="B9" s="168">
        <v>27433</v>
      </c>
      <c r="C9" s="352">
        <v>28198</v>
      </c>
      <c r="D9" s="352">
        <v>27036</v>
      </c>
      <c r="E9" s="169">
        <f>H9-SUM(B9:D9)</f>
        <v>39294</v>
      </c>
      <c r="F9" s="170">
        <f>SUM(B9:E9)</f>
        <v>121961</v>
      </c>
      <c r="G9" s="181"/>
      <c r="H9" s="825">
        <v>121961</v>
      </c>
      <c r="I9" s="63"/>
    </row>
    <row r="10" spans="1:9" x14ac:dyDescent="0.25">
      <c r="A10" s="166" t="s">
        <v>176</v>
      </c>
      <c r="B10" s="168"/>
      <c r="C10" s="352"/>
      <c r="D10" s="352"/>
      <c r="E10" s="169"/>
      <c r="F10" s="170">
        <f t="shared" ref="F10:F11" si="0">SUM(B10:E10)</f>
        <v>0</v>
      </c>
      <c r="G10" s="180" t="s">
        <v>476</v>
      </c>
      <c r="H10" s="174"/>
    </row>
    <row r="11" spans="1:9" x14ac:dyDescent="0.25">
      <c r="A11" s="166" t="s">
        <v>503</v>
      </c>
      <c r="B11" s="168"/>
      <c r="C11" s="169"/>
      <c r="D11" s="370"/>
      <c r="E11" s="169"/>
      <c r="F11" s="170">
        <f t="shared" si="0"/>
        <v>0</v>
      </c>
      <c r="G11" s="180"/>
      <c r="H11" s="174"/>
    </row>
    <row r="12" spans="1:9" ht="15.75" thickBot="1" x14ac:dyDescent="0.3">
      <c r="A12" s="166"/>
      <c r="B12" s="168"/>
      <c r="C12" s="169"/>
      <c r="D12" s="169"/>
      <c r="E12" s="169"/>
      <c r="F12" s="170"/>
      <c r="G12" s="182"/>
    </row>
    <row r="13" spans="1:9" s="655" customFormat="1" ht="32.25" customHeight="1" thickBot="1" x14ac:dyDescent="0.3">
      <c r="A13" s="42" t="s">
        <v>25</v>
      </c>
      <c r="B13" s="766">
        <f>SUM(B9:B12)</f>
        <v>27433</v>
      </c>
      <c r="C13" s="766">
        <f>SUM(C9:C12)</f>
        <v>28198</v>
      </c>
      <c r="D13" s="766">
        <f>SUM(D9:D12)</f>
        <v>27036</v>
      </c>
      <c r="E13" s="766">
        <f>SUM(E9:E12)</f>
        <v>39294</v>
      </c>
      <c r="F13" s="496">
        <f>SUM(B13:E13)</f>
        <v>121961</v>
      </c>
      <c r="G13" s="496">
        <f>F7-F13</f>
        <v>30742</v>
      </c>
      <c r="H13" s="252">
        <v>152703</v>
      </c>
    </row>
    <row r="14" spans="1:9" s="160" customFormat="1" ht="65.099999999999994" customHeight="1" thickBot="1" x14ac:dyDescent="0.3">
      <c r="A14" s="1177" t="s">
        <v>534</v>
      </c>
      <c r="B14" s="1246"/>
      <c r="C14" s="1246"/>
      <c r="D14" s="1246"/>
      <c r="E14" s="1246"/>
      <c r="F14" s="1246"/>
      <c r="G14" s="1247"/>
    </row>
    <row r="15" spans="1:9" s="160" customFormat="1" ht="108" customHeight="1" thickBot="1" x14ac:dyDescent="0.3">
      <c r="A15" s="1177" t="s">
        <v>533</v>
      </c>
      <c r="B15" s="1244"/>
      <c r="C15" s="1244"/>
      <c r="D15" s="1244"/>
      <c r="E15" s="1244"/>
      <c r="F15" s="1244"/>
      <c r="G15" s="1245"/>
    </row>
  </sheetData>
  <mergeCells count="12">
    <mergeCell ref="A15:G15"/>
    <mergeCell ref="A14:G14"/>
    <mergeCell ref="B1:F1"/>
    <mergeCell ref="B2:F2"/>
    <mergeCell ref="G2:G7"/>
    <mergeCell ref="B3:F3"/>
    <mergeCell ref="B4:F4"/>
    <mergeCell ref="B5:F5"/>
    <mergeCell ref="B6:C6"/>
    <mergeCell ref="D6:E6"/>
    <mergeCell ref="B7:C7"/>
    <mergeCell ref="D7:E7"/>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D21" sqref="D21"/>
    </sheetView>
  </sheetViews>
  <sheetFormatPr defaultColWidth="8.85546875" defaultRowHeight="15" x14ac:dyDescent="0.25"/>
  <cols>
    <col min="1" max="1" width="31.85546875" style="2" customWidth="1"/>
    <col min="2" max="6" width="13.7109375" style="2" customWidth="1"/>
    <col min="7" max="7" width="20.7109375" style="2" customWidth="1"/>
    <col min="8" max="8" width="11.42578125" style="2" customWidth="1"/>
    <col min="9" max="11" width="15.7109375" style="2" customWidth="1"/>
    <col min="12" max="16384" width="8.85546875" style="2"/>
  </cols>
  <sheetData>
    <row r="1" spans="1:11" s="472" customFormat="1" x14ac:dyDescent="0.25">
      <c r="A1" s="469" t="s">
        <v>24</v>
      </c>
      <c r="B1" s="1159" t="str">
        <f>'YEAR 4--FY''18'!AC1</f>
        <v>FY18</v>
      </c>
      <c r="C1" s="1160"/>
      <c r="D1" s="1160"/>
      <c r="E1" s="1160"/>
      <c r="F1" s="1161"/>
      <c r="G1" s="470" t="s">
        <v>21</v>
      </c>
      <c r="H1" s="471"/>
    </row>
    <row r="2" spans="1:11" s="472" customFormat="1" ht="15" customHeight="1" x14ac:dyDescent="0.25">
      <c r="A2" s="473" t="s">
        <v>11</v>
      </c>
      <c r="B2" s="1234" t="s">
        <v>53</v>
      </c>
      <c r="C2" s="1235"/>
      <c r="D2" s="1235"/>
      <c r="E2" s="1235"/>
      <c r="F2" s="1236"/>
      <c r="G2" s="1257"/>
      <c r="H2" s="471"/>
    </row>
    <row r="3" spans="1:11" s="472" customFormat="1" x14ac:dyDescent="0.25">
      <c r="A3" s="473" t="s">
        <v>26</v>
      </c>
      <c r="B3" s="1237" t="s">
        <v>2</v>
      </c>
      <c r="C3" s="1235"/>
      <c r="D3" s="1235"/>
      <c r="E3" s="1235"/>
      <c r="F3" s="1236"/>
      <c r="G3" s="1258"/>
      <c r="H3" s="471"/>
    </row>
    <row r="4" spans="1:11" s="472" customFormat="1" x14ac:dyDescent="0.25">
      <c r="A4" s="473" t="s">
        <v>13</v>
      </c>
      <c r="B4" s="1234">
        <v>1</v>
      </c>
      <c r="C4" s="1235"/>
      <c r="D4" s="1235"/>
      <c r="E4" s="1235"/>
      <c r="F4" s="1236"/>
      <c r="G4" s="1258"/>
      <c r="H4" s="471"/>
    </row>
    <row r="5" spans="1:11" s="472" customFormat="1" ht="15.75" thickBot="1" x14ac:dyDescent="0.3">
      <c r="A5" s="474" t="s">
        <v>12</v>
      </c>
      <c r="B5" s="1251" t="s">
        <v>7</v>
      </c>
      <c r="C5" s="1239"/>
      <c r="D5" s="1239"/>
      <c r="E5" s="1239"/>
      <c r="F5" s="1240"/>
      <c r="G5" s="1258"/>
      <c r="H5" s="471"/>
    </row>
    <row r="6" spans="1:11" s="655" customFormat="1" ht="24.95" customHeight="1" x14ac:dyDescent="0.25">
      <c r="A6" s="42" t="s">
        <v>14</v>
      </c>
      <c r="B6" s="1169" t="s">
        <v>512</v>
      </c>
      <c r="C6" s="1170"/>
      <c r="D6" s="1173" t="str">
        <f>'YEAR 4--FY''18'!P1</f>
        <v>FY'17 Carry-Fwd</v>
      </c>
      <c r="E6" s="1174"/>
      <c r="F6" s="813" t="s">
        <v>129</v>
      </c>
      <c r="G6" s="1258"/>
      <c r="H6" s="252"/>
      <c r="I6" s="765"/>
    </row>
    <row r="7" spans="1:11" s="472" customFormat="1" ht="15.75" thickBot="1" x14ac:dyDescent="0.3">
      <c r="A7" s="475"/>
      <c r="B7" s="1171">
        <f>'YEAR 4--FY''18'!Q13</f>
        <v>0</v>
      </c>
      <c r="C7" s="1253"/>
      <c r="D7" s="1252">
        <f>F7-B7</f>
        <v>76664</v>
      </c>
      <c r="E7" s="1253"/>
      <c r="F7" s="350">
        <f>'YEAR 4--FY''18'!R13</f>
        <v>76664</v>
      </c>
      <c r="G7" s="1259"/>
      <c r="H7" s="471"/>
    </row>
    <row r="8" spans="1:11" ht="33" customHeight="1" x14ac:dyDescent="0.25">
      <c r="A8" s="271" t="s">
        <v>22</v>
      </c>
      <c r="B8" s="157" t="s">
        <v>15</v>
      </c>
      <c r="C8" s="156" t="s">
        <v>16</v>
      </c>
      <c r="D8" s="156" t="s">
        <v>17</v>
      </c>
      <c r="E8" s="156" t="s">
        <v>18</v>
      </c>
      <c r="F8" s="154" t="s">
        <v>19</v>
      </c>
      <c r="G8" s="550" t="s">
        <v>20</v>
      </c>
      <c r="H8" s="202" t="s">
        <v>254</v>
      </c>
      <c r="I8" s="442" t="s">
        <v>255</v>
      </c>
      <c r="J8" s="442" t="s">
        <v>256</v>
      </c>
      <c r="K8" s="442" t="s">
        <v>257</v>
      </c>
    </row>
    <row r="9" spans="1:11" ht="15" customHeight="1" x14ac:dyDescent="0.25">
      <c r="A9" s="57" t="s">
        <v>75</v>
      </c>
      <c r="B9" s="203">
        <v>0</v>
      </c>
      <c r="C9" s="204"/>
      <c r="D9" s="204"/>
      <c r="E9" s="204"/>
      <c r="F9" s="205">
        <f>SUM(B9:E9)</f>
        <v>0</v>
      </c>
      <c r="G9" s="221"/>
      <c r="H9" s="212">
        <v>81460</v>
      </c>
      <c r="I9" s="443">
        <v>99449.18</v>
      </c>
      <c r="J9" s="443">
        <v>98011.5</v>
      </c>
      <c r="K9" s="443">
        <f>I9-J9</f>
        <v>1437.679999999993</v>
      </c>
    </row>
    <row r="10" spans="1:11" x14ac:dyDescent="0.25">
      <c r="A10" s="59" t="s">
        <v>72</v>
      </c>
      <c r="B10" s="203">
        <f>43970-C11-B12</f>
        <v>8912.86</v>
      </c>
      <c r="C10" s="204"/>
      <c r="D10" s="204"/>
      <c r="E10" s="204"/>
      <c r="F10" s="205">
        <f t="shared" ref="F10:F12" si="0">SUM(B10:E10)</f>
        <v>8912.86</v>
      </c>
      <c r="G10" s="221"/>
      <c r="H10" s="212">
        <v>185772</v>
      </c>
      <c r="I10" s="443">
        <v>198438.6</v>
      </c>
      <c r="J10" s="443">
        <v>187910.85</v>
      </c>
      <c r="K10" s="443">
        <f t="shared" ref="K10:K13" si="1">I10-J10</f>
        <v>10527.75</v>
      </c>
    </row>
    <row r="11" spans="1:11" x14ac:dyDescent="0.25">
      <c r="A11" s="482" t="s">
        <v>73</v>
      </c>
      <c r="B11" s="483">
        <v>0</v>
      </c>
      <c r="C11" s="484">
        <v>31250.14</v>
      </c>
      <c r="D11" s="484">
        <v>0</v>
      </c>
      <c r="E11" s="484">
        <v>0</v>
      </c>
      <c r="F11" s="485">
        <f t="shared" si="0"/>
        <v>31250.14</v>
      </c>
      <c r="G11" s="221"/>
      <c r="H11" s="212">
        <v>159879.48000000001</v>
      </c>
      <c r="I11" s="443">
        <v>159879.48000000001</v>
      </c>
      <c r="J11" s="443">
        <v>128629.34</v>
      </c>
      <c r="K11" s="443">
        <f t="shared" si="1"/>
        <v>31250.140000000014</v>
      </c>
    </row>
    <row r="12" spans="1:11" ht="15.75" thickBot="1" x14ac:dyDescent="0.3">
      <c r="A12" s="59" t="s">
        <v>74</v>
      </c>
      <c r="B12" s="206">
        <v>3807</v>
      </c>
      <c r="C12" s="207"/>
      <c r="D12" s="207"/>
      <c r="E12" s="207"/>
      <c r="F12" s="205">
        <f t="shared" si="0"/>
        <v>3807</v>
      </c>
      <c r="G12" s="221"/>
      <c r="H12" s="212">
        <v>139392.79999999999</v>
      </c>
      <c r="I12" s="444">
        <v>139392.79999999999</v>
      </c>
      <c r="J12" s="444">
        <v>135586.04999999999</v>
      </c>
      <c r="K12" s="444">
        <f t="shared" si="1"/>
        <v>3806.75</v>
      </c>
    </row>
    <row r="13" spans="1:11" ht="24.75" customHeight="1" thickTop="1" thickBot="1" x14ac:dyDescent="0.3">
      <c r="A13" s="201" t="s">
        <v>25</v>
      </c>
      <c r="B13" s="208">
        <f>SUM(B9:B12)</f>
        <v>12719.86</v>
      </c>
      <c r="C13" s="209">
        <f>SUM(C9:C12)</f>
        <v>31250.14</v>
      </c>
      <c r="D13" s="209">
        <f>SUM(D9:D12)</f>
        <v>0</v>
      </c>
      <c r="E13" s="209">
        <f>SUM(E9:E12)</f>
        <v>0</v>
      </c>
      <c r="F13" s="210">
        <f>SUM(B13:E13)</f>
        <v>43970</v>
      </c>
      <c r="G13" s="211">
        <f>F7-F13</f>
        <v>32694</v>
      </c>
      <c r="H13" s="212">
        <f>SUM(G9:G12)</f>
        <v>0</v>
      </c>
      <c r="I13" s="445">
        <f>I9+I10+I11+I12</f>
        <v>597160.06000000006</v>
      </c>
      <c r="J13" s="445">
        <f>J9+J10+J11+J12</f>
        <v>550137.74</v>
      </c>
      <c r="K13" s="445">
        <f t="shared" si="1"/>
        <v>47022.320000000065</v>
      </c>
    </row>
    <row r="14" spans="1:11" s="54" customFormat="1" ht="108" customHeight="1" thickBot="1" x14ac:dyDescent="0.3">
      <c r="A14" s="1260" t="s">
        <v>536</v>
      </c>
      <c r="B14" s="1261"/>
      <c r="C14" s="1261"/>
      <c r="D14" s="1261"/>
      <c r="E14" s="1261"/>
      <c r="F14" s="1261"/>
      <c r="G14" s="1262"/>
      <c r="I14" s="215"/>
    </row>
    <row r="15" spans="1:11" ht="84" hidden="1" customHeight="1" thickBot="1" x14ac:dyDescent="0.3">
      <c r="A15" s="1254" t="s">
        <v>80</v>
      </c>
      <c r="B15" s="1255"/>
      <c r="C15" s="1255"/>
      <c r="D15" s="1255"/>
      <c r="E15" s="1255"/>
      <c r="F15" s="1255"/>
      <c r="G15" s="1256"/>
    </row>
    <row r="16" spans="1:11" s="54" customFormat="1" ht="95.25" hidden="1" customHeight="1" thickBot="1" x14ac:dyDescent="0.3">
      <c r="A16" s="1254" t="s">
        <v>207</v>
      </c>
      <c r="B16" s="1255"/>
      <c r="C16" s="1255"/>
      <c r="D16" s="1255"/>
      <c r="E16" s="1255"/>
      <c r="F16" s="1255"/>
      <c r="G16" s="1256"/>
    </row>
    <row r="17" spans="1:7" s="54" customFormat="1" ht="57.75" hidden="1" customHeight="1" thickBot="1" x14ac:dyDescent="0.3">
      <c r="A17" s="1254" t="s">
        <v>79</v>
      </c>
      <c r="B17" s="1255"/>
      <c r="C17" s="1255"/>
      <c r="D17" s="1255"/>
      <c r="E17" s="1255"/>
      <c r="F17" s="1255"/>
      <c r="G17" s="1256"/>
    </row>
    <row r="18" spans="1:7" s="54" customFormat="1" ht="39.75" hidden="1" customHeight="1" thickBot="1" x14ac:dyDescent="0.3">
      <c r="A18" s="1264" t="s">
        <v>81</v>
      </c>
      <c r="B18" s="1265"/>
      <c r="C18" s="1265"/>
      <c r="D18" s="1265"/>
      <c r="E18" s="1265"/>
      <c r="F18" s="1265"/>
      <c r="G18" s="1266"/>
    </row>
    <row r="19" spans="1:7" ht="99" customHeight="1" thickBot="1" x14ac:dyDescent="0.3">
      <c r="A19" s="1263" t="s">
        <v>535</v>
      </c>
      <c r="B19" s="1157"/>
      <c r="C19" s="1157"/>
      <c r="D19" s="1157"/>
      <c r="E19" s="1157"/>
      <c r="F19" s="1157"/>
      <c r="G19" s="1158"/>
    </row>
  </sheetData>
  <mergeCells count="16">
    <mergeCell ref="A15:G15"/>
    <mergeCell ref="G2:G7"/>
    <mergeCell ref="A16:G16"/>
    <mergeCell ref="A14:G14"/>
    <mergeCell ref="A19:G19"/>
    <mergeCell ref="A17:G17"/>
    <mergeCell ref="A18:G18"/>
    <mergeCell ref="B1:F1"/>
    <mergeCell ref="D7:E7"/>
    <mergeCell ref="D6:E6"/>
    <mergeCell ref="B7:C7"/>
    <mergeCell ref="B6:C6"/>
    <mergeCell ref="B3:F3"/>
    <mergeCell ref="B2:F2"/>
    <mergeCell ref="B4:F4"/>
    <mergeCell ref="B5:F5"/>
  </mergeCells>
  <printOptions horizontalCentered="1"/>
  <pageMargins left="0.7" right="0.7" top="1" bottom="0.75" header="0.3" footer="0.3"/>
  <pageSetup orientation="landscape" r:id="rId1"/>
  <headerFooter>
    <oddHeader xml:space="preserve">&amp;L&amp;"-,Bold"&amp;12Horseshoe Casino Impact Funds&amp;"-,Regular"&amp;11
Progress Reporting
</oddHeader>
    <oddFooter>&amp;L&amp;D&amp;R&amp;P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81</vt:i4>
      </vt:variant>
    </vt:vector>
  </HeadingPairs>
  <TitlesOfParts>
    <vt:vector size="127" baseType="lpstr">
      <vt:lpstr>YEAR 4--FY'18</vt:lpstr>
      <vt:lpstr>0.1 Planning-MasterPlan</vt:lpstr>
      <vt:lpstr>0.2 Police-AddlCoverage</vt:lpstr>
      <vt:lpstr>0.3 Police-CSD Headquarters</vt:lpstr>
      <vt:lpstr>0.4 FIRE-Enhanced Medic Svcs</vt:lpstr>
      <vt:lpstr>0.5 DOT_TrafficEnforcement</vt:lpstr>
      <vt:lpstr>0.6 MOCJ-InitialCCTV-CitiWatch</vt:lpstr>
      <vt:lpstr>0.7 Mayoralty_Coordinator</vt:lpstr>
      <vt:lpstr>1.1 DOT-CompleteStreets</vt:lpstr>
      <vt:lpstr>1.2 DOT-CompleteStreetsImplmtn</vt:lpstr>
      <vt:lpstr>2.1 DPW-SanitationSatffing</vt:lpstr>
      <vt:lpstr>2.2 DPW_MB ShorelineCleaning</vt:lpstr>
      <vt:lpstr>2.3 BCRP-TreePlanting</vt:lpstr>
      <vt:lpstr>2.4 BCRP-ParksUpgrades&amp;Maint</vt:lpstr>
      <vt:lpstr>2.5 BCRP_FederalHillSlope</vt:lpstr>
      <vt:lpstr>2.6 BCRP_MiddleBranchPlan</vt:lpstr>
      <vt:lpstr>3.1 MOCJCriminalJustice Coord</vt:lpstr>
      <vt:lpstr>3.2 MOCJCitiwatchInstallCameras</vt:lpstr>
      <vt:lpstr>3.3 BCFD UpgradeFireStationsEMS</vt:lpstr>
      <vt:lpstr>4.1 MAYOR-CommunityImpactDist</vt:lpstr>
      <vt:lpstr>4.2 MAYOR CommunitEnhanceProjs</vt:lpstr>
      <vt:lpstr>4.3 Planning_RedevOpps_Studies</vt:lpstr>
      <vt:lpstr>4.4 HCD-HomeownershipCounseling</vt:lpstr>
      <vt:lpstr>5.1 BDC_SmallBusinessGrants</vt:lpstr>
      <vt:lpstr>5.2 BDC_AssessmtCarrollCamden</vt:lpstr>
      <vt:lpstr>5.3 MOED-EmploymntConnectionCtr</vt:lpstr>
      <vt:lpstr>5.4 MOED-WorkforceNeedsAssess</vt:lpstr>
      <vt:lpstr>5.5 MOED-TargetedTraining</vt:lpstr>
      <vt:lpstr>5.6 MOED-YouthJobs</vt:lpstr>
      <vt:lpstr>6.1 MOHS_EarlyChildhoodEd</vt:lpstr>
      <vt:lpstr>6.2 MOHS_ReadingPartners</vt:lpstr>
      <vt:lpstr>6.3 Planning_EnvironmentalEd</vt:lpstr>
      <vt:lpstr>6.4 MOHS_WeinbergLibraries</vt:lpstr>
      <vt:lpstr>6.5 BCRP_LakelandSTEAMCenter</vt:lpstr>
      <vt:lpstr>6.6 MOHS_PublicAllies</vt:lpstr>
      <vt:lpstr>7.1 BCHD_FoodAccess</vt:lpstr>
      <vt:lpstr>7.2 MOHS_HomelessnessStrategies</vt:lpstr>
      <vt:lpstr>8.1 BOPA-Public Art</vt:lpstr>
      <vt:lpstr>8.2 BOPA_SupportForCommunEvents</vt:lpstr>
      <vt:lpstr>8.3 BOPA-CoordinateArtsCulture</vt:lpstr>
      <vt:lpstr>8.4 BCRP_WaterfrontRecProgs</vt:lpstr>
      <vt:lpstr>8.5 BCRP_CommunityRecPrograms</vt:lpstr>
      <vt:lpstr>9.1 MOIT-ExpandCityFiber</vt:lpstr>
      <vt:lpstr>P1 BDC_InfrastructureUpgrades</vt:lpstr>
      <vt:lpstr>P2 DOT_SteamlineRepayment</vt:lpstr>
      <vt:lpstr>P3 BDC_PublicInfrastructure</vt:lpstr>
      <vt:lpstr>'0.1 Planning-MasterPlan'!Print_Area</vt:lpstr>
      <vt:lpstr>'0.2 Police-AddlCoverage'!Print_Area</vt:lpstr>
      <vt:lpstr>'0.3 Police-CSD Headquarters'!Print_Area</vt:lpstr>
      <vt:lpstr>'0.4 FIRE-Enhanced Medic Svcs'!Print_Area</vt:lpstr>
      <vt:lpstr>'0.5 DOT_TrafficEnforcement'!Print_Area</vt:lpstr>
      <vt:lpstr>'0.6 MOCJ-InitialCCTV-CitiWatch'!Print_Area</vt:lpstr>
      <vt:lpstr>'0.7 Mayoralty_Coordinator'!Print_Area</vt:lpstr>
      <vt:lpstr>'1.1 DOT-CompleteStreets'!Print_Area</vt:lpstr>
      <vt:lpstr>'1.2 DOT-CompleteStreetsImplmtn'!Print_Area</vt:lpstr>
      <vt:lpstr>'2.1 DPW-SanitationSatffing'!Print_Area</vt:lpstr>
      <vt:lpstr>'2.2 DPW_MB ShorelineCleaning'!Print_Area</vt:lpstr>
      <vt:lpstr>'2.3 BCRP-TreePlanting'!Print_Area</vt:lpstr>
      <vt:lpstr>'2.4 BCRP-ParksUpgrades&amp;Maint'!Print_Area</vt:lpstr>
      <vt:lpstr>'2.5 BCRP_FederalHillSlope'!Print_Area</vt:lpstr>
      <vt:lpstr>'2.6 BCRP_MiddleBranchPlan'!Print_Area</vt:lpstr>
      <vt:lpstr>'3.1 MOCJCriminalJustice Coord'!Print_Area</vt:lpstr>
      <vt:lpstr>'3.2 MOCJCitiwatchInstallCameras'!Print_Area</vt:lpstr>
      <vt:lpstr>'3.3 BCFD UpgradeFireStationsEMS'!Print_Area</vt:lpstr>
      <vt:lpstr>'4.1 MAYOR-CommunityImpactDist'!Print_Area</vt:lpstr>
      <vt:lpstr>'4.2 MAYOR CommunitEnhanceProjs'!Print_Area</vt:lpstr>
      <vt:lpstr>'4.3 Planning_RedevOpps_Studies'!Print_Area</vt:lpstr>
      <vt:lpstr>'4.4 HCD-HomeownershipCounseling'!Print_Area</vt:lpstr>
      <vt:lpstr>'5.1 BDC_SmallBusinessGrants'!Print_Area</vt:lpstr>
      <vt:lpstr>'5.2 BDC_AssessmtCarrollCamden'!Print_Area</vt:lpstr>
      <vt:lpstr>'5.3 MOED-EmploymntConnectionCtr'!Print_Area</vt:lpstr>
      <vt:lpstr>'5.5 MOED-TargetedTraining'!Print_Area</vt:lpstr>
      <vt:lpstr>'5.6 MOED-YouthJobs'!Print_Area</vt:lpstr>
      <vt:lpstr>'6.1 MOHS_EarlyChildhoodEd'!Print_Area</vt:lpstr>
      <vt:lpstr>'6.2 MOHS_ReadingPartners'!Print_Area</vt:lpstr>
      <vt:lpstr>'6.3 Planning_EnvironmentalEd'!Print_Area</vt:lpstr>
      <vt:lpstr>'6.4 MOHS_WeinbergLibraries'!Print_Area</vt:lpstr>
      <vt:lpstr>'6.5 BCRP_LakelandSTEAMCenter'!Print_Area</vt:lpstr>
      <vt:lpstr>'6.6 MOHS_PublicAllies'!Print_Area</vt:lpstr>
      <vt:lpstr>'7.1 BCHD_FoodAccess'!Print_Area</vt:lpstr>
      <vt:lpstr>'7.2 MOHS_HomelessnessStrategies'!Print_Area</vt:lpstr>
      <vt:lpstr>'8.1 BOPA-Public Art'!Print_Area</vt:lpstr>
      <vt:lpstr>'8.2 BOPA_SupportForCommunEvents'!Print_Area</vt:lpstr>
      <vt:lpstr>'8.3 BOPA-CoordinateArtsCulture'!Print_Area</vt:lpstr>
      <vt:lpstr>'8.4 BCRP_WaterfrontRecProgs'!Print_Area</vt:lpstr>
      <vt:lpstr>'8.5 BCRP_CommunityRecPrograms'!Print_Area</vt:lpstr>
      <vt:lpstr>'9.1 MOIT-ExpandCityFiber'!Print_Area</vt:lpstr>
      <vt:lpstr>'P1 BDC_InfrastructureUpgrades'!Print_Area</vt:lpstr>
      <vt:lpstr>'P2 DOT_SteamlineRepayment'!Print_Area</vt:lpstr>
      <vt:lpstr>'P3 BDC_PublicInfrastructure'!Print_Area</vt:lpstr>
      <vt:lpstr>'YEAR 4--FY''18'!Print_Area</vt:lpstr>
      <vt:lpstr>'0.2 Police-AddlCoverage'!Print_Titles</vt:lpstr>
      <vt:lpstr>'0.3 Police-CSD Headquarters'!Print_Titles</vt:lpstr>
      <vt:lpstr>'0.4 FIRE-Enhanced Medic Svcs'!Print_Titles</vt:lpstr>
      <vt:lpstr>'0.5 DOT_TrafficEnforcement'!Print_Titles</vt:lpstr>
      <vt:lpstr>'0.6 MOCJ-InitialCCTV-CitiWatch'!Print_Titles</vt:lpstr>
      <vt:lpstr>'1.1 DOT-CompleteStreets'!Print_Titles</vt:lpstr>
      <vt:lpstr>'1.2 DOT-CompleteStreetsImplmtn'!Print_Titles</vt:lpstr>
      <vt:lpstr>'2.1 DPW-SanitationSatffing'!Print_Titles</vt:lpstr>
      <vt:lpstr>'2.3 BCRP-TreePlanting'!Print_Titles</vt:lpstr>
      <vt:lpstr>'2.4 BCRP-ParksUpgrades&amp;Maint'!Print_Titles</vt:lpstr>
      <vt:lpstr>'2.5 BCRP_FederalHillSlope'!Print_Titles</vt:lpstr>
      <vt:lpstr>'2.6 BCRP_MiddleBranchPlan'!Print_Titles</vt:lpstr>
      <vt:lpstr>'3.1 MOCJCriminalJustice Coord'!Print_Titles</vt:lpstr>
      <vt:lpstr>'3.2 MOCJCitiwatchInstallCameras'!Print_Titles</vt:lpstr>
      <vt:lpstr>'3.3 BCFD UpgradeFireStationsEMS'!Print_Titles</vt:lpstr>
      <vt:lpstr>'4.1 MAYOR-CommunityImpactDist'!Print_Titles</vt:lpstr>
      <vt:lpstr>'4.2 MAYOR CommunitEnhanceProjs'!Print_Titles</vt:lpstr>
      <vt:lpstr>'5.1 BDC_SmallBusinessGrants'!Print_Titles</vt:lpstr>
      <vt:lpstr>'5.2 BDC_AssessmtCarrollCamden'!Print_Titles</vt:lpstr>
      <vt:lpstr>'5.3 MOED-EmploymntConnectionCtr'!Print_Titles</vt:lpstr>
      <vt:lpstr>'5.4 MOED-WorkforceNeedsAssess'!Print_Titles</vt:lpstr>
      <vt:lpstr>'5.5 MOED-TargetedTraining'!Print_Titles</vt:lpstr>
      <vt:lpstr>'5.6 MOED-YouthJobs'!Print_Titles</vt:lpstr>
      <vt:lpstr>'6.2 MOHS_ReadingPartners'!Print_Titles</vt:lpstr>
      <vt:lpstr>'6.3 Planning_EnvironmentalEd'!Print_Titles</vt:lpstr>
      <vt:lpstr>'6.4 MOHS_WeinbergLibraries'!Print_Titles</vt:lpstr>
      <vt:lpstr>'6.5 BCRP_LakelandSTEAMCenter'!Print_Titles</vt:lpstr>
      <vt:lpstr>'6.6 MOHS_PublicAllies'!Print_Titles</vt:lpstr>
      <vt:lpstr>'7.1 BCHD_FoodAccess'!Print_Titles</vt:lpstr>
      <vt:lpstr>'7.2 MOHS_HomelessnessStrategies'!Print_Titles</vt:lpstr>
      <vt:lpstr>'8.1 BOPA-Public Art'!Print_Titles</vt:lpstr>
      <vt:lpstr>'8.2 BOPA_SupportForCommunEvents'!Print_Titles</vt:lpstr>
      <vt:lpstr>'8.3 BOPA-CoordinateArtsCulture'!Print_Titles</vt:lpstr>
      <vt:lpstr>'8.4 BCRP_WaterfrontRecProgs'!Print_Titles</vt:lpstr>
      <vt:lpstr>'9.1 MOIT-ExpandCityFiber'!Print_Titles</vt:lpstr>
      <vt:lpstr>'YEAR 4--FY''18'!Print_Titles</vt:lpstr>
    </vt:vector>
  </TitlesOfParts>
  <Company>City of Baltimore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Flickinger, Brenton</dc:creator>
  <cp:lastModifiedBy>Cohen, Ethan</cp:lastModifiedBy>
  <cp:lastPrinted>2018-08-07T18:35:52Z</cp:lastPrinted>
  <dcterms:created xsi:type="dcterms:W3CDTF">2013-10-22T15:01:31Z</dcterms:created>
  <dcterms:modified xsi:type="dcterms:W3CDTF">2018-08-31T17:20:18Z</dcterms:modified>
</cp:coreProperties>
</file>