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6D14A5FF-8971-4C54-B02D-96B03116246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892" i="1" l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<sst xmlns="http://schemas.openxmlformats.org/spreadsheetml/2006/main" count="19" uniqueCount="12">
  <si>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</si>
  <si>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MOAT CAPITAL FIC AÇÕES</t>
  </si>
  <si>
    <t>Ibovespa</t>
  </si>
  <si>
    <t>CDI +1,00%</t>
  </si>
  <si>
    <t>Índice INPC +4,00%</t>
  </si>
  <si>
    <t>Índice INPC +4,79%</t>
  </si>
  <si>
    <t>Índice INPC +4,82%</t>
  </si>
  <si>
    <t>Índice INPC +5,500%</t>
  </si>
  <si>
    <t>Retorno acumulado - 18/07/2018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</si>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</sst>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2"/>
  <sheetViews>
    <sheetView tabSelected="1" workbookViewId="0">
      <selection sqref="A1:A1048576"/>
    </sheetView>
  </sheetViews>
  <sheetFormatPr defaultRowHeight="12" x14ac:dyDescent="0.2"/>
  <cols>
    <col min="1" max="1" width="20.33203125" style="17" customWidth="1"/>
    <col min="2" max="9" width="20.33203125" customWidth="1"/>
  </cols>
  <sheetData>
    <row r="1" spans="1:8" ht="22.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DATE(2018,7,17)</f>
        <v>43298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DATE(2018,7,18)</f>
        <v>43299</v>
      </c>
      <c r="B3" s="2">
        <v>-0.24612788031295185</v>
      </c>
      <c r="C3" s="2">
        <v>-0.98255094374397611</v>
      </c>
      <c r="D3" s="2">
        <v>2.8532534989111898E-2</v>
      </c>
      <c r="E3" s="2">
        <v>2.6916852443736872E-2</v>
      </c>
      <c r="F3" s="2">
        <v>2.9920661538840321E-2</v>
      </c>
      <c r="G3" s="2">
        <v>3.0034285227920066E-2</v>
      </c>
      <c r="H3" s="2">
        <v>3.2601104536045256E-2</v>
      </c>
    </row>
    <row r="4" spans="1:8" x14ac:dyDescent="0.2">
      <c r="A4" s="16">
        <f>DATE(2018,7,19)</f>
        <v>43300</v>
      </c>
      <c r="B4" s="2">
        <v>-8.6815177260568532E-2</v>
      </c>
      <c r="C4" s="2">
        <v>-0.82357292881252153</v>
      </c>
      <c r="D4" s="2">
        <v>5.707321103374241E-2</v>
      </c>
      <c r="E4" s="2">
        <v>5.3840950056938119E-2</v>
      </c>
      <c r="F4" s="2">
        <v>5.9850275537542963E-2</v>
      </c>
      <c r="G4" s="2">
        <v>6.007759103872079E-2</v>
      </c>
      <c r="H4" s="2">
        <v>6.5212837392270018E-2</v>
      </c>
    </row>
    <row r="5" spans="1:8" x14ac:dyDescent="0.2">
      <c r="A5" s="16">
        <f>DATE(2018,7,20)</f>
        <v>43301</v>
      </c>
      <c r="B5" s="2">
        <v>2.0518950995176644</v>
      </c>
      <c r="C5" s="2">
        <v>0.56442890914278898</v>
      </c>
      <c r="D5" s="2">
        <v>8.5622030456766751E-2</v>
      </c>
      <c r="E5" s="2">
        <v>8.0772294789754895E-2</v>
      </c>
      <c r="F5" s="2">
        <v>8.9788844674765222E-2</v>
      </c>
      <c r="G5" s="2">
        <v>9.0129920141701625E-2</v>
      </c>
      <c r="H5" s="2">
        <v>9.7835202033613733E-2</v>
      </c>
    </row>
    <row r="6" spans="1:8" x14ac:dyDescent="0.2">
      <c r="A6" s="16">
        <f>DATE(2018,7,23)</f>
        <v>43304</v>
      </c>
      <c r="B6" s="2">
        <v>1.3346730184168543</v>
      </c>
      <c r="C6" s="2">
        <v>-0.17173874924326649</v>
      </c>
      <c r="D6" s="2">
        <v>0.11417899558168187</v>
      </c>
      <c r="E6" s="2">
        <v>0.10771088859289346</v>
      </c>
      <c r="F6" s="2">
        <v>0.11973637162991935</v>
      </c>
      <c r="G6" s="2">
        <v>0.12019127524691697</v>
      </c>
      <c r="H6" s="2">
        <v>0.13046820192614828</v>
      </c>
    </row>
    <row r="7" spans="1:8" x14ac:dyDescent="0.2">
      <c r="A7" s="16">
        <f>DATE(2018,7,24)</f>
        <v>43305</v>
      </c>
      <c r="B7" s="2">
        <v>3.1533030595729978</v>
      </c>
      <c r="C7" s="2">
        <v>1.3115014277431225</v>
      </c>
      <c r="D7" s="2">
        <v>0.14274410873265087</v>
      </c>
      <c r="E7" s="2">
        <v>0.13465673341757078</v>
      </c>
      <c r="F7" s="2">
        <v>0.14969285908326135</v>
      </c>
      <c r="G7" s="2">
        <v>0.15026165906526501</v>
      </c>
      <c r="H7" s="2">
        <v>0.16311184053710015</v>
      </c>
    </row>
    <row r="8" spans="1:8" x14ac:dyDescent="0.2">
      <c r="A8" s="16">
        <f>DATE(2018,7,25)</f>
        <v>43306</v>
      </c>
      <c r="B8" s="2">
        <v>4.4805422539930806</v>
      </c>
      <c r="C8" s="2">
        <v>2.6721259229773642</v>
      </c>
      <c r="D8" s="2">
        <v>0.17131737223452514</v>
      </c>
      <c r="E8" s="2">
        <v>0.16160983121551453</v>
      </c>
      <c r="F8" s="2">
        <v>0.17965830971580221</v>
      </c>
      <c r="G8" s="2">
        <v>0.18034107430844326</v>
      </c>
      <c r="H8" s="2">
        <v>0.19576612133476168</v>
      </c>
    </row>
    <row r="9" spans="1:8" x14ac:dyDescent="0.2">
      <c r="A9" s="16">
        <f>DATE(2018,7,26)</f>
        <v>43307</v>
      </c>
      <c r="B9" s="2">
        <v>2.2043417169214763</v>
      </c>
      <c r="C9" s="2">
        <v>1.631940489157202</v>
      </c>
      <c r="D9" s="2">
        <v>0.19989878841282227</v>
      </c>
      <c r="E9" s="2">
        <v>0.1885701839390741</v>
      </c>
      <c r="F9" s="2">
        <v>0.20963272620944107</v>
      </c>
      <c r="G9" s="2">
        <v>0.21042952368903745</v>
      </c>
      <c r="H9" s="2">
        <v>0.22843104778869083</v>
      </c>
    </row>
    <row r="10" spans="1:8" x14ac:dyDescent="0.2">
      <c r="A10" s="16">
        <f>DATE(2018,7,27)</f>
        <v>43308</v>
      </c>
      <c r="B10" s="2">
        <v>2.4801782804864114</v>
      </c>
      <c r="C10" s="2">
        <v>2.2216732816845663</v>
      </c>
      <c r="D10" s="2">
        <v>0.22848835959370373</v>
      </c>
      <c r="E10" s="2">
        <v>0.21553779354099856</v>
      </c>
      <c r="F10" s="2">
        <v>0.23961611124678761</v>
      </c>
      <c r="G10" s="2">
        <v>0.24052700992032161</v>
      </c>
      <c r="H10" s="2">
        <v>0.26110662336944479</v>
      </c>
    </row>
    <row r="11" spans="1:8" x14ac:dyDescent="0.2">
      <c r="A11" s="16">
        <f>DATE(2018,7,30)</f>
        <v>43311</v>
      </c>
      <c r="B11" s="2">
        <v>2.9370923289367523</v>
      </c>
      <c r="C11" s="2">
        <v>2.7457849259506117</v>
      </c>
      <c r="D11" s="2">
        <v>0.25708608810393052</v>
      </c>
      <c r="E11" s="2">
        <v>0.24251266197456989</v>
      </c>
      <c r="F11" s="2">
        <v>0.26960846751125089</v>
      </c>
      <c r="G11" s="2">
        <v>0.27063353571643578</v>
      </c>
      <c r="H11" s="2">
        <v>0.29379285154871315</v>
      </c>
    </row>
    <row r="12" spans="1:8" x14ac:dyDescent="0.2">
      <c r="A12" s="16">
        <f>DATE(2018,7,31)</f>
        <v>43312</v>
      </c>
      <c r="B12" s="2">
        <v>1.9332377847435023</v>
      </c>
      <c r="C12" s="2">
        <v>1.3952717447648144</v>
      </c>
      <c r="D12" s="2">
        <v>0.28569197627108522</v>
      </c>
      <c r="E12" s="2">
        <v>0.2694947911936918</v>
      </c>
      <c r="F12" s="2">
        <v>0.29960979768712814</v>
      </c>
      <c r="G12" s="2">
        <v>0.30074910379238595</v>
      </c>
      <c r="H12" s="2">
        <v>0.32648973579940677</v>
      </c>
    </row>
    <row r="13" spans="1:8" x14ac:dyDescent="0.2">
      <c r="A13" s="16">
        <f>DATE(2018,8,1)</f>
        <v>43313</v>
      </c>
      <c r="B13" s="2">
        <v>2.6854112579054679</v>
      </c>
      <c r="C13" s="2">
        <v>1.4992262924882871</v>
      </c>
      <c r="D13" s="2">
        <v>0.31430602642328331</v>
      </c>
      <c r="E13" s="2">
        <v>0.28510172430009639</v>
      </c>
      <c r="F13" s="2">
        <v>0.3182338850736377</v>
      </c>
      <c r="G13" s="2">
        <v>0.31948735520799243</v>
      </c>
      <c r="H13" s="2">
        <v>0.34780770355185009</v>
      </c>
    </row>
    <row r="14" spans="1:8" x14ac:dyDescent="0.2">
      <c r="A14" s="16">
        <f>DATE(2018,8,2)</f>
        <v>43314</v>
      </c>
      <c r="B14" s="2">
        <v>2.8666484192013009</v>
      </c>
      <c r="C14" s="2">
        <v>1.9280484011964469</v>
      </c>
      <c r="D14" s="2">
        <v>0.34292824088935081</v>
      </c>
      <c r="E14" s="2">
        <v>0.30071108662348411</v>
      </c>
      <c r="F14" s="2">
        <v>0.33686143066533614</v>
      </c>
      <c r="G14" s="2">
        <v>0.33822910731595712</v>
      </c>
      <c r="H14" s="2">
        <v>0.3691302010725428</v>
      </c>
    </row>
    <row r="15" spans="1:8" x14ac:dyDescent="0.2">
      <c r="A15" s="16">
        <f>DATE(2018,8,3)</f>
        <v>43315</v>
      </c>
      <c r="B15" s="2">
        <v>5.8486453031161512</v>
      </c>
      <c r="C15" s="2">
        <v>4.2297034569174663</v>
      </c>
      <c r="D15" s="2">
        <v>0.37155862199877987</v>
      </c>
      <c r="E15" s="2">
        <v>0.31632287854197472</v>
      </c>
      <c r="F15" s="2">
        <v>0.35549243510435424</v>
      </c>
      <c r="G15" s="2">
        <v>0.35697436077029021</v>
      </c>
      <c r="H15" s="2">
        <v>0.39045722932402604</v>
      </c>
    </row>
    <row r="16" spans="1:8" x14ac:dyDescent="0.2">
      <c r="A16" s="16">
        <f>DATE(2018,8,6)</f>
        <v>43318</v>
      </c>
      <c r="B16" s="2">
        <v>5.4867254125051224</v>
      </c>
      <c r="C16" s="2">
        <v>3.7379352184747638</v>
      </c>
      <c r="D16" s="2">
        <v>0.40019717208175098</v>
      </c>
      <c r="E16" s="2">
        <v>0.33193710043375457</v>
      </c>
      <c r="F16" s="2">
        <v>0.37412689903295604</v>
      </c>
      <c r="G16" s="2">
        <v>0.3757231162251129</v>
      </c>
      <c r="H16" s="2">
        <v>0.41178878926899642</v>
      </c>
    </row>
    <row r="17" spans="1:8" x14ac:dyDescent="0.2">
      <c r="A17" s="16">
        <f>DATE(2018,8,7)</f>
        <v>43319</v>
      </c>
      <c r="B17" s="2">
        <v>4.2684343200137587</v>
      </c>
      <c r="C17" s="2">
        <v>2.8365691671476956</v>
      </c>
      <c r="D17" s="2">
        <v>0.42884389346899981</v>
      </c>
      <c r="E17" s="2">
        <v>0.34755375267701005</v>
      </c>
      <c r="F17" s="2">
        <v>0.39276482309349442</v>
      </c>
      <c r="G17" s="2">
        <v>0.3944753743346574</v>
      </c>
      <c r="H17" s="2">
        <v>0.43312488187037262</v>
      </c>
    </row>
    <row r="18" spans="1:8" x14ac:dyDescent="0.2">
      <c r="A18" s="16">
        <f>DATE(2018,8,8)</f>
        <v>43320</v>
      </c>
      <c r="B18" s="2">
        <v>2.3714652577174755</v>
      </c>
      <c r="C18" s="2">
        <v>1.3073033125432731</v>
      </c>
      <c r="D18" s="2">
        <v>0.45749878849206121</v>
      </c>
      <c r="E18" s="2">
        <v>0.36317283565006075</v>
      </c>
      <c r="F18" s="2">
        <v>0.41140620792847749</v>
      </c>
      <c r="G18" s="2">
        <v>0.41323113575331138</v>
      </c>
      <c r="H18" s="2">
        <v>0.45446550809129516</v>
      </c>
    </row>
    <row r="19" spans="1:8" x14ac:dyDescent="0.2">
      <c r="A19" s="16">
        <f>DATE(2018,8,9)</f>
        <v>43321</v>
      </c>
      <c r="B19" s="2">
        <v>1.5834133822226759</v>
      </c>
      <c r="C19" s="2">
        <v>0.81618782981762728</v>
      </c>
      <c r="D19" s="2">
        <v>0.48616185948306972</v>
      </c>
      <c r="E19" s="2">
        <v>0.37879434973122628</v>
      </c>
      <c r="F19" s="2">
        <v>0.43005105418052469</v>
      </c>
      <c r="G19" s="2">
        <v>0.43199040113555132</v>
      </c>
      <c r="H19" s="2">
        <v>0.4758106688950825</v>
      </c>
    </row>
    <row r="20" spans="1:8" x14ac:dyDescent="0.2">
      <c r="A20" s="16">
        <f>DATE(2018,8,10)</f>
        <v>43322</v>
      </c>
      <c r="B20" s="2">
        <v>-2.8315817052882108</v>
      </c>
      <c r="C20" s="2">
        <v>-2.0682756881773123</v>
      </c>
      <c r="D20" s="2">
        <v>0.51483310877484811</v>
      </c>
      <c r="E20" s="2">
        <v>0.39441829529891498</v>
      </c>
      <c r="F20" s="2">
        <v>0.4486993624923663</v>
      </c>
      <c r="G20" s="2">
        <v>0.4507531711359869</v>
      </c>
      <c r="H20" s="2">
        <v>0.49716036524527502</v>
      </c>
    </row>
    <row r="21" spans="1:8" x14ac:dyDescent="0.2">
      <c r="A21" s="16">
        <f>DATE(2018,8,13)</f>
        <v>43325</v>
      </c>
      <c r="B21" s="2">
        <v>-1.6973558074332984</v>
      </c>
      <c r="C21" s="2">
        <v>-0.81127296324219333</v>
      </c>
      <c r="D21" s="2">
        <v>0.54351253870086325</v>
      </c>
      <c r="E21" s="2">
        <v>0.41004467273157985</v>
      </c>
      <c r="F21" s="2">
        <v>0.46735113350684365</v>
      </c>
      <c r="G21" s="2">
        <v>0.46951944640936105</v>
      </c>
      <c r="H21" s="2">
        <v>0.51851459810561273</v>
      </c>
    </row>
    <row r="22" spans="1:8" x14ac:dyDescent="0.2">
      <c r="A22" s="16">
        <f>DATE(2018,8,14)</f>
        <v>43326</v>
      </c>
      <c r="B22" s="2">
        <v>0.63217221526663536</v>
      </c>
      <c r="C22" s="2">
        <v>0.60387583306347192</v>
      </c>
      <c r="D22" s="2">
        <v>0.57220015159524795</v>
      </c>
      <c r="E22" s="2">
        <v>0.42567348240776243</v>
      </c>
      <c r="F22" s="2">
        <v>0.4860063678669313</v>
      </c>
      <c r="G22" s="2">
        <v>0.48828922761052768</v>
      </c>
      <c r="H22" s="2">
        <v>0.53987336844003586</v>
      </c>
    </row>
    <row r="23" spans="1:8" x14ac:dyDescent="0.2">
      <c r="A23" s="16">
        <f>DATE(2018,8,15)</f>
        <v>43327</v>
      </c>
      <c r="B23" s="2">
        <v>-1.5610631202181424</v>
      </c>
      <c r="C23" s="2">
        <v>-1.3468654286493353</v>
      </c>
      <c r="D23" s="2">
        <v>0.60089594979282346</v>
      </c>
      <c r="E23" s="2">
        <v>0.44130472470602639</v>
      </c>
      <c r="F23" s="2">
        <v>0.50466506621571483</v>
      </c>
      <c r="G23" s="2">
        <v>0.50706251539447411</v>
      </c>
      <c r="H23" s="2">
        <v>0.56123667721268422</v>
      </c>
    </row>
    <row r="24" spans="1:8" x14ac:dyDescent="0.2">
      <c r="A24" s="16">
        <f>DATE(2018,8,16)</f>
        <v>43328</v>
      </c>
      <c r="B24" s="2">
        <v>-1.6937231690959731</v>
      </c>
      <c r="C24" s="2">
        <v>-1.6787085164142623</v>
      </c>
      <c r="D24" s="2">
        <v>0.62959993562905492</v>
      </c>
      <c r="E24" s="2">
        <v>0.45693840000500252</v>
      </c>
      <c r="F24" s="2">
        <v>0.52332722919641306</v>
      </c>
      <c r="G24" s="2">
        <v>0.52583931041629839</v>
      </c>
      <c r="H24" s="2">
        <v>0.58260452538794194</v>
      </c>
    </row>
    <row r="25" spans="1:8" x14ac:dyDescent="0.2">
      <c r="A25" s="16">
        <f>DATE(2018,8,17)</f>
        <v>43329</v>
      </c>
      <c r="B25" s="2">
        <v>-2.8867543405482254</v>
      </c>
      <c r="C25" s="2">
        <v>-2.6901215021573055</v>
      </c>
      <c r="D25" s="2">
        <v>0.65831211144009583</v>
      </c>
      <c r="E25" s="2">
        <v>0.47257450868338768</v>
      </c>
      <c r="F25" s="2">
        <v>0.54199285745233361</v>
      </c>
      <c r="G25" s="2">
        <v>0.54461961333123199</v>
      </c>
      <c r="H25" s="2">
        <v>0.60397691393034858</v>
      </c>
    </row>
    <row r="26" spans="1:8" x14ac:dyDescent="0.2">
      <c r="A26" s="16">
        <f>DATE(2018,8,20)</f>
        <v>43332</v>
      </c>
      <c r="B26" s="2">
        <v>-2.8566952562844361</v>
      </c>
      <c r="C26" s="2">
        <v>-2.3069282979842787</v>
      </c>
      <c r="D26" s="2">
        <v>0.6870324795627436</v>
      </c>
      <c r="E26" s="2">
        <v>0.48821305111994562</v>
      </c>
      <c r="F26" s="2">
        <v>0.56066195162693955</v>
      </c>
      <c r="G26" s="2">
        <v>0.56340342479461736</v>
      </c>
      <c r="H26" s="2">
        <v>0.62535384380466574</v>
      </c>
    </row>
    <row r="27" spans="1:8" x14ac:dyDescent="0.2">
      <c r="A27" s="16">
        <f>DATE(2018,8,21)</f>
        <v>43333</v>
      </c>
      <c r="B27" s="2">
        <v>-5.912573528214871</v>
      </c>
      <c r="C27" s="2">
        <v>-3.7756158622199276</v>
      </c>
      <c r="D27" s="2">
        <v>0.71576104233448401</v>
      </c>
      <c r="E27" s="2">
        <v>0.50385402769348442</v>
      </c>
      <c r="F27" s="2">
        <v>0.57933451236380495</v>
      </c>
      <c r="G27" s="2">
        <v>0.58219074546190797</v>
      </c>
      <c r="H27" s="2">
        <v>0.64673531597585487</v>
      </c>
    </row>
    <row r="28" spans="1:8" x14ac:dyDescent="0.2">
      <c r="A28" s="16">
        <f>DATE(2018,8,22)</f>
        <v>43334</v>
      </c>
      <c r="B28" s="2">
        <v>-3.8682852354719466</v>
      </c>
      <c r="C28" s="2">
        <v>-1.5717333736079531</v>
      </c>
      <c r="D28" s="2">
        <v>0.74449780209344674</v>
      </c>
      <c r="E28" s="2">
        <v>0.5194974387828788</v>
      </c>
      <c r="F28" s="2">
        <v>0.59801054030661493</v>
      </c>
      <c r="G28" s="2">
        <v>0.60098157598871271</v>
      </c>
      <c r="H28" s="2">
        <v>0.66812133140912167</v>
      </c>
    </row>
    <row r="29" spans="1:8" x14ac:dyDescent="0.2">
      <c r="A29" s="16">
        <f>DATE(2018,8,23)</f>
        <v>43335</v>
      </c>
      <c r="B29" s="2">
        <v>-6.2023551649575177</v>
      </c>
      <c r="C29" s="2">
        <v>-3.1953416280239728</v>
      </c>
      <c r="D29" s="2">
        <v>0.77324276117842761</v>
      </c>
      <c r="E29" s="2">
        <v>0.53514328476707007</v>
      </c>
      <c r="F29" s="2">
        <v>0.61669003609916562</v>
      </c>
      <c r="G29" s="2">
        <v>0.61977591703075152</v>
      </c>
      <c r="H29" s="2">
        <v>0.68951189106982724</v>
      </c>
    </row>
    <row r="30" spans="1:8" x14ac:dyDescent="0.2">
      <c r="A30" s="16">
        <f>DATE(2018,8,24)</f>
        <v>43336</v>
      </c>
      <c r="B30" s="2">
        <v>-5.4687751226991539</v>
      </c>
      <c r="C30" s="2">
        <v>-2.390967396771837</v>
      </c>
      <c r="D30" s="2">
        <v>0.80199592192893299</v>
      </c>
      <c r="E30" s="2">
        <v>0.55079156602504398</v>
      </c>
      <c r="F30" s="2">
        <v>0.63537300038538636</v>
      </c>
      <c r="G30" s="2">
        <v>0.63857376924385534</v>
      </c>
      <c r="H30" s="2">
        <v>0.71090699592353257</v>
      </c>
    </row>
    <row r="31" spans="1:8" x14ac:dyDescent="0.2">
      <c r="A31" s="16">
        <f>DATE(2018,8,27)</f>
        <v>43339</v>
      </c>
      <c r="B31" s="2">
        <v>-3.4484604688002074</v>
      </c>
      <c r="C31" s="2">
        <v>-0.25677618030396365</v>
      </c>
      <c r="D31" s="2">
        <v>0.83075728668509097</v>
      </c>
      <c r="E31" s="2">
        <v>0.56644228293585286</v>
      </c>
      <c r="F31" s="2">
        <v>0.65405943380933973</v>
      </c>
      <c r="G31" s="2">
        <v>0.65737513328396613</v>
      </c>
      <c r="H31" s="2">
        <v>0.73230664693606506</v>
      </c>
    </row>
    <row r="32" spans="1:8" x14ac:dyDescent="0.2">
      <c r="A32" s="16">
        <f>DATE(2018,8,28)</f>
        <v>43340</v>
      </c>
      <c r="B32" s="2">
        <v>-4.2482751731968031</v>
      </c>
      <c r="C32" s="2">
        <v>-0.8410565427241834</v>
      </c>
      <c r="D32" s="2">
        <v>0.85952685778769577</v>
      </c>
      <c r="E32" s="2">
        <v>0.58209543587859347</v>
      </c>
      <c r="F32" s="2">
        <v>0.67274933701517714</v>
      </c>
      <c r="G32" s="2">
        <v>0.67618000980718129</v>
      </c>
      <c r="H32" s="2">
        <v>0.75371084507340758</v>
      </c>
    </row>
    <row r="33" spans="1:8" x14ac:dyDescent="0.2">
      <c r="A33" s="16">
        <f>DATE(2018,8,29)</f>
        <v>43341</v>
      </c>
      <c r="B33" s="2">
        <v>-2.9655901327430123</v>
      </c>
      <c r="C33" s="2">
        <v>0.33089595201858391</v>
      </c>
      <c r="D33" s="2">
        <v>0.88830463757825218</v>
      </c>
      <c r="E33" s="2">
        <v>0.59775102523245138</v>
      </c>
      <c r="F33" s="2">
        <v>0.69144271064718321</v>
      </c>
      <c r="G33" s="2">
        <v>0.69498839946970925</v>
      </c>
      <c r="H33" s="2">
        <v>0.77511959130174279</v>
      </c>
    </row>
    <row r="34" spans="1:8" x14ac:dyDescent="0.2">
      <c r="A34" s="16">
        <f>DATE(2018,8,30)</f>
        <v>43342</v>
      </c>
      <c r="B34" s="2">
        <v>-5.5017527369091379</v>
      </c>
      <c r="C34" s="2">
        <v>-2.2093989143776804</v>
      </c>
      <c r="D34" s="2">
        <v>0.91709062839888666</v>
      </c>
      <c r="E34" s="2">
        <v>0.61340905137663437</v>
      </c>
      <c r="F34" s="2">
        <v>0.71013955534975359</v>
      </c>
      <c r="G34" s="2">
        <v>0.71380030292786945</v>
      </c>
      <c r="H34" s="2">
        <v>0.79653288658749766</v>
      </c>
    </row>
    <row r="35" spans="1:8" x14ac:dyDescent="0.2">
      <c r="A35" s="16">
        <f>DATE(2018,8,31)</f>
        <v>43343</v>
      </c>
      <c r="B35" s="2">
        <v>-4.7400430336797195</v>
      </c>
      <c r="C35" s="2">
        <v>-1.8594194569840572</v>
      </c>
      <c r="D35" s="2">
        <v>0.94588483259243628</v>
      </c>
      <c r="E35" s="2">
        <v>0.62906951469043904</v>
      </c>
      <c r="F35" s="2">
        <v>0.72883987176741716</v>
      </c>
      <c r="G35" s="2">
        <v>0.73261572083811455</v>
      </c>
      <c r="H35" s="2">
        <v>0.81795073189727674</v>
      </c>
    </row>
    <row r="36" spans="1:8" x14ac:dyDescent="0.2">
      <c r="A36" s="16">
        <f>DATE(2018,9,3)</f>
        <v>43346</v>
      </c>
      <c r="B36" s="2">
        <v>-5.7202920818641649</v>
      </c>
      <c r="C36" s="2">
        <v>-2.4799213621348182</v>
      </c>
      <c r="D36" s="2">
        <v>0.97468725250235977</v>
      </c>
      <c r="E36" s="2">
        <v>0.66060115063557578</v>
      </c>
      <c r="F36" s="2">
        <v>0.76342860595801643</v>
      </c>
      <c r="G36" s="2">
        <v>0.76732021276622042</v>
      </c>
      <c r="H36" s="2">
        <v>0.85527255243635913</v>
      </c>
    </row>
    <row r="37" spans="1:8" x14ac:dyDescent="0.2">
      <c r="A37" s="16">
        <f>DATE(2018,9,4)</f>
        <v>43347</v>
      </c>
      <c r="B37" s="2">
        <v>-7.9475739764176767</v>
      </c>
      <c r="C37" s="2">
        <v>-4.3753831740054983</v>
      </c>
      <c r="D37" s="2">
        <v>1.0034978904728264</v>
      </c>
      <c r="E37" s="2">
        <v>0.69214266686747905</v>
      </c>
      <c r="F37" s="2">
        <v>0.79802921738789667</v>
      </c>
      <c r="G37" s="2">
        <v>0.80203666111728911</v>
      </c>
      <c r="H37" s="2">
        <v>0.89260818914882467</v>
      </c>
    </row>
    <row r="38" spans="1:8" x14ac:dyDescent="0.2">
      <c r="A38" s="16">
        <f>DATE(2018,9,5)</f>
        <v>43348</v>
      </c>
      <c r="B38" s="2">
        <v>-8.0911807303217795</v>
      </c>
      <c r="C38" s="2">
        <v>-3.8884146099528731</v>
      </c>
      <c r="D38" s="2">
        <v>1.0323167488486495</v>
      </c>
      <c r="E38" s="2">
        <v>0.72369406648211676</v>
      </c>
      <c r="F38" s="2">
        <v>0.83264171013550659</v>
      </c>
      <c r="G38" s="2">
        <v>0.83676507001055889</v>
      </c>
      <c r="H38" s="2">
        <v>0.92995764714929319</v>
      </c>
    </row>
    <row r="39" spans="1:8" x14ac:dyDescent="0.2">
      <c r="A39" s="16">
        <f>DATE(2018,9,6)</f>
        <v>43349</v>
      </c>
      <c r="B39" s="2">
        <v>-6.509696771391793</v>
      </c>
      <c r="C39" s="2">
        <v>-2.1941423493830436</v>
      </c>
      <c r="D39" s="2">
        <v>1.0611438299753306</v>
      </c>
      <c r="E39" s="2">
        <v>0.75525535257638943</v>
      </c>
      <c r="F39" s="2">
        <v>0.86726608828071605</v>
      </c>
      <c r="G39" s="2">
        <v>0.87150544356668913</v>
      </c>
      <c r="H39" s="2">
        <v>0.9673209315542719</v>
      </c>
    </row>
    <row r="40" spans="1:8" x14ac:dyDescent="0.2">
      <c r="A40" s="16">
        <f>DATE(2018,9,10)</f>
        <v>43353</v>
      </c>
      <c r="B40" s="2">
        <v>-6.6025796522487523</v>
      </c>
      <c r="C40" s="2">
        <v>-2.1681089154911737</v>
      </c>
      <c r="D40" s="2">
        <v>1.0899791361990152</v>
      </c>
      <c r="E40" s="2">
        <v>0.78682652824817456</v>
      </c>
      <c r="F40" s="2">
        <v>0.9019023559047934</v>
      </c>
      <c r="G40" s="2">
        <v>0.90625778590776029</v>
      </c>
      <c r="H40" s="2">
        <v>1.0046980474821554</v>
      </c>
    </row>
    <row r="41" spans="1:8" x14ac:dyDescent="0.2">
      <c r="A41" s="16">
        <f>DATE(2018,9,11)</f>
        <v>43354</v>
      </c>
      <c r="B41" s="2">
        <v>-9.4112610990075165</v>
      </c>
      <c r="C41" s="2">
        <v>-4.4461495732129652</v>
      </c>
      <c r="D41" s="2">
        <v>1.1188226698665371</v>
      </c>
      <c r="E41" s="2">
        <v>0.81840759659632667</v>
      </c>
      <c r="F41" s="2">
        <v>0.93655051709038428</v>
      </c>
      <c r="G41" s="2">
        <v>0.94102210115727403</v>
      </c>
      <c r="H41" s="2">
        <v>1.0420890000532479</v>
      </c>
    </row>
    <row r="42" spans="1:8" x14ac:dyDescent="0.2">
      <c r="A42" s="16">
        <f>DATE(2018,9,12)</f>
        <v>43355</v>
      </c>
      <c r="B42" s="2">
        <v>-8.9291226131647861</v>
      </c>
      <c r="C42" s="2">
        <v>-3.8467662353785852</v>
      </c>
      <c r="D42" s="2">
        <v>1.1476744333253963</v>
      </c>
      <c r="E42" s="2">
        <v>0.84999856072065505</v>
      </c>
      <c r="F42" s="2">
        <v>0.97121057592155502</v>
      </c>
      <c r="G42" s="2">
        <v>0.97579839344013042</v>
      </c>
      <c r="H42" s="2">
        <v>1.0794937943897409</v>
      </c>
    </row>
    <row r="43" spans="1:8" x14ac:dyDescent="0.2">
      <c r="A43" s="16">
        <f>DATE(2018,9,13)</f>
        <v>43356</v>
      </c>
      <c r="B43" s="2">
        <v>-9.7340469626952206</v>
      </c>
      <c r="C43" s="2">
        <v>-4.4075473919849228</v>
      </c>
      <c r="D43" s="2">
        <v>1.1765344289237589</v>
      </c>
      <c r="E43" s="2">
        <v>0.8815994237219682</v>
      </c>
      <c r="F43" s="2">
        <v>1.0058825364837931</v>
      </c>
      <c r="G43" s="2">
        <v>1.0105866668826735</v>
      </c>
      <c r="H43" s="2">
        <v>1.1169124356157134</v>
      </c>
    </row>
    <row r="44" spans="1:8" x14ac:dyDescent="0.2">
      <c r="A44" s="16">
        <f>DATE(2018,9,14)</f>
        <v>43357</v>
      </c>
      <c r="B44" s="2">
        <v>-9.7732031668977477</v>
      </c>
      <c r="C44" s="2">
        <v>-3.4573142558008811</v>
      </c>
      <c r="D44" s="2">
        <v>1.2054026590104572</v>
      </c>
      <c r="E44" s="2">
        <v>0.91321018870202941</v>
      </c>
      <c r="F44" s="2">
        <v>1.0405664028639627</v>
      </c>
      <c r="G44" s="2">
        <v>1.045386925612668</v>
      </c>
      <c r="H44" s="2">
        <v>1.1543449288571539</v>
      </c>
    </row>
    <row r="45" spans="1:8" x14ac:dyDescent="0.2">
      <c r="A45" s="16">
        <f>DATE(2018,9,17)</f>
        <v>43360</v>
      </c>
      <c r="B45" s="2">
        <v>-7.1701450176724251</v>
      </c>
      <c r="C45" s="2">
        <v>-1.716939522822758</v>
      </c>
      <c r="D45" s="2">
        <v>1.2342791259350117</v>
      </c>
      <c r="E45" s="2">
        <v>0.94483085876357897</v>
      </c>
      <c r="F45" s="2">
        <v>1.075262179150327</v>
      </c>
      <c r="G45" s="2">
        <v>1.0801991737592997</v>
      </c>
      <c r="H45" s="2">
        <v>1.1917912792419383</v>
      </c>
    </row>
    <row r="46" spans="1:8" x14ac:dyDescent="0.2">
      <c r="A46" s="16">
        <f>DATE(2018,9,18)</f>
        <v>43361</v>
      </c>
      <c r="B46" s="2">
        <v>-3.9505274577559479</v>
      </c>
      <c r="C46" s="2">
        <v>0.23506885292903235</v>
      </c>
      <c r="D46" s="2">
        <v>1.2631638320475869</v>
      </c>
      <c r="E46" s="2">
        <v>0.97646143701031196</v>
      </c>
      <c r="F46" s="2">
        <v>1.1099698694325921</v>
      </c>
      <c r="G46" s="2">
        <v>1.1150234154531535</v>
      </c>
      <c r="H46" s="2">
        <v>1.2292514918998521</v>
      </c>
    </row>
    <row r="47" spans="1:8" x14ac:dyDescent="0.2">
      <c r="A47" s="16">
        <f>DATE(2018,9,19)</f>
        <v>43362</v>
      </c>
      <c r="B47" s="2">
        <v>-5.0601454465809876</v>
      </c>
      <c r="C47" s="2">
        <v>4.9097469227699093E-2</v>
      </c>
      <c r="D47" s="2">
        <v>1.2920567796990579</v>
      </c>
      <c r="E47" s="2">
        <v>1.0081019265469227</v>
      </c>
      <c r="F47" s="2">
        <v>1.1446894778018191</v>
      </c>
      <c r="G47" s="2">
        <v>1.1498596548262796</v>
      </c>
      <c r="H47" s="2">
        <v>1.2667255719625681</v>
      </c>
    </row>
    <row r="48" spans="1:8" x14ac:dyDescent="0.2">
      <c r="A48" s="16">
        <f>DATE(2018,9,20)</f>
        <v>43363</v>
      </c>
      <c r="B48" s="2">
        <v>-5.2934770367801809</v>
      </c>
      <c r="C48" s="2">
        <v>-1.8289959209161211E-2</v>
      </c>
      <c r="D48" s="2">
        <v>1.3209579712409214</v>
      </c>
      <c r="E48" s="2">
        <v>1.0397523304790823</v>
      </c>
      <c r="F48" s="2">
        <v>1.1794210083504897</v>
      </c>
      <c r="G48" s="2">
        <v>1.1847078960121271</v>
      </c>
      <c r="H48" s="2">
        <v>1.3042135245636466</v>
      </c>
    </row>
    <row r="49" spans="1:8" x14ac:dyDescent="0.2">
      <c r="A49" s="16">
        <f>DATE(2018,9,21)</f>
        <v>43364</v>
      </c>
      <c r="B49" s="2">
        <v>-3.4721768512051332</v>
      </c>
      <c r="C49" s="2">
        <v>1.6817931071556158</v>
      </c>
      <c r="D49" s="2">
        <v>1.3498674090253626</v>
      </c>
      <c r="E49" s="2">
        <v>1.0714126519133949</v>
      </c>
      <c r="F49" s="2">
        <v>1.214164465172507</v>
      </c>
      <c r="G49" s="2">
        <v>1.2195681431455663</v>
      </c>
      <c r="H49" s="2">
        <v>1.3417153548386018</v>
      </c>
    </row>
    <row r="50" spans="1:8" x14ac:dyDescent="0.2">
      <c r="A50" s="16">
        <f>DATE(2018,9,24)</f>
        <v>43367</v>
      </c>
      <c r="B50" s="2">
        <v>-5.6131980004787589</v>
      </c>
      <c r="C50" s="2">
        <v>-0.18702091250129005</v>
      </c>
      <c r="D50" s="2">
        <v>1.378785095405255</v>
      </c>
      <c r="E50" s="2">
        <v>1.1030828939574855</v>
      </c>
      <c r="F50" s="2">
        <v>1.248919852363195</v>
      </c>
      <c r="G50" s="2">
        <v>1.2544404003629106</v>
      </c>
      <c r="H50" s="2">
        <v>1.3792310679248132</v>
      </c>
    </row>
    <row r="51" spans="1:8" x14ac:dyDescent="0.2">
      <c r="A51" s="16">
        <f>DATE(2018,9,25)</f>
        <v>43368</v>
      </c>
      <c r="B51" s="2">
        <v>-5.2037300232058659</v>
      </c>
      <c r="C51" s="2">
        <v>0.63975179923794201</v>
      </c>
      <c r="D51" s="2">
        <v>1.407711032734138</v>
      </c>
      <c r="E51" s="2">
        <v>1.1347630597198899</v>
      </c>
      <c r="F51" s="2">
        <v>1.2836871740192102</v>
      </c>
      <c r="G51" s="2">
        <v>1.2893246718018503</v>
      </c>
      <c r="H51" s="2">
        <v>1.4167606689615253</v>
      </c>
    </row>
    <row r="52" spans="1:8" x14ac:dyDescent="0.2">
      <c r="A52" s="16">
        <f>DATE(2018,9,26)</f>
        <v>43369</v>
      </c>
      <c r="B52" s="2">
        <v>-5.335937655587486</v>
      </c>
      <c r="C52" s="2">
        <v>0.67305513993929367</v>
      </c>
      <c r="D52" s="2">
        <v>1.4366452233662175</v>
      </c>
      <c r="E52" s="2">
        <v>1.1664531523101873</v>
      </c>
      <c r="F52" s="2">
        <v>1.3184664342386965</v>
      </c>
      <c r="G52" s="2">
        <v>1.324220961601541</v>
      </c>
      <c r="H52" s="2">
        <v>1.4543041630899367</v>
      </c>
    </row>
    <row r="53" spans="1:8" x14ac:dyDescent="0.2">
      <c r="A53" s="16">
        <f>DATE(2018,9,27)</f>
        <v>43370</v>
      </c>
      <c r="B53" s="2">
        <v>-3.1465345539530509</v>
      </c>
      <c r="C53" s="2">
        <v>2.3931688474253754</v>
      </c>
      <c r="D53" s="2">
        <v>1.4655876696563652</v>
      </c>
      <c r="E53" s="2">
        <v>1.1981531748388896</v>
      </c>
      <c r="F53" s="2">
        <v>1.3532576371211524</v>
      </c>
      <c r="G53" s="2">
        <v>1.3591292739025818</v>
      </c>
      <c r="H53" s="2">
        <v>1.4918615554531334</v>
      </c>
    </row>
    <row r="54" spans="1:8" x14ac:dyDescent="0.2">
      <c r="A54" s="16">
        <f>DATE(2018,9,28)</f>
        <v>43371</v>
      </c>
      <c r="B54" s="2">
        <v>-4.5620082715042027</v>
      </c>
      <c r="C54" s="2">
        <v>1.5514083524573508</v>
      </c>
      <c r="D54" s="2">
        <v>1.4945383739601192</v>
      </c>
      <c r="E54" s="2">
        <v>1.2298631304175078</v>
      </c>
      <c r="F54" s="2">
        <v>1.3880607867675199</v>
      </c>
      <c r="G54" s="2">
        <v>1.3940496128469704</v>
      </c>
      <c r="H54" s="2">
        <v>1.5294328511961108</v>
      </c>
    </row>
    <row r="55" spans="1:8" x14ac:dyDescent="0.2">
      <c r="A55" s="16">
        <f>DATE(2018,10,1)</f>
        <v>43374</v>
      </c>
      <c r="B55" s="2">
        <v>-6.8049428897358766</v>
      </c>
      <c r="C55" s="2">
        <v>0.63145796189185699</v>
      </c>
      <c r="D55" s="2">
        <v>1.5234973386337058</v>
      </c>
      <c r="E55" s="2">
        <v>1.2639927873945078</v>
      </c>
      <c r="F55" s="2">
        <v>1.4252894908715064</v>
      </c>
      <c r="G55" s="2">
        <v>1.4313957314788572</v>
      </c>
      <c r="H55" s="2">
        <v>1.5694350892700104</v>
      </c>
    </row>
    <row r="56" spans="1:8" x14ac:dyDescent="0.2">
      <c r="A56" s="16">
        <f>DATE(2018,10,2)</f>
        <v>43375</v>
      </c>
      <c r="B56" s="2">
        <v>-2.0169037883538965</v>
      </c>
      <c r="C56" s="2">
        <v>4.4566320620808897</v>
      </c>
      <c r="D56" s="2">
        <v>1.552502442442294</v>
      </c>
      <c r="E56" s="2">
        <v>1.2981339511882739</v>
      </c>
      <c r="F56" s="2">
        <v>1.4625318649914565</v>
      </c>
      <c r="G56" s="2">
        <v>1.4687556056770967</v>
      </c>
      <c r="H56" s="2">
        <v>1.6094530880844893</v>
      </c>
    </row>
    <row r="57" spans="1:8" x14ac:dyDescent="0.2">
      <c r="A57" s="16">
        <f>DATE(2018,10,3)</f>
        <v>43376</v>
      </c>
      <c r="B57" s="2">
        <v>1.8182840756002072</v>
      </c>
      <c r="C57" s="2">
        <v>6.5827214281782842</v>
      </c>
      <c r="D57" s="2">
        <v>1.5815158329635093</v>
      </c>
      <c r="E57" s="2">
        <v>1.332286625678325</v>
      </c>
      <c r="F57" s="2">
        <v>1.4997879141468662</v>
      </c>
      <c r="G57" s="2">
        <v>1.506129240508236</v>
      </c>
      <c r="H57" s="2">
        <v>1.6494868538492025</v>
      </c>
    </row>
    <row r="58" spans="1:8" x14ac:dyDescent="0.2">
      <c r="A58" s="16">
        <f>DATE(2018,10,4)</f>
        <v>43377</v>
      </c>
      <c r="B58" s="2">
        <v>2.1080435350636417</v>
      </c>
      <c r="C58" s="2">
        <v>6.1723940647866238</v>
      </c>
      <c r="D58" s="2">
        <v>1.610537512564858</v>
      </c>
      <c r="E58" s="2">
        <v>1.3664508147455123</v>
      </c>
      <c r="F58" s="2">
        <v>1.5370576433590966</v>
      </c>
      <c r="G58" s="2">
        <v>1.5435166410406875</v>
      </c>
      <c r="H58" s="2">
        <v>1.6895363927762921</v>
      </c>
    </row>
    <row r="59" spans="1:8" x14ac:dyDescent="0.2">
      <c r="A59" s="16">
        <f>DATE(2018,10,5)</f>
        <v>43378</v>
      </c>
      <c r="B59" s="2">
        <v>2.4795395748447246</v>
      </c>
      <c r="C59" s="2">
        <v>5.3643976792614234</v>
      </c>
      <c r="D59" s="2">
        <v>1.6395674836144902</v>
      </c>
      <c r="E59" s="2">
        <v>1.4006265222719305</v>
      </c>
      <c r="F59" s="2">
        <v>1.5743410576512851</v>
      </c>
      <c r="G59" s="2">
        <v>1.5809178123446843</v>
      </c>
      <c r="H59" s="2">
        <v>1.7296017110802975</v>
      </c>
    </row>
    <row r="60" spans="1:8" x14ac:dyDescent="0.2">
      <c r="A60" s="16">
        <f>DATE(2018,10,8)</f>
        <v>43381</v>
      </c>
      <c r="B60" s="2">
        <v>11.00144742230602</v>
      </c>
      <c r="C60" s="2">
        <v>10.179930193535647</v>
      </c>
      <c r="D60" s="2">
        <v>1.6686057484812891</v>
      </c>
      <c r="E60" s="2">
        <v>1.4348137521410509</v>
      </c>
      <c r="F60" s="2">
        <v>1.6116381620484788</v>
      </c>
      <c r="G60" s="2">
        <v>1.6183327594923913</v>
      </c>
      <c r="H60" s="2">
        <v>1.7696828149782684</v>
      </c>
    </row>
    <row r="61" spans="1:8" x14ac:dyDescent="0.2">
      <c r="A61" s="16">
        <f>DATE(2018,10,9)</f>
        <v>43382</v>
      </c>
      <c r="B61" s="2">
        <v>11.473579519761691</v>
      </c>
      <c r="C61" s="2">
        <v>10.18458907747697</v>
      </c>
      <c r="D61" s="2">
        <v>1.6976523095347806</v>
      </c>
      <c r="E61" s="2">
        <v>1.4690125082376326</v>
      </c>
      <c r="F61" s="2">
        <v>1.6489489615775454</v>
      </c>
      <c r="G61" s="2">
        <v>1.6557614875578164</v>
      </c>
      <c r="H61" s="2">
        <v>1.8097797106896518</v>
      </c>
    </row>
    <row r="62" spans="1:8" x14ac:dyDescent="0.2">
      <c r="A62" s="16">
        <f>DATE(2018,10,10)</f>
        <v>43383</v>
      </c>
      <c r="B62" s="2">
        <v>7.2315139847483501</v>
      </c>
      <c r="C62" s="2">
        <v>7.1019950006591337</v>
      </c>
      <c r="D62" s="2">
        <v>1.7267071691451585</v>
      </c>
      <c r="E62" s="2">
        <v>1.503222794447745</v>
      </c>
      <c r="F62" s="2">
        <v>1.6862734612672181</v>
      </c>
      <c r="G62" s="2">
        <v>1.6932040016168326</v>
      </c>
      <c r="H62" s="2">
        <v>1.8498924044363818</v>
      </c>
    </row>
    <row r="63" spans="1:8" x14ac:dyDescent="0.2">
      <c r="A63" s="16">
        <f>DATE(2018,10,11)</f>
        <v>43384</v>
      </c>
      <c r="B63" s="2">
        <v>7.1379613500587524</v>
      </c>
      <c r="C63" s="2">
        <v>6.1317824198806159</v>
      </c>
      <c r="D63" s="2">
        <v>1.7557703296833038</v>
      </c>
      <c r="E63" s="2">
        <v>1.5374446146587673</v>
      </c>
      <c r="F63" s="2">
        <v>1.7236116661480505</v>
      </c>
      <c r="G63" s="2">
        <v>1.7306603067472004</v>
      </c>
      <c r="H63" s="2">
        <v>1.8900209024428127</v>
      </c>
    </row>
    <row r="64" spans="1:8" x14ac:dyDescent="0.2">
      <c r="A64" s="16">
        <f>DATE(2018,10,15)</f>
        <v>43388</v>
      </c>
      <c r="B64" s="2">
        <v>7.8288590007175474</v>
      </c>
      <c r="C64" s="2">
        <v>6.6932547295991176</v>
      </c>
      <c r="D64" s="2">
        <v>1.7848417935207861</v>
      </c>
      <c r="E64" s="2">
        <v>1.5716779727593888</v>
      </c>
      <c r="F64" s="2">
        <v>1.7609635812524616</v>
      </c>
      <c r="G64" s="2">
        <v>1.7681304080285229</v>
      </c>
      <c r="H64" s="2">
        <v>1.9301652109357861</v>
      </c>
    </row>
    <row r="65" spans="1:8" x14ac:dyDescent="0.2">
      <c r="A65" s="16">
        <f>DATE(2018,10,16)</f>
        <v>43389</v>
      </c>
      <c r="B65" s="2">
        <v>11.795194423106237</v>
      </c>
      <c r="C65" s="2">
        <v>9.7110340034531895</v>
      </c>
      <c r="D65" s="2">
        <v>1.8139215630298633</v>
      </c>
      <c r="E65" s="2">
        <v>1.6059228726396091</v>
      </c>
      <c r="F65" s="2">
        <v>1.7983292116147129</v>
      </c>
      <c r="G65" s="2">
        <v>1.8056143105422917</v>
      </c>
      <c r="H65" s="2">
        <v>1.9703253361445627</v>
      </c>
    </row>
    <row r="66" spans="1:8" x14ac:dyDescent="0.2">
      <c r="A66" s="16">
        <f>DATE(2018,10,17)</f>
        <v>43390</v>
      </c>
      <c r="B66" s="2">
        <v>11.873892716169832</v>
      </c>
      <c r="C66" s="2">
        <v>9.7704091754415199</v>
      </c>
      <c r="D66" s="2">
        <v>1.8430096405834373</v>
      </c>
      <c r="E66" s="2">
        <v>1.6401793181907376</v>
      </c>
      <c r="F66" s="2">
        <v>1.8357085622709099</v>
      </c>
      <c r="G66" s="2">
        <v>1.843112019371862</v>
      </c>
      <c r="H66" s="2">
        <v>2.0105012843008696</v>
      </c>
    </row>
    <row r="67" spans="1:8" x14ac:dyDescent="0.2">
      <c r="A67" s="16">
        <f>DATE(2018,10,18)</f>
        <v>43391</v>
      </c>
      <c r="B67" s="2">
        <v>10.295380512656216</v>
      </c>
      <c r="C67" s="2">
        <v>7.3170332124668613</v>
      </c>
      <c r="D67" s="2">
        <v>1.8721060285550983</v>
      </c>
      <c r="E67" s="2">
        <v>1.6744473133054161</v>
      </c>
      <c r="F67" s="2">
        <v>1.8731016382590004</v>
      </c>
      <c r="G67" s="2">
        <v>1.8806235396024773</v>
      </c>
      <c r="H67" s="2">
        <v>2.0506930616389196</v>
      </c>
    </row>
    <row r="68" spans="1:8" x14ac:dyDescent="0.2">
      <c r="A68" s="16">
        <f>DATE(2018,10,19)</f>
        <v>43392</v>
      </c>
      <c r="B68" s="2">
        <v>11.210069087990894</v>
      </c>
      <c r="C68" s="2">
        <v>7.7939544581295603</v>
      </c>
      <c r="D68" s="2">
        <v>1.9012107293191249</v>
      </c>
      <c r="E68" s="2">
        <v>1.708726861877552</v>
      </c>
      <c r="F68" s="2">
        <v>1.910508444618797</v>
      </c>
      <c r="G68" s="2">
        <v>1.9181488763212462</v>
      </c>
      <c r="H68" s="2">
        <v>2.090900674395324</v>
      </c>
    </row>
    <row r="69" spans="1:8" x14ac:dyDescent="0.2">
      <c r="A69" s="16">
        <f>DATE(2018,10,22)</f>
        <v>43395</v>
      </c>
      <c r="B69" s="2">
        <v>13.322419450680334</v>
      </c>
      <c r="C69" s="2">
        <v>9.5563308985118436</v>
      </c>
      <c r="D69" s="2">
        <v>1.9303237452504618</v>
      </c>
      <c r="E69" s="2">
        <v>1.7430179678024069</v>
      </c>
      <c r="F69" s="2">
        <v>1.947928986391978</v>
      </c>
      <c r="G69" s="2">
        <v>1.9556880346171424</v>
      </c>
      <c r="H69" s="2">
        <v>2.1311241288092031</v>
      </c>
    </row>
    <row r="70" spans="1:8" x14ac:dyDescent="0.2">
      <c r="A70" s="16">
        <f>DATE(2018,10,23)</f>
        <v>43396</v>
      </c>
      <c r="B70" s="2">
        <v>14.07432236103574</v>
      </c>
      <c r="C70" s="2">
        <v>9.1766318572948045</v>
      </c>
      <c r="D70" s="2">
        <v>1.9594450787247419</v>
      </c>
      <c r="E70" s="2">
        <v>1.7773206349765536</v>
      </c>
      <c r="F70" s="2">
        <v>1.9853632686220199</v>
      </c>
      <c r="G70" s="2">
        <v>1.9932410195810046</v>
      </c>
      <c r="H70" s="2">
        <v>2.1713634311220975</v>
      </c>
    </row>
    <row r="71" spans="1:8" x14ac:dyDescent="0.2">
      <c r="A71" s="16">
        <f>DATE(2018,10,24)</f>
        <v>43397</v>
      </c>
      <c r="B71" s="2">
        <v>11.376660374085468</v>
      </c>
      <c r="C71" s="2">
        <v>6.3141444484406284</v>
      </c>
      <c r="D71" s="2">
        <v>1.9885747321182867</v>
      </c>
      <c r="E71" s="2">
        <v>1.8116348672978511</v>
      </c>
      <c r="F71" s="2">
        <v>2.0228112963543099</v>
      </c>
      <c r="G71" s="2">
        <v>2.0308078363055815</v>
      </c>
      <c r="H71" s="2">
        <v>2.2116185875780348</v>
      </c>
    </row>
    <row r="72" spans="1:8" x14ac:dyDescent="0.2">
      <c r="A72" s="16">
        <f>DATE(2018,10,25)</f>
        <v>43398</v>
      </c>
      <c r="B72" s="2">
        <v>13.740266004045054</v>
      </c>
      <c r="C72" s="2">
        <v>7.6195918868863899</v>
      </c>
      <c r="D72" s="2">
        <v>2.0177127078080836</v>
      </c>
      <c r="E72" s="2">
        <v>1.8459606686655139</v>
      </c>
      <c r="F72" s="2">
        <v>2.0602730746360542</v>
      </c>
      <c r="G72" s="2">
        <v>2.0683884898854643</v>
      </c>
      <c r="H72" s="2">
        <v>2.2518896044234848</v>
      </c>
    </row>
    <row r="73" spans="1:8" x14ac:dyDescent="0.2">
      <c r="A73" s="16">
        <f>DATE(2018,10,26)</f>
        <v>43399</v>
      </c>
      <c r="B73" s="2">
        <v>16.392584325888571</v>
      </c>
      <c r="C73" s="2">
        <v>9.713990602877498</v>
      </c>
      <c r="D73" s="2">
        <v>2.0468590081717863</v>
      </c>
      <c r="E73" s="2">
        <v>1.880298042980022</v>
      </c>
      <c r="F73" s="2">
        <v>2.0977486085163033</v>
      </c>
      <c r="G73" s="2">
        <v>2.1059829854171541</v>
      </c>
      <c r="H73" s="2">
        <v>2.2921764879073825</v>
      </c>
    </row>
    <row r="74" spans="1:8" x14ac:dyDescent="0.2">
      <c r="A74" s="16">
        <f>DATE(2018,10,29)</f>
        <v>43402</v>
      </c>
      <c r="B74" s="2">
        <v>14.241725335549994</v>
      </c>
      <c r="C74" s="2">
        <v>7.2525127895323616</v>
      </c>
      <c r="D74" s="2">
        <v>2.0760136355877368</v>
      </c>
      <c r="E74" s="2">
        <v>1.914646994143232</v>
      </c>
      <c r="F74" s="2">
        <v>2.1352379030460167</v>
      </c>
      <c r="G74" s="2">
        <v>2.1435913279990171</v>
      </c>
      <c r="H74" s="2">
        <v>2.3324792442811493</v>
      </c>
    </row>
    <row r="75" spans="1:8" x14ac:dyDescent="0.2">
      <c r="A75" s="16">
        <f>DATE(2018,10,30)</f>
        <v>43403</v>
      </c>
      <c r="B75" s="2">
        <v>18.599769170006898</v>
      </c>
      <c r="C75" s="2">
        <v>11.206164573795308</v>
      </c>
      <c r="D75" s="2">
        <v>2.1051765924349874</v>
      </c>
      <c r="E75" s="2">
        <v>1.9490075260582218</v>
      </c>
      <c r="F75" s="2">
        <v>2.1727409632779304</v>
      </c>
      <c r="G75" s="2">
        <v>2.1812135227312401</v>
      </c>
      <c r="H75" s="2">
        <v>2.3727978797986271</v>
      </c>
    </row>
    <row r="76" spans="1:8" x14ac:dyDescent="0.2">
      <c r="A76" s="16">
        <f>DATE(2018,10,31)</f>
        <v>43404</v>
      </c>
      <c r="B76" s="2">
        <v>18.64557412252157</v>
      </c>
      <c r="C76" s="2">
        <v>11.894553073519477</v>
      </c>
      <c r="D76" s="2">
        <v>2.1343478810932126</v>
      </c>
      <c r="E76" s="2">
        <v>1.9833796426294681</v>
      </c>
      <c r="F76" s="2">
        <v>2.2102577942666901</v>
      </c>
      <c r="G76" s="2">
        <v>2.2188495747159642</v>
      </c>
      <c r="H76" s="2">
        <v>2.4131324007161448</v>
      </c>
    </row>
    <row r="77" spans="1:8" x14ac:dyDescent="0.2">
      <c r="A77" s="16">
        <f>DATE(2018,11,1)</f>
        <v>43405</v>
      </c>
      <c r="B77" s="2">
        <v>19.839585529715631</v>
      </c>
      <c r="C77" s="2">
        <v>13.16870663494185</v>
      </c>
      <c r="D77" s="2">
        <v>2.1635275039428192</v>
      </c>
      <c r="E77" s="2">
        <v>1.9864882698471753</v>
      </c>
      <c r="F77" s="2">
        <v>2.21644280551756</v>
      </c>
      <c r="G77" s="2">
        <v>2.2251512229910508</v>
      </c>
      <c r="H77" s="2">
        <v>2.4220741590291528</v>
      </c>
    </row>
    <row r="78" spans="1:8" x14ac:dyDescent="0.2">
      <c r="A78" s="16">
        <f>DATE(2018,11,5)</f>
        <v>43409</v>
      </c>
      <c r="B78" s="2">
        <v>21.406805062647049</v>
      </c>
      <c r="C78" s="2">
        <v>14.677865053634729</v>
      </c>
      <c r="D78" s="2">
        <v>2.1927154633648582</v>
      </c>
      <c r="E78" s="2">
        <v>1.9895969918211298</v>
      </c>
      <c r="F78" s="2">
        <v>2.2226281910397105</v>
      </c>
      <c r="G78" s="2">
        <v>2.2314532597538905</v>
      </c>
      <c r="H78" s="2">
        <v>2.4310166980529901</v>
      </c>
    </row>
    <row r="79" spans="1:8" x14ac:dyDescent="0.2">
      <c r="A79" s="16">
        <f>DATE(2018,11,6)</f>
        <v>43410</v>
      </c>
      <c r="B79" s="2">
        <v>19.651717361931009</v>
      </c>
      <c r="C79" s="2">
        <v>13.488518538902271</v>
      </c>
      <c r="D79" s="2">
        <v>2.2219117617410911</v>
      </c>
      <c r="E79" s="2">
        <v>1.9927058085542182</v>
      </c>
      <c r="F79" s="2">
        <v>2.2288139508557681</v>
      </c>
      <c r="G79" s="2">
        <v>2.2377556850284419</v>
      </c>
      <c r="H79" s="2">
        <v>2.4399600178558023</v>
      </c>
    </row>
    <row r="80" spans="1:8" x14ac:dyDescent="0.2">
      <c r="A80" s="16">
        <f>DATE(2018,11,7)</f>
        <v>43411</v>
      </c>
      <c r="B80" s="2">
        <v>17.748649547847407</v>
      </c>
      <c r="C80" s="2">
        <v>12.266751823556254</v>
      </c>
      <c r="D80" s="2">
        <v>2.2511164014539231</v>
      </c>
      <c r="E80" s="2">
        <v>1.9958147200493492</v>
      </c>
      <c r="F80" s="2">
        <v>2.2350000849884255</v>
      </c>
      <c r="G80" s="2">
        <v>2.2440584988386414</v>
      </c>
      <c r="H80" s="2">
        <v>2.4489041185058014</v>
      </c>
    </row>
    <row r="81" spans="1:8" x14ac:dyDescent="0.2">
      <c r="A81" s="16">
        <f>DATE(2018,11,8)</f>
        <v>43412</v>
      </c>
      <c r="B81" s="2">
        <v>14.656861825393207</v>
      </c>
      <c r="C81" s="2">
        <v>9.5863320632327831</v>
      </c>
      <c r="D81" s="2">
        <v>2.2803293848864703</v>
      </c>
      <c r="E81" s="2">
        <v>1.9989237263094095</v>
      </c>
      <c r="F81" s="2">
        <v>2.2411865934603092</v>
      </c>
      <c r="G81" s="2">
        <v>2.2503617012084476</v>
      </c>
      <c r="H81" s="2">
        <v>2.4578490000711328</v>
      </c>
    </row>
    <row r="82" spans="1:8" x14ac:dyDescent="0.2">
      <c r="A82" s="16">
        <f>DATE(2018,11,9)</f>
        <v>43413</v>
      </c>
      <c r="B82" s="2">
        <v>15.518080980512527</v>
      </c>
      <c r="C82" s="2">
        <v>9.6133126328709295</v>
      </c>
      <c r="D82" s="2">
        <v>2.3095507144225369</v>
      </c>
      <c r="E82" s="2">
        <v>2.0020328273372634</v>
      </c>
      <c r="F82" s="2">
        <v>2.2473734762940678</v>
      </c>
      <c r="G82" s="2">
        <v>2.2566652921617969</v>
      </c>
      <c r="H82" s="2">
        <v>2.4667946626199866</v>
      </c>
    </row>
    <row r="83" spans="1:8" x14ac:dyDescent="0.2">
      <c r="A83" s="16">
        <f>DATE(2018,11,12)</f>
        <v>43416</v>
      </c>
      <c r="B83" s="2">
        <v>14.834337720132231</v>
      </c>
      <c r="C83" s="2">
        <v>9.4641899493537629</v>
      </c>
      <c r="D83" s="2">
        <v>2.3387803924465711</v>
      </c>
      <c r="E83" s="2">
        <v>2.0051420231358197</v>
      </c>
      <c r="F83" s="2">
        <v>2.253560733512372</v>
      </c>
      <c r="G83" s="2">
        <v>2.2629692717226702</v>
      </c>
      <c r="H83" s="2">
        <v>2.4757411062205525</v>
      </c>
    </row>
    <row r="84" spans="1:8" x14ac:dyDescent="0.2">
      <c r="A84" s="16">
        <f>DATE(2018,11,13)</f>
        <v>43417</v>
      </c>
      <c r="B84" s="2">
        <v>13.576677521557755</v>
      </c>
      <c r="C84" s="2">
        <v>8.6826877664618607</v>
      </c>
      <c r="D84" s="2">
        <v>2.3680184213437316</v>
      </c>
      <c r="E84" s="2">
        <v>2.0082513137079649</v>
      </c>
      <c r="F84" s="2">
        <v>2.2597483651378703</v>
      </c>
      <c r="G84" s="2">
        <v>2.2692736399150037</v>
      </c>
      <c r="H84" s="2">
        <v>2.4846883309410428</v>
      </c>
    </row>
    <row r="85" spans="1:8" x14ac:dyDescent="0.2">
      <c r="A85" s="16">
        <f>DATE(2018,11,14)</f>
        <v>43418</v>
      </c>
      <c r="B85" s="2">
        <v>15.470679263893516</v>
      </c>
      <c r="C85" s="2">
        <v>10.038051818564542</v>
      </c>
      <c r="D85" s="2">
        <v>2.3972648034998434</v>
      </c>
      <c r="E85" s="2">
        <v>2.0113606990565858</v>
      </c>
      <c r="F85" s="2">
        <v>2.2659363711932112</v>
      </c>
      <c r="G85" s="2">
        <v>2.2755783967627785</v>
      </c>
      <c r="H85" s="2">
        <v>2.493636336849625</v>
      </c>
    </row>
    <row r="86" spans="1:8" x14ac:dyDescent="0.2">
      <c r="A86" s="16">
        <f>DATE(2018,11,16)</f>
        <v>43420</v>
      </c>
      <c r="B86" s="2">
        <v>18.823280660964549</v>
      </c>
      <c r="C86" s="2">
        <v>13.291859880225655</v>
      </c>
      <c r="D86" s="2">
        <v>2.4265195413014196</v>
      </c>
      <c r="E86" s="2">
        <v>2.0144701791845687</v>
      </c>
      <c r="F86" s="2">
        <v>2.2721247517010434</v>
      </c>
      <c r="G86" s="2">
        <v>2.2818835422899308</v>
      </c>
      <c r="H86" s="2">
        <v>2.5025851240145336</v>
      </c>
    </row>
    <row r="87" spans="1:8" x14ac:dyDescent="0.2">
      <c r="A87" s="16">
        <f>DATE(2018,11,19)</f>
        <v>43423</v>
      </c>
      <c r="B87" s="2">
        <v>17.522343719707244</v>
      </c>
      <c r="C87" s="2">
        <v>12.505430031626585</v>
      </c>
      <c r="D87" s="2">
        <v>2.4557826371356617</v>
      </c>
      <c r="E87" s="2">
        <v>2.0175797540948004</v>
      </c>
      <c r="F87" s="2">
        <v>2.2783135066840154</v>
      </c>
      <c r="G87" s="2">
        <v>2.2881890765204416</v>
      </c>
      <c r="H87" s="2">
        <v>2.5115346925039361</v>
      </c>
    </row>
    <row r="88" spans="1:8" x14ac:dyDescent="0.2">
      <c r="A88" s="16">
        <f>DATE(2018,11,20)</f>
        <v>43424</v>
      </c>
      <c r="B88" s="2">
        <v>17.514963121180639</v>
      </c>
      <c r="C88" s="2">
        <v>12.505430031626585</v>
      </c>
      <c r="D88" s="2">
        <v>2.4850540933904375</v>
      </c>
      <c r="E88" s="2">
        <v>2.0206894237901896</v>
      </c>
      <c r="F88" s="2">
        <v>2.2845026361648424</v>
      </c>
      <c r="G88" s="2">
        <v>2.2944949994782915</v>
      </c>
      <c r="H88" s="2">
        <v>2.5204850423861114</v>
      </c>
    </row>
    <row r="89" spans="1:8" x14ac:dyDescent="0.2">
      <c r="A89" s="16">
        <f>DATE(2018,11,21)</f>
        <v>43425</v>
      </c>
      <c r="B89" s="2">
        <v>16.982145116849235</v>
      </c>
      <c r="C89" s="2">
        <v>11.696486510355063</v>
      </c>
      <c r="D89" s="2">
        <v>2.5143339124543251</v>
      </c>
      <c r="E89" s="2">
        <v>2.0237991882735784</v>
      </c>
      <c r="F89" s="2">
        <v>2.2906921401661284</v>
      </c>
      <c r="G89" s="2">
        <v>2.3008013111873726</v>
      </c>
      <c r="H89" s="2">
        <v>2.529436173729227</v>
      </c>
    </row>
    <row r="90" spans="1:8" x14ac:dyDescent="0.2">
      <c r="A90" s="16">
        <f>DATE(2018,11,22)</f>
        <v>43426</v>
      </c>
      <c r="B90" s="2">
        <v>18.368673049553784</v>
      </c>
      <c r="C90" s="2">
        <v>11.963527594287916</v>
      </c>
      <c r="D90" s="2">
        <v>2.5436220967165468</v>
      </c>
      <c r="E90" s="2">
        <v>2.0269090475479201</v>
      </c>
      <c r="F90" s="2">
        <v>2.2968820187105887</v>
      </c>
      <c r="G90" s="2">
        <v>2.3071080116717324</v>
      </c>
      <c r="H90" s="2">
        <v>2.5383880866015618</v>
      </c>
    </row>
    <row r="91" spans="1:8" x14ac:dyDescent="0.2">
      <c r="A91" s="16">
        <f>DATE(2018,11,23)</f>
        <v>43427</v>
      </c>
      <c r="B91" s="2">
        <v>17.455310675516866</v>
      </c>
      <c r="C91" s="2">
        <v>10.367194289539317</v>
      </c>
      <c r="D91" s="2">
        <v>2.5729186485670352</v>
      </c>
      <c r="E91" s="2">
        <v>2.0300190016160791</v>
      </c>
      <c r="F91" s="2">
        <v>2.3030722718208718</v>
      </c>
      <c r="G91" s="2">
        <v>2.3134151009553294</v>
      </c>
      <c r="H91" s="2">
        <v>2.5473407810713278</v>
      </c>
    </row>
    <row r="92" spans="1:8" x14ac:dyDescent="0.2">
      <c r="A92" s="16">
        <f>DATE(2018,11,26)</f>
        <v>43430</v>
      </c>
      <c r="B92" s="2">
        <v>16.928232151049304</v>
      </c>
      <c r="C92" s="2">
        <v>9.4921048556065202</v>
      </c>
      <c r="D92" s="2">
        <v>2.6022235703963892</v>
      </c>
      <c r="E92" s="2">
        <v>2.0331290504809196</v>
      </c>
      <c r="F92" s="2">
        <v>2.3092628995196263</v>
      </c>
      <c r="G92" s="2">
        <v>2.3197225790620779</v>
      </c>
      <c r="H92" s="2">
        <v>2.5562942572067593</v>
      </c>
    </row>
    <row r="93" spans="1:8" x14ac:dyDescent="0.2">
      <c r="A93" s="16">
        <f>DATE(2018,11,27)</f>
        <v>43431</v>
      </c>
      <c r="B93" s="2">
        <v>19.094357980407484</v>
      </c>
      <c r="C93" s="2">
        <v>12.493078869529416</v>
      </c>
      <c r="D93" s="2">
        <v>2.6315368645959181</v>
      </c>
      <c r="E93" s="2">
        <v>2.0362391941453506</v>
      </c>
      <c r="F93" s="2">
        <v>2.315453901829545</v>
      </c>
      <c r="G93" s="2">
        <v>2.3260304460160031</v>
      </c>
      <c r="H93" s="2">
        <v>2.5652485150761128</v>
      </c>
    </row>
    <row r="94" spans="1:8" x14ac:dyDescent="0.2">
      <c r="A94" s="16">
        <f>DATE(2018,11,28)</f>
        <v>43432</v>
      </c>
      <c r="B94" s="2">
        <v>20.142655792170896</v>
      </c>
      <c r="C94" s="2">
        <v>14.233300012927064</v>
      </c>
      <c r="D94" s="2">
        <v>2.6608585335575752</v>
      </c>
      <c r="E94" s="2">
        <v>2.0393494326122807</v>
      </c>
      <c r="F94" s="2">
        <v>2.3216452787732766</v>
      </c>
      <c r="G94" s="2">
        <v>2.3323387018410413</v>
      </c>
      <c r="H94" s="2">
        <v>2.574203554747645</v>
      </c>
    </row>
    <row r="95" spans="1:8" x14ac:dyDescent="0.2">
      <c r="A95" s="16">
        <f>DATE(2018,11,29)</f>
        <v>43433</v>
      </c>
      <c r="B95" s="2">
        <v>21.780394637587143</v>
      </c>
      <c r="C95" s="2">
        <v>14.8204473808496</v>
      </c>
      <c r="D95" s="2">
        <v>2.6901885796740244</v>
      </c>
      <c r="E95" s="2">
        <v>2.0424597658845745</v>
      </c>
      <c r="F95" s="2">
        <v>2.3278370303734919</v>
      </c>
      <c r="G95" s="2">
        <v>2.3386473465611735</v>
      </c>
      <c r="H95" s="2">
        <v>2.5831593762896121</v>
      </c>
    </row>
    <row r="96" spans="1:8" x14ac:dyDescent="0.2">
      <c r="A96" s="16">
        <f>DATE(2018,11,30)</f>
        <v>43434</v>
      </c>
      <c r="B96" s="2">
        <v>22.172994576280281</v>
      </c>
      <c r="C96" s="2">
        <v>14.557386826877593</v>
      </c>
      <c r="D96" s="2">
        <v>2.7195270053385956</v>
      </c>
      <c r="E96" s="2">
        <v>2.0455701939651183</v>
      </c>
      <c r="F96" s="2">
        <v>2.3340291566528615</v>
      </c>
      <c r="G96" s="2">
        <v>2.3449563802003581</v>
      </c>
      <c r="H96" s="2">
        <v>2.5921159797702931</v>
      </c>
    </row>
    <row r="97" spans="1:8" x14ac:dyDescent="0.2">
      <c r="A97" s="16">
        <f>DATE(2018,12,3)</f>
        <v>43437</v>
      </c>
      <c r="B97" s="2">
        <v>23.326155435138872</v>
      </c>
      <c r="C97" s="2">
        <v>14.96191618360605</v>
      </c>
      <c r="D97" s="2">
        <v>2.7488738129453294</v>
      </c>
      <c r="E97" s="2">
        <v>2.0685931280726155</v>
      </c>
      <c r="F97" s="2">
        <v>2.3601909562398715</v>
      </c>
      <c r="G97" s="2">
        <v>2.3712372563948314</v>
      </c>
      <c r="H97" s="2">
        <v>2.6210935629682908</v>
      </c>
    </row>
    <row r="98" spans="1:8" x14ac:dyDescent="0.2">
      <c r="A98" s="16">
        <f>DATE(2018,12,4)</f>
        <v>43438</v>
      </c>
      <c r="B98" s="2">
        <v>21.263650725239192</v>
      </c>
      <c r="C98" s="2">
        <v>13.43160080020167</v>
      </c>
      <c r="D98" s="2">
        <v>2.7782290048889324</v>
      </c>
      <c r="E98" s="2">
        <v>2.0916212564819681</v>
      </c>
      <c r="F98" s="2">
        <v>2.3863594441177804</v>
      </c>
      <c r="G98" s="2">
        <v>2.397524881182278</v>
      </c>
      <c r="H98" s="2">
        <v>2.6500793310089588</v>
      </c>
    </row>
    <row r="99" spans="1:8" x14ac:dyDescent="0.2">
      <c r="A99" s="16">
        <f>DATE(2018,12,5)</f>
        <v>43439</v>
      </c>
      <c r="B99" s="2">
        <v>22.462953631256699</v>
      </c>
      <c r="C99" s="2">
        <v>13.963199936516245</v>
      </c>
      <c r="D99" s="2">
        <v>2.8075925835647775</v>
      </c>
      <c r="E99" s="2">
        <v>2.1146545803650829</v>
      </c>
      <c r="F99" s="2">
        <v>2.4125346219964872</v>
      </c>
      <c r="G99" s="2">
        <v>2.4238192562956451</v>
      </c>
      <c r="H99" s="2">
        <v>2.6790732862041367</v>
      </c>
    </row>
    <row r="100" spans="1:8" x14ac:dyDescent="0.2">
      <c r="A100" s="16">
        <f>DATE(2018,12,6)</f>
        <v>43440</v>
      </c>
      <c r="B100" s="2">
        <v>21.750486358822084</v>
      </c>
      <c r="C100" s="2">
        <v>13.715779921490068</v>
      </c>
      <c r="D100" s="2">
        <v>2.8369645513689479</v>
      </c>
      <c r="E100" s="2">
        <v>2.1376931008941336</v>
      </c>
      <c r="F100" s="2">
        <v>2.4387164915862902</v>
      </c>
      <c r="G100" s="2">
        <v>2.4501203834683238</v>
      </c>
      <c r="H100" s="2">
        <v>2.708075430866308</v>
      </c>
    </row>
    <row r="101" spans="1:8" x14ac:dyDescent="0.2">
      <c r="A101" s="16">
        <f>DATE(2018,12,7)</f>
        <v>43441</v>
      </c>
      <c r="B101" s="2">
        <v>20.33729246557543</v>
      </c>
      <c r="C101" s="2">
        <v>12.779638629315349</v>
      </c>
      <c r="D101" s="2">
        <v>2.8663449106982153</v>
      </c>
      <c r="E101" s="2">
        <v>2.1607368192415599</v>
      </c>
      <c r="F101" s="2">
        <v>2.4649050545979101</v>
      </c>
      <c r="G101" s="2">
        <v>2.4764282644341717</v>
      </c>
      <c r="H101" s="2">
        <v>2.7370857673086446</v>
      </c>
    </row>
    <row r="102" spans="1:8" x14ac:dyDescent="0.2">
      <c r="A102" s="16">
        <f>DATE(2018,12,10)</f>
        <v>43444</v>
      </c>
      <c r="B102" s="2">
        <v>17.363306014917246</v>
      </c>
      <c r="C102" s="2">
        <v>9.9633688850548019</v>
      </c>
      <c r="D102" s="2">
        <v>2.8957336639500175</v>
      </c>
      <c r="E102" s="2">
        <v>2.1837857365800684</v>
      </c>
      <c r="F102" s="2">
        <v>2.4911003127425557</v>
      </c>
      <c r="G102" s="2">
        <v>2.5027429009274904</v>
      </c>
      <c r="H102" s="2">
        <v>2.7661042978449402</v>
      </c>
    </row>
    <row r="103" spans="1:8" x14ac:dyDescent="0.2">
      <c r="A103" s="16">
        <f>DATE(2018,12,11)</f>
        <v>43445</v>
      </c>
      <c r="B103" s="2">
        <v>17.896718370331932</v>
      </c>
      <c r="C103" s="2">
        <v>10.609545848409606</v>
      </c>
      <c r="D103" s="2">
        <v>2.9251308135224807</v>
      </c>
      <c r="E103" s="2">
        <v>2.2068398540826317</v>
      </c>
      <c r="F103" s="2">
        <v>2.5173022677318357</v>
      </c>
      <c r="G103" s="2">
        <v>2.5290642946829811</v>
      </c>
      <c r="H103" s="2">
        <v>2.7951310247896544</v>
      </c>
    </row>
    <row r="104" spans="1:8" x14ac:dyDescent="0.2">
      <c r="A104" s="16">
        <f>DATE(2018,12,12)</f>
        <v>43446</v>
      </c>
      <c r="B104" s="2">
        <v>18.752916589434342</v>
      </c>
      <c r="C104" s="2">
        <v>11.323596607206143</v>
      </c>
      <c r="D104" s="2">
        <v>2.9545363618144416</v>
      </c>
      <c r="E104" s="2">
        <v>2.2298991729224671</v>
      </c>
      <c r="F104" s="2">
        <v>2.5435109212778029</v>
      </c>
      <c r="G104" s="2">
        <v>2.5553924474358336</v>
      </c>
      <c r="H104" s="2">
        <v>2.8241659504578909</v>
      </c>
    </row>
    <row r="105" spans="1:8" x14ac:dyDescent="0.2">
      <c r="A105" s="16">
        <f>DATE(2018,12,13)</f>
        <v>43447</v>
      </c>
      <c r="B105" s="2">
        <v>19.727758816943307</v>
      </c>
      <c r="C105" s="2">
        <v>12.424488322712145</v>
      </c>
      <c r="D105" s="2">
        <v>2.9839503112253807</v>
      </c>
      <c r="E105" s="2">
        <v>2.2529636942730802</v>
      </c>
      <c r="F105" s="2">
        <v>2.5697262750929317</v>
      </c>
      <c r="G105" s="2">
        <v>2.5817273609216818</v>
      </c>
      <c r="H105" s="2">
        <v>2.8532090771654195</v>
      </c>
    </row>
    <row r="106" spans="1:8" x14ac:dyDescent="0.2">
      <c r="A106" s="16">
        <f>DATE(2018,12,14)</f>
        <v>43448</v>
      </c>
      <c r="B106" s="2">
        <v>18.747886782505741</v>
      </c>
      <c r="C106" s="2">
        <v>11.92776682029888</v>
      </c>
      <c r="D106" s="2">
        <v>3.0133726641554892</v>
      </c>
      <c r="E106" s="2">
        <v>2.276033419308221</v>
      </c>
      <c r="F106" s="2">
        <v>2.5959483308901854</v>
      </c>
      <c r="G106" s="2">
        <v>2.6080690368765813</v>
      </c>
      <c r="H106" s="2">
        <v>2.882260407228654</v>
      </c>
    </row>
    <row r="107" spans="1:8" x14ac:dyDescent="0.2">
      <c r="A107" s="16">
        <f>DATE(2018,12,17)</f>
        <v>43451</v>
      </c>
      <c r="B107" s="2">
        <v>17.9914508362764</v>
      </c>
      <c r="C107" s="2">
        <v>10.584088375444578</v>
      </c>
      <c r="D107" s="2">
        <v>3.0428034230056467</v>
      </c>
      <c r="E107" s="2">
        <v>2.2991083492019282</v>
      </c>
      <c r="F107" s="2">
        <v>2.6221770903829045</v>
      </c>
      <c r="G107" s="2">
        <v>2.6344174770370765</v>
      </c>
      <c r="H107" s="2">
        <v>2.9113199429646741</v>
      </c>
    </row>
    <row r="108" spans="1:8" x14ac:dyDescent="0.2">
      <c r="A108" s="16">
        <f>DATE(2018,12,18)</f>
        <v>43452</v>
      </c>
      <c r="B108" s="2">
        <v>18.534080068937666</v>
      </c>
      <c r="C108" s="2">
        <v>10.853906870957863</v>
      </c>
      <c r="D108" s="2">
        <v>3.0722425901773986</v>
      </c>
      <c r="E108" s="2">
        <v>2.3221884851284846</v>
      </c>
      <c r="F108" s="2">
        <v>2.648412555284918</v>
      </c>
      <c r="G108" s="2">
        <v>2.6607726831400891</v>
      </c>
      <c r="H108" s="2">
        <v>2.9403876866912038</v>
      </c>
    </row>
    <row r="109" spans="1:8" x14ac:dyDescent="0.2">
      <c r="A109" s="16">
        <f>DATE(2018,12,19)</f>
        <v>43453</v>
      </c>
      <c r="B109" s="2">
        <v>18.020197025609974</v>
      </c>
      <c r="C109" s="2">
        <v>9.6546666274159865</v>
      </c>
      <c r="D109" s="2">
        <v>3.1016901680730014</v>
      </c>
      <c r="E109" s="2">
        <v>2.3452738282624175</v>
      </c>
      <c r="F109" s="2">
        <v>2.6746547273104326</v>
      </c>
      <c r="G109" s="2">
        <v>2.6871346569230292</v>
      </c>
      <c r="H109" s="2">
        <v>2.9694636407266106</v>
      </c>
    </row>
    <row r="110" spans="1:8" x14ac:dyDescent="0.2">
      <c r="A110" s="16">
        <f>DATE(2018,12,20)</f>
        <v>43454</v>
      </c>
      <c r="B110" s="2">
        <v>17.26008852194072</v>
      </c>
      <c r="C110" s="2">
        <v>9.1372873264277565</v>
      </c>
      <c r="D110" s="2">
        <v>3.1311461590953771</v>
      </c>
      <c r="E110" s="2">
        <v>2.3683643797785647</v>
      </c>
      <c r="F110" s="2">
        <v>2.7009036081741655</v>
      </c>
      <c r="G110" s="2">
        <v>2.7135034001237734</v>
      </c>
      <c r="H110" s="2">
        <v>2.9985478073899507</v>
      </c>
    </row>
    <row r="111" spans="1:8" x14ac:dyDescent="0.2">
      <c r="A111" s="16">
        <f>DATE(2018,12,21)</f>
        <v>43455</v>
      </c>
      <c r="B111" s="2">
        <v>17.620047941068108</v>
      </c>
      <c r="C111" s="2">
        <v>9.6849109756393936</v>
      </c>
      <c r="D111" s="2">
        <v>3.1606105656481365</v>
      </c>
      <c r="E111" s="2">
        <v>2.3914601408520753</v>
      </c>
      <c r="F111" s="2">
        <v>2.7271591995912781</v>
      </c>
      <c r="G111" s="2">
        <v>2.7398789144806646</v>
      </c>
      <c r="H111" s="2">
        <v>3.0276401890009463</v>
      </c>
    </row>
    <row r="112" spans="1:8" x14ac:dyDescent="0.2">
      <c r="A112" s="16">
        <f>DATE(2018,12,24)</f>
        <v>43458</v>
      </c>
      <c r="B112" s="2">
        <v>17.612520972498611</v>
      </c>
      <c r="C112" s="2">
        <v>9.6849109756393936</v>
      </c>
      <c r="D112" s="2">
        <v>3.1900833901356012</v>
      </c>
      <c r="E112" s="2">
        <v>2.4145611126582311</v>
      </c>
      <c r="F112" s="2">
        <v>2.7534215032772646</v>
      </c>
      <c r="G112" s="2">
        <v>2.7662612017323784</v>
      </c>
      <c r="H112" s="2">
        <v>3.0567407878798969</v>
      </c>
    </row>
    <row r="113" spans="1:8" x14ac:dyDescent="0.2">
      <c r="A113" s="16">
        <f>DATE(2018,12,26)</f>
        <v>43460</v>
      </c>
      <c r="B113" s="2">
        <v>16.72735035581454</v>
      </c>
      <c r="C113" s="2">
        <v>8.9668156912235055</v>
      </c>
      <c r="D113" s="2">
        <v>3.2195646349627349</v>
      </c>
      <c r="E113" s="2">
        <v>2.4376672963726476</v>
      </c>
      <c r="F113" s="2">
        <v>2.7796905209481304</v>
      </c>
      <c r="G113" s="2">
        <v>2.7926502636181239</v>
      </c>
      <c r="H113" s="2">
        <v>3.0858496063478125</v>
      </c>
    </row>
    <row r="114" spans="1:8" x14ac:dyDescent="0.2">
      <c r="A114" s="16">
        <f>DATE(2018,12,27)</f>
        <v>43461</v>
      </c>
      <c r="B114" s="2">
        <v>16.821568308880931</v>
      </c>
      <c r="C114" s="2">
        <v>9.3816355498442796</v>
      </c>
      <c r="D114" s="2">
        <v>3.249054302535237</v>
      </c>
      <c r="E114" s="2">
        <v>2.4607786931712283</v>
      </c>
      <c r="F114" s="2">
        <v>2.8059662543203245</v>
      </c>
      <c r="G114" s="2">
        <v>2.8190461018775315</v>
      </c>
      <c r="H114" s="2">
        <v>3.1149666467263692</v>
      </c>
    </row>
    <row r="115" spans="1:8" x14ac:dyDescent="0.2">
      <c r="A115" s="16">
        <f>DATE(2018,12,28)</f>
        <v>43462</v>
      </c>
      <c r="B115" s="2">
        <v>19.70225494583271</v>
      </c>
      <c r="C115" s="2">
        <v>12.488061609900347</v>
      </c>
      <c r="D115" s="2">
        <v>3.2785523952594708</v>
      </c>
      <c r="E115" s="2">
        <v>2.4838953042300993</v>
      </c>
      <c r="F115" s="2">
        <v>2.8322487051107403</v>
      </c>
      <c r="G115" s="2">
        <v>2.8454487182507204</v>
      </c>
      <c r="H115" s="2">
        <v>3.1440919113378651</v>
      </c>
    </row>
    <row r="116" spans="1:8" x14ac:dyDescent="0.2">
      <c r="A116" s="16">
        <f>DATE(2018,12,31)</f>
        <v>43465</v>
      </c>
      <c r="B116" s="2">
        <v>19.695038459172377</v>
      </c>
      <c r="C116" s="2">
        <v>12.488061609900347</v>
      </c>
      <c r="D116" s="2">
        <v>3.3080589155424889</v>
      </c>
      <c r="E116" s="2">
        <v>2.507017130725675</v>
      </c>
      <c r="F116" s="2">
        <v>2.8585378750366486</v>
      </c>
      <c r="G116" s="2">
        <v>2.8718581144781652</v>
      </c>
      <c r="H116" s="2">
        <v>3.173225402505242</v>
      </c>
    </row>
    <row r="117" spans="1:8" x14ac:dyDescent="0.2">
      <c r="A117" s="16">
        <f>DATE(2019,1,2)</f>
        <v>43467</v>
      </c>
      <c r="B117" s="2">
        <v>23.062565165162894</v>
      </c>
      <c r="C117" s="2">
        <v>16.487854263966707</v>
      </c>
      <c r="D117" s="2">
        <v>3.3375738657920322</v>
      </c>
      <c r="E117" s="2">
        <v>2.5397200626338767</v>
      </c>
      <c r="F117" s="2">
        <v>2.8944427811469442</v>
      </c>
      <c r="G117" s="2">
        <v>2.9078845629212591</v>
      </c>
      <c r="H117" s="2">
        <v>3.2120057941774194</v>
      </c>
    </row>
    <row r="118" spans="1:8" x14ac:dyDescent="0.2">
      <c r="A118" s="16">
        <f>DATE(2019,1,3)</f>
        <v>43468</v>
      </c>
      <c r="B118" s="2">
        <v>23.464519480233804</v>
      </c>
      <c r="C118" s="2">
        <v>17.194289539397634</v>
      </c>
      <c r="D118" s="2">
        <v>3.3670972484165285</v>
      </c>
      <c r="E118" s="2">
        <v>2.5724334277961169</v>
      </c>
      <c r="F118" s="2">
        <v>2.9303602206094181</v>
      </c>
      <c r="G118" s="2">
        <v>2.943923628080003</v>
      </c>
      <c r="H118" s="2">
        <v>3.25080076248776</v>
      </c>
    </row>
    <row r="119" spans="1:8" x14ac:dyDescent="0.2">
      <c r="A119" s="16">
        <f>DATE(2019,1,4)</f>
        <v>43469</v>
      </c>
      <c r="B119" s="2">
        <v>23.664851278943754</v>
      </c>
      <c r="C119" s="2">
        <v>17.54823672762036</v>
      </c>
      <c r="D119" s="2">
        <v>3.3966290658250964</v>
      </c>
      <c r="E119" s="2">
        <v>2.6051572295410441</v>
      </c>
      <c r="F119" s="2">
        <v>2.9662901977991929</v>
      </c>
      <c r="G119" s="2">
        <v>2.9799753143729735</v>
      </c>
      <c r="H119" s="2">
        <v>3.2896103129153702</v>
      </c>
    </row>
    <row r="120" spans="1:8" x14ac:dyDescent="0.2">
      <c r="A120" s="16">
        <f>DATE(2019,1,7)</f>
        <v>43472</v>
      </c>
      <c r="B120" s="2">
        <v>23.408876686654189</v>
      </c>
      <c r="C120" s="2">
        <v>17.366821834806689</v>
      </c>
      <c r="D120" s="2">
        <v>3.4261693204275412</v>
      </c>
      <c r="E120" s="2">
        <v>2.6378914711981505</v>
      </c>
      <c r="F120" s="2">
        <v>3.002232717092701</v>
      </c>
      <c r="G120" s="2">
        <v>3.0160396262200795</v>
      </c>
      <c r="H120" s="2">
        <v>3.32843445094122</v>
      </c>
    </row>
    <row r="121" spans="1:8" x14ac:dyDescent="0.2">
      <c r="A121" s="16">
        <f>DATE(2019,1,8)</f>
        <v>43473</v>
      </c>
      <c r="B121" s="2">
        <v>23.239247113305559</v>
      </c>
      <c r="C121" s="2">
        <v>17.792789737144176</v>
      </c>
      <c r="D121" s="2">
        <v>3.4557180146343351</v>
      </c>
      <c r="E121" s="2">
        <v>2.6706361560981273</v>
      </c>
      <c r="F121" s="2">
        <v>3.0381877828680848</v>
      </c>
      <c r="G121" s="2">
        <v>3.0521165680429174</v>
      </c>
      <c r="H121" s="2">
        <v>3.3672731820485025</v>
      </c>
    </row>
    <row r="122" spans="1:8" x14ac:dyDescent="0.2">
      <c r="A122" s="16">
        <f>DATE(2019,1,9)</f>
        <v>43474</v>
      </c>
      <c r="B122" s="2">
        <v>25.325126675510099</v>
      </c>
      <c r="C122" s="2">
        <v>19.816562844376563</v>
      </c>
      <c r="D122" s="2">
        <v>3.4852751508566815</v>
      </c>
      <c r="E122" s="2">
        <v>2.7033912875726873</v>
      </c>
      <c r="F122" s="2">
        <v>3.074155399504952</v>
      </c>
      <c r="G122" s="2">
        <v>3.0882061442645936</v>
      </c>
      <c r="H122" s="2">
        <v>3.4061265117224071</v>
      </c>
    </row>
    <row r="123" spans="1:8" x14ac:dyDescent="0.2">
      <c r="A123" s="16">
        <f>DATE(2019,1,10)</f>
        <v>43475</v>
      </c>
      <c r="B123" s="2">
        <v>26.241793464151812</v>
      </c>
      <c r="C123" s="2">
        <v>20.063445295871052</v>
      </c>
      <c r="D123" s="2">
        <v>3.5148407315064518</v>
      </c>
      <c r="E123" s="2">
        <v>2.7361568689546534</v>
      </c>
      <c r="F123" s="2">
        <v>3.1101355713844425</v>
      </c>
      <c r="G123" s="2">
        <v>3.1243083593097909</v>
      </c>
      <c r="H123" s="2">
        <v>3.4449944454502108</v>
      </c>
    </row>
    <row r="124" spans="1:8" x14ac:dyDescent="0.2">
      <c r="A124" s="16">
        <f>DATE(2019,1,11)</f>
        <v>43476</v>
      </c>
      <c r="B124" s="2">
        <v>26.506474856265779</v>
      </c>
      <c r="C124" s="2">
        <v>19.874504513613722</v>
      </c>
      <c r="D124" s="2">
        <v>3.5444147589961839</v>
      </c>
      <c r="E124" s="2">
        <v>2.768932903577781</v>
      </c>
      <c r="F124" s="2">
        <v>3.146128302889184</v>
      </c>
      <c r="G124" s="2">
        <v>3.1604232176046354</v>
      </c>
      <c r="H124" s="2">
        <v>3.4838769887211685</v>
      </c>
    </row>
    <row r="125" spans="1:8" x14ac:dyDescent="0.2">
      <c r="A125" s="16">
        <f>DATE(2019,1,14)</f>
        <v>43479</v>
      </c>
      <c r="B125" s="2">
        <v>28.008573026476125</v>
      </c>
      <c r="C125" s="2">
        <v>20.918683276526462</v>
      </c>
      <c r="D125" s="2">
        <v>3.5739972357391459</v>
      </c>
      <c r="E125" s="2">
        <v>2.8017193947770913</v>
      </c>
      <c r="F125" s="2">
        <v>3.1821335984034471</v>
      </c>
      <c r="G125" s="2">
        <v>3.1965507235769852</v>
      </c>
      <c r="H125" s="2">
        <v>3.5227741470267526</v>
      </c>
    </row>
    <row r="126" spans="1:8" x14ac:dyDescent="0.2">
      <c r="A126" s="16">
        <f>DATE(2019,1,15)</f>
        <v>43480</v>
      </c>
      <c r="B126" s="2">
        <v>27.280390933981511</v>
      </c>
      <c r="C126" s="2">
        <v>20.383154806777839</v>
      </c>
      <c r="D126" s="2">
        <v>3.603588164149274</v>
      </c>
      <c r="E126" s="2">
        <v>2.8345163458884937</v>
      </c>
      <c r="F126" s="2">
        <v>3.2181514623129015</v>
      </c>
      <c r="G126" s="2">
        <v>3.2326908816560529</v>
      </c>
      <c r="H126" s="2">
        <v>3.5616859258603468</v>
      </c>
    </row>
    <row r="127" spans="1:8" x14ac:dyDescent="0.2">
      <c r="A127" s="16">
        <f>DATE(2019,1,16)</f>
        <v>43481</v>
      </c>
      <c r="B127" s="2">
        <v>27.249240727579792</v>
      </c>
      <c r="C127" s="2">
        <v>20.814933514910283</v>
      </c>
      <c r="D127" s="2">
        <v>3.6331875466411918</v>
      </c>
      <c r="E127" s="2">
        <v>2.8673237602490298</v>
      </c>
      <c r="F127" s="2">
        <v>3.2541818990048381</v>
      </c>
      <c r="G127" s="2">
        <v>3.2688436962727385</v>
      </c>
      <c r="H127" s="2">
        <v>3.6006123307174902</v>
      </c>
    </row>
    <row r="128" spans="1:8" x14ac:dyDescent="0.2">
      <c r="A128" s="16">
        <f>DATE(2019,1,17)</f>
        <v>43482</v>
      </c>
      <c r="B128" s="2">
        <v>28.14220887563992</v>
      </c>
      <c r="C128" s="2">
        <v>22.041115930695199</v>
      </c>
      <c r="D128" s="2">
        <v>3.6627953856302131</v>
      </c>
      <c r="E128" s="2">
        <v>2.9001416411968073</v>
      </c>
      <c r="F128" s="2">
        <v>3.2902249128680339</v>
      </c>
      <c r="G128" s="2">
        <v>3.3050091718594521</v>
      </c>
      <c r="H128" s="2">
        <v>3.6395533670957381</v>
      </c>
    </row>
    <row r="129" spans="1:8" x14ac:dyDescent="0.2">
      <c r="A129" s="16">
        <f>DATE(2019,1,18)</f>
        <v>43483</v>
      </c>
      <c r="B129" s="2">
        <v>28.096523680433069</v>
      </c>
      <c r="C129" s="2">
        <v>22.995495985552282</v>
      </c>
      <c r="D129" s="2">
        <v>3.6924116835323595</v>
      </c>
      <c r="E129" s="2">
        <v>2.9329699920709995</v>
      </c>
      <c r="F129" s="2">
        <v>3.3262805082928004</v>
      </c>
      <c r="G129" s="2">
        <v>3.3411873128501579</v>
      </c>
      <c r="H129" s="2">
        <v>3.6785090404947596</v>
      </c>
    </row>
    <row r="130" spans="1:8" x14ac:dyDescent="0.2">
      <c r="A130" s="16">
        <f>DATE(2019,1,21)</f>
        <v>43486</v>
      </c>
      <c r="B130" s="2">
        <v>28.381630346714751</v>
      </c>
      <c r="C130" s="2">
        <v>22.884169137965625</v>
      </c>
      <c r="D130" s="2">
        <v>3.7220364427643204</v>
      </c>
      <c r="E130" s="2">
        <v>2.9658088162118235</v>
      </c>
      <c r="F130" s="2">
        <v>3.3623486896710242</v>
      </c>
      <c r="G130" s="2">
        <v>3.3773781236803524</v>
      </c>
      <c r="H130" s="2">
        <v>3.7174793564162645</v>
      </c>
    </row>
    <row r="131" spans="1:8" x14ac:dyDescent="0.2">
      <c r="A131" s="16">
        <f>DATE(2019,1,22)</f>
        <v>43487</v>
      </c>
      <c r="B131" s="2">
        <v>27.520415627051321</v>
      </c>
      <c r="C131" s="2">
        <v>21.724068639183457</v>
      </c>
      <c r="D131" s="2">
        <v>3.7516696657434956</v>
      </c>
      <c r="E131" s="2">
        <v>2.9986581169606064</v>
      </c>
      <c r="F131" s="2">
        <v>3.3984294613960575</v>
      </c>
      <c r="G131" s="2">
        <v>3.4135816087871085</v>
      </c>
      <c r="H131" s="2">
        <v>3.756464320364028</v>
      </c>
    </row>
    <row r="132" spans="1:8" x14ac:dyDescent="0.2">
      <c r="A132" s="16">
        <f>DATE(2019,1,23)</f>
        <v>43488</v>
      </c>
      <c r="B132" s="2">
        <v>29.949949872695814</v>
      </c>
      <c r="C132" s="2">
        <v>23.586393499064972</v>
      </c>
      <c r="D132" s="2">
        <v>3.7813113548879511</v>
      </c>
      <c r="E132" s="2">
        <v>3.0315178976596968</v>
      </c>
      <c r="F132" s="2">
        <v>3.4345228278628515</v>
      </c>
      <c r="G132" s="2">
        <v>3.4497977726090534</v>
      </c>
      <c r="H132" s="2">
        <v>3.7954639378438904</v>
      </c>
    </row>
    <row r="133" spans="1:8" x14ac:dyDescent="0.2">
      <c r="A133" s="16">
        <f>DATE(2019,1,24)</f>
        <v>43489</v>
      </c>
      <c r="B133" s="2">
        <v>32.392413472129419</v>
      </c>
      <c r="C133" s="2">
        <v>25.018321957038388</v>
      </c>
      <c r="D133" s="2">
        <v>3.810961512616462</v>
      </c>
      <c r="E133" s="2">
        <v>3.0643881616525093</v>
      </c>
      <c r="F133" s="2">
        <v>3.4706287934678448</v>
      </c>
      <c r="G133" s="2">
        <v>3.4860266195863692</v>
      </c>
      <c r="H133" s="2">
        <v>3.8344782143638012</v>
      </c>
    </row>
    <row r="134" spans="1:8" x14ac:dyDescent="0.2">
      <c r="A134" s="16">
        <f>DATE(2019,1,25)</f>
        <v>43490</v>
      </c>
      <c r="B134" s="2">
        <v>32.382504663770973</v>
      </c>
      <c r="C134" s="2">
        <v>25.018321957038388</v>
      </c>
      <c r="D134" s="2">
        <v>3.8406201413484942</v>
      </c>
      <c r="E134" s="2">
        <v>3.0972689122835684</v>
      </c>
      <c r="F134" s="2">
        <v>3.5067473626090306</v>
      </c>
      <c r="G134" s="2">
        <v>3.5222681541607681</v>
      </c>
      <c r="H134" s="2">
        <v>3.8735071554337086</v>
      </c>
    </row>
    <row r="135" spans="1:8" x14ac:dyDescent="0.2">
      <c r="A135" s="16">
        <f>DATE(2019,1,28)</f>
        <v>43493</v>
      </c>
      <c r="B135" s="2">
        <v>31.186226738639956</v>
      </c>
      <c r="C135" s="2">
        <v>22.159879073803591</v>
      </c>
      <c r="D135" s="2">
        <v>3.870287243504178</v>
      </c>
      <c r="E135" s="2">
        <v>3.1301601528984202</v>
      </c>
      <c r="F135" s="2">
        <v>3.5428785396859341</v>
      </c>
      <c r="G135" s="2">
        <v>3.5585223807755422</v>
      </c>
      <c r="H135" s="2">
        <v>3.9125507665656918</v>
      </c>
    </row>
    <row r="136" spans="1:8" x14ac:dyDescent="0.2">
      <c r="A136" s="16">
        <f>DATE(2019,1,29)</f>
        <v>43494</v>
      </c>
      <c r="B136" s="2">
        <v>32.074808220869052</v>
      </c>
      <c r="C136" s="2">
        <v>22.41003810301503</v>
      </c>
      <c r="D136" s="2">
        <v>3.8999628215043991</v>
      </c>
      <c r="E136" s="2">
        <v>3.1630618868436988</v>
      </c>
      <c r="F136" s="2">
        <v>3.5790223290996348</v>
      </c>
      <c r="G136" s="2">
        <v>3.5947893038755341</v>
      </c>
      <c r="H136" s="2">
        <v>3.9516090532738972</v>
      </c>
    </row>
    <row r="137" spans="1:8" x14ac:dyDescent="0.2">
      <c r="A137" s="16">
        <f>DATE(2019,1,30)</f>
        <v>43495</v>
      </c>
      <c r="B137" s="2">
        <v>33.772252737419237</v>
      </c>
      <c r="C137" s="2">
        <v>24.146726686061569</v>
      </c>
      <c r="D137" s="2">
        <v>3.9296468777706206</v>
      </c>
      <c r="E137" s="2">
        <v>3.1959741174671041</v>
      </c>
      <c r="F137" s="2">
        <v>3.6151787352526998</v>
      </c>
      <c r="G137" s="2">
        <v>3.631068927907144</v>
      </c>
      <c r="H137" s="2">
        <v>3.9906820210745102</v>
      </c>
    </row>
    <row r="138" spans="1:8" x14ac:dyDescent="0.2">
      <c r="A138" s="16">
        <f>DATE(2019,1,31)</f>
        <v>43496</v>
      </c>
      <c r="B138" s="2">
        <v>34.623425585048871</v>
      </c>
      <c r="C138" s="2">
        <v>24.65553056880616</v>
      </c>
      <c r="D138" s="2">
        <v>3.9593394147251488</v>
      </c>
      <c r="E138" s="2">
        <v>3.2288968481174241</v>
      </c>
      <c r="F138" s="2">
        <v>3.6513477625492952</v>
      </c>
      <c r="G138" s="2">
        <v>3.6673612573183245</v>
      </c>
      <c r="H138" s="2">
        <v>4.0297696754858059</v>
      </c>
    </row>
    <row r="139" spans="1:8" x14ac:dyDescent="0.2">
      <c r="A139" s="16">
        <f>DATE(2019,2,1)</f>
        <v>43497</v>
      </c>
      <c r="B139" s="2">
        <v>34.409060004044292</v>
      </c>
      <c r="C139" s="2">
        <v>25.253928373499068</v>
      </c>
      <c r="D139" s="2">
        <v>3.9890404347908688</v>
      </c>
      <c r="E139" s="2">
        <v>3.2727692998168134</v>
      </c>
      <c r="F139" s="2">
        <v>3.6985137302506299</v>
      </c>
      <c r="G139" s="2">
        <v>3.7146523209021121</v>
      </c>
      <c r="H139" s="2">
        <v>4.0798967350616167</v>
      </c>
    </row>
    <row r="140" spans="1:8" x14ac:dyDescent="0.2">
      <c r="A140" s="16">
        <f>DATE(2019,2,4)</f>
        <v>43500</v>
      </c>
      <c r="B140" s="2">
        <v>35.005881636223734</v>
      </c>
      <c r="C140" s="2">
        <v>26.184886017332509</v>
      </c>
      <c r="D140" s="2">
        <v>4.0187499403913751</v>
      </c>
      <c r="E140" s="2">
        <v>3.3166603973806552</v>
      </c>
      <c r="F140" s="2">
        <v>3.7457011605624979</v>
      </c>
      <c r="G140" s="2">
        <v>3.7619649577628418</v>
      </c>
      <c r="H140" s="2">
        <v>4.1300479485128827</v>
      </c>
    </row>
    <row r="141" spans="1:8" x14ac:dyDescent="0.2">
      <c r="A141" s="16">
        <f>DATE(2019,2,5)</f>
        <v>43501</v>
      </c>
      <c r="B141" s="2">
        <v>35.322653021785193</v>
      </c>
      <c r="C141" s="2">
        <v>25.829799706387835</v>
      </c>
      <c r="D141" s="2">
        <v>4.0484679339510388</v>
      </c>
      <c r="E141" s="2">
        <v>3.3605701487334771</v>
      </c>
      <c r="F141" s="2">
        <v>3.7929100632513535</v>
      </c>
      <c r="G141" s="2">
        <v>3.8092991777418206</v>
      </c>
      <c r="H141" s="2">
        <v>4.1802233274782497</v>
      </c>
    </row>
    <row r="142" spans="1:8" x14ac:dyDescent="0.2">
      <c r="A142" s="16">
        <f>DATE(2019,2,6)</f>
        <v>43502</v>
      </c>
      <c r="B142" s="2">
        <v>30.142045029901009</v>
      </c>
      <c r="C142" s="2">
        <v>21.125312458802735</v>
      </c>
      <c r="D142" s="2">
        <v>4.0781944178947871</v>
      </c>
      <c r="E142" s="2">
        <v>3.4044985618031598</v>
      </c>
      <c r="F142" s="2">
        <v>3.8401404480880696</v>
      </c>
      <c r="G142" s="2">
        <v>3.8566549906848824</v>
      </c>
      <c r="H142" s="2">
        <v>4.2304228836019142</v>
      </c>
    </row>
    <row r="143" spans="1:8" x14ac:dyDescent="0.2">
      <c r="A143" s="16">
        <f>DATE(2019,2,7)</f>
        <v>43503</v>
      </c>
      <c r="B143" s="2">
        <v>29.627070864435371</v>
      </c>
      <c r="C143" s="2">
        <v>20.830958027807323</v>
      </c>
      <c r="D143" s="2">
        <v>4.1079293946483242</v>
      </c>
      <c r="E143" s="2">
        <v>3.448445644520981</v>
      </c>
      <c r="F143" s="2">
        <v>3.8873923248480051</v>
      </c>
      <c r="G143" s="2">
        <v>3.9040324064423042</v>
      </c>
      <c r="H143" s="2">
        <v>4.2806466285337352</v>
      </c>
    </row>
    <row r="144" spans="1:8" x14ac:dyDescent="0.2">
      <c r="A144" s="16">
        <f>DATE(2019,2,8)</f>
        <v>43504</v>
      </c>
      <c r="B144" s="2">
        <v>30.902087001732603</v>
      </c>
      <c r="C144" s="2">
        <v>22.030889424461385</v>
      </c>
      <c r="D144" s="2">
        <v>4.1376728666380425</v>
      </c>
      <c r="E144" s="2">
        <v>3.4924114048215489</v>
      </c>
      <c r="F144" s="2">
        <v>3.9346657033109134</v>
      </c>
      <c r="G144" s="2">
        <v>3.9514314348688906</v>
      </c>
      <c r="H144" s="2">
        <v>4.3308945739291449</v>
      </c>
    </row>
    <row r="145" spans="1:8" x14ac:dyDescent="0.2">
      <c r="A145" s="16">
        <f>DATE(2019,2,11)</f>
        <v>43507</v>
      </c>
      <c r="B145" s="2">
        <v>29.845060212865569</v>
      </c>
      <c r="C145" s="2">
        <v>20.840326992216784</v>
      </c>
      <c r="D145" s="2">
        <v>4.1674248362910005</v>
      </c>
      <c r="E145" s="2">
        <v>3.5363958506428932</v>
      </c>
      <c r="F145" s="2">
        <v>3.9819605932610358</v>
      </c>
      <c r="G145" s="2">
        <v>3.9988520858239118</v>
      </c>
      <c r="H145" s="2">
        <v>4.3811667314492375</v>
      </c>
    </row>
    <row r="146" spans="1:8" x14ac:dyDescent="0.2">
      <c r="A146" s="16">
        <f>DATE(2019,2,12)</f>
        <v>43508</v>
      </c>
      <c r="B146" s="2">
        <v>31.527863289670321</v>
      </c>
      <c r="C146" s="2">
        <v>23.087201764232248</v>
      </c>
      <c r="D146" s="2">
        <v>4.1971853060349895</v>
      </c>
      <c r="E146" s="2">
        <v>3.58039898992637</v>
      </c>
      <c r="F146" s="2">
        <v>4.0292770044870529</v>
      </c>
      <c r="G146" s="2">
        <v>4.0462943691711439</v>
      </c>
      <c r="H146" s="2">
        <v>4.4314631127606807</v>
      </c>
    </row>
    <row r="147" spans="1:8" x14ac:dyDescent="0.2">
      <c r="A147" s="16">
        <f>DATE(2019,2,13)</f>
        <v>43509</v>
      </c>
      <c r="B147" s="2">
        <v>30.952207652784772</v>
      </c>
      <c r="C147" s="2">
        <v>22.669950070587142</v>
      </c>
      <c r="D147" s="2">
        <v>4.226954278298467</v>
      </c>
      <c r="E147" s="2">
        <v>3.6244208306167369</v>
      </c>
      <c r="F147" s="2">
        <v>4.0766149467820867</v>
      </c>
      <c r="G147" s="2">
        <v>4.0937582947788931</v>
      </c>
      <c r="H147" s="2">
        <v>4.4817837295357821</v>
      </c>
    </row>
    <row r="148" spans="1:8" x14ac:dyDescent="0.2">
      <c r="A148" s="16">
        <f>DATE(2019,2,14)</f>
        <v>43510</v>
      </c>
      <c r="B148" s="2">
        <v>33.469524005064109</v>
      </c>
      <c r="C148" s="2">
        <v>25.45080461741469</v>
      </c>
      <c r="D148" s="2">
        <v>4.2567317555105788</v>
      </c>
      <c r="E148" s="2">
        <v>3.6684613806621251</v>
      </c>
      <c r="F148" s="2">
        <v>4.1239744299437442</v>
      </c>
      <c r="G148" s="2">
        <v>4.1412438725199285</v>
      </c>
      <c r="H148" s="2">
        <v>4.5321285934524669</v>
      </c>
    </row>
    <row r="149" spans="1:8" x14ac:dyDescent="0.2">
      <c r="A149" s="16">
        <f>DATE(2019,2,15)</f>
        <v>43511</v>
      </c>
      <c r="B149" s="2">
        <v>32.633733318306078</v>
      </c>
      <c r="C149" s="2">
        <v>24.824696692576321</v>
      </c>
      <c r="D149" s="2">
        <v>4.2865177401011811</v>
      </c>
      <c r="E149" s="2">
        <v>3.7125206480140394</v>
      </c>
      <c r="F149" s="2">
        <v>4.1713554637740735</v>
      </c>
      <c r="G149" s="2">
        <v>4.1887511122715493</v>
      </c>
      <c r="H149" s="2">
        <v>4.5824977161943004</v>
      </c>
    </row>
    <row r="150" spans="1:8" x14ac:dyDescent="0.2">
      <c r="A150" s="16">
        <f>DATE(2019,2,18)</f>
        <v>43514</v>
      </c>
      <c r="B150" s="2">
        <v>32.646738074844571</v>
      </c>
      <c r="C150" s="2">
        <v>23.524279312891359</v>
      </c>
      <c r="D150" s="2">
        <v>4.3163122345008187</v>
      </c>
      <c r="E150" s="2">
        <v>3.7565986406273399</v>
      </c>
      <c r="F150" s="2">
        <v>4.2187580580795636</v>
      </c>
      <c r="G150" s="2">
        <v>4.2362800239155174</v>
      </c>
      <c r="H150" s="2">
        <v>4.6328911094504432</v>
      </c>
    </row>
    <row r="151" spans="1:8" x14ac:dyDescent="0.2">
      <c r="A151" s="16">
        <f>DATE(2019,2,19)</f>
        <v>43515</v>
      </c>
      <c r="B151" s="2">
        <v>33.119291540605531</v>
      </c>
      <c r="C151" s="2">
        <v>24.995232323439119</v>
      </c>
      <c r="D151" s="2">
        <v>4.3461152411407467</v>
      </c>
      <c r="E151" s="2">
        <v>3.8006953664603715</v>
      </c>
      <c r="F151" s="2">
        <v>4.2661822226712554</v>
      </c>
      <c r="G151" s="2">
        <v>4.2838306173382135</v>
      </c>
      <c r="H151" s="2">
        <v>4.6833087849158073</v>
      </c>
    </row>
    <row r="152" spans="1:8" x14ac:dyDescent="0.2">
      <c r="A152" s="16">
        <f>DATE(2019,2,20)</f>
        <v>43516</v>
      </c>
      <c r="B152" s="2">
        <v>31.615068787045274</v>
      </c>
      <c r="C152" s="2">
        <v>23.568973880811871</v>
      </c>
      <c r="D152" s="2">
        <v>4.3759267624528864</v>
      </c>
      <c r="E152" s="2">
        <v>3.8448108334746989</v>
      </c>
      <c r="F152" s="2">
        <v>4.3136279673645195</v>
      </c>
      <c r="G152" s="2">
        <v>4.3314029024303702</v>
      </c>
      <c r="H152" s="2">
        <v>4.7337507542907442</v>
      </c>
    </row>
    <row r="153" spans="1:8" x14ac:dyDescent="0.2">
      <c r="A153" s="16">
        <f>DATE(2019,2,21)</f>
        <v>43517</v>
      </c>
      <c r="B153" s="2">
        <v>30.877665381848239</v>
      </c>
      <c r="C153" s="2">
        <v>24.064889037927607</v>
      </c>
      <c r="D153" s="2">
        <v>4.4057468008698475</v>
      </c>
      <c r="E153" s="2">
        <v>3.888945049635395</v>
      </c>
      <c r="F153" s="2">
        <v>4.3610953019793008</v>
      </c>
      <c r="G153" s="2">
        <v>4.3789968890873388</v>
      </c>
      <c r="H153" s="2">
        <v>4.7842170292814012</v>
      </c>
    </row>
    <row r="154" spans="1:8" x14ac:dyDescent="0.2">
      <c r="A154" s="16">
        <f>DATE(2019,2,22)</f>
        <v>43518</v>
      </c>
      <c r="B154" s="2">
        <v>32.15241539179474</v>
      </c>
      <c r="C154" s="2">
        <v>25.285068660941981</v>
      </c>
      <c r="D154" s="2">
        <v>4.4355753588249724</v>
      </c>
      <c r="E154" s="2">
        <v>3.9330980229108636</v>
      </c>
      <c r="F154" s="2">
        <v>4.408584236339963</v>
      </c>
      <c r="G154" s="2">
        <v>4.4266125872089557</v>
      </c>
      <c r="H154" s="2">
        <v>4.8347076215994989</v>
      </c>
    </row>
    <row r="155" spans="1:8" x14ac:dyDescent="0.2">
      <c r="A155" s="16">
        <f>DATE(2019,2,25)</f>
        <v>43521</v>
      </c>
      <c r="B155" s="2">
        <v>31.96385085744242</v>
      </c>
      <c r="C155" s="2">
        <v>24.458628726627119</v>
      </c>
      <c r="D155" s="2">
        <v>4.465412438752292</v>
      </c>
      <c r="E155" s="2">
        <v>3.9772697612729502</v>
      </c>
      <c r="F155" s="2">
        <v>4.4560947802753548</v>
      </c>
      <c r="G155" s="2">
        <v>4.4742500066995872</v>
      </c>
      <c r="H155" s="2">
        <v>4.8852225429624418</v>
      </c>
    </row>
    <row r="156" spans="1:8" x14ac:dyDescent="0.2">
      <c r="A156" s="16">
        <f>DATE(2019,2,26)</f>
        <v>43522</v>
      </c>
      <c r="B156" s="2">
        <v>31.630211433301202</v>
      </c>
      <c r="C156" s="2">
        <v>24.922725242319508</v>
      </c>
      <c r="D156" s="2">
        <v>4.495258043086503</v>
      </c>
      <c r="E156" s="2">
        <v>4.0214602726967641</v>
      </c>
      <c r="F156" s="2">
        <v>4.5036269436187437</v>
      </c>
      <c r="G156" s="2">
        <v>4.5219091574680625</v>
      </c>
      <c r="H156" s="2">
        <v>4.9357618050931862</v>
      </c>
    </row>
    <row r="157" spans="1:8" x14ac:dyDescent="0.2">
      <c r="A157" s="16">
        <f>DATE(2019,2,27)</f>
        <v>43523</v>
      </c>
      <c r="B157" s="2">
        <v>31.834450868610919</v>
      </c>
      <c r="C157" s="2">
        <v>24.544907673463381</v>
      </c>
      <c r="D157" s="2">
        <v>4.5251121742630129</v>
      </c>
      <c r="E157" s="2">
        <v>4.0656695651609676</v>
      </c>
      <c r="F157" s="2">
        <v>4.5511807362079715</v>
      </c>
      <c r="G157" s="2">
        <v>4.5695900494278296</v>
      </c>
      <c r="H157" s="2">
        <v>4.9863254197204609</v>
      </c>
    </row>
    <row r="158" spans="1:8" x14ac:dyDescent="0.2">
      <c r="A158" s="16">
        <f>DATE(2019,2,28)</f>
        <v>43524</v>
      </c>
      <c r="B158" s="2">
        <v>30.377660879860535</v>
      </c>
      <c r="C158" s="2">
        <v>22.339668476890484</v>
      </c>
      <c r="D158" s="2">
        <v>4.5549748347179397</v>
      </c>
      <c r="E158" s="2">
        <v>4.109897646647509</v>
      </c>
      <c r="F158" s="2">
        <v>4.5987561678852984</v>
      </c>
      <c r="G158" s="2">
        <v>4.6172926924967772</v>
      </c>
      <c r="H158" s="2">
        <v>5.0369133985785908</v>
      </c>
    </row>
    <row r="159" spans="1:8" x14ac:dyDescent="0.2">
      <c r="A159" s="16">
        <f>DATE(2019,3,1)</f>
        <v>43525</v>
      </c>
      <c r="B159" s="2">
        <v>29.243621271151142</v>
      </c>
      <c r="C159" s="2">
        <v>21.084585621711359</v>
      </c>
      <c r="D159" s="2">
        <v>4.5848460268880675</v>
      </c>
      <c r="E159" s="2">
        <v>4.1681476625646141</v>
      </c>
      <c r="F159" s="2">
        <v>4.6604225615528794</v>
      </c>
      <c r="G159" s="2">
        <v>4.6790889189377349</v>
      </c>
      <c r="H159" s="2">
        <v>5.1016543804656811</v>
      </c>
    </row>
    <row r="160" spans="1:8" x14ac:dyDescent="0.2">
      <c r="A160" s="16">
        <f>DATE(2019,3,6)</f>
        <v>43530</v>
      </c>
      <c r="B160" s="2">
        <v>28.019076185917857</v>
      </c>
      <c r="C160" s="2">
        <v>20.58941281423461</v>
      </c>
      <c r="D160" s="2">
        <v>4.6147257532109132</v>
      </c>
      <c r="E160" s="2">
        <v>4.2264302696611411</v>
      </c>
      <c r="F160" s="2">
        <v>4.7221253107589733</v>
      </c>
      <c r="G160" s="2">
        <v>4.7409216476958838</v>
      </c>
      <c r="H160" s="2">
        <v>5.1664352663693736</v>
      </c>
    </row>
    <row r="161" spans="1:8" x14ac:dyDescent="0.2">
      <c r="A161" s="16">
        <f>DATE(2019,3,7)</f>
        <v>43531</v>
      </c>
      <c r="B161" s="2">
        <v>27.218800194113335</v>
      </c>
      <c r="C161" s="2">
        <v>20.747226108180762</v>
      </c>
      <c r="D161" s="2">
        <v>4.6446140161246596</v>
      </c>
      <c r="E161" s="2">
        <v>4.2847454861720147</v>
      </c>
      <c r="F161" s="2">
        <v>4.7838644369370575</v>
      </c>
      <c r="G161" s="2">
        <v>4.8027909003327318</v>
      </c>
      <c r="H161" s="2">
        <v>5.2312560808850606</v>
      </c>
    </row>
    <row r="162" spans="1:8" x14ac:dyDescent="0.2">
      <c r="A162" s="16">
        <f>DATE(2019,3,8)</f>
        <v>43532</v>
      </c>
      <c r="B162" s="2">
        <v>29.447652240036092</v>
      </c>
      <c r="C162" s="2">
        <v>22.058727535923904</v>
      </c>
      <c r="D162" s="2">
        <v>4.6745108180682005</v>
      </c>
      <c r="E162" s="2">
        <v>4.3430933303423958</v>
      </c>
      <c r="F162" s="2">
        <v>4.8456399615332435</v>
      </c>
      <c r="G162" s="2">
        <v>4.8646966984225104</v>
      </c>
      <c r="H162" s="2">
        <v>5.2961168486233223</v>
      </c>
    </row>
    <row r="163" spans="1:8" x14ac:dyDescent="0.2">
      <c r="A163" s="16">
        <f>DATE(2019,3,11)</f>
        <v>43535</v>
      </c>
      <c r="B163" s="2">
        <v>32.418077019650489</v>
      </c>
      <c r="C163" s="2">
        <v>25.465562016272749</v>
      </c>
      <c r="D163" s="2">
        <v>4.7044161614811175</v>
      </c>
      <c r="E163" s="2">
        <v>4.4014738204275927</v>
      </c>
      <c r="F163" s="2">
        <v>4.9074519060062771</v>
      </c>
      <c r="G163" s="2">
        <v>4.9266390635521962</v>
      </c>
      <c r="H163" s="2">
        <v>5.3610175942098826</v>
      </c>
    </row>
    <row r="164" spans="1:8" x14ac:dyDescent="0.2">
      <c r="A164" s="16">
        <f>DATE(2019,3,12)</f>
        <v>43536</v>
      </c>
      <c r="B164" s="2">
        <v>32.440378491640807</v>
      </c>
      <c r="C164" s="2">
        <v>25.211384059705335</v>
      </c>
      <c r="D164" s="2">
        <v>4.7343300488037032</v>
      </c>
      <c r="E164" s="2">
        <v>4.4598869746931946</v>
      </c>
      <c r="F164" s="2">
        <v>4.969300291827583</v>
      </c>
      <c r="G164" s="2">
        <v>4.9886180173215111</v>
      </c>
      <c r="H164" s="2">
        <v>5.4259583422856306</v>
      </c>
    </row>
    <row r="165" spans="1:8" x14ac:dyDescent="0.2">
      <c r="A165" s="16">
        <f>DATE(2019,3,13)</f>
        <v>43537</v>
      </c>
      <c r="B165" s="2">
        <v>33.452212420899798</v>
      </c>
      <c r="C165" s="2">
        <v>26.588378644392719</v>
      </c>
      <c r="D165" s="2">
        <v>4.7642524824769161</v>
      </c>
      <c r="E165" s="2">
        <v>4.5183328114149379</v>
      </c>
      <c r="F165" s="2">
        <v>5.031185140481198</v>
      </c>
      <c r="G165" s="2">
        <v>5.050633581342967</v>
      </c>
      <c r="H165" s="2">
        <v>5.4909391175066879</v>
      </c>
    </row>
    <row r="166" spans="1:8" x14ac:dyDescent="0.2">
      <c r="A166" s="16">
        <f>DATE(2019,3,14)</f>
        <v>43538</v>
      </c>
      <c r="B166" s="2">
        <v>33.930292464644047</v>
      </c>
      <c r="C166" s="2">
        <v>26.205415824590418</v>
      </c>
      <c r="D166" s="2">
        <v>4.7941834649424697</v>
      </c>
      <c r="E166" s="2">
        <v>4.576811348878862</v>
      </c>
      <c r="F166" s="2">
        <v>5.093106473463882</v>
      </c>
      <c r="G166" s="2">
        <v>5.1126857772417766</v>
      </c>
      <c r="H166" s="2">
        <v>5.5559599445443419</v>
      </c>
    </row>
    <row r="167" spans="1:8" x14ac:dyDescent="0.2">
      <c r="A167" s="16">
        <f>DATE(2019,3,15)</f>
        <v>43539</v>
      </c>
      <c r="B167" s="2">
        <v>33.932935996327849</v>
      </c>
      <c r="C167" s="2">
        <v>26.886419225319734</v>
      </c>
      <c r="D167" s="2">
        <v>4.8241229986427214</v>
      </c>
      <c r="E167" s="2">
        <v>4.635322605381198</v>
      </c>
      <c r="F167" s="2">
        <v>5.1550643122850515</v>
      </c>
      <c r="G167" s="2">
        <v>5.1747746266560313</v>
      </c>
      <c r="H167" s="2">
        <v>5.6210208480851342</v>
      </c>
    </row>
    <row r="168" spans="1:8" x14ac:dyDescent="0.2">
      <c r="A168" s="16">
        <f>DATE(2019,3,18)</f>
        <v>43542</v>
      </c>
      <c r="B168" s="2">
        <v>34.887490448800349</v>
      </c>
      <c r="C168" s="2">
        <v>27.983535196972209</v>
      </c>
      <c r="D168" s="2">
        <v>4.8540710860207392</v>
      </c>
      <c r="E168" s="2">
        <v>4.693866599228369</v>
      </c>
      <c r="F168" s="2">
        <v>5.2170586784667572</v>
      </c>
      <c r="G168" s="2">
        <v>5.2369001512364566</v>
      </c>
      <c r="H168" s="2">
        <v>5.6861218528307056</v>
      </c>
    </row>
    <row r="169" spans="1:8" x14ac:dyDescent="0.2">
      <c r="A169" s="16">
        <f>DATE(2019,3,19)</f>
        <v>43543</v>
      </c>
      <c r="B169" s="2">
        <v>35.685065247995063</v>
      </c>
      <c r="C169" s="2">
        <v>27.464466410598675</v>
      </c>
      <c r="D169" s="2">
        <v>4.8840277295203238</v>
      </c>
      <c r="E169" s="2">
        <v>4.7524433487371009</v>
      </c>
      <c r="F169" s="2">
        <v>5.2790895935437732</v>
      </c>
      <c r="G169" s="2">
        <v>5.2990623726467012</v>
      </c>
      <c r="H169" s="2">
        <v>5.75126298349804</v>
      </c>
    </row>
    <row r="170" spans="1:8" x14ac:dyDescent="0.2">
      <c r="A170" s="16">
        <f>DATE(2019,3,20)</f>
        <v>43544</v>
      </c>
      <c r="B170" s="2">
        <v>33.88299276350952</v>
      </c>
      <c r="C170" s="2">
        <v>25.484440735540481</v>
      </c>
      <c r="D170" s="2">
        <v>4.9139929315859199</v>
      </c>
      <c r="E170" s="2">
        <v>4.811052872234356</v>
      </c>
      <c r="F170" s="2">
        <v>5.3411570790635743</v>
      </c>
      <c r="G170" s="2">
        <v>5.361261312563137</v>
      </c>
      <c r="H170" s="2">
        <v>5.8164442648193093</v>
      </c>
    </row>
    <row r="171" spans="1:8" x14ac:dyDescent="0.2">
      <c r="A171" s="16">
        <f>DATE(2019,3,21)</f>
        <v>43545</v>
      </c>
      <c r="B171" s="2">
        <v>31.963323038196844</v>
      </c>
      <c r="C171" s="2">
        <v>23.80482348077506</v>
      </c>
      <c r="D171" s="2">
        <v>4.9439666946627048</v>
      </c>
      <c r="E171" s="2">
        <v>4.8696951880573547</v>
      </c>
      <c r="F171" s="2">
        <v>5.4032611565863586</v>
      </c>
      <c r="G171" s="2">
        <v>5.4234969926749699</v>
      </c>
      <c r="H171" s="2">
        <v>5.8816657215419399</v>
      </c>
    </row>
    <row r="172" spans="1:8" x14ac:dyDescent="0.2">
      <c r="A172" s="16">
        <f>DATE(2019,3,22)</f>
        <v>43546</v>
      </c>
      <c r="B172" s="2">
        <v>27.219846961692859</v>
      </c>
      <c r="C172" s="2">
        <v>19.972853041649639</v>
      </c>
      <c r="D172" s="2">
        <v>4.9739490211965443</v>
      </c>
      <c r="E172" s="2">
        <v>4.9283703145535762</v>
      </c>
      <c r="F172" s="2">
        <v>5.4654018476849808</v>
      </c>
      <c r="G172" s="2">
        <v>5.4857694346842178</v>
      </c>
      <c r="H172" s="2">
        <v>5.9469273784286125</v>
      </c>
    </row>
    <row r="173" spans="1:8" x14ac:dyDescent="0.2">
      <c r="A173" s="16">
        <f>DATE(2019,3,25)</f>
        <v>43549</v>
      </c>
      <c r="B173" s="2">
        <v>27.070895483495129</v>
      </c>
      <c r="C173" s="2">
        <v>19.87924019234535</v>
      </c>
      <c r="D173" s="2">
        <v>5.0039399136340146</v>
      </c>
      <c r="E173" s="2">
        <v>4.9870782700807581</v>
      </c>
      <c r="F173" s="2">
        <v>5.527579173945063</v>
      </c>
      <c r="G173" s="2">
        <v>5.5480786603056886</v>
      </c>
      <c r="H173" s="2">
        <v>6.0122292602572625</v>
      </c>
    </row>
    <row r="174" spans="1:8" x14ac:dyDescent="0.2">
      <c r="A174" s="16">
        <f>DATE(2019,3,26)</f>
        <v>43550</v>
      </c>
      <c r="B174" s="2">
        <v>29.540619394554124</v>
      </c>
      <c r="C174" s="2">
        <v>21.984454174628798</v>
      </c>
      <c r="D174" s="2">
        <v>5.0339393744223582</v>
      </c>
      <c r="E174" s="2">
        <v>5.0458190730068964</v>
      </c>
      <c r="F174" s="2">
        <v>5.5897931569649284</v>
      </c>
      <c r="G174" s="2">
        <v>5.6104246912670463</v>
      </c>
      <c r="H174" s="2">
        <v>6.0775713918211016</v>
      </c>
    </row>
    <row r="175" spans="1:8" x14ac:dyDescent="0.2">
      <c r="A175" s="16">
        <f>DATE(2019,3,27)</f>
        <v>43551</v>
      </c>
      <c r="B175" s="2">
        <v>23.947793442772937</v>
      </c>
      <c r="C175" s="2">
        <v>17.628372091237331</v>
      </c>
      <c r="D175" s="2">
        <v>5.0639474060095502</v>
      </c>
      <c r="E175" s="2">
        <v>5.1045927417102899</v>
      </c>
      <c r="F175" s="2">
        <v>5.6520438183556454</v>
      </c>
      <c r="G175" s="2">
        <v>5.6728075493087893</v>
      </c>
      <c r="H175" s="2">
        <v>6.1429537979285964</v>
      </c>
    </row>
    <row r="176" spans="1:8" x14ac:dyDescent="0.2">
      <c r="A176" s="16">
        <f>DATE(2019,3,28)</f>
        <v>43552</v>
      </c>
      <c r="B176" s="2">
        <v>26.568309546205441</v>
      </c>
      <c r="C176" s="2">
        <v>20.809647473515415</v>
      </c>
      <c r="D176" s="2">
        <v>5.0939640108442541</v>
      </c>
      <c r="E176" s="2">
        <v>5.163399294579496</v>
      </c>
      <c r="F176" s="2">
        <v>5.7143311797410057</v>
      </c>
      <c r="G176" s="2">
        <v>5.7352272561842499</v>
      </c>
      <c r="H176" s="2">
        <v>6.2083765034035565</v>
      </c>
    </row>
    <row r="177" spans="1:8" x14ac:dyDescent="0.2">
      <c r="A177" s="16">
        <f>DATE(2019,3,29)</f>
        <v>43553</v>
      </c>
      <c r="B177" s="2">
        <v>28.403022550256729</v>
      </c>
      <c r="C177" s="2">
        <v>22.122339220507303</v>
      </c>
      <c r="D177" s="2">
        <v>5.123989191375844</v>
      </c>
      <c r="E177" s="2">
        <v>5.2222387500133749</v>
      </c>
      <c r="F177" s="2">
        <v>5.7766552627575685</v>
      </c>
      <c r="G177" s="2">
        <v>5.7976838336595948</v>
      </c>
      <c r="H177" s="2">
        <v>6.273839533085046</v>
      </c>
    </row>
    <row r="178" spans="1:8" x14ac:dyDescent="0.2">
      <c r="A178" s="16">
        <f>DATE(2019,4,1)</f>
        <v>43556</v>
      </c>
      <c r="B178" s="2">
        <v>29.721448493912138</v>
      </c>
      <c r="C178" s="2">
        <v>22.941355658432141</v>
      </c>
      <c r="D178" s="2">
        <v>5.1540229500543822</v>
      </c>
      <c r="E178" s="2">
        <v>5.2685991781034058</v>
      </c>
      <c r="F178" s="2">
        <v>5.826437837503784</v>
      </c>
      <c r="G178" s="2">
        <v>5.8475965370957228</v>
      </c>
      <c r="H178" s="2">
        <v>6.3267051998161516</v>
      </c>
    </row>
    <row r="179" spans="1:8" x14ac:dyDescent="0.2">
      <c r="A179" s="16">
        <f>DATE(2019,4,2)</f>
        <v>43557</v>
      </c>
      <c r="B179" s="2">
        <v>29.43417288972212</v>
      </c>
      <c r="C179" s="2">
        <v>22.086770433493786</v>
      </c>
      <c r="D179" s="2">
        <v>5.1840652893306194</v>
      </c>
      <c r="E179" s="2">
        <v>5.3149800323820662</v>
      </c>
      <c r="F179" s="2">
        <v>5.8762438418502816</v>
      </c>
      <c r="G179" s="2">
        <v>5.8975327880981032</v>
      </c>
      <c r="H179" s="2">
        <v>6.3795971644464933</v>
      </c>
    </row>
    <row r="180" spans="1:8" x14ac:dyDescent="0.2">
      <c r="A180" s="16">
        <f>DATE(2019,4,3)</f>
        <v>43558</v>
      </c>
      <c r="B180" s="2">
        <v>28.475076530464015</v>
      </c>
      <c r="C180" s="2">
        <v>20.940889770037984</v>
      </c>
      <c r="D180" s="2">
        <v>5.2141162116560169</v>
      </c>
      <c r="E180" s="2">
        <v>5.3613813218489792</v>
      </c>
      <c r="F180" s="2">
        <v>5.9260732868238852</v>
      </c>
      <c r="G180" s="2">
        <v>5.9474925977758275</v>
      </c>
      <c r="H180" s="2">
        <v>6.4325154400578288</v>
      </c>
    </row>
    <row r="181" spans="1:8" x14ac:dyDescent="0.2">
      <c r="A181" s="16">
        <f>DATE(2019,4,4)</f>
        <v>43559</v>
      </c>
      <c r="B181" s="2">
        <v>30.640186640433601</v>
      </c>
      <c r="C181" s="2">
        <v>23.272354003504404</v>
      </c>
      <c r="D181" s="2">
        <v>5.2441757194827465</v>
      </c>
      <c r="E181" s="2">
        <v>5.4078030555078094</v>
      </c>
      <c r="F181" s="2">
        <v>5.9759261834566813</v>
      </c>
      <c r="G181" s="2">
        <v>5.997475977243294</v>
      </c>
      <c r="H181" s="2">
        <v>6.4854600397385331</v>
      </c>
    </row>
    <row r="182" spans="1:8" x14ac:dyDescent="0.2">
      <c r="A182" s="16">
        <f>DATE(2019,4,5)</f>
        <v>43560</v>
      </c>
      <c r="B182" s="2">
        <v>30.79477114755489</v>
      </c>
      <c r="C182" s="2">
        <v>24.29002576465211</v>
      </c>
      <c r="D182" s="2">
        <v>5.2742438152636684</v>
      </c>
      <c r="E182" s="2">
        <v>5.4542452423661958</v>
      </c>
      <c r="F182" s="2">
        <v>6.0258025427859074</v>
      </c>
      <c r="G182" s="2">
        <v>6.0474829376201633</v>
      </c>
      <c r="H182" s="2">
        <v>6.5384309765834203</v>
      </c>
    </row>
    <row r="183" spans="1:8" x14ac:dyDescent="0.2">
      <c r="A183" s="16">
        <f>DATE(2019,4,8)</f>
        <v>43563</v>
      </c>
      <c r="B183" s="2">
        <v>30.003747516643699</v>
      </c>
      <c r="C183" s="2">
        <v>24.624236691782798</v>
      </c>
      <c r="D183" s="2">
        <v>5.3043205014523531</v>
      </c>
      <c r="E183" s="2">
        <v>5.5007078914356855</v>
      </c>
      <c r="F183" s="2">
        <v>6.0757023758540196</v>
      </c>
      <c r="G183" s="2">
        <v>6.0975134900312922</v>
      </c>
      <c r="H183" s="2">
        <v>6.591428263693877</v>
      </c>
    </row>
    <row r="184" spans="1:8" x14ac:dyDescent="0.2">
      <c r="A184" s="16">
        <f>DATE(2019,4,9)</f>
        <v>43564</v>
      </c>
      <c r="B184" s="2">
        <v>28.60842407499786</v>
      </c>
      <c r="C184" s="2">
        <v>23.24513025036379</v>
      </c>
      <c r="D184" s="2">
        <v>5.334405780503082</v>
      </c>
      <c r="E184" s="2">
        <v>5.5471910117318668</v>
      </c>
      <c r="F184" s="2">
        <v>6.1256256937086695</v>
      </c>
      <c r="G184" s="2">
        <v>6.147567645606844</v>
      </c>
      <c r="H184" s="2">
        <v>6.6444519141777736</v>
      </c>
    </row>
    <row r="185" spans="1:8" x14ac:dyDescent="0.2">
      <c r="A185" s="16">
        <f>DATE(2019,4,10)</f>
        <v>43565</v>
      </c>
      <c r="B185" s="2">
        <v>28.97766246775366</v>
      </c>
      <c r="C185" s="2">
        <v>22.812084428192382</v>
      </c>
      <c r="D185" s="2">
        <v>5.3644996548708024</v>
      </c>
      <c r="E185" s="2">
        <v>5.5936946122742581</v>
      </c>
      <c r="F185" s="2">
        <v>6.1755725074027046</v>
      </c>
      <c r="G185" s="2">
        <v>6.1976454154821781</v>
      </c>
      <c r="H185" s="2">
        <v>6.6975019411495076</v>
      </c>
    </row>
    <row r="186" spans="1:8" x14ac:dyDescent="0.2">
      <c r="A186" s="16">
        <f>DATE(2019,4,11)</f>
        <v>43566</v>
      </c>
      <c r="B186" s="2">
        <v>27.6470966814496</v>
      </c>
      <c r="C186" s="2">
        <v>21.277788514827133</v>
      </c>
      <c r="D186" s="2">
        <v>5.3946021270111943</v>
      </c>
      <c r="E186" s="2">
        <v>5.6402187020863526</v>
      </c>
      <c r="F186" s="2">
        <v>6.2255428279941682</v>
      </c>
      <c r="G186" s="2">
        <v>6.2477468107979384</v>
      </c>
      <c r="H186" s="2">
        <v>6.750578357729986</v>
      </c>
    </row>
    <row r="187" spans="1:8" x14ac:dyDescent="0.2">
      <c r="A187" s="16">
        <f>DATE(2019,4,12)</f>
        <v>43567</v>
      </c>
      <c r="B187" s="2">
        <v>24.901789027808839</v>
      </c>
      <c r="C187" s="2">
        <v>18.871935727880196</v>
      </c>
      <c r="D187" s="2">
        <v>5.4247131993805819</v>
      </c>
      <c r="E187" s="2">
        <v>5.6867632901956178</v>
      </c>
      <c r="F187" s="2">
        <v>6.2755366665463219</v>
      </c>
      <c r="G187" s="2">
        <v>6.2978718427000091</v>
      </c>
      <c r="H187" s="2">
        <v>6.803681177046661</v>
      </c>
    </row>
    <row r="188" spans="1:8" x14ac:dyDescent="0.2">
      <c r="A188" s="16">
        <f>DATE(2019,4,15)</f>
        <v>43570</v>
      </c>
      <c r="B188" s="2">
        <v>25.049809060279028</v>
      </c>
      <c r="C188" s="2">
        <v>19.138119269988717</v>
      </c>
      <c r="D188" s="2">
        <v>5.4548328744360886</v>
      </c>
      <c r="E188" s="2">
        <v>5.7333283856335404</v>
      </c>
      <c r="F188" s="2">
        <v>6.3255540341276228</v>
      </c>
      <c r="G188" s="2">
        <v>6.3480205223395592</v>
      </c>
      <c r="H188" s="2">
        <v>6.8568104122335161</v>
      </c>
    </row>
    <row r="189" spans="1:8" x14ac:dyDescent="0.2">
      <c r="A189" s="16">
        <f>DATE(2019,4,16)</f>
        <v>43571</v>
      </c>
      <c r="B189" s="2">
        <v>26.54426050461203</v>
      </c>
      <c r="C189" s="2">
        <v>20.738445903829895</v>
      </c>
      <c r="D189" s="2">
        <v>5.4849611546354815</v>
      </c>
      <c r="E189" s="2">
        <v>5.7799139974355151</v>
      </c>
      <c r="F189" s="2">
        <v>6.3755949418117464</v>
      </c>
      <c r="G189" s="2">
        <v>6.3981928608729746</v>
      </c>
      <c r="H189" s="2">
        <v>6.9099660764310622</v>
      </c>
    </row>
    <row r="190" spans="1:8" x14ac:dyDescent="0.2">
      <c r="A190" s="16">
        <f>DATE(2019,4,17)</f>
        <v>43572</v>
      </c>
      <c r="B190" s="2">
        <v>25.244964682017489</v>
      </c>
      <c r="C190" s="2">
        <v>19.396380149570657</v>
      </c>
      <c r="D190" s="2">
        <v>5.5150980424372387</v>
      </c>
      <c r="E190" s="2">
        <v>5.8265201346409778</v>
      </c>
      <c r="F190" s="2">
        <v>6.4256594006775636</v>
      </c>
      <c r="G190" s="2">
        <v>6.4483888694619518</v>
      </c>
      <c r="H190" s="2">
        <v>6.9631481827863384</v>
      </c>
    </row>
    <row r="191" spans="1:8" x14ac:dyDescent="0.2">
      <c r="A191" s="16">
        <f>DATE(2019,4,18)</f>
        <v>43573</v>
      </c>
      <c r="B191" s="2">
        <v>27.767080197521455</v>
      </c>
      <c r="C191" s="2">
        <v>21.051960634990508</v>
      </c>
      <c r="D191" s="2">
        <v>5.5452435403005262</v>
      </c>
      <c r="E191" s="2">
        <v>5.873146806293339</v>
      </c>
      <c r="F191" s="2">
        <v>6.4757474218091637</v>
      </c>
      <c r="G191" s="2">
        <v>6.4986085592734222</v>
      </c>
      <c r="H191" s="2">
        <v>7.0163567444529562</v>
      </c>
    </row>
    <row r="192" spans="1:8" x14ac:dyDescent="0.2">
      <c r="A192" s="16">
        <f>DATE(2019,4,22)</f>
        <v>43577</v>
      </c>
      <c r="B192" s="2">
        <v>28.133187158450479</v>
      </c>
      <c r="C192" s="2">
        <v>21.06450378406328</v>
      </c>
      <c r="D192" s="2">
        <v>5.575397650685221</v>
      </c>
      <c r="E192" s="2">
        <v>5.9197940214399836</v>
      </c>
      <c r="F192" s="2">
        <v>6.5258590162958976</v>
      </c>
      <c r="G192" s="2">
        <v>6.5488519414796276</v>
      </c>
      <c r="H192" s="2">
        <v>7.0695917745910553</v>
      </c>
    </row>
    <row r="193" spans="1:8" x14ac:dyDescent="0.2">
      <c r="A193" s="16">
        <f>DATE(2019,4,23)</f>
        <v>43578</v>
      </c>
      <c r="B193" s="2">
        <v>29.511620384237336</v>
      </c>
      <c r="C193" s="2">
        <v>22.773418251305834</v>
      </c>
      <c r="D193" s="2">
        <v>5.6055603760519102</v>
      </c>
      <c r="E193" s="2">
        <v>5.9664617891322269</v>
      </c>
      <c r="F193" s="2">
        <v>6.5759941952322274</v>
      </c>
      <c r="G193" s="2">
        <v>6.5991190272579816</v>
      </c>
      <c r="H193" s="2">
        <v>7.1228532863672589</v>
      </c>
    </row>
    <row r="194" spans="1:8" x14ac:dyDescent="0.2">
      <c r="A194" s="16">
        <f>DATE(2019,4,24)</f>
        <v>43579</v>
      </c>
      <c r="B194" s="2">
        <v>28.160066020873153</v>
      </c>
      <c r="C194" s="2">
        <v>21.649897670941986</v>
      </c>
      <c r="D194" s="2">
        <v>5.6357317188618916</v>
      </c>
      <c r="E194" s="2">
        <v>6.0131501184254699</v>
      </c>
      <c r="F194" s="2">
        <v>6.6261529697179364</v>
      </c>
      <c r="G194" s="2">
        <v>6.649409827791275</v>
      </c>
      <c r="H194" s="2">
        <v>7.1761412929548296</v>
      </c>
    </row>
    <row r="195" spans="1:8" x14ac:dyDescent="0.2">
      <c r="A195" s="16">
        <f>DATE(2019,4,25)</f>
        <v>43580</v>
      </c>
      <c r="B195" s="2">
        <v>30.0583524135555</v>
      </c>
      <c r="C195" s="2">
        <v>23.578214853904299</v>
      </c>
      <c r="D195" s="2">
        <v>5.6659116815771515</v>
      </c>
      <c r="E195" s="2">
        <v>6.0598590183790435</v>
      </c>
      <c r="F195" s="2">
        <v>6.6763353508580092</v>
      </c>
      <c r="G195" s="2">
        <v>6.6997243542675333</v>
      </c>
      <c r="H195" s="2">
        <v>7.2294558075335358</v>
      </c>
    </row>
    <row r="196" spans="1:8" x14ac:dyDescent="0.2">
      <c r="A196" s="16">
        <f>DATE(2019,4,26)</f>
        <v>43581</v>
      </c>
      <c r="B196" s="2">
        <v>29.907418286594933</v>
      </c>
      <c r="C196" s="2">
        <v>23.173775091097792</v>
      </c>
      <c r="D196" s="2">
        <v>5.6961002666603644</v>
      </c>
      <c r="E196" s="2">
        <v>6.1065884980562757</v>
      </c>
      <c r="F196" s="2">
        <v>6.7265413497626492</v>
      </c>
      <c r="G196" s="2">
        <v>6.7500626178800696</v>
      </c>
      <c r="H196" s="2">
        <v>7.2827968432897183</v>
      </c>
    </row>
    <row r="197" spans="1:8" x14ac:dyDescent="0.2">
      <c r="A197" s="16">
        <f>DATE(2019,4,29)</f>
        <v>43584</v>
      </c>
      <c r="B197" s="2">
        <v>30.427165002550179</v>
      </c>
      <c r="C197" s="2">
        <v>23.111968084085156</v>
      </c>
      <c r="D197" s="2">
        <v>5.7262974765749597</v>
      </c>
      <c r="E197" s="2">
        <v>6.1533385665245133</v>
      </c>
      <c r="F197" s="2">
        <v>6.7767709775472751</v>
      </c>
      <c r="G197" s="2">
        <v>6.8004246298274618</v>
      </c>
      <c r="H197" s="2">
        <v>7.3361644134162898</v>
      </c>
    </row>
    <row r="198" spans="1:8" x14ac:dyDescent="0.2">
      <c r="A198" s="16">
        <f>DATE(2019,4,30)</f>
        <v>43585</v>
      </c>
      <c r="B198" s="2">
        <v>30.567511696407969</v>
      </c>
      <c r="C198" s="2">
        <v>23.323896106888075</v>
      </c>
      <c r="D198" s="2">
        <v>5.7565033137850108</v>
      </c>
      <c r="E198" s="2">
        <v>6.2001092328550778</v>
      </c>
      <c r="F198" s="2">
        <v>6.8270242453325691</v>
      </c>
      <c r="G198" s="2">
        <v>6.8508104013135904</v>
      </c>
      <c r="H198" s="2">
        <v>7.3895585311126943</v>
      </c>
    </row>
    <row r="199" spans="1:8" x14ac:dyDescent="0.2">
      <c r="A199" s="16">
        <f>DATE(2019,5,2)</f>
        <v>43587</v>
      </c>
      <c r="B199" s="2">
        <v>29.594492441251411</v>
      </c>
      <c r="C199" s="2">
        <v>22.267059002717215</v>
      </c>
      <c r="D199" s="2">
        <v>5.786717780755346</v>
      </c>
      <c r="E199" s="2">
        <v>6.2238761292882305</v>
      </c>
      <c r="F199" s="2">
        <v>6.8541401755906284</v>
      </c>
      <c r="G199" s="2">
        <v>6.8780537715427359</v>
      </c>
      <c r="H199" s="2">
        <v>7.4196956349129373</v>
      </c>
    </row>
    <row r="200" spans="1:8" x14ac:dyDescent="0.2">
      <c r="A200" s="16">
        <f>DATE(2019,5,3)</f>
        <v>43588</v>
      </c>
      <c r="B200" s="2">
        <v>31.524634277814869</v>
      </c>
      <c r="C200" s="2">
        <v>22.881762901204738</v>
      </c>
      <c r="D200" s="2">
        <v>5.8169408799514599</v>
      </c>
      <c r="E200" s="2">
        <v>6.2476483445988107</v>
      </c>
      <c r="F200" s="2">
        <v>6.8812629886920504</v>
      </c>
      <c r="G200" s="2">
        <v>6.9053040879168748</v>
      </c>
      <c r="H200" s="2">
        <v>7.4498411961930078</v>
      </c>
    </row>
    <row r="201" spans="1:8" x14ac:dyDescent="0.2">
      <c r="A201" s="16">
        <f>DATE(2019,5,6)</f>
        <v>43591</v>
      </c>
      <c r="B201" s="2">
        <v>30.821490333567137</v>
      </c>
      <c r="C201" s="2">
        <v>21.602835263655674</v>
      </c>
      <c r="D201" s="2">
        <v>5.8471726138395574</v>
      </c>
      <c r="E201" s="2">
        <v>6.2714258799772002</v>
      </c>
      <c r="F201" s="2">
        <v>6.908392686383924</v>
      </c>
      <c r="G201" s="2">
        <v>6.9325613522070784</v>
      </c>
      <c r="H201" s="2">
        <v>7.4799952173263851</v>
      </c>
    </row>
    <row r="202" spans="1:8" x14ac:dyDescent="0.2">
      <c r="A202" s="16">
        <f>DATE(2019,5,7)</f>
        <v>43592</v>
      </c>
      <c r="B202" s="2">
        <v>30.363729113050319</v>
      </c>
      <c r="C202" s="2">
        <v>20.809378691749504</v>
      </c>
      <c r="D202" s="2">
        <v>5.8774129848865764</v>
      </c>
      <c r="E202" s="2">
        <v>6.2952087366139553</v>
      </c>
      <c r="F202" s="2">
        <v>6.9355292704136984</v>
      </c>
      <c r="G202" s="2">
        <v>6.9598255661847519</v>
      </c>
      <c r="H202" s="2">
        <v>7.5101577006871478</v>
      </c>
    </row>
    <row r="203" spans="1:8" x14ac:dyDescent="0.2">
      <c r="A203" s="16">
        <f>DATE(2019,5,8)</f>
        <v>43593</v>
      </c>
      <c r="B203" s="2">
        <v>31.060410598131426</v>
      </c>
      <c r="C203" s="2">
        <v>22.355360212363149</v>
      </c>
      <c r="D203" s="2">
        <v>5.9076619955601206</v>
      </c>
      <c r="E203" s="2">
        <v>6.3189969156999481</v>
      </c>
      <c r="F203" s="2">
        <v>6.9626727425293966</v>
      </c>
      <c r="G203" s="2">
        <v>6.9870967316218779</v>
      </c>
      <c r="H203" s="2">
        <v>7.5403286486500853</v>
      </c>
    </row>
    <row r="204" spans="1:8" x14ac:dyDescent="0.2">
      <c r="A204" s="16">
        <f>DATE(2019,5,9)</f>
        <v>43594</v>
      </c>
      <c r="B204" s="2">
        <v>31.055513854878189</v>
      </c>
      <c r="C204" s="2">
        <v>21.34581589984932</v>
      </c>
      <c r="D204" s="2">
        <v>5.9379196483285268</v>
      </c>
      <c r="E204" s="2">
        <v>6.3427904184262918</v>
      </c>
      <c r="F204" s="2">
        <v>6.9898231044793979</v>
      </c>
      <c r="G204" s="2">
        <v>7.0143748502908387</v>
      </c>
      <c r="H204" s="2">
        <v>7.5705080635906752</v>
      </c>
    </row>
    <row r="205" spans="1:8" x14ac:dyDescent="0.2">
      <c r="A205" s="16">
        <f>DATE(2019,5,10)</f>
        <v>43595</v>
      </c>
      <c r="B205" s="2">
        <v>29.386780044014802</v>
      </c>
      <c r="C205" s="2">
        <v>20.641492481150038</v>
      </c>
      <c r="D205" s="2">
        <v>5.9681859456608199</v>
      </c>
      <c r="E205" s="2">
        <v>6.3665892459844109</v>
      </c>
      <c r="F205" s="2">
        <v>7.0169803580125478</v>
      </c>
      <c r="G205" s="2">
        <v>7.0416599239644828</v>
      </c>
      <c r="H205" s="2">
        <v>7.6006959478850167</v>
      </c>
    </row>
    <row r="206" spans="1:8" x14ac:dyDescent="0.2">
      <c r="A206" s="16">
        <f>DATE(2019,5,13)</f>
        <v>43598</v>
      </c>
      <c r="B206" s="2">
        <v>26.240183393679931</v>
      </c>
      <c r="C206" s="2">
        <v>17.402006647868973</v>
      </c>
      <c r="D206" s="2">
        <v>5.9984608900267578</v>
      </c>
      <c r="E206" s="2">
        <v>6.3903933995659523</v>
      </c>
      <c r="F206" s="2">
        <v>7.0441445048781581</v>
      </c>
      <c r="G206" s="2">
        <v>7.0689519544161028</v>
      </c>
      <c r="H206" s="2">
        <v>7.6308923039098966</v>
      </c>
    </row>
    <row r="207" spans="1:8" x14ac:dyDescent="0.2">
      <c r="A207" s="16">
        <f>DATE(2019,5,14)</f>
        <v>43599</v>
      </c>
      <c r="B207" s="2">
        <v>26.633643810807062</v>
      </c>
      <c r="C207" s="2">
        <v>17.870326877024635</v>
      </c>
      <c r="D207" s="2">
        <v>6.0287444838967641</v>
      </c>
      <c r="E207" s="2">
        <v>6.4142028803628506</v>
      </c>
      <c r="F207" s="2">
        <v>7.0713155468259634</v>
      </c>
      <c r="G207" s="2">
        <v>7.0962509434194354</v>
      </c>
      <c r="H207" s="2">
        <v>7.6610971340427714</v>
      </c>
    </row>
    <row r="208" spans="1:8" x14ac:dyDescent="0.2">
      <c r="A208" s="16">
        <f>DATE(2019,5,15)</f>
        <v>43600</v>
      </c>
      <c r="B208" s="2">
        <v>25.688341719227935</v>
      </c>
      <c r="C208" s="2">
        <v>17.270047599970795</v>
      </c>
      <c r="D208" s="2">
        <v>6.0590367297419956</v>
      </c>
      <c r="E208" s="2">
        <v>6.4380176895673102</v>
      </c>
      <c r="F208" s="2">
        <v>7.0984934856061166</v>
      </c>
      <c r="G208" s="2">
        <v>7.1235568927486614</v>
      </c>
      <c r="H208" s="2">
        <v>7.6913104406617361</v>
      </c>
    </row>
    <row r="209" spans="1:8" x14ac:dyDescent="0.2">
      <c r="A209" s="16">
        <f>DATE(2019,5,16)</f>
        <v>43601</v>
      </c>
      <c r="B209" s="2">
        <v>22.895259770677189</v>
      </c>
      <c r="C209" s="2">
        <v>15.2235048374318</v>
      </c>
      <c r="D209" s="2">
        <v>6.0893376300343194</v>
      </c>
      <c r="E209" s="2">
        <v>6.4618378283717526</v>
      </c>
      <c r="F209" s="2">
        <v>7.1256783229692422</v>
      </c>
      <c r="G209" s="2">
        <v>7.150869804178428</v>
      </c>
      <c r="H209" s="2">
        <v>7.7215322261455777</v>
      </c>
    </row>
    <row r="210" spans="1:8" x14ac:dyDescent="0.2">
      <c r="A210" s="16">
        <f>DATE(2019,5,17)</f>
        <v>43602</v>
      </c>
      <c r="B210" s="2">
        <v>21.883789548797505</v>
      </c>
      <c r="C210" s="2">
        <v>15.182880393394083</v>
      </c>
      <c r="D210" s="2">
        <v>6.1196471872462688</v>
      </c>
      <c r="E210" s="2">
        <v>6.4856632979689799</v>
      </c>
      <c r="F210" s="2">
        <v>7.1528700606664497</v>
      </c>
      <c r="G210" s="2">
        <v>7.1781896794838929</v>
      </c>
      <c r="H210" s="2">
        <v>7.7517624928737927</v>
      </c>
    </row>
    <row r="211" spans="1:8" x14ac:dyDescent="0.2">
      <c r="A211" s="16">
        <f>DATE(2019,5,20)</f>
        <v>43605</v>
      </c>
      <c r="B211" s="2">
        <v>24.594580485049921</v>
      </c>
      <c r="C211" s="2">
        <v>17.683139575811158</v>
      </c>
      <c r="D211" s="2">
        <v>6.1499654038511764</v>
      </c>
      <c r="E211" s="2">
        <v>6.509494099551949</v>
      </c>
      <c r="F211" s="2">
        <v>7.1800687004492492</v>
      </c>
      <c r="G211" s="2">
        <v>7.2055165204405691</v>
      </c>
      <c r="H211" s="2">
        <v>7.7820012432264773</v>
      </c>
    </row>
    <row r="212" spans="1:8" x14ac:dyDescent="0.2">
      <c r="A212" s="16">
        <f>DATE(2019,5,21)</f>
        <v>43606</v>
      </c>
      <c r="B212" s="2">
        <v>27.422077135504551</v>
      </c>
      <c r="C212" s="2">
        <v>20.932122364818763</v>
      </c>
      <c r="D212" s="2">
        <v>6.18029228232293</v>
      </c>
      <c r="E212" s="2">
        <v>6.5333302343139277</v>
      </c>
      <c r="F212" s="2">
        <v>7.2072742440695734</v>
      </c>
      <c r="G212" s="2">
        <v>7.2328503288244796</v>
      </c>
      <c r="H212" s="2">
        <v>7.812248479584416</v>
      </c>
    </row>
    <row r="213" spans="1:8" x14ac:dyDescent="0.2">
      <c r="A213" s="16">
        <f>DATE(2019,5,22)</f>
        <v>43607</v>
      </c>
      <c r="B213" s="2">
        <v>27.348421955737081</v>
      </c>
      <c r="C213" s="2">
        <v>20.773451529048259</v>
      </c>
      <c r="D213" s="2">
        <v>6.2106278251362612</v>
      </c>
      <c r="E213" s="2">
        <v>6.5571717034484278</v>
      </c>
      <c r="F213" s="2">
        <v>7.234486693279818</v>
      </c>
      <c r="G213" s="2">
        <v>7.2601911064120728</v>
      </c>
      <c r="H213" s="2">
        <v>7.8425042043290603</v>
      </c>
    </row>
    <row r="214" spans="1:8" x14ac:dyDescent="0.2">
      <c r="A214" s="16">
        <f>DATE(2019,5,23)</f>
        <v>43608</v>
      </c>
      <c r="B214" s="2">
        <v>26.693207547353936</v>
      </c>
      <c r="C214" s="2">
        <v>20.196684256939989</v>
      </c>
      <c r="D214" s="2">
        <v>6.2409720347665454</v>
      </c>
      <c r="E214" s="2">
        <v>6.5810185081492723</v>
      </c>
      <c r="F214" s="2">
        <v>7.2617060498328501</v>
      </c>
      <c r="G214" s="2">
        <v>7.2875388549802578</v>
      </c>
      <c r="H214" s="2">
        <v>7.8727684198425463</v>
      </c>
    </row>
    <row r="215" spans="1:8" x14ac:dyDescent="0.2">
      <c r="A215" s="16">
        <f>DATE(2019,5,24)</f>
        <v>43609</v>
      </c>
      <c r="B215" s="2">
        <v>26.336792057446967</v>
      </c>
      <c r="C215" s="2">
        <v>19.835454362776005</v>
      </c>
      <c r="D215" s="2">
        <v>6.2713249136898908</v>
      </c>
      <c r="E215" s="2">
        <v>6.6048706496105281</v>
      </c>
      <c r="F215" s="2">
        <v>7.2889323154819552</v>
      </c>
      <c r="G215" s="2">
        <v>7.3148935763064138</v>
      </c>
      <c r="H215" s="2">
        <v>7.9030411285076596</v>
      </c>
    </row>
    <row r="216" spans="1:8" x14ac:dyDescent="0.2">
      <c r="A216" s="16">
        <f>DATE(2019,5,27)</f>
        <v>43612</v>
      </c>
      <c r="B216" s="2">
        <v>28.142723388517954</v>
      </c>
      <c r="C216" s="2">
        <v>21.418003002676269</v>
      </c>
      <c r="D216" s="2">
        <v>6.3016864643830939</v>
      </c>
      <c r="E216" s="2">
        <v>6.6287281290265074</v>
      </c>
      <c r="F216" s="2">
        <v>7.3161654919808861</v>
      </c>
      <c r="G216" s="2">
        <v>7.342255272168341</v>
      </c>
      <c r="H216" s="2">
        <v>7.9333223327078697</v>
      </c>
    </row>
    <row r="217" spans="1:8" x14ac:dyDescent="0.2">
      <c r="A217" s="16">
        <f>DATE(2019,5,28)</f>
        <v>43613</v>
      </c>
      <c r="B217" s="2">
        <v>30.860415894065721</v>
      </c>
      <c r="C217" s="2">
        <v>23.374363083208394</v>
      </c>
      <c r="D217" s="2">
        <v>6.3320566893236618</v>
      </c>
      <c r="E217" s="2">
        <v>6.6525909475918521</v>
      </c>
      <c r="F217" s="2">
        <v>7.3434055810838403</v>
      </c>
      <c r="G217" s="2">
        <v>7.3696239443443501</v>
      </c>
      <c r="H217" s="2">
        <v>7.9636120348273387</v>
      </c>
    </row>
    <row r="218" spans="1:8" x14ac:dyDescent="0.2">
      <c r="A218" s="16">
        <f>DATE(2019,5,29)</f>
        <v>43614</v>
      </c>
      <c r="B218" s="2">
        <v>31.607084966523647</v>
      </c>
      <c r="C218" s="2">
        <v>23.596799193142704</v>
      </c>
      <c r="D218" s="2">
        <v>6.3624355909898123</v>
      </c>
      <c r="E218" s="2">
        <v>6.6764591065013654</v>
      </c>
      <c r="F218" s="2">
        <v>7.3706525845453896</v>
      </c>
      <c r="G218" s="2">
        <v>7.3969995946131304</v>
      </c>
      <c r="H218" s="2">
        <v>7.9939102372508009</v>
      </c>
    </row>
    <row r="219" spans="1:8" x14ac:dyDescent="0.2">
      <c r="A219" s="16">
        <f>DATE(2019,5,30)</f>
        <v>43615</v>
      </c>
      <c r="B219" s="2">
        <v>33.037572702111206</v>
      </c>
      <c r="C219" s="2">
        <v>24.736958644725494</v>
      </c>
      <c r="D219" s="2">
        <v>6.3928231718604964</v>
      </c>
      <c r="E219" s="2">
        <v>6.7003326069502211</v>
      </c>
      <c r="F219" s="2">
        <v>7.3979065041206438</v>
      </c>
      <c r="G219" s="2">
        <v>7.424382224753856</v>
      </c>
      <c r="H219" s="2">
        <v>8.0242169423637701</v>
      </c>
    </row>
    <row r="220" spans="1:8" x14ac:dyDescent="0.2">
      <c r="A220" s="16">
        <f>DATE(2019,5,31)</f>
        <v>43616</v>
      </c>
      <c r="B220" s="2">
        <v>32.405098875847017</v>
      </c>
      <c r="C220" s="2">
        <v>24.190384524313835</v>
      </c>
      <c r="D220" s="2">
        <v>6.4232194344153282</v>
      </c>
      <c r="E220" s="2">
        <v>6.7242114501337991</v>
      </c>
      <c r="F220" s="2">
        <v>7.4251673415651087</v>
      </c>
      <c r="G220" s="2">
        <v>7.4517718365461727</v>
      </c>
      <c r="H220" s="2">
        <v>8.0545321525523637</v>
      </c>
    </row>
    <row r="221" spans="1:8" x14ac:dyDescent="0.2">
      <c r="A221" s="16">
        <f>DATE(2019,6,3)</f>
        <v>43619</v>
      </c>
      <c r="B221" s="2">
        <v>32.698592989132223</v>
      </c>
      <c r="C221" s="2">
        <v>24.177790178714218</v>
      </c>
      <c r="D221" s="2">
        <v>6.4536243811346372</v>
      </c>
      <c r="E221" s="2">
        <v>6.7413848261985274</v>
      </c>
      <c r="F221" s="2">
        <v>7.4456800086780897</v>
      </c>
      <c r="G221" s="2">
        <v>7.472411661199474</v>
      </c>
      <c r="H221" s="2">
        <v>8.0780610225698055</v>
      </c>
    </row>
    <row r="222" spans="1:8" x14ac:dyDescent="0.2">
      <c r="A222" s="16">
        <f>DATE(2019,6,4)</f>
        <v>43620</v>
      </c>
      <c r="B222" s="2">
        <v>33.885840326162132</v>
      </c>
      <c r="C222" s="2">
        <v>24.638302937528643</v>
      </c>
      <c r="D222" s="2">
        <v>6.4840380144995047</v>
      </c>
      <c r="E222" s="2">
        <v>6.758560965692828</v>
      </c>
      <c r="F222" s="2">
        <v>7.4661965926526408</v>
      </c>
      <c r="G222" s="2">
        <v>7.4930554504440749</v>
      </c>
      <c r="H222" s="2">
        <v>8.1015950159977201</v>
      </c>
    </row>
    <row r="223" spans="1:8" x14ac:dyDescent="0.2">
      <c r="A223" s="16">
        <f>DATE(2019,6,5)</f>
        <v>43621</v>
      </c>
      <c r="B223" s="2">
        <v>32.168680208379484</v>
      </c>
      <c r="C223" s="2">
        <v>22.870064494824604</v>
      </c>
      <c r="D223" s="2">
        <v>6.5144603369916787</v>
      </c>
      <c r="E223" s="2">
        <v>6.7757398690614368</v>
      </c>
      <c r="F223" s="2">
        <v>7.4867170942367167</v>
      </c>
      <c r="G223" s="2">
        <v>7.5137032050415664</v>
      </c>
      <c r="H223" s="2">
        <v>8.1251341339517946</v>
      </c>
    </row>
    <row r="224" spans="1:8" x14ac:dyDescent="0.2">
      <c r="A224" s="16">
        <f>DATE(2019,6,6)</f>
        <v>43622</v>
      </c>
      <c r="B224" s="2">
        <v>34.017750783002107</v>
      </c>
      <c r="C224" s="2">
        <v>24.413767769994443</v>
      </c>
      <c r="D224" s="2">
        <v>6.544891351093618</v>
      </c>
      <c r="E224" s="2">
        <v>6.7929215367490636</v>
      </c>
      <c r="F224" s="2">
        <v>7.5072415141783866</v>
      </c>
      <c r="G224" s="2">
        <v>7.5343549257535836</v>
      </c>
      <c r="H224" s="2">
        <v>8.1486783775478475</v>
      </c>
    </row>
    <row r="225" spans="1:8" x14ac:dyDescent="0.2">
      <c r="A225" s="16">
        <f>DATE(2019,6,7)</f>
        <v>43623</v>
      </c>
      <c r="B225" s="2">
        <v>34.980253572349419</v>
      </c>
      <c r="C225" s="2">
        <v>25.20271904753977</v>
      </c>
      <c r="D225" s="2">
        <v>6.5753310592885139</v>
      </c>
      <c r="E225" s="2">
        <v>6.8101059692005084</v>
      </c>
      <c r="F225" s="2">
        <v>7.5277698532258066</v>
      </c>
      <c r="G225" s="2">
        <v>7.5550106133419392</v>
      </c>
      <c r="H225" s="2">
        <v>8.1722277479019603</v>
      </c>
    </row>
    <row r="226" spans="1:8" x14ac:dyDescent="0.2">
      <c r="A226" s="16">
        <f>DATE(2019,6,10)</f>
        <v>43626</v>
      </c>
      <c r="B226" s="2">
        <v>35.063156677554396</v>
      </c>
      <c r="C226" s="2">
        <v>24.748900234608051</v>
      </c>
      <c r="D226" s="2">
        <v>6.6057794640602694</v>
      </c>
      <c r="E226" s="2">
        <v>6.8272931668607262</v>
      </c>
      <c r="F226" s="2">
        <v>7.548302112127403</v>
      </c>
      <c r="G226" s="2">
        <v>7.5756702685686896</v>
      </c>
      <c r="H226" s="2">
        <v>8.1957822461305785</v>
      </c>
    </row>
    <row r="227" spans="1:8" x14ac:dyDescent="0.2">
      <c r="A227" s="16">
        <f>DATE(2019,6,11)</f>
        <v>43627</v>
      </c>
      <c r="B227" s="2">
        <v>36.575868893602625</v>
      </c>
      <c r="C227" s="2">
        <v>26.660207371531875</v>
      </c>
      <c r="D227" s="2">
        <v>6.6362365678934498</v>
      </c>
      <c r="E227" s="2">
        <v>6.8444831301746056</v>
      </c>
      <c r="F227" s="2">
        <v>7.5688382916315744</v>
      </c>
      <c r="G227" s="2">
        <v>7.5963338921958936</v>
      </c>
      <c r="H227" s="2">
        <v>8.2193418733502046</v>
      </c>
    </row>
    <row r="228" spans="1:8" x14ac:dyDescent="0.2">
      <c r="A228" s="16">
        <f>DATE(2019,6,12)</f>
        <v>43628</v>
      </c>
      <c r="B228" s="2">
        <v>35.347070206213658</v>
      </c>
      <c r="C228" s="2">
        <v>25.842189265880155</v>
      </c>
      <c r="D228" s="2">
        <v>6.666702373273381</v>
      </c>
      <c r="E228" s="2">
        <v>6.8616758595872129</v>
      </c>
      <c r="F228" s="2">
        <v>7.5893783924869904</v>
      </c>
      <c r="G228" s="2">
        <v>7.6170014849858303</v>
      </c>
      <c r="H228" s="2">
        <v>8.2429066306777035</v>
      </c>
    </row>
    <row r="229" spans="1:8" x14ac:dyDescent="0.2">
      <c r="A229" s="16">
        <f>DATE(2019,6,13)</f>
        <v>43629</v>
      </c>
      <c r="B229" s="2">
        <v>37.073048010216802</v>
      </c>
      <c r="C229" s="2">
        <v>26.421759547832213</v>
      </c>
      <c r="D229" s="2">
        <v>6.6971768826860956</v>
      </c>
      <c r="E229" s="2">
        <v>6.8788713555436356</v>
      </c>
      <c r="F229" s="2">
        <v>7.6099224154424272</v>
      </c>
      <c r="G229" s="2">
        <v>7.6376730477009103</v>
      </c>
      <c r="H229" s="2">
        <v>8.2664765192301584</v>
      </c>
    </row>
    <row r="230" spans="1:8" x14ac:dyDescent="0.2">
      <c r="A230" s="16">
        <f>DATE(2019,6,14)</f>
        <v>43630</v>
      </c>
      <c r="B230" s="2">
        <v>35.622436611459008</v>
      </c>
      <c r="C230" s="2">
        <v>25.482764049286821</v>
      </c>
      <c r="D230" s="2">
        <v>6.7276600986182933</v>
      </c>
      <c r="E230" s="2">
        <v>6.8960696184890544</v>
      </c>
      <c r="F230" s="2">
        <v>7.6304703612468217</v>
      </c>
      <c r="G230" s="2">
        <v>7.6583485811037022</v>
      </c>
      <c r="H230" s="2">
        <v>8.2900515401248995</v>
      </c>
    </row>
    <row r="231" spans="1:8" x14ac:dyDescent="0.2">
      <c r="A231" s="16">
        <f>DATE(2019,6,17)</f>
        <v>43633</v>
      </c>
      <c r="B231" s="2">
        <v>35.514025199687559</v>
      </c>
      <c r="C231" s="2">
        <v>24.949283440611314</v>
      </c>
      <c r="D231" s="2">
        <v>6.7581520235574288</v>
      </c>
      <c r="E231" s="2">
        <v>6.9132706488687079</v>
      </c>
      <c r="F231" s="2">
        <v>7.6510222306492182</v>
      </c>
      <c r="G231" s="2">
        <v>7.6790280859569071</v>
      </c>
      <c r="H231" s="2">
        <v>8.3136316944794952</v>
      </c>
    </row>
    <row r="232" spans="1:8" x14ac:dyDescent="0.2">
      <c r="A232" s="16">
        <f>DATE(2019,6,18)</f>
        <v>43634</v>
      </c>
      <c r="B232" s="2">
        <v>37.441820680108862</v>
      </c>
      <c r="C232" s="2">
        <v>27.22898798545501</v>
      </c>
      <c r="D232" s="2">
        <v>6.7886526599916452</v>
      </c>
      <c r="E232" s="2">
        <v>6.9304744471279323</v>
      </c>
      <c r="F232" s="2">
        <v>7.6715780243988174</v>
      </c>
      <c r="G232" s="2">
        <v>7.6997115630233806</v>
      </c>
      <c r="H232" s="2">
        <v>8.3372169834117447</v>
      </c>
    </row>
    <row r="233" spans="1:8" x14ac:dyDescent="0.2">
      <c r="A233" s="16">
        <f>DATE(2019,6,19)</f>
        <v>43635</v>
      </c>
      <c r="B233" s="2">
        <v>38.400331559195358</v>
      </c>
      <c r="C233" s="2">
        <v>28.379655524169209</v>
      </c>
      <c r="D233" s="2">
        <v>6.8191620104098183</v>
      </c>
      <c r="E233" s="2">
        <v>6.9476810137121037</v>
      </c>
      <c r="F233" s="2">
        <v>7.6921377432449756</v>
      </c>
      <c r="G233" s="2">
        <v>7.7203990130661371</v>
      </c>
      <c r="H233" s="2">
        <v>8.3608074080397046</v>
      </c>
    </row>
    <row r="234" spans="1:8" x14ac:dyDescent="0.2">
      <c r="A234" s="16">
        <f>DATE(2019,6,21)</f>
        <v>43637</v>
      </c>
      <c r="B234" s="2">
        <v>40.181978769513194</v>
      </c>
      <c r="C234" s="2">
        <v>30.567321512908549</v>
      </c>
      <c r="D234" s="2">
        <v>6.8496800773015121</v>
      </c>
      <c r="E234" s="2">
        <v>6.9648903490667102</v>
      </c>
      <c r="F234" s="2">
        <v>7.7127013879372042</v>
      </c>
      <c r="G234" s="2">
        <v>7.7410904368483191</v>
      </c>
      <c r="H234" s="2">
        <v>8.3844029694817088</v>
      </c>
    </row>
    <row r="235" spans="1:8" x14ac:dyDescent="0.2">
      <c r="A235" s="16">
        <f>DATE(2019,6,24)</f>
        <v>43640</v>
      </c>
      <c r="B235" s="2">
        <v>39.865202948495913</v>
      </c>
      <c r="C235" s="2">
        <v>30.630920398360175</v>
      </c>
      <c r="D235" s="2">
        <v>6.8802068631570013</v>
      </c>
      <c r="E235" s="2">
        <v>6.98210245363724</v>
      </c>
      <c r="F235" s="2">
        <v>7.7332689592250814</v>
      </c>
      <c r="G235" s="2">
        <v>7.7617858351332059</v>
      </c>
      <c r="H235" s="2">
        <v>8.4080036688562334</v>
      </c>
    </row>
    <row r="236" spans="1:8" x14ac:dyDescent="0.2">
      <c r="A236" s="16">
        <f>DATE(2019,6,25)</f>
        <v>43641</v>
      </c>
      <c r="B236" s="2">
        <v>37.127683955319533</v>
      </c>
      <c r="C236" s="2">
        <v>28.110284998265708</v>
      </c>
      <c r="D236" s="2">
        <v>6.9107423704672932</v>
      </c>
      <c r="E236" s="2">
        <v>6.9993173278693144</v>
      </c>
      <c r="F236" s="2">
        <v>7.7538404578584297</v>
      </c>
      <c r="G236" s="2">
        <v>7.7824852086842311</v>
      </c>
      <c r="H236" s="2">
        <v>8.4316095072821007</v>
      </c>
    </row>
    <row r="237" spans="1:8" x14ac:dyDescent="0.2">
      <c r="A237" s="16">
        <f>DATE(2019,6,26)</f>
        <v>43642</v>
      </c>
      <c r="B237" s="2">
        <v>37.305306220101421</v>
      </c>
      <c r="C237" s="2">
        <v>28.872703675782649</v>
      </c>
      <c r="D237" s="2">
        <v>6.9412866017240837</v>
      </c>
      <c r="E237" s="2">
        <v>7.016534972208599</v>
      </c>
      <c r="F237" s="2">
        <v>7.7744158845871603</v>
      </c>
      <c r="G237" s="2">
        <v>7.8031885582650062</v>
      </c>
      <c r="H237" s="2">
        <v>8.4552204858783231</v>
      </c>
    </row>
    <row r="238" spans="1:8" x14ac:dyDescent="0.2">
      <c r="A238" s="16">
        <f>DATE(2019,6,27)</f>
        <v>43643</v>
      </c>
      <c r="B238" s="2">
        <v>38.200509837907589</v>
      </c>
      <c r="C238" s="2">
        <v>28.917935807234851</v>
      </c>
      <c r="D238" s="2">
        <v>6.9718395594197791</v>
      </c>
      <c r="E238" s="2">
        <v>7.0337553871008698</v>
      </c>
      <c r="F238" s="2">
        <v>7.7949952401613176</v>
      </c>
      <c r="G238" s="2">
        <v>7.8238958846392537</v>
      </c>
      <c r="H238" s="2">
        <v>8.4788366057641849</v>
      </c>
    </row>
    <row r="239" spans="1:8" x14ac:dyDescent="0.2">
      <c r="A239" s="16">
        <f>DATE(2019,6,28)</f>
        <v>43644</v>
      </c>
      <c r="B239" s="2">
        <v>39.572241089912112</v>
      </c>
      <c r="C239" s="2">
        <v>29.229249087741891</v>
      </c>
      <c r="D239" s="2">
        <v>7.0024012460475404</v>
      </c>
      <c r="E239" s="2">
        <v>7.0509785729919283</v>
      </c>
      <c r="F239" s="2">
        <v>7.8155785253311461</v>
      </c>
      <c r="G239" s="2">
        <v>7.8446071885708513</v>
      </c>
      <c r="H239" s="2">
        <v>8.50245786805921</v>
      </c>
    </row>
    <row r="240" spans="1:8" x14ac:dyDescent="0.2">
      <c r="A240" s="16">
        <f>DATE(2019,7,1)</f>
        <v>43647</v>
      </c>
      <c r="B240" s="2">
        <v>38.826703058694754</v>
      </c>
      <c r="C240" s="2">
        <v>29.705991145560674</v>
      </c>
      <c r="D240" s="2">
        <v>7.0329716641011952</v>
      </c>
      <c r="E240" s="2">
        <v>7.0722939330380994</v>
      </c>
      <c r="F240" s="2">
        <v>7.8402844753526768</v>
      </c>
      <c r="G240" s="2">
        <v>7.869442318952502</v>
      </c>
      <c r="H240" s="2">
        <v>8.5302293593931608</v>
      </c>
    </row>
    <row r="241" spans="1:8" x14ac:dyDescent="0.2">
      <c r="A241" s="16">
        <f>DATE(2019,7,2)</f>
        <v>43648</v>
      </c>
      <c r="B241" s="2">
        <v>38.477033897128528</v>
      </c>
      <c r="C241" s="2">
        <v>28.765882122556796</v>
      </c>
      <c r="D241" s="2">
        <v>7.0635508160752813</v>
      </c>
      <c r="E241" s="2">
        <v>7.0936135372731144</v>
      </c>
      <c r="F241" s="2">
        <v>7.8649960867449584</v>
      </c>
      <c r="G241" s="2">
        <v>7.8942831685231862</v>
      </c>
      <c r="H241" s="2">
        <v>8.5580079589137714</v>
      </c>
    </row>
    <row r="242" spans="1:8" x14ac:dyDescent="0.2">
      <c r="A242" s="16">
        <f>DATE(2019,7,3)</f>
        <v>43649</v>
      </c>
      <c r="B242" s="2">
        <v>41.282060528270748</v>
      </c>
      <c r="C242" s="2">
        <v>30.606320467219494</v>
      </c>
      <c r="D242" s="2">
        <v>7.0941387044650916</v>
      </c>
      <c r="E242" s="2">
        <v>7.1149373865421204</v>
      </c>
      <c r="F242" s="2">
        <v>7.8897133608053496</v>
      </c>
      <c r="G242" s="2">
        <v>7.9191297386000503</v>
      </c>
      <c r="H242" s="2">
        <v>8.5857936684405001</v>
      </c>
    </row>
    <row r="243" spans="1:8" x14ac:dyDescent="0.2">
      <c r="A243" s="16">
        <f>DATE(2019,7,4)</f>
        <v>43650</v>
      </c>
      <c r="B243" s="2">
        <v>44.503474447804557</v>
      </c>
      <c r="C243" s="2">
        <v>32.645298942919702</v>
      </c>
      <c r="D243" s="2">
        <v>7.1247353317665851</v>
      </c>
      <c r="E243" s="2">
        <v>7.1362654816903293</v>
      </c>
      <c r="F243" s="2">
        <v>7.9144362988314176</v>
      </c>
      <c r="G243" s="2">
        <v>7.9439820305003961</v>
      </c>
      <c r="H243" s="2">
        <v>8.6135864897931356</v>
      </c>
    </row>
    <row r="244" spans="1:8" x14ac:dyDescent="0.2">
      <c r="A244" s="16">
        <f>DATE(2019,7,5)</f>
        <v>43651</v>
      </c>
      <c r="B244" s="2">
        <v>45.745810146433421</v>
      </c>
      <c r="C244" s="2">
        <v>33.225483583193707</v>
      </c>
      <c r="D244" s="2">
        <v>7.1553407004764757</v>
      </c>
      <c r="E244" s="2">
        <v>7.1575978235631776</v>
      </c>
      <c r="F244" s="2">
        <v>7.9391649021210764</v>
      </c>
      <c r="G244" s="2">
        <v>7.9688400455419028</v>
      </c>
      <c r="H244" s="2">
        <v>8.6413864247919747</v>
      </c>
    </row>
    <row r="245" spans="1:8" x14ac:dyDescent="0.2">
      <c r="A245" s="16">
        <f>DATE(2019,7,8)</f>
        <v>43654</v>
      </c>
      <c r="B245" s="2">
        <v>47.665967771889072</v>
      </c>
      <c r="C245" s="2">
        <v>33.789605313175542</v>
      </c>
      <c r="D245" s="2">
        <v>7.1859548130921436</v>
      </c>
      <c r="E245" s="2">
        <v>7.1789344130062096</v>
      </c>
      <c r="F245" s="2">
        <v>7.9638991719724883</v>
      </c>
      <c r="G245" s="2">
        <v>7.9937037850424941</v>
      </c>
      <c r="H245" s="2">
        <v>8.6691934752577424</v>
      </c>
    </row>
    <row r="246" spans="1:8" x14ac:dyDescent="0.2">
      <c r="A246" s="16">
        <f>DATE(2019,7,9)</f>
        <v>43655</v>
      </c>
      <c r="B246" s="2">
        <v>47.657336374814086</v>
      </c>
      <c r="C246" s="2">
        <v>33.789605313175542</v>
      </c>
      <c r="D246" s="2">
        <v>7.2165776721117458</v>
      </c>
      <c r="E246" s="2">
        <v>7.2002752508652179</v>
      </c>
      <c r="F246" s="2">
        <v>7.9886391096842146</v>
      </c>
      <c r="G246" s="2">
        <v>8.0185732503204932</v>
      </c>
      <c r="H246" s="2">
        <v>8.6970076430117338</v>
      </c>
    </row>
    <row r="247" spans="1:8" x14ac:dyDescent="0.2">
      <c r="A247" s="16">
        <f>DATE(2019,7,10)</f>
        <v>43656</v>
      </c>
      <c r="B247" s="2">
        <v>49.57916616712339</v>
      </c>
      <c r="C247" s="2">
        <v>35.436648777746882</v>
      </c>
      <c r="D247" s="2">
        <v>7.2472092800340837</v>
      </c>
      <c r="E247" s="2">
        <v>7.2216203379861232</v>
      </c>
      <c r="F247" s="2">
        <v>8.0133847165550165</v>
      </c>
      <c r="G247" s="2">
        <v>8.0434484426944444</v>
      </c>
      <c r="H247" s="2">
        <v>8.7248289298755832</v>
      </c>
    </row>
    <row r="248" spans="1:8" x14ac:dyDescent="0.2">
      <c r="A248" s="16">
        <f>DATE(2019,7,11)</f>
        <v>43657</v>
      </c>
      <c r="B248" s="2">
        <v>48.70692490422848</v>
      </c>
      <c r="C248" s="2">
        <v>34.578313407218417</v>
      </c>
      <c r="D248" s="2">
        <v>7.2778496393587364</v>
      </c>
      <c r="E248" s="2">
        <v>7.242969675214983</v>
      </c>
      <c r="F248" s="2">
        <v>8.0381359938839658</v>
      </c>
      <c r="G248" s="2">
        <v>8.0683293634832065</v>
      </c>
      <c r="H248" s="2">
        <v>8.7526573376714545</v>
      </c>
    </row>
    <row r="249" spans="1:8" x14ac:dyDescent="0.2">
      <c r="A249" s="16">
        <f>DATE(2019,7,12)</f>
        <v>43658</v>
      </c>
      <c r="B249" s="2">
        <v>47.383890521949731</v>
      </c>
      <c r="C249" s="2">
        <v>32.990645114635413</v>
      </c>
      <c r="D249" s="2">
        <v>7.3084987525859013</v>
      </c>
      <c r="E249" s="2">
        <v>7.2643232633980981</v>
      </c>
      <c r="F249" s="2">
        <v>8.0628929429704908</v>
      </c>
      <c r="G249" s="2">
        <v>8.0932160140059874</v>
      </c>
      <c r="H249" s="2">
        <v>8.7804928682220016</v>
      </c>
    </row>
    <row r="250" spans="1:8" x14ac:dyDescent="0.2">
      <c r="A250" s="16">
        <f>DATE(2019,7,15)</f>
        <v>43661</v>
      </c>
      <c r="B250" s="2">
        <v>47.887674032317641</v>
      </c>
      <c r="C250" s="2">
        <v>32.858430084103077</v>
      </c>
      <c r="D250" s="2">
        <v>7.3391566222166249</v>
      </c>
      <c r="E250" s="2">
        <v>7.2856811033818358</v>
      </c>
      <c r="F250" s="2">
        <v>8.0876555651142166</v>
      </c>
      <c r="G250" s="2">
        <v>8.1181083955822242</v>
      </c>
      <c r="H250" s="2">
        <v>8.8083355233502516</v>
      </c>
    </row>
    <row r="251" spans="1:8" x14ac:dyDescent="0.2">
      <c r="A251" s="16">
        <f>DATE(2019,7,16)</f>
        <v>43662</v>
      </c>
      <c r="B251" s="2">
        <v>47.437133733917022</v>
      </c>
      <c r="C251" s="2">
        <v>32.823514052806637</v>
      </c>
      <c r="D251" s="2">
        <v>7.3698232507525718</v>
      </c>
      <c r="E251" s="2">
        <v>7.3070431960128301</v>
      </c>
      <c r="F251" s="2">
        <v>8.1124238616151487</v>
      </c>
      <c r="G251" s="2">
        <v>8.1430065095317037</v>
      </c>
      <c r="H251" s="2">
        <v>8.8361853048797965</v>
      </c>
    </row>
    <row r="252" spans="1:8" x14ac:dyDescent="0.2">
      <c r="A252" s="16">
        <f>DATE(2019,7,17)</f>
        <v>43663</v>
      </c>
      <c r="B252" s="2">
        <v>47.964185645649501</v>
      </c>
      <c r="C252" s="2">
        <v>32.926060696042335</v>
      </c>
      <c r="D252" s="2">
        <v>7.4004986406961404</v>
      </c>
      <c r="E252" s="2">
        <v>7.3284095421378259</v>
      </c>
      <c r="F252" s="2">
        <v>8.1371978337735573</v>
      </c>
      <c r="G252" s="2">
        <v>8.1679103571745237</v>
      </c>
      <c r="H252" s="2">
        <v>8.8640422146346598</v>
      </c>
    </row>
    <row r="253" spans="1:8" x14ac:dyDescent="0.2">
      <c r="A253" s="16">
        <f>DATE(2019,7,18)</f>
        <v>43664</v>
      </c>
      <c r="B253" s="2">
        <v>48.670088443433009</v>
      </c>
      <c r="C253" s="2">
        <v>34.028142730797086</v>
      </c>
      <c r="D253" s="2">
        <v>7.4311827945504616</v>
      </c>
      <c r="E253" s="2">
        <v>7.3497801426037679</v>
      </c>
      <c r="F253" s="2">
        <v>8.1619774828900251</v>
      </c>
      <c r="G253" s="2">
        <v>8.1928199398310966</v>
      </c>
      <c r="H253" s="2">
        <v>8.8919062544393181</v>
      </c>
    </row>
    <row r="254" spans="1:8" x14ac:dyDescent="0.2">
      <c r="A254" s="16">
        <f>DATE(2019,7,19)</f>
        <v>43665</v>
      </c>
      <c r="B254" s="2">
        <v>46.859641818311481</v>
      </c>
      <c r="C254" s="2">
        <v>32.409487740351643</v>
      </c>
      <c r="D254" s="2">
        <v>7.4618757148193771</v>
      </c>
      <c r="E254" s="2">
        <v>7.371154998257734</v>
      </c>
      <c r="F254" s="2">
        <v>8.1867628102654475</v>
      </c>
      <c r="G254" s="2">
        <v>8.2177352588220796</v>
      </c>
      <c r="H254" s="2">
        <v>8.9197774261187366</v>
      </c>
    </row>
    <row r="255" spans="1:8" x14ac:dyDescent="0.2">
      <c r="A255" s="16">
        <f>DATE(2019,7,22)</f>
        <v>43668</v>
      </c>
      <c r="B255" s="2">
        <v>46.457363714963847</v>
      </c>
      <c r="C255" s="2">
        <v>33.046282940165298</v>
      </c>
      <c r="D255" s="2">
        <v>7.4925774040074167</v>
      </c>
      <c r="E255" s="2">
        <v>7.3925341099470021</v>
      </c>
      <c r="F255" s="2">
        <v>8.2115538172009774</v>
      </c>
      <c r="G255" s="2">
        <v>8.2426563154684995</v>
      </c>
      <c r="H255" s="2">
        <v>8.9476557314983154</v>
      </c>
    </row>
    <row r="256" spans="1:8" x14ac:dyDescent="0.2">
      <c r="A256" s="16">
        <f>DATE(2019,7,23)</f>
        <v>43669</v>
      </c>
      <c r="B256" s="2">
        <v>45.742692020974097</v>
      </c>
      <c r="C256" s="2">
        <v>32.732473828975394</v>
      </c>
      <c r="D256" s="2">
        <v>7.5232878646198653</v>
      </c>
      <c r="E256" s="2">
        <v>7.4139174785190276</v>
      </c>
      <c r="F256" s="2">
        <v>8.2363505049980912</v>
      </c>
      <c r="G256" s="2">
        <v>8.2675831110916356</v>
      </c>
      <c r="H256" s="2">
        <v>8.9755411724039789</v>
      </c>
    </row>
    <row r="257" spans="1:8" x14ac:dyDescent="0.2">
      <c r="A257" s="16">
        <f>DATE(2019,7,24)</f>
        <v>43670</v>
      </c>
      <c r="B257" s="2">
        <v>46.735307120055317</v>
      </c>
      <c r="C257" s="2">
        <v>33.263970572236332</v>
      </c>
      <c r="D257" s="2">
        <v>7.5540070991626962</v>
      </c>
      <c r="E257" s="2">
        <v>7.4353051048213992</v>
      </c>
      <c r="F257" s="2">
        <v>8.2611528749585652</v>
      </c>
      <c r="G257" s="2">
        <v>8.2925156470131203</v>
      </c>
      <c r="H257" s="2">
        <v>9.0034337506620599</v>
      </c>
    </row>
    <row r="258" spans="1:8" x14ac:dyDescent="0.2">
      <c r="A258" s="16">
        <f>DATE(2019,7,25)</f>
        <v>43671</v>
      </c>
      <c r="B258" s="2">
        <v>45.22906179862958</v>
      </c>
      <c r="C258" s="2">
        <v>31.388948973701591</v>
      </c>
      <c r="D258" s="2">
        <v>7.5847351101426153</v>
      </c>
      <c r="E258" s="2">
        <v>7.4566969897018831</v>
      </c>
      <c r="F258" s="2">
        <v>8.2859609283844495</v>
      </c>
      <c r="G258" s="2">
        <v>8.3174539245548527</v>
      </c>
      <c r="H258" s="2">
        <v>9.0313334680993904</v>
      </c>
    </row>
    <row r="259" spans="1:8" x14ac:dyDescent="0.2">
      <c r="A259" s="16">
        <f>DATE(2019,7,26)</f>
        <v>43672</v>
      </c>
      <c r="B259" s="2">
        <v>46.288696635533654</v>
      </c>
      <c r="C259" s="2">
        <v>31.599302703304556</v>
      </c>
      <c r="D259" s="2">
        <v>7.615471900067039</v>
      </c>
      <c r="E259" s="2">
        <v>7.4780931340084233</v>
      </c>
      <c r="F259" s="2">
        <v>8.3107746665781246</v>
      </c>
      <c r="G259" s="2">
        <v>8.3423979450390604</v>
      </c>
      <c r="H259" s="2">
        <v>9.0592403265432395</v>
      </c>
    </row>
    <row r="260" spans="1:8" x14ac:dyDescent="0.2">
      <c r="A260" s="16">
        <f>DATE(2019,7,29)</f>
        <v>43675</v>
      </c>
      <c r="B260" s="2">
        <v>47.272871062141199</v>
      </c>
      <c r="C260" s="2">
        <v>32.448781074691873</v>
      </c>
      <c r="D260" s="2">
        <v>7.6462174714440723</v>
      </c>
      <c r="E260" s="2">
        <v>7.4994935385891406</v>
      </c>
      <c r="F260" s="2">
        <v>8.3355940908422586</v>
      </c>
      <c r="G260" s="2">
        <v>8.3673477097882412</v>
      </c>
      <c r="H260" s="2">
        <v>9.0871543278213895</v>
      </c>
    </row>
    <row r="261" spans="1:8" x14ac:dyDescent="0.2">
      <c r="A261" s="16">
        <f>DATE(2019,7,30)</f>
        <v>43676</v>
      </c>
      <c r="B261" s="2">
        <v>47.337952505759652</v>
      </c>
      <c r="C261" s="2">
        <v>31.744995219524274</v>
      </c>
      <c r="D261" s="2">
        <v>7.676971826782597</v>
      </c>
      <c r="E261" s="2">
        <v>7.5208982042923136</v>
      </c>
      <c r="F261" s="2">
        <v>8.3604192024798074</v>
      </c>
      <c r="G261" s="2">
        <v>8.3923032201252301</v>
      </c>
      <c r="H261" s="2">
        <v>9.1150754737620687</v>
      </c>
    </row>
    <row r="262" spans="1:8" x14ac:dyDescent="0.2">
      <c r="A262" s="16">
        <f>DATE(2019,7,31)</f>
        <v>43677</v>
      </c>
      <c r="B262" s="2">
        <v>47.491028957893541</v>
      </c>
      <c r="C262" s="2">
        <v>30.31068612305339</v>
      </c>
      <c r="D262" s="2">
        <v>7.7077349685921606</v>
      </c>
      <c r="E262" s="2">
        <v>7.542307131966397</v>
      </c>
      <c r="F262" s="2">
        <v>8.3852500027940415</v>
      </c>
      <c r="G262" s="2">
        <v>8.4172644773731644</v>
      </c>
      <c r="H262" s="2">
        <v>9.1430037661939689</v>
      </c>
    </row>
    <row r="263" spans="1:8" x14ac:dyDescent="0.2">
      <c r="A263" s="16">
        <f>DATE(2019,8,1)</f>
        <v>43678</v>
      </c>
      <c r="B263" s="2">
        <v>49.338400752927413</v>
      </c>
      <c r="C263" s="2">
        <v>30.71233567514777</v>
      </c>
      <c r="D263" s="2">
        <v>7.7385068993830464</v>
      </c>
      <c r="E263" s="2">
        <v>7.5649095768901331</v>
      </c>
      <c r="F263" s="2">
        <v>8.4112851051785906</v>
      </c>
      <c r="G263" s="2">
        <v>8.4434304503494975</v>
      </c>
      <c r="H263" s="2">
        <v>9.1721462312356774</v>
      </c>
    </row>
    <row r="264" spans="1:8" x14ac:dyDescent="0.2">
      <c r="A264" s="16">
        <f>DATE(2019,8,2)</f>
        <v>43679</v>
      </c>
      <c r="B264" s="2">
        <v>50.075081178821669</v>
      </c>
      <c r="C264" s="2">
        <v>31.41339531526177</v>
      </c>
      <c r="D264" s="2">
        <v>7.7672732424991953</v>
      </c>
      <c r="E264" s="2">
        <v>7.5875167722281978</v>
      </c>
      <c r="F264" s="2">
        <v>8.4373264614266095</v>
      </c>
      <c r="G264" s="2">
        <v>8.4696027383545758</v>
      </c>
      <c r="H264" s="2">
        <v>9.2012964776581505</v>
      </c>
    </row>
    <row r="265" spans="1:8" x14ac:dyDescent="0.2">
      <c r="A265" s="16">
        <f>DATE(2019,8,5)</f>
        <v>43682</v>
      </c>
      <c r="B265" s="2">
        <v>46.057888819710492</v>
      </c>
      <c r="C265" s="2">
        <v>28.116428581485</v>
      </c>
      <c r="D265" s="2">
        <v>7.7960472662721436</v>
      </c>
      <c r="E265" s="2">
        <v>7.6101287189789923</v>
      </c>
      <c r="F265" s="2">
        <v>8.4633740730403204</v>
      </c>
      <c r="G265" s="2">
        <v>8.4957813429124904</v>
      </c>
      <c r="H265" s="2">
        <v>9.2304545075390987</v>
      </c>
    </row>
    <row r="266" spans="1:8" x14ac:dyDescent="0.2">
      <c r="A266" s="16">
        <f>DATE(2019,8,6)</f>
        <v>43683</v>
      </c>
      <c r="B266" s="2">
        <v>48.396873234272661</v>
      </c>
      <c r="C266" s="2">
        <v>30.760652397341314</v>
      </c>
      <c r="D266" s="2">
        <v>7.824828972752651</v>
      </c>
      <c r="E266" s="2">
        <v>7.6327454181411181</v>
      </c>
      <c r="F266" s="2">
        <v>8.4894279415223206</v>
      </c>
      <c r="G266" s="2">
        <v>8.5219662655477091</v>
      </c>
      <c r="H266" s="2">
        <v>9.2596203229567742</v>
      </c>
    </row>
    <row r="267" spans="1:8" x14ac:dyDescent="0.2">
      <c r="A267" s="16">
        <f>DATE(2019,8,7)</f>
        <v>43684</v>
      </c>
      <c r="B267" s="2">
        <v>48.324176112967777</v>
      </c>
      <c r="C267" s="2">
        <v>31.552509077784109</v>
      </c>
      <c r="D267" s="2">
        <v>7.8536183639920099</v>
      </c>
      <c r="E267" s="2">
        <v>7.6553668707134426</v>
      </c>
      <c r="F267" s="2">
        <v>8.5154880683756105</v>
      </c>
      <c r="G267" s="2">
        <v>8.5481575077851044</v>
      </c>
      <c r="H267" s="2">
        <v>9.2887939259900456</v>
      </c>
    </row>
    <row r="268" spans="1:8" x14ac:dyDescent="0.2">
      <c r="A268" s="16">
        <f>DATE(2019,8,8)</f>
        <v>43685</v>
      </c>
      <c r="B268" s="2">
        <v>50.736695949989617</v>
      </c>
      <c r="C268" s="2">
        <v>33.25845414647064</v>
      </c>
      <c r="D268" s="2">
        <v>7.8824154420420456</v>
      </c>
      <c r="E268" s="2">
        <v>7.6779930776949454</v>
      </c>
      <c r="F268" s="2">
        <v>8.5415544551034497</v>
      </c>
      <c r="G268" s="2">
        <v>8.5743550711498298</v>
      </c>
      <c r="H268" s="2">
        <v>9.3179753187182524</v>
      </c>
    </row>
    <row r="269" spans="1:8" x14ac:dyDescent="0.2">
      <c r="A269" s="16">
        <f>DATE(2019,8,9)</f>
        <v>43686</v>
      </c>
      <c r="B269" s="2">
        <v>51.747469805301598</v>
      </c>
      <c r="C269" s="2">
        <v>33.106054885236546</v>
      </c>
      <c r="D269" s="2">
        <v>7.9112202089551609</v>
      </c>
      <c r="E269" s="2">
        <v>7.7006240400849357</v>
      </c>
      <c r="F269" s="2">
        <v>8.5676271032095528</v>
      </c>
      <c r="G269" s="2">
        <v>8.6005589571675145</v>
      </c>
      <c r="H269" s="2">
        <v>9.3471645032213946</v>
      </c>
    </row>
    <row r="270" spans="1:8" x14ac:dyDescent="0.2">
      <c r="A270" s="16">
        <f>DATE(2019,8,12)</f>
        <v>43689</v>
      </c>
      <c r="B270" s="2">
        <v>49.385012958405959</v>
      </c>
      <c r="C270" s="2">
        <v>30.442632371819855</v>
      </c>
      <c r="D270" s="2">
        <v>7.9400326667843144</v>
      </c>
      <c r="E270" s="2">
        <v>7.7232597588828167</v>
      </c>
      <c r="F270" s="2">
        <v>8.5937060141979327</v>
      </c>
      <c r="G270" s="2">
        <v>8.6267691673640456</v>
      </c>
      <c r="H270" s="2">
        <v>9.3763614815798988</v>
      </c>
    </row>
    <row r="271" spans="1:8" x14ac:dyDescent="0.2">
      <c r="A271" s="16">
        <f>DATE(2019,8,13)</f>
        <v>43690</v>
      </c>
      <c r="B271" s="2">
        <v>50.742297930722273</v>
      </c>
      <c r="C271" s="2">
        <v>32.214352178348207</v>
      </c>
      <c r="D271" s="2">
        <v>7.9688528175829498</v>
      </c>
      <c r="E271" s="2">
        <v>7.7459002350882988</v>
      </c>
      <c r="F271" s="2">
        <v>8.6197911895730339</v>
      </c>
      <c r="G271" s="2">
        <v>8.6529857032657809</v>
      </c>
      <c r="H271" s="2">
        <v>9.4055662558748754</v>
      </c>
    </row>
    <row r="272" spans="1:8" x14ac:dyDescent="0.2">
      <c r="A272" s="16">
        <f>DATE(2019,8,14)</f>
        <v>43691</v>
      </c>
      <c r="B272" s="2">
        <v>46.045478414255278</v>
      </c>
      <c r="C272" s="2">
        <v>28.321547466219865</v>
      </c>
      <c r="D272" s="2">
        <v>7.9976806634051378</v>
      </c>
      <c r="E272" s="2">
        <v>7.768545469701249</v>
      </c>
      <c r="F272" s="2">
        <v>8.6458826308395853</v>
      </c>
      <c r="G272" s="2">
        <v>8.6792085663993888</v>
      </c>
      <c r="H272" s="2">
        <v>9.4347788281879055</v>
      </c>
    </row>
    <row r="273" spans="1:8" x14ac:dyDescent="0.2">
      <c r="A273" s="16">
        <f>DATE(2019,8,15)</f>
        <v>43692</v>
      </c>
      <c r="B273" s="2">
        <v>42.512526947057466</v>
      </c>
      <c r="C273" s="2">
        <v>26.784243756903514</v>
      </c>
      <c r="D273" s="2">
        <v>8.0265162063054341</v>
      </c>
      <c r="E273" s="2">
        <v>7.7911954637217562</v>
      </c>
      <c r="F273" s="2">
        <v>8.6719803395027153</v>
      </c>
      <c r="G273" s="2">
        <v>8.7054377582918896</v>
      </c>
      <c r="H273" s="2">
        <v>9.4639992006011475</v>
      </c>
    </row>
    <row r="274" spans="1:8" x14ac:dyDescent="0.2">
      <c r="A274" s="16">
        <f>DATE(2019,8,16)</f>
        <v>43693</v>
      </c>
      <c r="B274" s="2">
        <v>43.098149053227466</v>
      </c>
      <c r="C274" s="2">
        <v>27.7427323330385</v>
      </c>
      <c r="D274" s="2">
        <v>8.0553594483389954</v>
      </c>
      <c r="E274" s="2">
        <v>7.8138502181500868</v>
      </c>
      <c r="F274" s="2">
        <v>8.6980843170678899</v>
      </c>
      <c r="G274" s="2">
        <v>8.7316732804707087</v>
      </c>
      <c r="H274" s="2">
        <v>9.4932273751973337</v>
      </c>
    </row>
    <row r="275" spans="1:8" x14ac:dyDescent="0.2">
      <c r="A275" s="16">
        <f>DATE(2019,8,19)</f>
        <v>43696</v>
      </c>
      <c r="B275" s="2">
        <v>41.642077608324058</v>
      </c>
      <c r="C275" s="2">
        <v>27.311260804067029</v>
      </c>
      <c r="D275" s="2">
        <v>8.084210391561486</v>
      </c>
      <c r="E275" s="2">
        <v>7.836509733986774</v>
      </c>
      <c r="F275" s="2">
        <v>8.7241945650409658</v>
      </c>
      <c r="G275" s="2">
        <v>8.7579151344636443</v>
      </c>
      <c r="H275" s="2">
        <v>9.5224633540597292</v>
      </c>
    </row>
    <row r="276" spans="1:8" x14ac:dyDescent="0.2">
      <c r="A276" s="16">
        <f>DATE(2019,8,20)</f>
        <v>43697</v>
      </c>
      <c r="B276" s="2">
        <v>41.509648203150171</v>
      </c>
      <c r="C276" s="2">
        <v>26.995864600545481</v>
      </c>
      <c r="D276" s="2">
        <v>8.1130690380291295</v>
      </c>
      <c r="E276" s="2">
        <v>7.8591740122325282</v>
      </c>
      <c r="F276" s="2">
        <v>8.750311084928164</v>
      </c>
      <c r="G276" s="2">
        <v>8.7841633217988324</v>
      </c>
      <c r="H276" s="2">
        <v>9.5517071392721586</v>
      </c>
    </row>
    <row r="277" spans="1:8" x14ac:dyDescent="0.2">
      <c r="A277" s="16">
        <f>DATE(2019,8,21)</f>
        <v>43698</v>
      </c>
      <c r="B277" s="2">
        <v>44.838550959639619</v>
      </c>
      <c r="C277" s="2">
        <v>29.529644708902914</v>
      </c>
      <c r="D277" s="2">
        <v>8.1419353897987055</v>
      </c>
      <c r="E277" s="2">
        <v>7.8818430538882822</v>
      </c>
      <c r="F277" s="2">
        <v>8.7764338782360554</v>
      </c>
      <c r="G277" s="2">
        <v>8.8104178440048031</v>
      </c>
      <c r="H277" s="2">
        <v>9.5809587329190204</v>
      </c>
    </row>
    <row r="278" spans="1:8" x14ac:dyDescent="0.2">
      <c r="A278" s="16">
        <f>DATE(2019,8,22)</f>
        <v>43699</v>
      </c>
      <c r="B278" s="2">
        <v>43.218079343829217</v>
      </c>
      <c r="C278" s="2">
        <v>28.005754489615398</v>
      </c>
      <c r="D278" s="2">
        <v>8.1708094489275851</v>
      </c>
      <c r="E278" s="2">
        <v>7.9045168599551694</v>
      </c>
      <c r="F278" s="2">
        <v>8.8025629464715482</v>
      </c>
      <c r="G278" s="2">
        <v>8.8366787026104223</v>
      </c>
      <c r="H278" s="2">
        <v>9.6102181370852691</v>
      </c>
    </row>
    <row r="279" spans="1:8" x14ac:dyDescent="0.2">
      <c r="A279" s="16">
        <f>DATE(2019,8,23)</f>
        <v>43700</v>
      </c>
      <c r="B279" s="2">
        <v>39.803057776646945</v>
      </c>
      <c r="C279" s="2">
        <v>25.00590679928272</v>
      </c>
      <c r="D279" s="2">
        <v>8.1996912174735925</v>
      </c>
      <c r="E279" s="2">
        <v>7.9271954314345416</v>
      </c>
      <c r="F279" s="2">
        <v>8.8286982911419685</v>
      </c>
      <c r="G279" s="2">
        <v>8.8629458991449805</v>
      </c>
      <c r="H279" s="2">
        <v>9.6394853538563705</v>
      </c>
    </row>
    <row r="280" spans="1:8" x14ac:dyDescent="0.2">
      <c r="A280" s="16">
        <f>DATE(2019,8,26)</f>
        <v>43703</v>
      </c>
      <c r="B280" s="2">
        <v>38.521854178445487</v>
      </c>
      <c r="C280" s="2">
        <v>23.421515084416654</v>
      </c>
      <c r="D280" s="2">
        <v>8.2285806974951683</v>
      </c>
      <c r="E280" s="2">
        <v>7.949878769327956</v>
      </c>
      <c r="F280" s="2">
        <v>8.8548399137549527</v>
      </c>
      <c r="G280" s="2">
        <v>8.8892194351380969</v>
      </c>
      <c r="H280" s="2">
        <v>9.668760385318409</v>
      </c>
    </row>
    <row r="281" spans="1:8" x14ac:dyDescent="0.2">
      <c r="A281" s="16">
        <f>DATE(2019,8,27)</f>
        <v>43704</v>
      </c>
      <c r="B281" s="2">
        <v>39.387380161190592</v>
      </c>
      <c r="C281" s="2">
        <v>24.50507677559153</v>
      </c>
      <c r="D281" s="2">
        <v>8.2574778910512894</v>
      </c>
      <c r="E281" s="2">
        <v>7.9725668746371881</v>
      </c>
      <c r="F281" s="2">
        <v>8.8809878158185196</v>
      </c>
      <c r="G281" s="2">
        <v>8.9154993121197688</v>
      </c>
      <c r="H281" s="2">
        <v>9.6980432335579856</v>
      </c>
    </row>
    <row r="282" spans="1:8" x14ac:dyDescent="0.2">
      <c r="A282" s="16">
        <f>DATE(2019,8,28)</f>
        <v>43705</v>
      </c>
      <c r="B282" s="2">
        <v>40.233461105509782</v>
      </c>
      <c r="C282" s="2">
        <v>25.679192323592726</v>
      </c>
      <c r="D282" s="2">
        <v>8.2863828002014639</v>
      </c>
      <c r="E282" s="2">
        <v>7.995259748364214</v>
      </c>
      <c r="F282" s="2">
        <v>8.9071419988410394</v>
      </c>
      <c r="G282" s="2">
        <v>8.9417855316203507</v>
      </c>
      <c r="H282" s="2">
        <v>9.7273339006622948</v>
      </c>
    </row>
    <row r="283" spans="1:8" x14ac:dyDescent="0.2">
      <c r="A283" s="16">
        <f>DATE(2019,8,29)</f>
        <v>43706</v>
      </c>
      <c r="B283" s="2">
        <v>44.875839836931242</v>
      </c>
      <c r="C283" s="2">
        <v>28.662541933155207</v>
      </c>
      <c r="D283" s="2">
        <v>8.3152954270057986</v>
      </c>
      <c r="E283" s="2">
        <v>8.0179573915112101</v>
      </c>
      <c r="F283" s="2">
        <v>8.9333024643312609</v>
      </c>
      <c r="G283" s="2">
        <v>8.9680780951705739</v>
      </c>
      <c r="H283" s="2">
        <v>9.7566323887190443</v>
      </c>
    </row>
    <row r="284" spans="1:8" x14ac:dyDescent="0.2">
      <c r="A284" s="16">
        <f>DATE(2019,8,30)</f>
        <v>43707</v>
      </c>
      <c r="B284" s="2">
        <v>47.380111513569467</v>
      </c>
      <c r="C284" s="2">
        <v>29.443519351647129</v>
      </c>
      <c r="D284" s="2">
        <v>8.3442157735248887</v>
      </c>
      <c r="E284" s="2">
        <v>8.0406598050805975</v>
      </c>
      <c r="F284" s="2">
        <v>8.9594692137982879</v>
      </c>
      <c r="G284" s="2">
        <v>8.9943770043015672</v>
      </c>
      <c r="H284" s="2">
        <v>9.785938699816521</v>
      </c>
    </row>
    <row r="285" spans="1:8" x14ac:dyDescent="0.2">
      <c r="A285" s="16">
        <f>DATE(2019,9,2)</f>
        <v>43710</v>
      </c>
      <c r="B285" s="2">
        <v>46.663727733623439</v>
      </c>
      <c r="C285" s="2">
        <v>28.792209936477864</v>
      </c>
      <c r="D285" s="2">
        <v>8.37314384181993</v>
      </c>
      <c r="E285" s="2">
        <v>8.0549029091298028</v>
      </c>
      <c r="F285" s="2">
        <v>8.9771059304454948</v>
      </c>
      <c r="G285" s="2">
        <v>9.0121431977240327</v>
      </c>
      <c r="H285" s="2">
        <v>9.8066515383521402</v>
      </c>
    </row>
    <row r="286" spans="1:8" x14ac:dyDescent="0.2">
      <c r="A286" s="16">
        <f>DATE(2019,9,3)</f>
        <v>43711</v>
      </c>
      <c r="B286" s="2">
        <v>45.449836613330618</v>
      </c>
      <c r="C286" s="2">
        <v>27.5828071823607</v>
      </c>
      <c r="D286" s="2">
        <v>8.4020796339526527</v>
      </c>
      <c r="E286" s="2">
        <v>8.0691478908611067</v>
      </c>
      <c r="F286" s="2">
        <v>8.9947455018585707</v>
      </c>
      <c r="G286" s="2">
        <v>9.0299122870539428</v>
      </c>
      <c r="H286" s="2">
        <v>9.8273682846894861</v>
      </c>
    </row>
    <row r="287" spans="1:8" x14ac:dyDescent="0.2">
      <c r="A287" s="16">
        <f>DATE(2019,9,4)</f>
        <v>43712</v>
      </c>
      <c r="B287" s="2">
        <v>47.452240896526156</v>
      </c>
      <c r="C287" s="2">
        <v>29.528351996600492</v>
      </c>
      <c r="D287" s="2">
        <v>8.4310231519853165</v>
      </c>
      <c r="E287" s="2">
        <v>8.0833947505220447</v>
      </c>
      <c r="F287" s="2">
        <v>9.01238792849961</v>
      </c>
      <c r="G287" s="2">
        <v>9.0476842727633464</v>
      </c>
      <c r="H287" s="2">
        <v>9.8480889395658124</v>
      </c>
    </row>
    <row r="288" spans="1:8" x14ac:dyDescent="0.2">
      <c r="A288" s="16">
        <f>DATE(2019,9,5)</f>
        <v>43713</v>
      </c>
      <c r="B288" s="2">
        <v>48.167014606000322</v>
      </c>
      <c r="C288" s="2">
        <v>30.862162310908751</v>
      </c>
      <c r="D288" s="2">
        <v>8.4599743979807638</v>
      </c>
      <c r="E288" s="2">
        <v>8.0976434883601964</v>
      </c>
      <c r="F288" s="2">
        <v>9.0300332108307781</v>
      </c>
      <c r="G288" s="2">
        <v>9.0654591553243513</v>
      </c>
      <c r="H288" s="2">
        <v>9.8688135037185312</v>
      </c>
    </row>
    <row r="289" spans="1:8" x14ac:dyDescent="0.2">
      <c r="A289" s="16">
        <f>DATE(2019,9,6)</f>
        <v>43714</v>
      </c>
      <c r="B289" s="2">
        <v>48.319620899814588</v>
      </c>
      <c r="C289" s="2">
        <v>31.748412587689945</v>
      </c>
      <c r="D289" s="2">
        <v>8.4889333740023609</v>
      </c>
      <c r="E289" s="2">
        <v>8.1118941046231416</v>
      </c>
      <c r="F289" s="2">
        <v>9.0476813493143062</v>
      </c>
      <c r="G289" s="2">
        <v>9.0832369352091593</v>
      </c>
      <c r="H289" s="2">
        <v>9.8895419778852087</v>
      </c>
    </row>
    <row r="290" spans="1:8" x14ac:dyDescent="0.2">
      <c r="A290" s="16">
        <f>DATE(2019,9,9)</f>
        <v>43717</v>
      </c>
      <c r="B290" s="2">
        <v>47.989809274067866</v>
      </c>
      <c r="C290" s="2">
        <v>32.062196100616426</v>
      </c>
      <c r="D290" s="2">
        <v>8.5179000821140374</v>
      </c>
      <c r="E290" s="2">
        <v>8.1261465995585471</v>
      </c>
      <c r="F290" s="2">
        <v>9.0653323444124911</v>
      </c>
      <c r="G290" s="2">
        <v>9.1010176128900167</v>
      </c>
      <c r="H290" s="2">
        <v>9.9102743628035164</v>
      </c>
    </row>
    <row r="291" spans="1:8" x14ac:dyDescent="0.2">
      <c r="A291" s="16">
        <f>DATE(2019,9,10)</f>
        <v>43718</v>
      </c>
      <c r="B291" s="2">
        <v>47.941622481764256</v>
      </c>
      <c r="C291" s="2">
        <v>31.871373845998185</v>
      </c>
      <c r="D291" s="2">
        <v>8.5468745243802768</v>
      </c>
      <c r="E291" s="2">
        <v>8.1404009734140637</v>
      </c>
      <c r="F291" s="2">
        <v>9.0829861965877168</v>
      </c>
      <c r="G291" s="2">
        <v>9.1188011888392762</v>
      </c>
      <c r="H291" s="2">
        <v>9.9310106592112692</v>
      </c>
    </row>
    <row r="292" spans="1:8" x14ac:dyDescent="0.2">
      <c r="A292" s="16">
        <f>DATE(2019,9,11)</f>
        <v>43719</v>
      </c>
      <c r="B292" s="2">
        <v>48.51676360577175</v>
      </c>
      <c r="C292" s="2">
        <v>32.401385889981142</v>
      </c>
      <c r="D292" s="2">
        <v>8.5758567028660906</v>
      </c>
      <c r="E292" s="2">
        <v>8.1546572264373776</v>
      </c>
      <c r="F292" s="2">
        <v>9.1006429063024594</v>
      </c>
      <c r="G292" s="2">
        <v>9.1365876635293617</v>
      </c>
      <c r="H292" s="2">
        <v>9.9517508678464548</v>
      </c>
    </row>
    <row r="293" spans="1:8" x14ac:dyDescent="0.2">
      <c r="A293" s="16">
        <f>DATE(2019,9,12)</f>
        <v>43720</v>
      </c>
      <c r="B293" s="2">
        <v>50.41050809166849</v>
      </c>
      <c r="C293" s="2">
        <v>33.585702345952768</v>
      </c>
      <c r="D293" s="2">
        <v>8.6048466196370974</v>
      </c>
      <c r="E293" s="2">
        <v>8.1689153588762053</v>
      </c>
      <c r="F293" s="2">
        <v>9.1183024740192344</v>
      </c>
      <c r="G293" s="2">
        <v>9.1543770374327362</v>
      </c>
      <c r="H293" s="2">
        <v>9.9724949894471457</v>
      </c>
    </row>
    <row r="294" spans="1:8" x14ac:dyDescent="0.2">
      <c r="A294" s="16">
        <f>DATE(2019,9,13)</f>
        <v>43721</v>
      </c>
      <c r="B294" s="2">
        <v>48.743614994980923</v>
      </c>
      <c r="C294" s="2">
        <v>32.472523464008113</v>
      </c>
      <c r="D294" s="2">
        <v>8.6338442767593957</v>
      </c>
      <c r="E294" s="2">
        <v>8.1831753709783683</v>
      </c>
      <c r="F294" s="2">
        <v>9.1359649002006993</v>
      </c>
      <c r="G294" s="2">
        <v>9.1721693110220492</v>
      </c>
      <c r="H294" s="2">
        <v>9.9932430247515978</v>
      </c>
    </row>
    <row r="295" spans="1:8" x14ac:dyDescent="0.2">
      <c r="A295" s="16">
        <f>DATE(2019,9,16)</f>
        <v>43724</v>
      </c>
      <c r="B295" s="2">
        <v>49.389541558823957</v>
      </c>
      <c r="C295" s="2">
        <v>32.701922301590969</v>
      </c>
      <c r="D295" s="2">
        <v>8.6628496762996896</v>
      </c>
      <c r="E295" s="2">
        <v>8.197437262991647</v>
      </c>
      <c r="F295" s="2">
        <v>9.1536301853095026</v>
      </c>
      <c r="G295" s="2">
        <v>9.1899644847698969</v>
      </c>
      <c r="H295" s="2">
        <v>10.013994974498196</v>
      </c>
    </row>
    <row r="296" spans="1:8" x14ac:dyDescent="0.2">
      <c r="A296" s="16">
        <f>DATE(2019,9,17)</f>
        <v>43725</v>
      </c>
      <c r="B296" s="2">
        <v>50.43264988724836</v>
      </c>
      <c r="C296" s="2">
        <v>33.900496990284083</v>
      </c>
      <c r="D296" s="2">
        <v>8.6918628203252144</v>
      </c>
      <c r="E296" s="2">
        <v>8.2117010351638431</v>
      </c>
      <c r="F296" s="2">
        <v>9.1712983298084083</v>
      </c>
      <c r="G296" s="2">
        <v>9.2077625591490122</v>
      </c>
      <c r="H296" s="2">
        <v>10.034750839425444</v>
      </c>
    </row>
    <row r="297" spans="1:8" x14ac:dyDescent="0.2">
      <c r="A297" s="16">
        <f>DATE(2019,9,18)</f>
        <v>43726</v>
      </c>
      <c r="B297" s="2">
        <v>50.527466626853879</v>
      </c>
      <c r="C297" s="2">
        <v>33.791793964697312</v>
      </c>
      <c r="D297" s="2">
        <v>8.7208837109037596</v>
      </c>
      <c r="E297" s="2">
        <v>8.2259666877428472</v>
      </c>
      <c r="F297" s="2">
        <v>9.1889693341602463</v>
      </c>
      <c r="G297" s="2">
        <v>9.2255635346322205</v>
      </c>
      <c r="H297" s="2">
        <v>10.055510620272035</v>
      </c>
    </row>
    <row r="298" spans="1:8" x14ac:dyDescent="0.2">
      <c r="A298" s="16">
        <f>DATE(2019,9,19)</f>
        <v>43727</v>
      </c>
      <c r="B298" s="2">
        <v>51.066684993970071</v>
      </c>
      <c r="C298" s="2">
        <v>33.545065102783319</v>
      </c>
      <c r="D298" s="2">
        <v>8.7499123501036724</v>
      </c>
      <c r="E298" s="2">
        <v>8.24023422097655</v>
      </c>
      <c r="F298" s="2">
        <v>9.2066431988279351</v>
      </c>
      <c r="G298" s="2">
        <v>9.2433674116923825</v>
      </c>
      <c r="H298" s="2">
        <v>10.076274317776734</v>
      </c>
    </row>
    <row r="299" spans="1:8" x14ac:dyDescent="0.2">
      <c r="A299" s="16">
        <f>DATE(2019,9,20)</f>
        <v>43728</v>
      </c>
      <c r="B299" s="2">
        <v>51.167285567997901</v>
      </c>
      <c r="C299" s="2">
        <v>34.157170777534347</v>
      </c>
      <c r="D299" s="2">
        <v>8.7769058661304022</v>
      </c>
      <c r="E299" s="2">
        <v>8.2545036351128633</v>
      </c>
      <c r="F299" s="2">
        <v>9.2243199242744591</v>
      </c>
      <c r="G299" s="2">
        <v>9.2611741908024783</v>
      </c>
      <c r="H299" s="2">
        <v>10.097041932678531</v>
      </c>
    </row>
    <row r="300" spans="1:8" x14ac:dyDescent="0.2">
      <c r="A300" s="16">
        <f>DATE(2019,9,23)</f>
        <v>43731</v>
      </c>
      <c r="B300" s="2">
        <v>51.402484485107962</v>
      </c>
      <c r="C300" s="2">
        <v>33.927323970341767</v>
      </c>
      <c r="D300" s="2">
        <v>8.8039060823915651</v>
      </c>
      <c r="E300" s="2">
        <v>8.2687749303997471</v>
      </c>
      <c r="F300" s="2">
        <v>9.2419995109628506</v>
      </c>
      <c r="G300" s="2">
        <v>9.2789838724355089</v>
      </c>
      <c r="H300" s="2">
        <v>10.117813465716408</v>
      </c>
    </row>
    <row r="301" spans="1:8" x14ac:dyDescent="0.2">
      <c r="A301" s="16">
        <f>DATE(2019,9,24)</f>
        <v>43732</v>
      </c>
      <c r="B301" s="2">
        <v>50.876847483790158</v>
      </c>
      <c r="C301" s="2">
        <v>32.951825348168292</v>
      </c>
      <c r="D301" s="2">
        <v>8.8309130005502556</v>
      </c>
      <c r="E301" s="2">
        <v>8.2830481070852215</v>
      </c>
      <c r="F301" s="2">
        <v>9.2596819593562927</v>
      </c>
      <c r="G301" s="2">
        <v>9.2967964570646497</v>
      </c>
      <c r="H301" s="2">
        <v>10.138588917629665</v>
      </c>
    </row>
    <row r="302" spans="1:8" x14ac:dyDescent="0.2">
      <c r="A302" s="16">
        <f>DATE(2019,9,25)</f>
        <v>43733</v>
      </c>
      <c r="B302" s="2">
        <v>51.092521524269131</v>
      </c>
      <c r="C302" s="2">
        <v>33.726582388650648</v>
      </c>
      <c r="D302" s="2">
        <v>8.857926622270007</v>
      </c>
      <c r="E302" s="2">
        <v>8.2973231654173141</v>
      </c>
      <c r="F302" s="2">
        <v>9.2773672699179688</v>
      </c>
      <c r="G302" s="2">
        <v>9.3146119451630547</v>
      </c>
      <c r="H302" s="2">
        <v>10.159368289157644</v>
      </c>
    </row>
    <row r="303" spans="1:8" x14ac:dyDescent="0.2">
      <c r="A303" s="16">
        <f>DATE(2019,9,26)</f>
        <v>43734</v>
      </c>
      <c r="B303" s="2">
        <v>52.181665448912163</v>
      </c>
      <c r="C303" s="2">
        <v>34.799687189220997</v>
      </c>
      <c r="D303" s="2">
        <v>8.8849469492147559</v>
      </c>
      <c r="E303" s="2">
        <v>8.311600105644068</v>
      </c>
      <c r="F303" s="2">
        <v>9.2950554431111776</v>
      </c>
      <c r="G303" s="2">
        <v>9.3324303372039896</v>
      </c>
      <c r="H303" s="2">
        <v>10.180151581039842</v>
      </c>
    </row>
    <row r="304" spans="1:8" x14ac:dyDescent="0.2">
      <c r="A304" s="16">
        <f>DATE(2019,9,27)</f>
        <v>43735</v>
      </c>
      <c r="B304" s="2">
        <v>51.817944763227921</v>
      </c>
      <c r="C304" s="2">
        <v>34.490242581943178</v>
      </c>
      <c r="D304" s="2">
        <v>8.9119739830488598</v>
      </c>
      <c r="E304" s="2">
        <v>8.3258789280135748</v>
      </c>
      <c r="F304" s="2">
        <v>9.3127464793992587</v>
      </c>
      <c r="G304" s="2">
        <v>9.350251633660811</v>
      </c>
      <c r="H304" s="2">
        <v>10.20093879401589</v>
      </c>
    </row>
    <row r="305" spans="1:8" x14ac:dyDescent="0.2">
      <c r="A305" s="16">
        <f>DATE(2019,9,30)</f>
        <v>43738</v>
      </c>
      <c r="B305" s="2">
        <v>52.070348813562028</v>
      </c>
      <c r="C305" s="2">
        <v>34.064914636191013</v>
      </c>
      <c r="D305" s="2">
        <v>8.9390077254370759</v>
      </c>
      <c r="E305" s="2">
        <v>8.3401596327739469</v>
      </c>
      <c r="F305" s="2">
        <v>9.3304403792456636</v>
      </c>
      <c r="G305" s="2">
        <v>9.3680758350069162</v>
      </c>
      <c r="H305" s="2">
        <v>10.221729928825575</v>
      </c>
    </row>
    <row r="306" spans="1:8" x14ac:dyDescent="0.2">
      <c r="A306" s="16">
        <f>DATE(2019,10,1)</f>
        <v>43739</v>
      </c>
      <c r="B306" s="2">
        <v>51.205275247313153</v>
      </c>
      <c r="C306" s="2">
        <v>33.179317115126828</v>
      </c>
      <c r="D306" s="2">
        <v>8.9660481780445611</v>
      </c>
      <c r="E306" s="2">
        <v>8.3589068733033844</v>
      </c>
      <c r="F306" s="2">
        <v>9.3526427406026116</v>
      </c>
      <c r="G306" s="2">
        <v>9.3904100953123404</v>
      </c>
      <c r="H306" s="2">
        <v>10.247067436191992</v>
      </c>
    </row>
    <row r="307" spans="1:8" x14ac:dyDescent="0.2">
      <c r="A307" s="16">
        <f>DATE(2019,10,2)</f>
        <v>43740</v>
      </c>
      <c r="B307" s="2">
        <v>46.760003738202109</v>
      </c>
      <c r="C307" s="2">
        <v>29.311470709826981</v>
      </c>
      <c r="D307" s="2">
        <v>8.9930953425369164</v>
      </c>
      <c r="E307" s="2">
        <v>8.3776573578655977</v>
      </c>
      <c r="F307" s="2">
        <v>9.3748496107207924</v>
      </c>
      <c r="G307" s="2">
        <v>9.4127489165390497</v>
      </c>
      <c r="H307" s="2">
        <v>10.27241076808394</v>
      </c>
    </row>
    <row r="308" spans="1:8" x14ac:dyDescent="0.2">
      <c r="A308" s="16">
        <f>DATE(2019,10,3)</f>
        <v>43741</v>
      </c>
      <c r="B308" s="2">
        <v>48.343474781350793</v>
      </c>
      <c r="C308" s="2">
        <v>29.931716632343598</v>
      </c>
      <c r="D308" s="2">
        <v>9.0201492205801426</v>
      </c>
      <c r="E308" s="2">
        <v>8.3964110870219155</v>
      </c>
      <c r="F308" s="2">
        <v>9.3970609905158042</v>
      </c>
      <c r="G308" s="2">
        <v>9.4350922996184075</v>
      </c>
      <c r="H308" s="2">
        <v>10.297759925840344</v>
      </c>
    </row>
    <row r="309" spans="1:8" x14ac:dyDescent="0.2">
      <c r="A309" s="16">
        <f>DATE(2019,10,4)</f>
        <v>43742</v>
      </c>
      <c r="B309" s="2">
        <v>49.498986431807438</v>
      </c>
      <c r="C309" s="2">
        <v>31.256785139696074</v>
      </c>
      <c r="D309" s="2">
        <v>9.0472098138406398</v>
      </c>
      <c r="E309" s="2">
        <v>8.4151680613337998</v>
      </c>
      <c r="F309" s="2">
        <v>9.419276880903471</v>
      </c>
      <c r="G309" s="2">
        <v>9.4574402454820294</v>
      </c>
      <c r="H309" s="2">
        <v>10.323114910800424</v>
      </c>
    </row>
    <row r="310" spans="1:8" x14ac:dyDescent="0.2">
      <c r="A310" s="16">
        <f>DATE(2019,10,7)</f>
        <v>43745</v>
      </c>
      <c r="B310" s="2">
        <v>47.018426702118312</v>
      </c>
      <c r="C310" s="2">
        <v>28.724412935826393</v>
      </c>
      <c r="D310" s="2">
        <v>9.0742771239852527</v>
      </c>
      <c r="E310" s="2">
        <v>8.4339282813627783</v>
      </c>
      <c r="F310" s="2">
        <v>9.4414972827997712</v>
      </c>
      <c r="G310" s="2">
        <v>9.4797927550616787</v>
      </c>
      <c r="H310" s="2">
        <v>10.348475724303752</v>
      </c>
    </row>
    <row r="311" spans="1:8" x14ac:dyDescent="0.2">
      <c r="A311" s="16">
        <f>DATE(2019,10,8)</f>
        <v>43746</v>
      </c>
      <c r="B311" s="2">
        <v>45.727442923777907</v>
      </c>
      <c r="C311" s="2">
        <v>27.967510684075151</v>
      </c>
      <c r="D311" s="2">
        <v>9.1013511526812039</v>
      </c>
      <c r="E311" s="2">
        <v>8.4526917476705155</v>
      </c>
      <c r="F311" s="2">
        <v>9.4637221971208838</v>
      </c>
      <c r="G311" s="2">
        <v>9.5021498292892979</v>
      </c>
      <c r="H311" s="2">
        <v>10.373842367690168</v>
      </c>
    </row>
    <row r="312" spans="1:8" x14ac:dyDescent="0.2">
      <c r="A312" s="16">
        <f>DATE(2019,10,9)</f>
        <v>43747</v>
      </c>
      <c r="B312" s="2">
        <v>46.948399725232328</v>
      </c>
      <c r="C312" s="2">
        <v>29.589647038344879</v>
      </c>
      <c r="D312" s="2">
        <v>9.1284319015961568</v>
      </c>
      <c r="E312" s="2">
        <v>8.4714584608187149</v>
      </c>
      <c r="F312" s="2">
        <v>9.4859516247831834</v>
      </c>
      <c r="G312" s="2">
        <v>9.5245114690970745</v>
      </c>
      <c r="H312" s="2">
        <v>10.39921484229982</v>
      </c>
    </row>
    <row r="313" spans="1:8" x14ac:dyDescent="0.2">
      <c r="A313" s="16">
        <f>DATE(2019,10,10)</f>
        <v>43748</v>
      </c>
      <c r="B313" s="2">
        <v>47.444913523469737</v>
      </c>
      <c r="C313" s="2">
        <v>30.317085688906829</v>
      </c>
      <c r="D313" s="2">
        <v>9.1555193723981798</v>
      </c>
      <c r="E313" s="2">
        <v>8.4902284213692383</v>
      </c>
      <c r="F313" s="2">
        <v>9.5081855667032098</v>
      </c>
      <c r="G313" s="2">
        <v>9.5468776754173312</v>
      </c>
      <c r="H313" s="2">
        <v>10.424593149473194</v>
      </c>
    </row>
    <row r="314" spans="1:8" x14ac:dyDescent="0.2">
      <c r="A314" s="16">
        <f>DATE(2019,10,11)</f>
        <v>43749</v>
      </c>
      <c r="B314" s="2">
        <v>50.80731284250308</v>
      </c>
      <c r="C314" s="2">
        <v>32.895841946082349</v>
      </c>
      <c r="D314" s="2">
        <v>9.1826135667557605</v>
      </c>
      <c r="E314" s="2">
        <v>8.5090016298840165</v>
      </c>
      <c r="F314" s="2">
        <v>9.5304240237977123</v>
      </c>
      <c r="G314" s="2">
        <v>9.5692484491826093</v>
      </c>
      <c r="H314" s="2">
        <v>10.449977290551038</v>
      </c>
    </row>
    <row r="315" spans="1:8" x14ac:dyDescent="0.2">
      <c r="A315" s="16">
        <f>DATE(2019,10,14)</f>
        <v>43752</v>
      </c>
      <c r="B315" s="2">
        <v>50.961019129366967</v>
      </c>
      <c r="C315" s="2">
        <v>33.496965965828849</v>
      </c>
      <c r="D315" s="2">
        <v>9.2097144863377824</v>
      </c>
      <c r="E315" s="2">
        <v>8.5277780869250641</v>
      </c>
      <c r="F315" s="2">
        <v>9.5526669969836053</v>
      </c>
      <c r="G315" s="2">
        <v>9.5916237913256541</v>
      </c>
      <c r="H315" s="2">
        <v>10.475367266874459</v>
      </c>
    </row>
    <row r="316" spans="1:8" x14ac:dyDescent="0.2">
      <c r="A316" s="16">
        <f>DATE(2019,10,15)</f>
        <v>43753</v>
      </c>
      <c r="B316" s="2">
        <v>50.90427190728186</v>
      </c>
      <c r="C316" s="2">
        <v>33.737564043655247</v>
      </c>
      <c r="D316" s="2">
        <v>9.2368221328135824</v>
      </c>
      <c r="E316" s="2">
        <v>8.5465577930545322</v>
      </c>
      <c r="F316" s="2">
        <v>9.574914487177999</v>
      </c>
      <c r="G316" s="2">
        <v>9.6140037027793603</v>
      </c>
      <c r="H316" s="2">
        <v>10.500763079784846</v>
      </c>
    </row>
    <row r="317" spans="1:8" x14ac:dyDescent="0.2">
      <c r="A317" s="16">
        <f>DATE(2019,10,16)</f>
        <v>43754</v>
      </c>
      <c r="B317" s="2">
        <v>51.405012694939842</v>
      </c>
      <c r="C317" s="2">
        <v>34.932030211070455</v>
      </c>
      <c r="D317" s="2">
        <v>9.2639365078528666</v>
      </c>
      <c r="E317" s="2">
        <v>8.5653407488346165</v>
      </c>
      <c r="F317" s="2">
        <v>9.5971664952981826</v>
      </c>
      <c r="G317" s="2">
        <v>9.6363881844768517</v>
      </c>
      <c r="H317" s="2">
        <v>10.526164730623909</v>
      </c>
    </row>
    <row r="318" spans="1:8" x14ac:dyDescent="0.2">
      <c r="A318" s="16">
        <f>DATE(2019,10,17)</f>
        <v>43755</v>
      </c>
      <c r="B318" s="2">
        <v>51.457093817475673</v>
      </c>
      <c r="C318" s="2">
        <v>34.4110671532043</v>
      </c>
      <c r="D318" s="2">
        <v>9.2910576131257852</v>
      </c>
      <c r="E318" s="2">
        <v>8.5841269548276422</v>
      </c>
      <c r="F318" s="2">
        <v>9.6194230222616426</v>
      </c>
      <c r="G318" s="2">
        <v>9.6587772373514245</v>
      </c>
      <c r="H318" s="2">
        <v>10.55157222073364</v>
      </c>
    </row>
    <row r="319" spans="1:8" x14ac:dyDescent="0.2">
      <c r="A319" s="16">
        <f>DATE(2019,10,18)</f>
        <v>43756</v>
      </c>
      <c r="B319" s="2">
        <v>51.048779058722559</v>
      </c>
      <c r="C319" s="2">
        <v>34.04388566279659</v>
      </c>
      <c r="D319" s="2">
        <v>9.3181854503028738</v>
      </c>
      <c r="E319" s="2">
        <v>8.6029164115960501</v>
      </c>
      <c r="F319" s="2">
        <v>9.641684068986045</v>
      </c>
      <c r="G319" s="2">
        <v>9.6811708623365522</v>
      </c>
      <c r="H319" s="2">
        <v>10.576985551456364</v>
      </c>
    </row>
    <row r="320" spans="1:8" x14ac:dyDescent="0.2">
      <c r="A320" s="16">
        <f>DATE(2019,10,21)</f>
        <v>43759</v>
      </c>
      <c r="B320" s="2">
        <v>52.113252977953877</v>
      </c>
      <c r="C320" s="2">
        <v>35.699312558635988</v>
      </c>
      <c r="D320" s="2">
        <v>9.3453200210551035</v>
      </c>
      <c r="E320" s="2">
        <v>8.6217091197023485</v>
      </c>
      <c r="F320" s="2">
        <v>9.6639496363892352</v>
      </c>
      <c r="G320" s="2">
        <v>9.703569060365913</v>
      </c>
      <c r="H320" s="2">
        <v>10.602404724134695</v>
      </c>
    </row>
    <row r="321" spans="1:8" x14ac:dyDescent="0.2">
      <c r="A321" s="16">
        <f>DATE(2019,10,22)</f>
        <v>43760</v>
      </c>
      <c r="B321" s="2">
        <v>53.395938018407698</v>
      </c>
      <c r="C321" s="2">
        <v>37.438496972365343</v>
      </c>
      <c r="D321" s="2">
        <v>9.3724613270539159</v>
      </c>
      <c r="E321" s="2">
        <v>8.6405050797091274</v>
      </c>
      <c r="F321" s="2">
        <v>9.6862197253892557</v>
      </c>
      <c r="G321" s="2">
        <v>9.7259718323734035</v>
      </c>
      <c r="H321" s="2">
        <v>10.627829740111583</v>
      </c>
    </row>
    <row r="322" spans="1:8" x14ac:dyDescent="0.2">
      <c r="A322" s="16">
        <f>DATE(2019,10,23)</f>
        <v>43761</v>
      </c>
      <c r="B322" s="2">
        <v>53.111620863266481</v>
      </c>
      <c r="C322" s="2">
        <v>37.646457264339134</v>
      </c>
      <c r="D322" s="2">
        <v>9.3996093699710404</v>
      </c>
      <c r="E322" s="2">
        <v>8.6593042921791152</v>
      </c>
      <c r="F322" s="2">
        <v>9.7084943369043497</v>
      </c>
      <c r="G322" s="2">
        <v>9.7483791792930532</v>
      </c>
      <c r="H322" s="2">
        <v>10.653260600730263</v>
      </c>
    </row>
    <row r="323" spans="1:8" x14ac:dyDescent="0.2">
      <c r="A323" s="16">
        <f>DATE(2019,10,24)</f>
        <v>43762</v>
      </c>
      <c r="B323" s="2">
        <v>51.476676355032787</v>
      </c>
      <c r="C323" s="2">
        <v>36.932982466469412</v>
      </c>
      <c r="D323" s="2">
        <v>9.4267641514787162</v>
      </c>
      <c r="E323" s="2">
        <v>8.6781067576751294</v>
      </c>
      <c r="F323" s="2">
        <v>9.7307734718529169</v>
      </c>
      <c r="G323" s="2">
        <v>9.7707911020591407</v>
      </c>
      <c r="H323" s="2">
        <v>10.678697307334305</v>
      </c>
    </row>
    <row r="324" spans="1:8" x14ac:dyDescent="0.2">
      <c r="A324" s="16">
        <f>DATE(2019,10,25)</f>
        <v>43763</v>
      </c>
      <c r="B324" s="2">
        <v>51.95724468950624</v>
      </c>
      <c r="C324" s="2">
        <v>37.416303277985548</v>
      </c>
      <c r="D324" s="2">
        <v>9.4539256732495645</v>
      </c>
      <c r="E324" s="2">
        <v>8.6969124767600547</v>
      </c>
      <c r="F324" s="2">
        <v>9.7530571311535539</v>
      </c>
      <c r="G324" s="2">
        <v>9.7932076016060918</v>
      </c>
      <c r="H324" s="2">
        <v>10.704139861267548</v>
      </c>
    </row>
    <row r="325" spans="1:8" x14ac:dyDescent="0.2">
      <c r="A325" s="16">
        <f>DATE(2019,10,28)</f>
        <v>43766</v>
      </c>
      <c r="B325" s="2">
        <v>52.531205982258911</v>
      </c>
      <c r="C325" s="2">
        <v>38.470042992283318</v>
      </c>
      <c r="D325" s="2">
        <v>9.4810939369566416</v>
      </c>
      <c r="E325" s="2">
        <v>8.7157214499969058</v>
      </c>
      <c r="F325" s="2">
        <v>9.7753453157250583</v>
      </c>
      <c r="G325" s="2">
        <v>9.8156286788685385</v>
      </c>
      <c r="H325" s="2">
        <v>10.729588263874179</v>
      </c>
    </row>
    <row r="326" spans="1:8" x14ac:dyDescent="0.2">
      <c r="A326" s="16">
        <f>DATE(2019,10,29)</f>
        <v>43767</v>
      </c>
      <c r="B326" s="2">
        <v>52.119764227134823</v>
      </c>
      <c r="C326" s="2">
        <v>37.662673764211753</v>
      </c>
      <c r="D326" s="2">
        <v>9.5082689442733894</v>
      </c>
      <c r="E326" s="2">
        <v>8.7345336779487859</v>
      </c>
      <c r="F326" s="2">
        <v>9.7976380264863874</v>
      </c>
      <c r="G326" s="2">
        <v>9.8380543347813099</v>
      </c>
      <c r="H326" s="2">
        <v>10.755042516498659</v>
      </c>
    </row>
    <row r="327" spans="1:8" x14ac:dyDescent="0.2">
      <c r="A327" s="16">
        <f>DATE(2019,10,30)</f>
        <v>43768</v>
      </c>
      <c r="B327" s="2">
        <v>53.535100445554761</v>
      </c>
      <c r="C327" s="2">
        <v>38.752238248157148</v>
      </c>
      <c r="D327" s="2">
        <v>9.5354506968736938</v>
      </c>
      <c r="E327" s="2">
        <v>8.7533491611788925</v>
      </c>
      <c r="F327" s="2">
        <v>9.8199352643567153</v>
      </c>
      <c r="G327" s="2">
        <v>9.8604845702794144</v>
      </c>
      <c r="H327" s="2">
        <v>10.7805026204858</v>
      </c>
    </row>
    <row r="328" spans="1:8" x14ac:dyDescent="0.2">
      <c r="A328" s="16">
        <f>DATE(2019,10,31)</f>
        <v>43769</v>
      </c>
      <c r="B328" s="2">
        <v>51.57303663327248</v>
      </c>
      <c r="C328" s="2">
        <v>37.232072576196337</v>
      </c>
      <c r="D328" s="2">
        <v>9.5626391964318547</v>
      </c>
      <c r="E328" s="2">
        <v>8.7721679002505262</v>
      </c>
      <c r="F328" s="2">
        <v>9.8422370302553954</v>
      </c>
      <c r="G328" s="2">
        <v>9.8829193862980844</v>
      </c>
      <c r="H328" s="2">
        <v>10.80596857718068</v>
      </c>
    </row>
    <row r="329" spans="1:8" x14ac:dyDescent="0.2">
      <c r="A329" s="16">
        <f>DATE(2019,11,1)</f>
        <v>43770</v>
      </c>
      <c r="B329" s="2">
        <v>53.037411251518328</v>
      </c>
      <c r="C329" s="2">
        <v>38.481011848156157</v>
      </c>
      <c r="D329" s="2">
        <v>9.5877665558357297</v>
      </c>
      <c r="E329" s="2">
        <v>8.8183962513048275</v>
      </c>
      <c r="F329" s="2">
        <v>9.8922201275893453</v>
      </c>
      <c r="G329" s="2">
        <v>9.9330458683889233</v>
      </c>
      <c r="H329" s="2">
        <v>10.859360768719206</v>
      </c>
    </row>
    <row r="330" spans="1:8" x14ac:dyDescent="0.2">
      <c r="A330" s="16">
        <f>DATE(2019,11,4)</f>
        <v>43773</v>
      </c>
      <c r="B330" s="2">
        <v>54.378138667164059</v>
      </c>
      <c r="C330" s="2">
        <v>39.228097165888222</v>
      </c>
      <c r="D330" s="2">
        <v>9.6128996780086897</v>
      </c>
      <c r="E330" s="2">
        <v>8.8646442494846998</v>
      </c>
      <c r="F330" s="2">
        <v>9.9422259694529789</v>
      </c>
      <c r="G330" s="2">
        <v>9.9831952172202865</v>
      </c>
      <c r="H330" s="2">
        <v>10.912778687446933</v>
      </c>
    </row>
    <row r="331" spans="1:8" x14ac:dyDescent="0.2">
      <c r="A331" s="16">
        <f>DATE(2019,11,5)</f>
        <v>43774</v>
      </c>
      <c r="B331" s="2">
        <v>53.512523975302038</v>
      </c>
      <c r="C331" s="2">
        <v>39.150905602563867</v>
      </c>
      <c r="D331" s="2">
        <v>9.6380385642723887</v>
      </c>
      <c r="E331" s="2">
        <v>8.9109119031401942</v>
      </c>
      <c r="F331" s="2">
        <v>9.9922545661960349</v>
      </c>
      <c r="G331" s="2">
        <v>10.033367443223563</v>
      </c>
      <c r="H331" s="2">
        <v>10.966222345760569</v>
      </c>
    </row>
    <row r="332" spans="1:8" x14ac:dyDescent="0.2">
      <c r="A332" s="16">
        <f>DATE(2019,11,6)</f>
        <v>43775</v>
      </c>
      <c r="B332" s="2">
        <v>53.551134618435611</v>
      </c>
      <c r="C332" s="2">
        <v>38.691672756920113</v>
      </c>
      <c r="D332" s="2">
        <v>9.6631832159487896</v>
      </c>
      <c r="E332" s="2">
        <v>8.9571992206249238</v>
      </c>
      <c r="F332" s="2">
        <v>10.042305928173011</v>
      </c>
      <c r="G332" s="2">
        <v>10.083562556834869</v>
      </c>
      <c r="H332" s="2">
        <v>11.019691756062834</v>
      </c>
    </row>
    <row r="333" spans="1:8" x14ac:dyDescent="0.2">
      <c r="A333" s="16">
        <f>DATE(2019,11,7)</f>
        <v>43776</v>
      </c>
      <c r="B333" s="2">
        <v>55.656259623553026</v>
      </c>
      <c r="C333" s="2">
        <v>40.253614794772247</v>
      </c>
      <c r="D333" s="2">
        <v>9.6883336343601254</v>
      </c>
      <c r="E333" s="2">
        <v>9.0035062102960648</v>
      </c>
      <c r="F333" s="2">
        <v>10.092380065743113</v>
      </c>
      <c r="G333" s="2">
        <v>10.133780568495077</v>
      </c>
      <c r="H333" s="2">
        <v>11.073186930762381</v>
      </c>
    </row>
    <row r="334" spans="1:8" x14ac:dyDescent="0.2">
      <c r="A334" s="16">
        <f>DATE(2019,11,8)</f>
        <v>43777</v>
      </c>
      <c r="B334" s="2">
        <v>53.293097539177971</v>
      </c>
      <c r="C334" s="2">
        <v>37.755749049984381</v>
      </c>
      <c r="D334" s="2">
        <v>9.7134898208289577</v>
      </c>
      <c r="E334" s="2">
        <v>9.0498328805143071</v>
      </c>
      <c r="F334" s="2">
        <v>10.142476989270245</v>
      </c>
      <c r="G334" s="2">
        <v>10.184021488649876</v>
      </c>
      <c r="H334" s="2">
        <v>11.126707882273855</v>
      </c>
    </row>
    <row r="335" spans="1:8" x14ac:dyDescent="0.2">
      <c r="A335" s="16">
        <f>DATE(2019,11,11)</f>
        <v>43780</v>
      </c>
      <c r="B335" s="2">
        <v>54.145312718931237</v>
      </c>
      <c r="C335" s="2">
        <v>38.700913730012502</v>
      </c>
      <c r="D335" s="2">
        <v>9.7386517766781413</v>
      </c>
      <c r="E335" s="2">
        <v>9.0961792396439414</v>
      </c>
      <c r="F335" s="2">
        <v>10.192596709123004</v>
      </c>
      <c r="G335" s="2">
        <v>10.234285327749658</v>
      </c>
      <c r="H335" s="2">
        <v>11.180254623017927</v>
      </c>
    </row>
    <row r="336" spans="1:8" x14ac:dyDescent="0.2">
      <c r="A336" s="16">
        <f>DATE(2019,11,12)</f>
        <v>43781</v>
      </c>
      <c r="B336" s="2">
        <v>52.096056715641573</v>
      </c>
      <c r="C336" s="2">
        <v>36.632151674830318</v>
      </c>
      <c r="D336" s="2">
        <v>9.7638195032308648</v>
      </c>
      <c r="E336" s="2">
        <v>9.1425452960527611</v>
      </c>
      <c r="F336" s="2">
        <v>10.242739235674758</v>
      </c>
      <c r="G336" s="2">
        <v>10.284572096249599</v>
      </c>
      <c r="H336" s="2">
        <v>11.233827165421184</v>
      </c>
    </row>
    <row r="337" spans="1:8" x14ac:dyDescent="0.2">
      <c r="A337" s="16">
        <f>DATE(2019,11,13)</f>
        <v>43782</v>
      </c>
      <c r="B337" s="2">
        <v>51.48011826876877</v>
      </c>
      <c r="C337" s="2">
        <v>35.747526887775869</v>
      </c>
      <c r="D337" s="2">
        <v>9.7889930018105744</v>
      </c>
      <c r="E337" s="2">
        <v>9.1889310581121606</v>
      </c>
      <c r="F337" s="2">
        <v>10.292904579303563</v>
      </c>
      <c r="G337" s="2">
        <v>10.334881804609664</v>
      </c>
      <c r="H337" s="2">
        <v>11.287425521916239</v>
      </c>
    </row>
    <row r="338" spans="1:8" x14ac:dyDescent="0.2">
      <c r="A338" s="16">
        <f>DATE(2019,11,14)</f>
        <v>43783</v>
      </c>
      <c r="B338" s="2">
        <v>52.896110934653827</v>
      </c>
      <c r="C338" s="2">
        <v>36.383554139687099</v>
      </c>
      <c r="D338" s="2">
        <v>9.8141722737410397</v>
      </c>
      <c r="E338" s="2">
        <v>9.2353365341970584</v>
      </c>
      <c r="F338" s="2">
        <v>10.343092750392181</v>
      </c>
      <c r="G338" s="2">
        <v>10.385214463294568</v>
      </c>
      <c r="H338" s="2">
        <v>11.341049704941698</v>
      </c>
    </row>
    <row r="339" spans="1:8" x14ac:dyDescent="0.2">
      <c r="A339" s="16">
        <f>DATE(2019,11,18)</f>
        <v>43787</v>
      </c>
      <c r="B339" s="2">
        <v>52.40243139270158</v>
      </c>
      <c r="C339" s="2">
        <v>36.015412714401386</v>
      </c>
      <c r="D339" s="2">
        <v>9.8393573203463305</v>
      </c>
      <c r="E339" s="2">
        <v>9.2817617326859558</v>
      </c>
      <c r="F339" s="2">
        <v>10.393303759328143</v>
      </c>
      <c r="G339" s="2">
        <v>10.435570082773825</v>
      </c>
      <c r="H339" s="2">
        <v>11.394699726942159</v>
      </c>
    </row>
    <row r="340" spans="1:8" x14ac:dyDescent="0.2">
      <c r="A340" s="16">
        <f>DATE(2019,11,19)</f>
        <v>43788</v>
      </c>
      <c r="B340" s="2">
        <v>52.309881171033012</v>
      </c>
      <c r="C340" s="2">
        <v>35.496958286349781</v>
      </c>
      <c r="D340" s="2">
        <v>9.8645481429508344</v>
      </c>
      <c r="E340" s="2">
        <v>9.3282066619609036</v>
      </c>
      <c r="F340" s="2">
        <v>10.443537616503672</v>
      </c>
      <c r="G340" s="2">
        <v>10.485948673521706</v>
      </c>
      <c r="H340" s="2">
        <v>11.448375600368198</v>
      </c>
    </row>
    <row r="341" spans="1:8" x14ac:dyDescent="0.2">
      <c r="A341" s="16">
        <f>DATE(2019,11,20)</f>
        <v>43789</v>
      </c>
      <c r="B341" s="2">
        <v>52.299839298999203</v>
      </c>
      <c r="C341" s="2">
        <v>35.496958286349781</v>
      </c>
      <c r="D341" s="2">
        <v>9.8897447428792464</v>
      </c>
      <c r="E341" s="2">
        <v>9.3746713304075246</v>
      </c>
      <c r="F341" s="2">
        <v>10.493794332315742</v>
      </c>
      <c r="G341" s="2">
        <v>10.536350246017268</v>
      </c>
      <c r="H341" s="2">
        <v>11.502077337676408</v>
      </c>
    </row>
    <row r="342" spans="1:8" x14ac:dyDescent="0.2">
      <c r="A342" s="16">
        <f>DATE(2019,11,21)</f>
        <v>43790</v>
      </c>
      <c r="B342" s="2">
        <v>54.595795356405887</v>
      </c>
      <c r="C342" s="2">
        <v>37.58648053316054</v>
      </c>
      <c r="D342" s="2">
        <v>9.9149471214565299</v>
      </c>
      <c r="E342" s="2">
        <v>9.4211557464150228</v>
      </c>
      <c r="F342" s="2">
        <v>10.544073917166076</v>
      </c>
      <c r="G342" s="2">
        <v>10.586774810744348</v>
      </c>
      <c r="H342" s="2">
        <v>11.555804951329396</v>
      </c>
    </row>
    <row r="343" spans="1:8" x14ac:dyDescent="0.2">
      <c r="A343" s="16">
        <f>DATE(2019,11,22)</f>
        <v>43791</v>
      </c>
      <c r="B343" s="2">
        <v>55.892296841817867</v>
      </c>
      <c r="C343" s="2">
        <v>39.11668072437957</v>
      </c>
      <c r="D343" s="2">
        <v>9.9401552800079784</v>
      </c>
      <c r="E343" s="2">
        <v>9.4676599183760803</v>
      </c>
      <c r="F343" s="2">
        <v>10.594376381461013</v>
      </c>
      <c r="G343" s="2">
        <v>10.637222378191513</v>
      </c>
      <c r="H343" s="2">
        <v>11.6095584537957</v>
      </c>
    </row>
    <row r="344" spans="1:8" x14ac:dyDescent="0.2">
      <c r="A344" s="16">
        <f>DATE(2019,11,25)</f>
        <v>43794</v>
      </c>
      <c r="B344" s="2">
        <v>57.200454705191348</v>
      </c>
      <c r="C344" s="2">
        <v>38.773216025024773</v>
      </c>
      <c r="D344" s="2">
        <v>9.9653692198591983</v>
      </c>
      <c r="E344" s="2">
        <v>9.5141838546870758</v>
      </c>
      <c r="F344" s="2">
        <v>10.644701735611806</v>
      </c>
      <c r="G344" s="2">
        <v>10.687692958852214</v>
      </c>
      <c r="H344" s="2">
        <v>11.663337857549982</v>
      </c>
    </row>
    <row r="345" spans="1:8" x14ac:dyDescent="0.2">
      <c r="A345" s="16">
        <f>DATE(2019,11,26)</f>
        <v>43795</v>
      </c>
      <c r="B345" s="2">
        <v>55.526890682912409</v>
      </c>
      <c r="C345" s="2">
        <v>37.026736106222472</v>
      </c>
      <c r="D345" s="2">
        <v>9.9905889423360659</v>
      </c>
      <c r="E345" s="2">
        <v>9.5607275637478626</v>
      </c>
      <c r="F345" s="2">
        <v>10.695049990034322</v>
      </c>
      <c r="G345" s="2">
        <v>10.738186563224629</v>
      </c>
      <c r="H345" s="2">
        <v>11.717143175072842</v>
      </c>
    </row>
    <row r="346" spans="1:8" x14ac:dyDescent="0.2">
      <c r="A346" s="16">
        <f>DATE(2019,11,27)</f>
        <v>43796</v>
      </c>
      <c r="B346" s="2">
        <v>56.938762810317158</v>
      </c>
      <c r="C346" s="2">
        <v>37.856567810439671</v>
      </c>
      <c r="D346" s="2">
        <v>10.015814448764804</v>
      </c>
      <c r="E346" s="2">
        <v>9.607291053961875</v>
      </c>
      <c r="F346" s="2">
        <v>10.745421155149204</v>
      </c>
      <c r="G346" s="2">
        <v>10.78870320181171</v>
      </c>
      <c r="H346" s="2">
        <v>11.770974418850887</v>
      </c>
    </row>
    <row r="347" spans="1:8" x14ac:dyDescent="0.2">
      <c r="A347" s="16">
        <f>DATE(2019,11,28)</f>
        <v>43797</v>
      </c>
      <c r="B347" s="2">
        <v>58.427865094900717</v>
      </c>
      <c r="C347" s="2">
        <v>38.601912446259568</v>
      </c>
      <c r="D347" s="2">
        <v>10.04104574047191</v>
      </c>
      <c r="E347" s="2">
        <v>9.6538743337361677</v>
      </c>
      <c r="F347" s="2">
        <v>10.795815241381822</v>
      </c>
      <c r="G347" s="2">
        <v>10.839242885121259</v>
      </c>
      <c r="H347" s="2">
        <v>11.824831601376774</v>
      </c>
    </row>
    <row r="348" spans="1:8" x14ac:dyDescent="0.2">
      <c r="A348" s="16">
        <f>DATE(2019,11,29)</f>
        <v>43798</v>
      </c>
      <c r="B348" s="2">
        <v>58.225386535561618</v>
      </c>
      <c r="C348" s="2">
        <v>38.52920057903264</v>
      </c>
      <c r="D348" s="2">
        <v>10.066282818784188</v>
      </c>
      <c r="E348" s="2">
        <v>9.7004774114813017</v>
      </c>
      <c r="F348" s="2">
        <v>10.846232259162303</v>
      </c>
      <c r="G348" s="2">
        <v>10.889805623665794</v>
      </c>
      <c r="H348" s="2">
        <v>11.878714735149144</v>
      </c>
    </row>
    <row r="349" spans="1:8" x14ac:dyDescent="0.2">
      <c r="A349" s="16">
        <f>DATE(2019,12,2)</f>
        <v>43801</v>
      </c>
      <c r="B349" s="2">
        <v>59.437135330681109</v>
      </c>
      <c r="C349" s="2">
        <v>39.418164271735748</v>
      </c>
      <c r="D349" s="2">
        <v>10.091525685028756</v>
      </c>
      <c r="E349" s="2">
        <v>9.7809255598725553</v>
      </c>
      <c r="F349" s="2">
        <v>10.930851793906381</v>
      </c>
      <c r="G349" s="2">
        <v>10.97458447768498</v>
      </c>
      <c r="H349" s="2">
        <v>11.96712269934328</v>
      </c>
    </row>
    <row r="350" spans="1:8" x14ac:dyDescent="0.2">
      <c r="A350" s="16">
        <f>DATE(2019,12,3)</f>
        <v>43802</v>
      </c>
      <c r="B350" s="2">
        <v>59.30027490511776</v>
      </c>
      <c r="C350" s="2">
        <v>39.45424502401751</v>
      </c>
      <c r="D350" s="2">
        <v>10.116774340533018</v>
      </c>
      <c r="E350" s="2">
        <v>9.8614327044024943</v>
      </c>
      <c r="F350" s="2">
        <v>11.015535926837638</v>
      </c>
      <c r="G350" s="2">
        <v>11.059428147888561</v>
      </c>
      <c r="H350" s="2">
        <v>12.055600524620047</v>
      </c>
    </row>
    <row r="351" spans="1:8" x14ac:dyDescent="0.2">
      <c r="A351" s="16">
        <f>DATE(2019,12,4)</f>
        <v>43803</v>
      </c>
      <c r="B351" s="2">
        <v>60.872364568567349</v>
      </c>
      <c r="C351" s="2">
        <v>41.175613046410838</v>
      </c>
      <c r="D351" s="2">
        <v>10.142028786624714</v>
      </c>
      <c r="E351" s="2">
        <v>9.9419988883355792</v>
      </c>
      <c r="F351" s="2">
        <v>11.100284707270047</v>
      </c>
      <c r="G351" s="2">
        <v>11.144336683830613</v>
      </c>
      <c r="H351" s="2">
        <v>12.144148266184528</v>
      </c>
    </row>
    <row r="352" spans="1:8" x14ac:dyDescent="0.2">
      <c r="A352" s="16">
        <f>DATE(2019,12,5)</f>
        <v>43804</v>
      </c>
      <c r="B352" s="2">
        <v>61.13328469412447</v>
      </c>
      <c r="C352" s="2">
        <v>41.586900344680537</v>
      </c>
      <c r="D352" s="2">
        <v>10.167289024631865</v>
      </c>
      <c r="E352" s="2">
        <v>10.022624154967996</v>
      </c>
      <c r="F352" s="2">
        <v>11.185098184555287</v>
      </c>
      <c r="G352" s="2">
        <v>11.229310135103111</v>
      </c>
      <c r="H352" s="2">
        <v>12.232765979285487</v>
      </c>
    </row>
    <row r="353" spans="1:8" x14ac:dyDescent="0.2">
      <c r="A353" s="16">
        <f>DATE(2019,12,6)</f>
        <v>43805</v>
      </c>
      <c r="B353" s="2">
        <v>63.484125082161214</v>
      </c>
      <c r="C353" s="2">
        <v>42.231311027859775</v>
      </c>
      <c r="D353" s="2">
        <v>10.192555055882814</v>
      </c>
      <c r="E353" s="2">
        <v>10.103308547627575</v>
      </c>
      <c r="F353" s="2">
        <v>11.26997640808256</v>
      </c>
      <c r="G353" s="2">
        <v>11.314348551335884</v>
      </c>
      <c r="H353" s="2">
        <v>12.321453719215224</v>
      </c>
    </row>
    <row r="354" spans="1:8" x14ac:dyDescent="0.2">
      <c r="A354" s="16">
        <f>DATE(2019,12,9)</f>
        <v>43808</v>
      </c>
      <c r="B354" s="2">
        <v>63.768091836290637</v>
      </c>
      <c r="C354" s="2">
        <v>42.041218323748829</v>
      </c>
      <c r="D354" s="2">
        <v>10.217826881706182</v>
      </c>
      <c r="E354" s="2">
        <v>10.184052109674102</v>
      </c>
      <c r="F354" s="2">
        <v>11.354919427278931</v>
      </c>
      <c r="G354" s="2">
        <v>11.399451982196807</v>
      </c>
      <c r="H354" s="2">
        <v>12.4102115413099</v>
      </c>
    </row>
    <row r="355" spans="1:8" x14ac:dyDescent="0.2">
      <c r="A355" s="16">
        <f>DATE(2019,12,10)</f>
        <v>43809</v>
      </c>
      <c r="B355" s="2">
        <v>63.410332403262551</v>
      </c>
      <c r="C355" s="2">
        <v>41.650563225790677</v>
      </c>
      <c r="D355" s="2">
        <v>10.243104503430912</v>
      </c>
      <c r="E355" s="2">
        <v>10.264854884499085</v>
      </c>
      <c r="F355" s="2">
        <v>11.439927291609141</v>
      </c>
      <c r="G355" s="2">
        <v>11.484620477391672</v>
      </c>
      <c r="H355" s="2">
        <v>12.499039500949326</v>
      </c>
    </row>
    <row r="356" spans="1:8" x14ac:dyDescent="0.2">
      <c r="A356" s="16">
        <f>DATE(2019,12,11)</f>
        <v>43810</v>
      </c>
      <c r="B356" s="2">
        <v>64.212537818359777</v>
      </c>
      <c r="C356" s="2">
        <v>42.024118683788387</v>
      </c>
      <c r="D356" s="2">
        <v>10.268387922386225</v>
      </c>
      <c r="E356" s="2">
        <v>10.34571691552577</v>
      </c>
      <c r="F356" s="2">
        <v>11.52500005057564</v>
      </c>
      <c r="G356" s="2">
        <v>11.569854086664222</v>
      </c>
      <c r="H356" s="2">
        <v>12.587937653557013</v>
      </c>
    </row>
    <row r="357" spans="1:8" x14ac:dyDescent="0.2">
      <c r="A357" s="16">
        <f>DATE(2019,12,12)</f>
        <v>43811</v>
      </c>
      <c r="B357" s="2">
        <v>66.745622216169266</v>
      </c>
      <c r="C357" s="2">
        <v>43.605924974049671</v>
      </c>
      <c r="D357" s="2">
        <v>10.293677139901748</v>
      </c>
      <c r="E357" s="2">
        <v>10.426638246209352</v>
      </c>
      <c r="F357" s="2">
        <v>11.610137753718751</v>
      </c>
      <c r="G357" s="2">
        <v>11.655152859796326</v>
      </c>
      <c r="H357" s="2">
        <v>12.676906054600344</v>
      </c>
    </row>
    <row r="358" spans="1:8" x14ac:dyDescent="0.2">
      <c r="A358" s="16">
        <f>DATE(2019,12,13)</f>
        <v>43812</v>
      </c>
      <c r="B358" s="2">
        <v>68.314105854016574</v>
      </c>
      <c r="C358" s="2">
        <v>44.073246870932188</v>
      </c>
      <c r="D358" s="2">
        <v>10.316880564465357</v>
      </c>
      <c r="E358" s="2">
        <v>10.507618920036842</v>
      </c>
      <c r="F358" s="2">
        <v>11.695340450616554</v>
      </c>
      <c r="G358" s="2">
        <v>11.740516846607839</v>
      </c>
      <c r="H358" s="2">
        <v>12.76594475959052</v>
      </c>
    </row>
    <row r="359" spans="1:8" x14ac:dyDescent="0.2">
      <c r="A359" s="16">
        <f>DATE(2019,12,16)</f>
        <v>43815</v>
      </c>
      <c r="B359" s="2">
        <v>67.290730868648026</v>
      </c>
      <c r="C359" s="2">
        <v>43.217215344110983</v>
      </c>
      <c r="D359" s="2">
        <v>10.340088870531927</v>
      </c>
      <c r="E359" s="2">
        <v>10.588658980527166</v>
      </c>
      <c r="F359" s="2">
        <v>11.780608190885022</v>
      </c>
      <c r="G359" s="2">
        <v>11.825946096956752</v>
      </c>
      <c r="H359" s="2">
        <v>12.855053824082606</v>
      </c>
    </row>
    <row r="360" spans="1:8" x14ac:dyDescent="0.2">
      <c r="A360" s="16">
        <f>DATE(2019,12,17)</f>
        <v>43816</v>
      </c>
      <c r="B360" s="2">
        <v>67.086779737968286</v>
      </c>
      <c r="C360" s="2">
        <v>44.138266460003294</v>
      </c>
      <c r="D360" s="2">
        <v>10.363302059128433</v>
      </c>
      <c r="E360" s="2">
        <v>10.66975847123115</v>
      </c>
      <c r="F360" s="2">
        <v>11.865941024177973</v>
      </c>
      <c r="G360" s="2">
        <v>11.911440660739148</v>
      </c>
      <c r="H360" s="2">
        <v>12.944233303675556</v>
      </c>
    </row>
    <row r="361" spans="1:8" x14ac:dyDescent="0.2">
      <c r="A361" s="16">
        <f>DATE(2019,12,18)</f>
        <v>43817</v>
      </c>
      <c r="B361" s="2">
        <v>68.678487422621757</v>
      </c>
      <c r="C361" s="2">
        <v>46.31282613787473</v>
      </c>
      <c r="D361" s="2">
        <v>10.38652013128203</v>
      </c>
      <c r="E361" s="2">
        <v>10.750917435731576</v>
      </c>
      <c r="F361" s="2">
        <v>11.951339000187122</v>
      </c>
      <c r="G361" s="2">
        <v>11.997000587889284</v>
      </c>
      <c r="H361" s="2">
        <v>13.033483254012257</v>
      </c>
    </row>
    <row r="362" spans="1:8" x14ac:dyDescent="0.2">
      <c r="A362" s="16">
        <f>DATE(2019,12,19)</f>
        <v>43818</v>
      </c>
      <c r="B362" s="2">
        <v>69.725476774910831</v>
      </c>
      <c r="C362" s="2">
        <v>47.358003233060607</v>
      </c>
      <c r="D362" s="2">
        <v>10.409743088020139</v>
      </c>
      <c r="E362" s="2">
        <v>10.832135917643203</v>
      </c>
      <c r="F362" s="2">
        <v>12.036802168642181</v>
      </c>
      <c r="G362" s="2">
        <v>12.082625928379587</v>
      </c>
      <c r="H362" s="2">
        <v>13.12280373077963</v>
      </c>
    </row>
    <row r="363" spans="1:8" x14ac:dyDescent="0.2">
      <c r="A363" s="16">
        <f>DATE(2019,12,20)</f>
        <v>43819</v>
      </c>
      <c r="B363" s="2">
        <v>70.131440742065919</v>
      </c>
      <c r="C363" s="2">
        <v>47.344986516114695</v>
      </c>
      <c r="D363" s="2">
        <v>10.432970930370367</v>
      </c>
      <c r="E363" s="2">
        <v>10.913413960612672</v>
      </c>
      <c r="F363" s="2">
        <v>12.122330579310715</v>
      </c>
      <c r="G363" s="2">
        <v>12.168316732220609</v>
      </c>
      <c r="H363" s="2">
        <v>13.212194789708454</v>
      </c>
    </row>
    <row r="364" spans="1:8" x14ac:dyDescent="0.2">
      <c r="A364" s="16">
        <f>DATE(2019,12,23)</f>
        <v>43822</v>
      </c>
      <c r="B364" s="2">
        <v>72.05416206100017</v>
      </c>
      <c r="C364" s="2">
        <v>48.29495087053288</v>
      </c>
      <c r="D364" s="2">
        <v>10.456203659360529</v>
      </c>
      <c r="E364" s="2">
        <v>10.994751608318754</v>
      </c>
      <c r="F364" s="2">
        <v>12.207924281998418</v>
      </c>
      <c r="G364" s="2">
        <v>12.254073049461267</v>
      </c>
      <c r="H364" s="2">
        <v>13.301656486573711</v>
      </c>
    </row>
    <row r="365" spans="1:8" x14ac:dyDescent="0.2">
      <c r="A365" s="16">
        <f>DATE(2019,12,24)</f>
        <v>43823</v>
      </c>
      <c r="B365" s="2">
        <v>72.043029066828396</v>
      </c>
      <c r="C365" s="2">
        <v>48.29495087053288</v>
      </c>
      <c r="D365" s="2">
        <v>10.479441276018674</v>
      </c>
      <c r="E365" s="2">
        <v>11.076148904472195</v>
      </c>
      <c r="F365" s="2">
        <v>12.293583326548907</v>
      </c>
      <c r="G365" s="2">
        <v>12.339894930188677</v>
      </c>
      <c r="H365" s="2">
        <v>13.391188877194351</v>
      </c>
    </row>
    <row r="366" spans="1:8" x14ac:dyDescent="0.2">
      <c r="A366" s="16">
        <f>DATE(2019,12,26)</f>
        <v>43825</v>
      </c>
      <c r="B366" s="2">
        <v>73.920930104445645</v>
      </c>
      <c r="C366" s="2">
        <v>50.009919327072772</v>
      </c>
      <c r="D366" s="2">
        <v>10.502683781373069</v>
      </c>
      <c r="E366" s="2">
        <v>11.157605892815825</v>
      </c>
      <c r="F366" s="2">
        <v>12.379307762843862</v>
      </c>
      <c r="G366" s="2">
        <v>12.425782424528231</v>
      </c>
      <c r="H366" s="2">
        <v>13.480792017433485</v>
      </c>
    </row>
    <row r="367" spans="1:8" x14ac:dyDescent="0.2">
      <c r="A367" s="16">
        <f>DATE(2019,12,27)</f>
        <v>43826</v>
      </c>
      <c r="B367" s="2">
        <v>73.081036621030677</v>
      </c>
      <c r="C367" s="2">
        <v>49.153375834983272</v>
      </c>
      <c r="D367" s="2">
        <v>10.525931176452175</v>
      </c>
      <c r="E367" s="2">
        <v>11.239122617124497</v>
      </c>
      <c r="F367" s="2">
        <v>12.46509764080308</v>
      </c>
      <c r="G367" s="2">
        <v>12.511735582643668</v>
      </c>
      <c r="H367" s="2">
        <v>13.57046596319833</v>
      </c>
    </row>
    <row r="368" spans="1:8" x14ac:dyDescent="0.2">
      <c r="A368" s="16">
        <f>DATE(2019,12,30)</f>
        <v>43829</v>
      </c>
      <c r="B368" s="2">
        <v>72.190077734468474</v>
      </c>
      <c r="C368" s="2">
        <v>48.015993794980872</v>
      </c>
      <c r="D368" s="2">
        <v>10.549183462284685</v>
      </c>
      <c r="E368" s="2">
        <v>11.320699121205235</v>
      </c>
      <c r="F368" s="2">
        <v>12.550953010384447</v>
      </c>
      <c r="G368" s="2">
        <v>12.597754454737077</v>
      </c>
      <c r="H368" s="2">
        <v>13.660210770440306</v>
      </c>
    </row>
    <row r="369" spans="1:8" x14ac:dyDescent="0.2">
      <c r="A369" s="16">
        <f>DATE(2019,12,31)</f>
        <v>43830</v>
      </c>
      <c r="B369" s="2">
        <v>72.179184254912371</v>
      </c>
      <c r="C369" s="2">
        <v>48.015993794980872</v>
      </c>
      <c r="D369" s="2">
        <v>10.572440639899527</v>
      </c>
      <c r="E369" s="2">
        <v>11.402335448897126</v>
      </c>
      <c r="F369" s="2">
        <v>12.63687392158397</v>
      </c>
      <c r="G369" s="2">
        <v>12.683839091048933</v>
      </c>
      <c r="H369" s="2">
        <v>13.750026495155065</v>
      </c>
    </row>
    <row r="370" spans="1:8" x14ac:dyDescent="0.2">
      <c r="A370" s="16">
        <f>DATE(2020,1,2)</f>
        <v>43832</v>
      </c>
      <c r="B370" s="2">
        <v>76.313982725762344</v>
      </c>
      <c r="C370" s="2">
        <v>51.763272379601723</v>
      </c>
      <c r="D370" s="2">
        <v>10.595702710325815</v>
      </c>
      <c r="E370" s="2">
        <v>11.429289100268081</v>
      </c>
      <c r="F370" s="2">
        <v>12.667509572538682</v>
      </c>
      <c r="G370" s="2">
        <v>12.714615547922261</v>
      </c>
      <c r="H370" s="2">
        <v>13.78401382965604</v>
      </c>
    </row>
    <row r="371" spans="1:8" x14ac:dyDescent="0.2">
      <c r="A371" s="16">
        <f>DATE(2020,1,3)</f>
        <v>43833</v>
      </c>
      <c r="B371" s="2">
        <v>75.310576162609479</v>
      </c>
      <c r="C371" s="2">
        <v>50.654304411988662</v>
      </c>
      <c r="D371" s="2">
        <v>10.618969674592904</v>
      </c>
      <c r="E371" s="2">
        <v>11.456249273040232</v>
      </c>
      <c r="F371" s="2">
        <v>12.698153555961067</v>
      </c>
      <c r="G371" s="2">
        <v>12.745400410528894</v>
      </c>
      <c r="H371" s="2">
        <v>13.818011319221958</v>
      </c>
    </row>
    <row r="372" spans="1:8" x14ac:dyDescent="0.2">
      <c r="A372" s="16">
        <f>DATE(2020,1,6)</f>
        <v>43836</v>
      </c>
      <c r="B372" s="2">
        <v>73.751739641225726</v>
      </c>
      <c r="C372" s="2">
        <v>49.593589170910612</v>
      </c>
      <c r="D372" s="2">
        <v>10.642241533730346</v>
      </c>
      <c r="E372" s="2">
        <v>11.483215968791406</v>
      </c>
      <c r="F372" s="2">
        <v>12.728805874117421</v>
      </c>
      <c r="G372" s="2">
        <v>12.776193681164605</v>
      </c>
      <c r="H372" s="2">
        <v>13.852018966887035</v>
      </c>
    </row>
    <row r="373" spans="1:8" x14ac:dyDescent="0.2">
      <c r="A373" s="16">
        <f>DATE(2020,1,7)</f>
        <v>43837</v>
      </c>
      <c r="B373" s="2">
        <v>73.959274620228513</v>
      </c>
      <c r="C373" s="2">
        <v>49.317153524304878</v>
      </c>
      <c r="D373" s="2">
        <v>10.665518288767917</v>
      </c>
      <c r="E373" s="2">
        <v>11.51018918909983</v>
      </c>
      <c r="F373" s="2">
        <v>12.759466529274688</v>
      </c>
      <c r="G373" s="2">
        <v>12.806995362125816</v>
      </c>
      <c r="H373" s="2">
        <v>13.886036775686428</v>
      </c>
    </row>
    <row r="374" spans="1:8" x14ac:dyDescent="0.2">
      <c r="A374" s="16">
        <f>DATE(2020,1,8)</f>
        <v>43838</v>
      </c>
      <c r="B374" s="2">
        <v>73.839135863202031</v>
      </c>
      <c r="C374" s="2">
        <v>48.786104750653678</v>
      </c>
      <c r="D374" s="2">
        <v>10.688799940735594</v>
      </c>
      <c r="E374" s="2">
        <v>11.537168935544106</v>
      </c>
      <c r="F374" s="2">
        <v>12.790135523700409</v>
      </c>
      <c r="G374" s="2">
        <v>12.837805455709583</v>
      </c>
      <c r="H374" s="2">
        <v>13.92006474865617</v>
      </c>
    </row>
    <row r="375" spans="1:8" x14ac:dyDescent="0.2">
      <c r="A375" s="16">
        <f>DATE(2020,1,9)</f>
        <v>43839</v>
      </c>
      <c r="B375" s="2">
        <v>73.461128574240007</v>
      </c>
      <c r="C375" s="2">
        <v>48.402233192500191</v>
      </c>
      <c r="D375" s="2">
        <v>10.712086490663596</v>
      </c>
      <c r="E375" s="2">
        <v>11.564155209703243</v>
      </c>
      <c r="F375" s="2">
        <v>12.820812859662745</v>
      </c>
      <c r="G375" s="2">
        <v>12.868623964213578</v>
      </c>
      <c r="H375" s="2">
        <v>13.954102888833209</v>
      </c>
    </row>
    <row r="376" spans="1:8" x14ac:dyDescent="0.2">
      <c r="A376" s="16">
        <f>DATE(2020,1,10)</f>
        <v>43840</v>
      </c>
      <c r="B376" s="2">
        <v>73.16127401727266</v>
      </c>
      <c r="C376" s="2">
        <v>47.834348517796514</v>
      </c>
      <c r="D376" s="2">
        <v>10.73537793958239</v>
      </c>
      <c r="E376" s="2">
        <v>11.591148013156637</v>
      </c>
      <c r="F376" s="2">
        <v>12.851498539430507</v>
      </c>
      <c r="G376" s="2">
        <v>12.899450889936116</v>
      </c>
      <c r="H376" s="2">
        <v>13.988151199255427</v>
      </c>
    </row>
    <row r="377" spans="1:8" x14ac:dyDescent="0.2">
      <c r="A377" s="16">
        <f>DATE(2020,1,13)</f>
        <v>43843</v>
      </c>
      <c r="B377" s="2">
        <v>76.528760804160584</v>
      </c>
      <c r="C377" s="2">
        <v>50.166171126950701</v>
      </c>
      <c r="D377" s="2">
        <v>10.758674288522529</v>
      </c>
      <c r="E377" s="2">
        <v>11.618147347483966</v>
      </c>
      <c r="F377" s="2">
        <v>12.88219256527301</v>
      </c>
      <c r="G377" s="2">
        <v>12.930286235176046</v>
      </c>
      <c r="H377" s="2">
        <v>14.022209682961527</v>
      </c>
    </row>
    <row r="378" spans="1:8" x14ac:dyDescent="0.2">
      <c r="A378" s="16">
        <f>DATE(2020,1,14)</f>
        <v>43844</v>
      </c>
      <c r="B378" s="2">
        <v>77.61156646240066</v>
      </c>
      <c r="C378" s="2">
        <v>50.55925805993315</v>
      </c>
      <c r="D378" s="2">
        <v>10.781975538514944</v>
      </c>
      <c r="E378" s="2">
        <v>11.645153214265425</v>
      </c>
      <c r="F378" s="2">
        <v>12.912894939460349</v>
      </c>
      <c r="G378" s="2">
        <v>12.961130002233023</v>
      </c>
      <c r="H378" s="2">
        <v>14.056278342991234</v>
      </c>
    </row>
    <row r="379" spans="1:8" x14ac:dyDescent="0.2">
      <c r="A379" s="16">
        <f>DATE(2020,1,15)</f>
        <v>43845</v>
      </c>
      <c r="B379" s="2">
        <v>75.790869498820584</v>
      </c>
      <c r="C379" s="2">
        <v>49.000259822373614</v>
      </c>
      <c r="D379" s="2">
        <v>10.805281690590697</v>
      </c>
      <c r="E379" s="2">
        <v>11.67216561508153</v>
      </c>
      <c r="F379" s="2">
        <v>12.943605664263137</v>
      </c>
      <c r="G379" s="2">
        <v>12.991982193407203</v>
      </c>
      <c r="H379" s="2">
        <v>14.090357182385116</v>
      </c>
    </row>
    <row r="380" spans="1:8" x14ac:dyDescent="0.2">
      <c r="A380" s="16">
        <f>DATE(2020,1,16)</f>
        <v>43846</v>
      </c>
      <c r="B380" s="2">
        <v>76.367753756975304</v>
      </c>
      <c r="C380" s="2">
        <v>49.371255454029964</v>
      </c>
      <c r="D380" s="2">
        <v>10.828592745781075</v>
      </c>
      <c r="E380" s="2">
        <v>11.699184551513152</v>
      </c>
      <c r="F380" s="2">
        <v>12.974324741952614</v>
      </c>
      <c r="G380" s="2">
        <v>13.022842810999389</v>
      </c>
      <c r="H380" s="2">
        <v>14.12444620418467</v>
      </c>
    </row>
    <row r="381" spans="1:8" x14ac:dyDescent="0.2">
      <c r="A381" s="16">
        <f>DATE(2020,1,17)</f>
        <v>43847</v>
      </c>
      <c r="B381" s="2">
        <v>78.634307177583324</v>
      </c>
      <c r="C381" s="2">
        <v>51.641936611020263</v>
      </c>
      <c r="D381" s="2">
        <v>10.851908705117609</v>
      </c>
      <c r="E381" s="2">
        <v>11.726210025141603</v>
      </c>
      <c r="F381" s="2">
        <v>13.005052174800658</v>
      </c>
      <c r="G381" s="2">
        <v>13.053711857311034</v>
      </c>
      <c r="H381" s="2">
        <v>14.158545411432288</v>
      </c>
    </row>
    <row r="382" spans="1:8" x14ac:dyDescent="0.2">
      <c r="A382" s="16">
        <f>DATE(2020,1,20)</f>
        <v>43850</v>
      </c>
      <c r="B382" s="2">
        <v>79.534469635024564</v>
      </c>
      <c r="C382" s="2">
        <v>52.132565726741028</v>
      </c>
      <c r="D382" s="2">
        <v>10.87522956963196</v>
      </c>
      <c r="E382" s="2">
        <v>11.753242037548549</v>
      </c>
      <c r="F382" s="2">
        <v>13.035787965079759</v>
      </c>
      <c r="G382" s="2">
        <v>13.08458933464418</v>
      </c>
      <c r="H382" s="2">
        <v>14.192654807171268</v>
      </c>
    </row>
    <row r="383" spans="1:8" x14ac:dyDescent="0.2">
      <c r="A383" s="16">
        <f>DATE(2020,1,21)</f>
        <v>43851</v>
      </c>
      <c r="B383" s="2">
        <v>77.469033088811145</v>
      </c>
      <c r="C383" s="2">
        <v>49.783169909753241</v>
      </c>
      <c r="D383" s="2">
        <v>10.898555340356152</v>
      </c>
      <c r="E383" s="2">
        <v>11.780280590316018</v>
      </c>
      <c r="F383" s="2">
        <v>13.066532115063012</v>
      </c>
      <c r="G383" s="2">
        <v>13.115475245301567</v>
      </c>
      <c r="H383" s="2">
        <v>14.226774394445817</v>
      </c>
    </row>
    <row r="384" spans="1:8" x14ac:dyDescent="0.2">
      <c r="A384" s="16">
        <f>DATE(2020,1,22)</f>
        <v>43852</v>
      </c>
      <c r="B384" s="2">
        <v>78.725336037896923</v>
      </c>
      <c r="C384" s="2">
        <v>51.5306609599604</v>
      </c>
      <c r="D384" s="2">
        <v>10.921886018322313</v>
      </c>
      <c r="E384" s="2">
        <v>11.807325685026449</v>
      </c>
      <c r="F384" s="2">
        <v>13.097284627024154</v>
      </c>
      <c r="G384" s="2">
        <v>13.146369591586483</v>
      </c>
      <c r="H384" s="2">
        <v>14.26090417630108</v>
      </c>
    </row>
    <row r="385" spans="1:8" x14ac:dyDescent="0.2">
      <c r="A385" s="16">
        <f>DATE(2020,1,23)</f>
        <v>43853</v>
      </c>
      <c r="B385" s="2">
        <v>81.378204356265258</v>
      </c>
      <c r="C385" s="2">
        <v>52.984987898420897</v>
      </c>
      <c r="D385" s="2">
        <v>10.945221604562816</v>
      </c>
      <c r="E385" s="2">
        <v>11.834377323262668</v>
      </c>
      <c r="F385" s="2">
        <v>13.128045503237495</v>
      </c>
      <c r="G385" s="2">
        <v>13.177272375802906</v>
      </c>
      <c r="H385" s="2">
        <v>14.295044155783089</v>
      </c>
    </row>
    <row r="386" spans="1:8" x14ac:dyDescent="0.2">
      <c r="A386" s="16">
        <f>DATE(2020,1,24)</f>
        <v>43854</v>
      </c>
      <c r="B386" s="2">
        <v>78.789885226813936</v>
      </c>
      <c r="C386" s="2">
        <v>51.511462262400038</v>
      </c>
      <c r="D386" s="2">
        <v>10.968562100110256</v>
      </c>
      <c r="E386" s="2">
        <v>11.861435506607876</v>
      </c>
      <c r="F386" s="2">
        <v>13.15881474597802</v>
      </c>
      <c r="G386" s="2">
        <v>13.20818360025544</v>
      </c>
      <c r="H386" s="2">
        <v>14.329194335938777</v>
      </c>
    </row>
    <row r="387" spans="1:8" x14ac:dyDescent="0.2">
      <c r="A387" s="16">
        <f>DATE(2020,1,27)</f>
        <v>43857</v>
      </c>
      <c r="B387" s="2">
        <v>72.782122380702589</v>
      </c>
      <c r="C387" s="2">
        <v>46.526814820882478</v>
      </c>
      <c r="D387" s="2">
        <v>10.991907505997457</v>
      </c>
      <c r="E387" s="2">
        <v>11.888500236645649</v>
      </c>
      <c r="F387" s="2">
        <v>13.189592357521329</v>
      </c>
      <c r="G387" s="2">
        <v>13.239103267249307</v>
      </c>
      <c r="H387" s="2">
        <v>14.363354719816046</v>
      </c>
    </row>
    <row r="388" spans="1:8" x14ac:dyDescent="0.2">
      <c r="A388" s="16">
        <f>DATE(2020,1,28)</f>
        <v>43858</v>
      </c>
      <c r="B388" s="2">
        <v>75.677831906602464</v>
      </c>
      <c r="C388" s="2">
        <v>49.082980610595307</v>
      </c>
      <c r="D388" s="2">
        <v>11.015257823257452</v>
      </c>
      <c r="E388" s="2">
        <v>11.915571514959922</v>
      </c>
      <c r="F388" s="2">
        <v>13.220378340143556</v>
      </c>
      <c r="G388" s="2">
        <v>13.270031379090286</v>
      </c>
      <c r="H388" s="2">
        <v>14.39752531046361</v>
      </c>
    </row>
    <row r="389" spans="1:8" x14ac:dyDescent="0.2">
      <c r="A389" s="16">
        <f>DATE(2020,1,29)</f>
        <v>43859</v>
      </c>
      <c r="B389" s="2">
        <v>73.90449230508294</v>
      </c>
      <c r="C389" s="2">
        <v>47.68257641401599</v>
      </c>
      <c r="D389" s="2">
        <v>11.038613052923486</v>
      </c>
      <c r="E389" s="2">
        <v>11.942649343135049</v>
      </c>
      <c r="F389" s="2">
        <v>13.251172696121527</v>
      </c>
      <c r="G389" s="2">
        <v>13.300967938084884</v>
      </c>
      <c r="H389" s="2">
        <v>14.431706110931142</v>
      </c>
    </row>
    <row r="390" spans="1:8" x14ac:dyDescent="0.2">
      <c r="A390" s="16">
        <f>DATE(2020,1,30)</f>
        <v>43860</v>
      </c>
      <c r="B390" s="2">
        <v>73.396991882716677</v>
      </c>
      <c r="C390" s="2">
        <v>47.865859980058879</v>
      </c>
      <c r="D390" s="2">
        <v>11.061973196029019</v>
      </c>
      <c r="E390" s="2">
        <v>11.969733722755803</v>
      </c>
      <c r="F390" s="2">
        <v>13.281975427732728</v>
      </c>
      <c r="G390" s="2">
        <v>13.331912946540236</v>
      </c>
      <c r="H390" s="2">
        <v>14.465897124269267</v>
      </c>
    </row>
    <row r="391" spans="1:8" x14ac:dyDescent="0.2">
      <c r="A391" s="16">
        <f>DATE(2020,1,31)</f>
        <v>43861</v>
      </c>
      <c r="B391" s="2">
        <v>71.026843955385203</v>
      </c>
      <c r="C391" s="2">
        <v>45.603651848258565</v>
      </c>
      <c r="D391" s="2">
        <v>11.085338253607713</v>
      </c>
      <c r="E391" s="2">
        <v>11.996824655407279</v>
      </c>
      <c r="F391" s="2">
        <v>13.312786537255183</v>
      </c>
      <c r="G391" s="2">
        <v>13.36286640676405</v>
      </c>
      <c r="H391" s="2">
        <v>14.500098353529477</v>
      </c>
    </row>
    <row r="392" spans="1:8" x14ac:dyDescent="0.2">
      <c r="A392" s="16">
        <f>DATE(2020,2,3)</f>
        <v>43864</v>
      </c>
      <c r="B392" s="2">
        <v>72.182941086013415</v>
      </c>
      <c r="C392" s="2">
        <v>46.715435624847146</v>
      </c>
      <c r="D392" s="2">
        <v>11.108708226693498</v>
      </c>
      <c r="E392" s="2">
        <v>12.02482758672514</v>
      </c>
      <c r="F392" s="2">
        <v>13.344522137488823</v>
      </c>
      <c r="G392" s="2">
        <v>13.394744837512418</v>
      </c>
      <c r="H392" s="2">
        <v>14.535235536262414</v>
      </c>
    </row>
    <row r="393" spans="1:8" x14ac:dyDescent="0.2">
      <c r="A393" s="16">
        <f>DATE(2020,2,4)</f>
        <v>43865</v>
      </c>
      <c r="B393" s="2">
        <v>73.599519232070065</v>
      </c>
      <c r="C393" s="2">
        <v>47.902555090662588</v>
      </c>
      <c r="D393" s="2">
        <v>11.132083116320478</v>
      </c>
      <c r="E393" s="2">
        <v>12.052837519707271</v>
      </c>
      <c r="F393" s="2">
        <v>13.376266625936717</v>
      </c>
      <c r="G393" s="2">
        <v>13.426632232698466</v>
      </c>
      <c r="H393" s="2">
        <v>14.570383501707584</v>
      </c>
    </row>
    <row r="394" spans="1:8" x14ac:dyDescent="0.2">
      <c r="A394" s="16">
        <f>DATE(2020,2,5)</f>
        <v>43866</v>
      </c>
      <c r="B394" s="2">
        <v>74.768434830091266</v>
      </c>
      <c r="C394" s="2">
        <v>48.506110945433377</v>
      </c>
      <c r="D394" s="2">
        <v>11.155462923522984</v>
      </c>
      <c r="E394" s="2">
        <v>12.080854456104273</v>
      </c>
      <c r="F394" s="2">
        <v>13.408020005088161</v>
      </c>
      <c r="G394" s="2">
        <v>13.458528594842978</v>
      </c>
      <c r="H394" s="2">
        <v>14.605542253173898</v>
      </c>
    </row>
    <row r="395" spans="1:8" x14ac:dyDescent="0.2">
      <c r="A395" s="16">
        <f>DATE(2020,2,6)</f>
        <v>43867</v>
      </c>
      <c r="B395" s="2">
        <v>73.218101077562991</v>
      </c>
      <c r="C395" s="2">
        <v>47.433159734443528</v>
      </c>
      <c r="D395" s="2">
        <v>11.178847649335587</v>
      </c>
      <c r="E395" s="2">
        <v>12.108878397667254</v>
      </c>
      <c r="F395" s="2">
        <v>13.439782277433189</v>
      </c>
      <c r="G395" s="2">
        <v>13.490433926467581</v>
      </c>
      <c r="H395" s="2">
        <v>14.64071179397135</v>
      </c>
    </row>
    <row r="396" spans="1:8" x14ac:dyDescent="0.2">
      <c r="A396" s="16">
        <f>DATE(2020,2,7)</f>
        <v>43868</v>
      </c>
      <c r="B396" s="2">
        <v>70.504364998629271</v>
      </c>
      <c r="C396" s="2">
        <v>45.616092604277632</v>
      </c>
      <c r="D396" s="2">
        <v>11.201179330679745</v>
      </c>
      <c r="E396" s="2">
        <v>12.136909346147705</v>
      </c>
      <c r="F396" s="2">
        <v>13.471553445462513</v>
      </c>
      <c r="G396" s="2">
        <v>13.522348230094504</v>
      </c>
      <c r="H396" s="2">
        <v>14.675892127410872</v>
      </c>
    </row>
    <row r="397" spans="1:8" x14ac:dyDescent="0.2">
      <c r="A397" s="16">
        <f>DATE(2020,2,10)</f>
        <v>43871</v>
      </c>
      <c r="B397" s="2">
        <v>68.226824953892404</v>
      </c>
      <c r="C397" s="2">
        <v>44.080209598580744</v>
      </c>
      <c r="D397" s="2">
        <v>11.22351549762528</v>
      </c>
      <c r="E397" s="2">
        <v>12.164947303297646</v>
      </c>
      <c r="F397" s="2">
        <v>13.503333511667591</v>
      </c>
      <c r="G397" s="2">
        <v>13.554271508246819</v>
      </c>
      <c r="H397" s="2">
        <v>14.711083256804502</v>
      </c>
    </row>
    <row r="398" spans="1:8" x14ac:dyDescent="0.2">
      <c r="A398" s="16">
        <f>DATE(2020,2,11)</f>
        <v>43872</v>
      </c>
      <c r="B398" s="2">
        <v>72.932289173801948</v>
      </c>
      <c r="C398" s="2">
        <v>47.664363249597038</v>
      </c>
      <c r="D398" s="2">
        <v>11.245856151073164</v>
      </c>
      <c r="E398" s="2">
        <v>12.192992270869452</v>
      </c>
      <c r="F398" s="2">
        <v>13.535122478540519</v>
      </c>
      <c r="G398" s="2">
        <v>13.586203763448168</v>
      </c>
      <c r="H398" s="2">
        <v>14.746285185465213</v>
      </c>
    </row>
    <row r="399" spans="1:8" x14ac:dyDescent="0.2">
      <c r="A399" s="16">
        <f>DATE(2020,2,12)</f>
        <v>43873</v>
      </c>
      <c r="B399" s="2">
        <v>75.055049551360383</v>
      </c>
      <c r="C399" s="2">
        <v>49.33275566585553</v>
      </c>
      <c r="D399" s="2">
        <v>11.268201291924584</v>
      </c>
      <c r="E399" s="2">
        <v>12.221044250615964</v>
      </c>
      <c r="F399" s="2">
        <v>13.566920348574119</v>
      </c>
      <c r="G399" s="2">
        <v>13.618144998222981</v>
      </c>
      <c r="H399" s="2">
        <v>14.781497916707043</v>
      </c>
    </row>
    <row r="400" spans="1:8" x14ac:dyDescent="0.2">
      <c r="A400" s="16">
        <f>DATE(2020,2,13)</f>
        <v>43874</v>
      </c>
      <c r="B400" s="2">
        <v>73.906652372079648</v>
      </c>
      <c r="C400" s="2">
        <v>48.037829113672828</v>
      </c>
      <c r="D400" s="2">
        <v>11.290550921080889</v>
      </c>
      <c r="E400" s="2">
        <v>12.249103244290428</v>
      </c>
      <c r="F400" s="2">
        <v>13.59872712426189</v>
      </c>
      <c r="G400" s="2">
        <v>13.650095215096346</v>
      </c>
      <c r="H400" s="2">
        <v>14.816721453845005</v>
      </c>
    </row>
    <row r="401" spans="1:8" x14ac:dyDescent="0.2">
      <c r="A401" s="16">
        <f>DATE(2020,2,14)</f>
        <v>43875</v>
      </c>
      <c r="B401" s="2">
        <v>72.181845528419686</v>
      </c>
      <c r="C401" s="2">
        <v>46.397377201930531</v>
      </c>
      <c r="D401" s="2">
        <v>11.312905039443621</v>
      </c>
      <c r="E401" s="2">
        <v>12.277169253646614</v>
      </c>
      <c r="F401" s="2">
        <v>13.630542808098078</v>
      </c>
      <c r="G401" s="2">
        <v>13.682054416594136</v>
      </c>
      <c r="H401" s="2">
        <v>14.851955800195205</v>
      </c>
    </row>
    <row r="402" spans="1:8" x14ac:dyDescent="0.2">
      <c r="A402" s="16">
        <f>DATE(2020,2,17)</f>
        <v>43878</v>
      </c>
      <c r="B402" s="2">
        <v>73.077066888049217</v>
      </c>
      <c r="C402" s="2">
        <v>47.585610192204463</v>
      </c>
      <c r="D402" s="2">
        <v>11.335263647914484</v>
      </c>
      <c r="E402" s="2">
        <v>12.305242280438655</v>
      </c>
      <c r="F402" s="2">
        <v>13.66236740257758</v>
      </c>
      <c r="G402" s="2">
        <v>13.71402260524286</v>
      </c>
      <c r="H402" s="2">
        <v>14.887200959074676</v>
      </c>
    </row>
    <row r="403" spans="1:8" x14ac:dyDescent="0.2">
      <c r="A403" s="16">
        <f>DATE(2020,2,18)</f>
        <v>43879</v>
      </c>
      <c r="B403" s="2">
        <v>73.002103248807387</v>
      </c>
      <c r="C403" s="2">
        <v>47.160947801301042</v>
      </c>
      <c r="D403" s="2">
        <v>11.357626747395377</v>
      </c>
      <c r="E403" s="2">
        <v>12.333322326421149</v>
      </c>
      <c r="F403" s="2">
        <v>13.694200910195997</v>
      </c>
      <c r="G403" s="2">
        <v>13.745999783569784</v>
      </c>
      <c r="H403" s="2">
        <v>14.92245693380152</v>
      </c>
    </row>
    <row r="404" spans="1:8" x14ac:dyDescent="0.2">
      <c r="A404" s="16">
        <f>DATE(2020,2,19)</f>
        <v>43880</v>
      </c>
      <c r="B404" s="2">
        <v>74.774125519940824</v>
      </c>
      <c r="C404" s="2">
        <v>49.132398058115619</v>
      </c>
      <c r="D404" s="2">
        <v>11.37999433878838</v>
      </c>
      <c r="E404" s="2">
        <v>12.36140939334911</v>
      </c>
      <c r="F404" s="2">
        <v>13.726043333449645</v>
      </c>
      <c r="G404" s="2">
        <v>13.777985954102867</v>
      </c>
      <c r="H404" s="2">
        <v>14.95772372769486</v>
      </c>
    </row>
    <row r="405" spans="1:8" x14ac:dyDescent="0.2">
      <c r="A405" s="16">
        <f>DATE(2020,2,20)</f>
        <v>43881</v>
      </c>
      <c r="B405" s="2">
        <v>72.021082431305857</v>
      </c>
      <c r="C405" s="2">
        <v>46.660437755902542</v>
      </c>
      <c r="D405" s="2">
        <v>11.402366422995748</v>
      </c>
      <c r="E405" s="2">
        <v>12.389503482978004</v>
      </c>
      <c r="F405" s="2">
        <v>13.757894674835525</v>
      </c>
      <c r="G405" s="2">
        <v>13.809981119370773</v>
      </c>
      <c r="H405" s="2">
        <v>14.993001344074797</v>
      </c>
    </row>
    <row r="406" spans="1:8" x14ac:dyDescent="0.2">
      <c r="A406" s="16">
        <f>DATE(2020,2,21)</f>
        <v>43882</v>
      </c>
      <c r="B406" s="2">
        <v>72.177405637118497</v>
      </c>
      <c r="C406" s="2">
        <v>45.502346720798357</v>
      </c>
      <c r="D406" s="2">
        <v>11.424743000919912</v>
      </c>
      <c r="E406" s="2">
        <v>12.417604597063757</v>
      </c>
      <c r="F406" s="2">
        <v>13.789754936851374</v>
      </c>
      <c r="G406" s="2">
        <v>13.841985281902881</v>
      </c>
      <c r="H406" s="2">
        <v>15.028289786262494</v>
      </c>
    </row>
    <row r="407" spans="1:8" x14ac:dyDescent="0.2">
      <c r="A407" s="16">
        <f>DATE(2020,2,26)</f>
        <v>43887</v>
      </c>
      <c r="B407" s="2">
        <v>58.78949668088196</v>
      </c>
      <c r="C407" s="2">
        <v>35.31023175387773</v>
      </c>
      <c r="D407" s="2">
        <v>11.447124073463488</v>
      </c>
      <c r="E407" s="2">
        <v>12.445712737362703</v>
      </c>
      <c r="F407" s="2">
        <v>13.821624121995567</v>
      </c>
      <c r="G407" s="2">
        <v>13.873998444229274</v>
      </c>
      <c r="H407" s="2">
        <v>15.063589057580119</v>
      </c>
    </row>
    <row r="408" spans="1:8" x14ac:dyDescent="0.2">
      <c r="A408" s="16">
        <f>DATE(2020,2,27)</f>
        <v>43888</v>
      </c>
      <c r="B408" s="2">
        <v>54.603393292269089</v>
      </c>
      <c r="C408" s="2">
        <v>31.809989210331889</v>
      </c>
      <c r="D408" s="2">
        <v>11.469509641529285</v>
      </c>
      <c r="E408" s="2">
        <v>12.473827905631628</v>
      </c>
      <c r="F408" s="2">
        <v>13.853502232767223</v>
      </c>
      <c r="G408" s="2">
        <v>13.906020608880777</v>
      </c>
      <c r="H408" s="2">
        <v>15.098899161350854</v>
      </c>
    </row>
    <row r="409" spans="1:8" x14ac:dyDescent="0.2">
      <c r="A409" s="16">
        <f>DATE(2020,2,28)</f>
        <v>43889</v>
      </c>
      <c r="B409" s="2">
        <v>56.069032015430878</v>
      </c>
      <c r="C409" s="2">
        <v>33.330564454507353</v>
      </c>
      <c r="D409" s="2">
        <v>11.491899706020291</v>
      </c>
      <c r="E409" s="2">
        <v>12.501950103627779</v>
      </c>
      <c r="F409" s="2">
        <v>13.88538927166616</v>
      </c>
      <c r="G409" s="2">
        <v>13.938051778388916</v>
      </c>
      <c r="H409" s="2">
        <v>15.13422010089891</v>
      </c>
    </row>
    <row r="410" spans="1:8" x14ac:dyDescent="0.2">
      <c r="A410" s="16">
        <f>DATE(2020,3,2)</f>
        <v>43892</v>
      </c>
      <c r="B410" s="2">
        <v>59.557974889731312</v>
      </c>
      <c r="C410" s="2">
        <v>36.471266589274506</v>
      </c>
      <c r="D410" s="2">
        <v>11.514294267839652</v>
      </c>
      <c r="E410" s="2">
        <v>12.52865925479818</v>
      </c>
      <c r="F410" s="2">
        <v>13.915847656975933</v>
      </c>
      <c r="G410" s="2">
        <v>13.968653704672308</v>
      </c>
      <c r="H410" s="2">
        <v>15.168098492298387</v>
      </c>
    </row>
    <row r="411" spans="1:8" x14ac:dyDescent="0.2">
      <c r="A411" s="16">
        <f>DATE(2020,3,3)</f>
        <v>43893</v>
      </c>
      <c r="B411" s="2">
        <v>58.078000773277452</v>
      </c>
      <c r="C411" s="2">
        <v>35.078375483007157</v>
      </c>
      <c r="D411" s="2">
        <v>11.536693327890735</v>
      </c>
      <c r="E411" s="2">
        <v>12.555374747003167</v>
      </c>
      <c r="F411" s="2">
        <v>13.946314188310781</v>
      </c>
      <c r="G411" s="2">
        <v>13.999263850140411</v>
      </c>
      <c r="H411" s="2">
        <v>15.201986852457816</v>
      </c>
    </row>
    <row r="412" spans="1:8" x14ac:dyDescent="0.2">
      <c r="A412" s="16">
        <f>DATE(2020,3,4)</f>
        <v>43894</v>
      </c>
      <c r="B412" s="2">
        <v>61.811767503872339</v>
      </c>
      <c r="C412" s="2">
        <v>37.237691395015695</v>
      </c>
      <c r="D412" s="2">
        <v>11.559096887077057</v>
      </c>
      <c r="E412" s="2">
        <v>12.582096581748161</v>
      </c>
      <c r="F412" s="2">
        <v>13.97678886784932</v>
      </c>
      <c r="G412" s="2">
        <v>14.029882217000743</v>
      </c>
      <c r="H412" s="2">
        <v>15.235885184310538</v>
      </c>
    </row>
    <row r="413" spans="1:8" x14ac:dyDescent="0.2">
      <c r="A413" s="16">
        <f>DATE(2020,3,5)</f>
        <v>43895</v>
      </c>
      <c r="B413" s="2">
        <v>52.365452997319252</v>
      </c>
      <c r="C413" s="2">
        <v>30.849670358362836</v>
      </c>
      <c r="D413" s="2">
        <v>11.581504946302323</v>
      </c>
      <c r="E413" s="2">
        <v>12.608824760538949</v>
      </c>
      <c r="F413" s="2">
        <v>14.007271697770785</v>
      </c>
      <c r="G413" s="2">
        <v>14.060508807461458</v>
      </c>
      <c r="H413" s="2">
        <v>15.269793490790716</v>
      </c>
    </row>
    <row r="414" spans="1:8" x14ac:dyDescent="0.2">
      <c r="A414" s="16">
        <f>DATE(2020,3,6)</f>
        <v>43896</v>
      </c>
      <c r="B414" s="2">
        <v>43.608603489186891</v>
      </c>
      <c r="C414" s="2">
        <v>25.427356608127649</v>
      </c>
      <c r="D414" s="2">
        <v>11.603917506470429</v>
      </c>
      <c r="E414" s="2">
        <v>12.635559284881669</v>
      </c>
      <c r="F414" s="2">
        <v>14.037762680254984</v>
      </c>
      <c r="G414" s="2">
        <v>14.091143623731273</v>
      </c>
      <c r="H414" s="2">
        <v>15.303711774833427</v>
      </c>
    </row>
    <row r="415" spans="1:8" x14ac:dyDescent="0.2">
      <c r="A415" s="16">
        <f>DATE(2020,3,9)</f>
        <v>43899</v>
      </c>
      <c r="B415" s="2">
        <v>24.6002090785177</v>
      </c>
      <c r="C415" s="2">
        <v>10.15854284445339</v>
      </c>
      <c r="D415" s="2">
        <v>11.626334568485429</v>
      </c>
      <c r="E415" s="2">
        <v>12.662300156282846</v>
      </c>
      <c r="F415" s="2">
        <v>14.068261817482286</v>
      </c>
      <c r="G415" s="2">
        <v>14.12178666801951</v>
      </c>
      <c r="H415" s="2">
        <v>15.337640039374545</v>
      </c>
    </row>
    <row r="416" spans="1:8" x14ac:dyDescent="0.2">
      <c r="A416" s="16">
        <f>DATE(2020,3,10)</f>
        <v>43900</v>
      </c>
      <c r="B416" s="2">
        <v>35.819934153883871</v>
      </c>
      <c r="C416" s="2">
        <v>18.026514681243967</v>
      </c>
      <c r="D416" s="2">
        <v>11.648756133251648</v>
      </c>
      <c r="E416" s="2">
        <v>12.689047376249318</v>
      </c>
      <c r="F416" s="2">
        <v>14.098769111633658</v>
      </c>
      <c r="G416" s="2">
        <v>14.152437942536091</v>
      </c>
      <c r="H416" s="2">
        <v>15.371578287350873</v>
      </c>
    </row>
    <row r="417" spans="1:8" x14ac:dyDescent="0.2">
      <c r="A417" s="16">
        <f>DATE(2020,3,11)</f>
        <v>43901</v>
      </c>
      <c r="B417" s="2">
        <v>25.889498512725194</v>
      </c>
      <c r="C417" s="2">
        <v>9.0116510495927393</v>
      </c>
      <c r="D417" s="2">
        <v>11.671182201673425</v>
      </c>
      <c r="E417" s="2">
        <v>12.715800946288303</v>
      </c>
      <c r="F417" s="2">
        <v>14.129284564890643</v>
      </c>
      <c r="G417" s="2">
        <v>14.183097449491511</v>
      </c>
      <c r="H417" s="2">
        <v>15.405526521700041</v>
      </c>
    </row>
    <row r="418" spans="1:8" x14ac:dyDescent="0.2">
      <c r="A418" s="16">
        <f>DATE(2020,3,12)</f>
        <v>43902</v>
      </c>
      <c r="B418" s="2">
        <v>4.393993204083313</v>
      </c>
      <c r="C418" s="2">
        <v>-7.1006638909616893</v>
      </c>
      <c r="D418" s="2">
        <v>11.693612774655415</v>
      </c>
      <c r="E418" s="2">
        <v>12.742560867907393</v>
      </c>
      <c r="F418" s="2">
        <v>14.159808179435386</v>
      </c>
      <c r="G418" s="2">
        <v>14.213765191096872</v>
      </c>
      <c r="H418" s="2">
        <v>15.439484745360543</v>
      </c>
    </row>
    <row r="419" spans="1:8" x14ac:dyDescent="0.2">
      <c r="A419" s="16">
        <f>DATE(2020,3,13)</f>
        <v>43903</v>
      </c>
      <c r="B419" s="2">
        <v>21.263136212361179</v>
      </c>
      <c r="C419" s="2">
        <v>5.82054593416379</v>
      </c>
      <c r="D419" s="2">
        <v>11.716047853102429</v>
      </c>
      <c r="E419" s="2">
        <v>12.769327142614495</v>
      </c>
      <c r="F419" s="2">
        <v>14.190339957450604</v>
      </c>
      <c r="G419" s="2">
        <v>14.244441169563871</v>
      </c>
      <c r="H419" s="2">
        <v>15.473452961271761</v>
      </c>
    </row>
    <row r="420" spans="1:8" x14ac:dyDescent="0.2">
      <c r="A420" s="16">
        <f>DATE(2020,3,16)</f>
        <v>43906</v>
      </c>
      <c r="B420" s="2">
        <v>3.396858375495726</v>
      </c>
      <c r="C420" s="2">
        <v>-8.9110754726399612</v>
      </c>
      <c r="D420" s="2">
        <v>11.738487437919431</v>
      </c>
      <c r="E420" s="2">
        <v>12.796099771917936</v>
      </c>
      <c r="F420" s="2">
        <v>14.22087990111962</v>
      </c>
      <c r="G420" s="2">
        <v>14.275125387104826</v>
      </c>
      <c r="H420" s="2">
        <v>15.507431172373941</v>
      </c>
    </row>
    <row r="421" spans="1:8" x14ac:dyDescent="0.2">
      <c r="A421" s="16">
        <f>DATE(2020,3,17)</f>
        <v>43907</v>
      </c>
      <c r="B421" s="2">
        <v>6.7719564046142322</v>
      </c>
      <c r="C421" s="2">
        <v>-4.4964117634259892</v>
      </c>
      <c r="D421" s="2">
        <v>11.760931530011588</v>
      </c>
      <c r="E421" s="2">
        <v>12.822878757326285</v>
      </c>
      <c r="F421" s="2">
        <v>14.251428012626265</v>
      </c>
      <c r="G421" s="2">
        <v>14.305817845932545</v>
      </c>
      <c r="H421" s="2">
        <v>15.541419381608113</v>
      </c>
    </row>
    <row r="422" spans="1:8" x14ac:dyDescent="0.2">
      <c r="A422" s="16">
        <f>DATE(2020,3,18)</f>
        <v>43908</v>
      </c>
      <c r="B422" s="2">
        <v>-7.4627919588910796</v>
      </c>
      <c r="C422" s="2">
        <v>-14.380272442317532</v>
      </c>
      <c r="D422" s="2">
        <v>11.783380130284238</v>
      </c>
      <c r="E422" s="2">
        <v>12.849664100348622</v>
      </c>
      <c r="F422" s="2">
        <v>14.281984294155061</v>
      </c>
      <c r="G422" s="2">
        <v>14.336518548260567</v>
      </c>
      <c r="H422" s="2">
        <v>15.575417591916318</v>
      </c>
    </row>
    <row r="423" spans="1:8" x14ac:dyDescent="0.2">
      <c r="A423" s="16">
        <f>DATE(2020,3,19)</f>
        <v>43909</v>
      </c>
      <c r="B423" s="2">
        <v>-6.9186191875956427</v>
      </c>
      <c r="C423" s="2">
        <v>-12.541229203010884</v>
      </c>
      <c r="D423" s="2">
        <v>11.805833239642928</v>
      </c>
      <c r="E423" s="2">
        <v>12.876455802494302</v>
      </c>
      <c r="F423" s="2">
        <v>14.31254874789103</v>
      </c>
      <c r="G423" s="2">
        <v>14.367227496302949</v>
      </c>
      <c r="H423" s="2">
        <v>15.60942580624134</v>
      </c>
    </row>
    <row r="424" spans="1:8" x14ac:dyDescent="0.2">
      <c r="A424" s="16">
        <f>DATE(2020,3,20)</f>
        <v>43910</v>
      </c>
      <c r="B424" s="2">
        <v>-7.8214961440142172</v>
      </c>
      <c r="C424" s="2">
        <v>-14.157042786217399</v>
      </c>
      <c r="D424" s="2">
        <v>11.826155345623658</v>
      </c>
      <c r="E424" s="2">
        <v>12.903253865273046</v>
      </c>
      <c r="F424" s="2">
        <v>14.34312137601983</v>
      </c>
      <c r="G424" s="2">
        <v>14.397944692274356</v>
      </c>
      <c r="H424" s="2">
        <v>15.643444027526886</v>
      </c>
    </row>
    <row r="425" spans="1:8" x14ac:dyDescent="0.2">
      <c r="A425" s="16">
        <f>DATE(2020,3,23)</f>
        <v>43913</v>
      </c>
      <c r="B425" s="2">
        <v>-13.677690592979141</v>
      </c>
      <c r="C425" s="2">
        <v>-18.636406106209769</v>
      </c>
      <c r="D425" s="2">
        <v>11.846481145400857</v>
      </c>
      <c r="E425" s="2">
        <v>12.930058290194912</v>
      </c>
      <c r="F425" s="2">
        <v>14.373702180727665</v>
      </c>
      <c r="G425" s="2">
        <v>14.428670138390064</v>
      </c>
      <c r="H425" s="2">
        <v>15.677472258717517</v>
      </c>
    </row>
    <row r="426" spans="1:8" x14ac:dyDescent="0.2">
      <c r="A426" s="16">
        <f>DATE(2020,3,24)</f>
        <v>43914</v>
      </c>
      <c r="B426" s="2">
        <v>-5.1648044627072398</v>
      </c>
      <c r="C426" s="2">
        <v>-10.752550546970907</v>
      </c>
      <c r="D426" s="2">
        <v>11.866810639645919</v>
      </c>
      <c r="E426" s="2">
        <v>12.95686907877036</v>
      </c>
      <c r="F426" s="2">
        <v>14.404291164201366</v>
      </c>
      <c r="G426" s="2">
        <v>14.459403836865903</v>
      </c>
      <c r="H426" s="2">
        <v>15.711510502758674</v>
      </c>
    </row>
    <row r="427" spans="1:8" x14ac:dyDescent="0.2">
      <c r="A427" s="16">
        <f>DATE(2020,3,25)</f>
        <v>43915</v>
      </c>
      <c r="B427" s="2">
        <v>4.1385242537601119</v>
      </c>
      <c r="C427" s="2">
        <v>-4.0633787403862698</v>
      </c>
      <c r="D427" s="2">
        <v>11.887143829030355</v>
      </c>
      <c r="E427" s="2">
        <v>12.983686232510182</v>
      </c>
      <c r="F427" s="2">
        <v>14.434888328628315</v>
      </c>
      <c r="G427" s="2">
        <v>14.490145789918341</v>
      </c>
      <c r="H427" s="2">
        <v>15.745558762596644</v>
      </c>
    </row>
    <row r="428" spans="1:8" x14ac:dyDescent="0.2">
      <c r="A428" s="16">
        <f>DATE(2020,3,26)</f>
        <v>43916</v>
      </c>
      <c r="B428" s="2">
        <v>9.0893756328564326</v>
      </c>
      <c r="C428" s="2">
        <v>-0.53838267611927559</v>
      </c>
      <c r="D428" s="2">
        <v>11.907480714225782</v>
      </c>
      <c r="E428" s="2">
        <v>13.010509752925548</v>
      </c>
      <c r="F428" s="2">
        <v>14.465493676196473</v>
      </c>
      <c r="G428" s="2">
        <v>14.520895999764406</v>
      </c>
      <c r="H428" s="2">
        <v>15.779617041178584</v>
      </c>
    </row>
    <row r="429" spans="1:8" x14ac:dyDescent="0.2">
      <c r="A429" s="16">
        <f>DATE(2020,3,27)</f>
        <v>43917</v>
      </c>
      <c r="B429" s="2">
        <v>2.5573552121951337</v>
      </c>
      <c r="C429" s="2">
        <v>-6.0175373702648356</v>
      </c>
      <c r="D429" s="2">
        <v>11.927821295903994</v>
      </c>
      <c r="E429" s="2">
        <v>13.037339641527955</v>
      </c>
      <c r="F429" s="2">
        <v>14.496107209094422</v>
      </c>
      <c r="G429" s="2">
        <v>14.551654468621766</v>
      </c>
      <c r="H429" s="2">
        <v>15.81368534145251</v>
      </c>
    </row>
    <row r="430" spans="1:8" x14ac:dyDescent="0.2">
      <c r="A430" s="16">
        <f>DATE(2020,3,30)</f>
        <v>43920</v>
      </c>
      <c r="B430" s="2">
        <v>2.4991442896810989</v>
      </c>
      <c r="C430" s="2">
        <v>-4.4679464945098557</v>
      </c>
      <c r="D430" s="2">
        <v>11.948165574736858</v>
      </c>
      <c r="E430" s="2">
        <v>13.064175899829291</v>
      </c>
      <c r="F430" s="2">
        <v>14.5267289295113</v>
      </c>
      <c r="G430" s="2">
        <v>14.582421198708628</v>
      </c>
      <c r="H430" s="2">
        <v>15.847763666367332</v>
      </c>
    </row>
    <row r="431" spans="1:8" x14ac:dyDescent="0.2">
      <c r="A431" s="16">
        <f>DATE(2020,3,31)</f>
        <v>43921</v>
      </c>
      <c r="B431" s="2">
        <v>-0.8926044406807554</v>
      </c>
      <c r="C431" s="2">
        <v>-6.5410474553406761</v>
      </c>
      <c r="D431" s="2">
        <v>11.968513551396365</v>
      </c>
      <c r="E431" s="2">
        <v>13.091018529341779</v>
      </c>
      <c r="F431" s="2">
        <v>14.557358839636848</v>
      </c>
      <c r="G431" s="2">
        <v>14.613196192243837</v>
      </c>
      <c r="H431" s="2">
        <v>15.881852018872801</v>
      </c>
    </row>
    <row r="432" spans="1:8" x14ac:dyDescent="0.2">
      <c r="A432" s="16">
        <f>DATE(2020,4,1)</f>
        <v>43922</v>
      </c>
      <c r="B432" s="2">
        <v>-4.4025802465997739</v>
      </c>
      <c r="C432" s="2">
        <v>-9.1687859895585149</v>
      </c>
      <c r="D432" s="2">
        <v>11.988865226554667</v>
      </c>
      <c r="E432" s="2">
        <v>13.095599407463276</v>
      </c>
      <c r="F432" s="2">
        <v>14.565439411240799</v>
      </c>
      <c r="G432" s="2">
        <v>14.621410900437715</v>
      </c>
      <c r="H432" s="2">
        <v>15.893131453624697</v>
      </c>
    </row>
    <row r="433" spans="1:8" x14ac:dyDescent="0.2">
      <c r="A433" s="16">
        <f>DATE(2020,4,2)</f>
        <v>43923</v>
      </c>
      <c r="B433" s="2">
        <v>-3.5655964222193415</v>
      </c>
      <c r="C433" s="2">
        <v>-7.5218449180407987</v>
      </c>
      <c r="D433" s="2">
        <v>12.009220600884007</v>
      </c>
      <c r="E433" s="2">
        <v>13.10018047113839</v>
      </c>
      <c r="F433" s="2">
        <v>14.573520552826812</v>
      </c>
      <c r="G433" s="2">
        <v>14.629626197407021</v>
      </c>
      <c r="H433" s="2">
        <v>15.904411986267686</v>
      </c>
    </row>
    <row r="434" spans="1:8" x14ac:dyDescent="0.2">
      <c r="A434" s="16">
        <f>DATE(2020,4,3)</f>
        <v>43924</v>
      </c>
      <c r="B434" s="2">
        <v>-7.6709966917265167</v>
      </c>
      <c r="C434" s="2">
        <v>-10.997961098319141</v>
      </c>
      <c r="D434" s="2">
        <v>12.029579675056734</v>
      </c>
      <c r="E434" s="2">
        <v>13.104761720374579</v>
      </c>
      <c r="F434" s="2">
        <v>14.581602264435034</v>
      </c>
      <c r="G434" s="2">
        <v>14.637842083193876</v>
      </c>
      <c r="H434" s="2">
        <v>15.915693616908566</v>
      </c>
    </row>
    <row r="435" spans="1:8" x14ac:dyDescent="0.2">
      <c r="A435" s="16">
        <f>DATE(2020,4,6)</f>
        <v>43927</v>
      </c>
      <c r="B435" s="2">
        <v>-1.1326557464856224</v>
      </c>
      <c r="C435" s="2">
        <v>-5.1930173057060376</v>
      </c>
      <c r="D435" s="2">
        <v>12.049942449745354</v>
      </c>
      <c r="E435" s="2">
        <v>13.109343155179397</v>
      </c>
      <c r="F435" s="2">
        <v>14.58968454610574</v>
      </c>
      <c r="G435" s="2">
        <v>14.646058557840558</v>
      </c>
      <c r="H435" s="2">
        <v>15.92697634565423</v>
      </c>
    </row>
    <row r="436" spans="1:8" x14ac:dyDescent="0.2">
      <c r="A436" s="16">
        <f>DATE(2020,4,7)</f>
        <v>43928</v>
      </c>
      <c r="B436" s="2">
        <v>2.2358423243350245</v>
      </c>
      <c r="C436" s="2">
        <v>-2.2682749202294739</v>
      </c>
      <c r="D436" s="2">
        <v>12.070308925622486</v>
      </c>
      <c r="E436" s="2">
        <v>13.113924775560347</v>
      </c>
      <c r="F436" s="2">
        <v>14.597767397879101</v>
      </c>
      <c r="G436" s="2">
        <v>14.654275621389257</v>
      </c>
      <c r="H436" s="2">
        <v>15.938260172611574</v>
      </c>
    </row>
    <row r="437" spans="1:8" x14ac:dyDescent="0.2">
      <c r="A437" s="16">
        <f>DATE(2020,4,8)</f>
        <v>43929</v>
      </c>
      <c r="B437" s="2">
        <v>7.997969625732293</v>
      </c>
      <c r="C437" s="2">
        <v>0.63268667853566551</v>
      </c>
      <c r="D437" s="2">
        <v>12.09067910336088</v>
      </c>
      <c r="E437" s="2">
        <v>13.118506581524958</v>
      </c>
      <c r="F437" s="2">
        <v>14.605850819795352</v>
      </c>
      <c r="G437" s="2">
        <v>14.662493273882182</v>
      </c>
      <c r="H437" s="2">
        <v>15.949545097887485</v>
      </c>
    </row>
    <row r="438" spans="1:8" x14ac:dyDescent="0.2">
      <c r="A438" s="16">
        <f>DATE(2020,4,9)</f>
        <v>43930</v>
      </c>
      <c r="B438" s="2">
        <v>8.0216593954021818</v>
      </c>
      <c r="C438" s="2">
        <v>-0.57386186921084548</v>
      </c>
      <c r="D438" s="2">
        <v>12.111052983633375</v>
      </c>
      <c r="E438" s="2">
        <v>13.123088573080732</v>
      </c>
      <c r="F438" s="2">
        <v>14.613934811894701</v>
      </c>
      <c r="G438" s="2">
        <v>14.670711515361523</v>
      </c>
      <c r="H438" s="2">
        <v>15.960831121588861</v>
      </c>
    </row>
    <row r="439" spans="1:8" x14ac:dyDescent="0.2">
      <c r="A439" s="16">
        <f>DATE(2020,4,13)</f>
        <v>43934</v>
      </c>
      <c r="B439" s="2">
        <v>9.4497120657306866</v>
      </c>
      <c r="C439" s="2">
        <v>0.90300434018553144</v>
      </c>
      <c r="D439" s="2">
        <v>12.131430567112943</v>
      </c>
      <c r="E439" s="2">
        <v>13.127670750235199</v>
      </c>
      <c r="F439" s="2">
        <v>14.622019374217365</v>
      </c>
      <c r="G439" s="2">
        <v>14.678930345869512</v>
      </c>
      <c r="H439" s="2">
        <v>15.97211824382263</v>
      </c>
    </row>
    <row r="440" spans="1:8" x14ac:dyDescent="0.2">
      <c r="A440" s="16">
        <f>DATE(2020,4,14)</f>
        <v>43935</v>
      </c>
      <c r="B440" s="2">
        <v>12.366778311525817</v>
      </c>
      <c r="C440" s="2">
        <v>2.2885615439848239</v>
      </c>
      <c r="D440" s="2">
        <v>12.151811854472715</v>
      </c>
      <c r="E440" s="2">
        <v>13.132253112995883</v>
      </c>
      <c r="F440" s="2">
        <v>14.630104506803553</v>
      </c>
      <c r="G440" s="2">
        <v>14.68714976544836</v>
      </c>
      <c r="H440" s="2">
        <v>15.983406464695715</v>
      </c>
    </row>
    <row r="441" spans="1:8" x14ac:dyDescent="0.2">
      <c r="A441" s="16">
        <f>DATE(2020,4,15)</f>
        <v>43936</v>
      </c>
      <c r="B441" s="2">
        <v>13.022454007316897</v>
      </c>
      <c r="C441" s="2">
        <v>0.89742391876133087</v>
      </c>
      <c r="D441" s="2">
        <v>12.172196846385908</v>
      </c>
      <c r="E441" s="2">
        <v>13.136835661370293</v>
      </c>
      <c r="F441" s="2">
        <v>14.638190209693501</v>
      </c>
      <c r="G441" s="2">
        <v>14.6953697741403</v>
      </c>
      <c r="H441" s="2">
        <v>15.99469578431505</v>
      </c>
    </row>
    <row r="442" spans="1:8" x14ac:dyDescent="0.2">
      <c r="A442" s="16">
        <f>DATE(2020,4,16)</f>
        <v>43937</v>
      </c>
      <c r="B442" s="2">
        <v>12.591283344592807</v>
      </c>
      <c r="C442" s="2">
        <v>-0.4075883492064114</v>
      </c>
      <c r="D442" s="2">
        <v>12.192585543525869</v>
      </c>
      <c r="E442" s="2">
        <v>13.141418395365934</v>
      </c>
      <c r="F442" s="2">
        <v>14.646276482927423</v>
      </c>
      <c r="G442" s="2">
        <v>14.703590371987518</v>
      </c>
      <c r="H442" s="2">
        <v>16.005986202787593</v>
      </c>
    </row>
    <row r="443" spans="1:8" x14ac:dyDescent="0.2">
      <c r="A443" s="16">
        <f>DATE(2020,4,17)</f>
        <v>43938</v>
      </c>
      <c r="B443" s="2">
        <v>13.832230745542118</v>
      </c>
      <c r="C443" s="2">
        <v>1.1007125276620844</v>
      </c>
      <c r="D443" s="2">
        <v>12.212977946566062</v>
      </c>
      <c r="E443" s="2">
        <v>13.146001314990373</v>
      </c>
      <c r="F443" s="2">
        <v>14.654363326545594</v>
      </c>
      <c r="G443" s="2">
        <v>14.711811559032295</v>
      </c>
      <c r="H443" s="2">
        <v>16.017277720220324</v>
      </c>
    </row>
    <row r="444" spans="1:8" x14ac:dyDescent="0.2">
      <c r="A444" s="16">
        <f>DATE(2020,4,20)</f>
        <v>43941</v>
      </c>
      <c r="B444" s="2">
        <v>14.423042335051139</v>
      </c>
      <c r="C444" s="2">
        <v>1.0782756497798918</v>
      </c>
      <c r="D444" s="2">
        <v>12.233374056180081</v>
      </c>
      <c r="E444" s="2">
        <v>13.150584420251077</v>
      </c>
      <c r="F444" s="2">
        <v>14.662450740588207</v>
      </c>
      <c r="G444" s="2">
        <v>14.72003333531684</v>
      </c>
      <c r="H444" s="2">
        <v>16.028570336720161</v>
      </c>
    </row>
    <row r="445" spans="1:8" x14ac:dyDescent="0.2">
      <c r="A445" s="16">
        <f>DATE(2020,4,22)</f>
        <v>43943</v>
      </c>
      <c r="B445" s="2">
        <v>19.097977312377299</v>
      </c>
      <c r="C445" s="2">
        <v>3.2725459904799692</v>
      </c>
      <c r="D445" s="2">
        <v>12.25377387304165</v>
      </c>
      <c r="E445" s="2">
        <v>13.15516771115559</v>
      </c>
      <c r="F445" s="2">
        <v>14.670538725095517</v>
      </c>
      <c r="G445" s="2">
        <v>14.728255700883386</v>
      </c>
      <c r="H445" s="2">
        <v>16.039864052394126</v>
      </c>
    </row>
    <row r="446" spans="1:8" x14ac:dyDescent="0.2">
      <c r="A446" s="16">
        <f>DATE(2020,4,23)</f>
        <v>43944</v>
      </c>
      <c r="B446" s="2">
        <v>17.307286207590877</v>
      </c>
      <c r="C446" s="2">
        <v>1.9749060223754222</v>
      </c>
      <c r="D446" s="2">
        <v>12.274177397824616</v>
      </c>
      <c r="E446" s="2">
        <v>13.1597511877114</v>
      </c>
      <c r="F446" s="2">
        <v>14.678627280107737</v>
      </c>
      <c r="G446" s="2">
        <v>14.736478655774119</v>
      </c>
      <c r="H446" s="2">
        <v>16.051158867349159</v>
      </c>
    </row>
    <row r="447" spans="1:8" x14ac:dyDescent="0.2">
      <c r="A447" s="16">
        <f>DATE(2020,4,24)</f>
        <v>43945</v>
      </c>
      <c r="B447" s="2">
        <v>7.571562642586116</v>
      </c>
      <c r="C447" s="2">
        <v>-3.5833601048505082</v>
      </c>
      <c r="D447" s="2">
        <v>12.29458463120292</v>
      </c>
      <c r="E447" s="2">
        <v>13.164334849926052</v>
      </c>
      <c r="F447" s="2">
        <v>14.686716405665146</v>
      </c>
      <c r="G447" s="2">
        <v>14.744702200031368</v>
      </c>
      <c r="H447" s="2">
        <v>16.062454781692281</v>
      </c>
    </row>
    <row r="448" spans="1:8" x14ac:dyDescent="0.2">
      <c r="A448" s="16">
        <f>DATE(2020,4,27)</f>
        <v>43948</v>
      </c>
      <c r="B448" s="2">
        <v>12.982605872002505</v>
      </c>
      <c r="C448" s="2">
        <v>0.13861459638575546</v>
      </c>
      <c r="D448" s="2">
        <v>12.314995573850673</v>
      </c>
      <c r="E448" s="2">
        <v>13.168918697807076</v>
      </c>
      <c r="F448" s="2">
        <v>14.694806101807979</v>
      </c>
      <c r="G448" s="2">
        <v>14.752926333697314</v>
      </c>
      <c r="H448" s="2">
        <v>16.073751795530502</v>
      </c>
    </row>
    <row r="449" spans="1:8" x14ac:dyDescent="0.2">
      <c r="A449" s="16">
        <f>DATE(2020,4,28)</f>
        <v>43949</v>
      </c>
      <c r="B449" s="2">
        <v>20.345245237906195</v>
      </c>
      <c r="C449" s="2">
        <v>4.072594115215189</v>
      </c>
      <c r="D449" s="2">
        <v>12.335410226442045</v>
      </c>
      <c r="E449" s="2">
        <v>13.173502731361998</v>
      </c>
      <c r="F449" s="2">
        <v>14.702896368576489</v>
      </c>
      <c r="G449" s="2">
        <v>14.76115105681426</v>
      </c>
      <c r="H449" s="2">
        <v>16.085049908970859</v>
      </c>
    </row>
    <row r="450" spans="1:8" x14ac:dyDescent="0.2">
      <c r="A450" s="16">
        <f>DATE(2020,4,29)</f>
        <v>43950</v>
      </c>
      <c r="B450" s="2">
        <v>24.419335624601214</v>
      </c>
      <c r="C450" s="2">
        <v>6.4514023368654527</v>
      </c>
      <c r="D450" s="2">
        <v>12.355828589651384</v>
      </c>
      <c r="E450" s="2">
        <v>13.178086950598299</v>
      </c>
      <c r="F450" s="2">
        <v>14.710987206010874</v>
      </c>
      <c r="G450" s="2">
        <v>14.769376369424347</v>
      </c>
      <c r="H450" s="2">
        <v>16.096349122120369</v>
      </c>
    </row>
    <row r="451" spans="1:8" x14ac:dyDescent="0.2">
      <c r="A451" s="16">
        <f>DATE(2020,4,30)</f>
        <v>43951</v>
      </c>
      <c r="B451" s="2">
        <v>20.435444667976732</v>
      </c>
      <c r="C451" s="2">
        <v>3.0405489291606136</v>
      </c>
      <c r="D451" s="2">
        <v>12.376250664153154</v>
      </c>
      <c r="E451" s="2">
        <v>13.182671355523533</v>
      </c>
      <c r="F451" s="2">
        <v>14.719078614151448</v>
      </c>
      <c r="G451" s="2">
        <v>14.777602271569924</v>
      </c>
      <c r="H451" s="2">
        <v>16.107649435086071</v>
      </c>
    </row>
    <row r="452" spans="1:8" x14ac:dyDescent="0.2">
      <c r="A452" s="16">
        <f>DATE(2020,5,4)</f>
        <v>43955</v>
      </c>
      <c r="B452" s="2">
        <v>18.250876213213708</v>
      </c>
      <c r="C452" s="2">
        <v>0.95471283228143466</v>
      </c>
      <c r="D452" s="2">
        <v>12.396676450621902</v>
      </c>
      <c r="E452" s="2">
        <v>13.186121356239155</v>
      </c>
      <c r="F452" s="2">
        <v>14.72602056701635</v>
      </c>
      <c r="G452" s="2">
        <v>14.784678149281151</v>
      </c>
      <c r="H452" s="2">
        <v>16.117786870737174</v>
      </c>
    </row>
    <row r="453" spans="1:8" x14ac:dyDescent="0.2">
      <c r="A453" s="16">
        <f>DATE(2020,5,5)</f>
        <v>43956</v>
      </c>
      <c r="B453" s="2">
        <v>19.428507481970978</v>
      </c>
      <c r="C453" s="2">
        <v>1.7156980070471617</v>
      </c>
      <c r="D453" s="2">
        <v>12.417105949732354</v>
      </c>
      <c r="E453" s="2">
        <v>13.189571462116678</v>
      </c>
      <c r="F453" s="2">
        <v>14.73296293995705</v>
      </c>
      <c r="G453" s="2">
        <v>14.791754463210305</v>
      </c>
      <c r="H453" s="2">
        <v>16.127925191494484</v>
      </c>
    </row>
    <row r="454" spans="1:8" x14ac:dyDescent="0.2">
      <c r="A454" s="16">
        <f>DATE(2020,5,6)</f>
        <v>43957</v>
      </c>
      <c r="B454" s="2">
        <v>18.924528811545869</v>
      </c>
      <c r="C454" s="2">
        <v>1.1946453552590608</v>
      </c>
      <c r="D454" s="2">
        <v>12.437539162159306</v>
      </c>
      <c r="E454" s="2">
        <v>13.193021673159301</v>
      </c>
      <c r="F454" s="2">
        <v>14.739905732998992</v>
      </c>
      <c r="G454" s="2">
        <v>14.798831213384235</v>
      </c>
      <c r="H454" s="2">
        <v>16.138064397435279</v>
      </c>
    </row>
    <row r="455" spans="1:8" x14ac:dyDescent="0.2">
      <c r="A455" s="16">
        <f>DATE(2020,5,7)</f>
        <v>43958</v>
      </c>
      <c r="B455" s="2">
        <v>15.952449606901165</v>
      </c>
      <c r="C455" s="2">
        <v>-1.5013381492212652E-2</v>
      </c>
      <c r="D455" s="2">
        <v>12.457976088577706</v>
      </c>
      <c r="E455" s="2">
        <v>13.19647198937024</v>
      </c>
      <c r="F455" s="2">
        <v>14.74684894616758</v>
      </c>
      <c r="G455" s="2">
        <v>14.805908399829869</v>
      </c>
      <c r="H455" s="2">
        <v>16.148204488636853</v>
      </c>
    </row>
    <row r="456" spans="1:8" x14ac:dyDescent="0.2">
      <c r="A456" s="16">
        <f>DATE(2020,5,8)</f>
        <v>43959</v>
      </c>
      <c r="B456" s="2">
        <v>17.567026501893125</v>
      </c>
      <c r="C456" s="2">
        <v>2.7301187887413425</v>
      </c>
      <c r="D456" s="2">
        <v>12.475175346555778</v>
      </c>
      <c r="E456" s="2">
        <v>13.199922410752697</v>
      </c>
      <c r="F456" s="2">
        <v>14.753792579488234</v>
      </c>
      <c r="G456" s="2">
        <v>14.812986022574082</v>
      </c>
      <c r="H456" s="2">
        <v>16.158345465176495</v>
      </c>
    </row>
    <row r="457" spans="1:8" x14ac:dyDescent="0.2">
      <c r="A457" s="16">
        <f>DATE(2020,5,11)</f>
        <v>43962</v>
      </c>
      <c r="B457" s="2">
        <v>15.702724571897653</v>
      </c>
      <c r="C457" s="2">
        <v>1.1958228753760958</v>
      </c>
      <c r="D457" s="2">
        <v>12.492377234978447</v>
      </c>
      <c r="E457" s="2">
        <v>13.203372937309886</v>
      </c>
      <c r="F457" s="2">
        <v>14.760736632986381</v>
      </c>
      <c r="G457" s="2">
        <v>14.82006408164378</v>
      </c>
      <c r="H457" s="2">
        <v>16.168487327131498</v>
      </c>
    </row>
    <row r="458" spans="1:8" x14ac:dyDescent="0.2">
      <c r="A458" s="16">
        <f>DATE(2020,5,12)</f>
        <v>43963</v>
      </c>
      <c r="B458" s="2">
        <v>13.249057010998722</v>
      </c>
      <c r="C458" s="2">
        <v>-0.33066556764793642</v>
      </c>
      <c r="D458" s="2">
        <v>12.509581754248011</v>
      </c>
      <c r="E458" s="2">
        <v>13.206823569044991</v>
      </c>
      <c r="F458" s="2">
        <v>14.767681106687448</v>
      </c>
      <c r="G458" s="2">
        <v>14.827142577065876</v>
      </c>
      <c r="H458" s="2">
        <v>16.178630074579178</v>
      </c>
    </row>
    <row r="459" spans="1:8" x14ac:dyDescent="0.2">
      <c r="A459" s="16">
        <f>DATE(2020,5,13)</f>
        <v>43964</v>
      </c>
      <c r="B459" s="2">
        <v>12.955434269494036</v>
      </c>
      <c r="C459" s="2">
        <v>-0.45833690642431701</v>
      </c>
      <c r="D459" s="2">
        <v>12.526788904766818</v>
      </c>
      <c r="E459" s="2">
        <v>13.2102743059612</v>
      </c>
      <c r="F459" s="2">
        <v>14.774626000616854</v>
      </c>
      <c r="G459" s="2">
        <v>14.834221508867239</v>
      </c>
      <c r="H459" s="2">
        <v>16.188773707596816</v>
      </c>
    </row>
    <row r="460" spans="1:8" x14ac:dyDescent="0.2">
      <c r="A460" s="16">
        <f>DATE(2020,5,14)</f>
        <v>43965</v>
      </c>
      <c r="B460" s="2">
        <v>15.570330650370545</v>
      </c>
      <c r="C460" s="2">
        <v>1.1269763459246462</v>
      </c>
      <c r="D460" s="2">
        <v>12.543998686937273</v>
      </c>
      <c r="E460" s="2">
        <v>13.213725148061783</v>
      </c>
      <c r="F460" s="2">
        <v>14.781571314800045</v>
      </c>
      <c r="G460" s="2">
        <v>14.841300877074826</v>
      </c>
      <c r="H460" s="2">
        <v>16.198918226261782</v>
      </c>
    </row>
    <row r="461" spans="1:8" x14ac:dyDescent="0.2">
      <c r="A461" s="16">
        <f>DATE(2020,5,15)</f>
        <v>43966</v>
      </c>
      <c r="B461" s="2">
        <v>12.509200798719244</v>
      </c>
      <c r="C461" s="2">
        <v>-0.73426058776178138</v>
      </c>
      <c r="D461" s="2">
        <v>12.561211101161931</v>
      </c>
      <c r="E461" s="2">
        <v>13.217176095349913</v>
      </c>
      <c r="F461" s="2">
        <v>14.788517049262451</v>
      </c>
      <c r="G461" s="2">
        <v>14.848380681715478</v>
      </c>
      <c r="H461" s="2">
        <v>16.209063630651379</v>
      </c>
    </row>
    <row r="462" spans="1:8" x14ac:dyDescent="0.2">
      <c r="A462" s="16">
        <f>DATE(2020,5,18)</f>
        <v>43969</v>
      </c>
      <c r="B462" s="2">
        <v>18.665897381204942</v>
      </c>
      <c r="C462" s="2">
        <v>3.9216411558639308</v>
      </c>
      <c r="D462" s="2">
        <v>12.578426147843279</v>
      </c>
      <c r="E462" s="2">
        <v>13.220627147828813</v>
      </c>
      <c r="F462" s="2">
        <v>14.79546320402949</v>
      </c>
      <c r="G462" s="2">
        <v>14.855460922816155</v>
      </c>
      <c r="H462" s="2">
        <v>16.21920992084296</v>
      </c>
    </row>
    <row r="463" spans="1:8" x14ac:dyDescent="0.2">
      <c r="A463" s="16">
        <f>DATE(2020,5,19)</f>
        <v>43970</v>
      </c>
      <c r="B463" s="2">
        <v>17.917502916423178</v>
      </c>
      <c r="C463" s="2">
        <v>3.3431971975020902</v>
      </c>
      <c r="D463" s="2">
        <v>12.595643827383919</v>
      </c>
      <c r="E463" s="2">
        <v>13.224078305501608</v>
      </c>
      <c r="F463" s="2">
        <v>14.802409779126569</v>
      </c>
      <c r="G463" s="2">
        <v>14.862541600403677</v>
      </c>
      <c r="H463" s="2">
        <v>16.229357096913777</v>
      </c>
    </row>
    <row r="464" spans="1:8" x14ac:dyDescent="0.2">
      <c r="A464" s="16">
        <f>DATE(2020,5,20)</f>
        <v>43971</v>
      </c>
      <c r="B464" s="2">
        <v>19.470329395136531</v>
      </c>
      <c r="C464" s="2">
        <v>4.0818350883075727</v>
      </c>
      <c r="D464" s="2">
        <v>12.612864140186542</v>
      </c>
      <c r="E464" s="2">
        <v>13.227529568371654</v>
      </c>
      <c r="F464" s="2">
        <v>14.809356774579239</v>
      </c>
      <c r="G464" s="2">
        <v>14.86962271450507</v>
      </c>
      <c r="H464" s="2">
        <v>16.239505158941324</v>
      </c>
    </row>
    <row r="465" spans="1:8" x14ac:dyDescent="0.2">
      <c r="A465" s="16">
        <f>DATE(2020,5,21)</f>
        <v>43972</v>
      </c>
      <c r="B465" s="2">
        <v>23.395361852693529</v>
      </c>
      <c r="C465" s="2">
        <v>6.2674660151055051</v>
      </c>
      <c r="D465" s="2">
        <v>12.630087086653875</v>
      </c>
      <c r="E465" s="2">
        <v>13.230980936442037</v>
      </c>
      <c r="F465" s="2">
        <v>14.81630419041282</v>
      </c>
      <c r="G465" s="2">
        <v>14.876704265147177</v>
      </c>
      <c r="H465" s="2">
        <v>16.249654107002854</v>
      </c>
    </row>
    <row r="466" spans="1:8" x14ac:dyDescent="0.2">
      <c r="A466" s="16">
        <f>DATE(2020,5,22)</f>
        <v>43973</v>
      </c>
      <c r="B466" s="2">
        <v>22.199638359543194</v>
      </c>
      <c r="C466" s="2">
        <v>5.174573756916323</v>
      </c>
      <c r="D466" s="2">
        <v>12.647312667188704</v>
      </c>
      <c r="E466" s="2">
        <v>13.234432409716025</v>
      </c>
      <c r="F466" s="2">
        <v>14.823252026652799</v>
      </c>
      <c r="G466" s="2">
        <v>14.88378625235689</v>
      </c>
      <c r="H466" s="2">
        <v>16.259803941175765</v>
      </c>
    </row>
    <row r="467" spans="1:8" x14ac:dyDescent="0.2">
      <c r="A467" s="16">
        <f>DATE(2020,5,25)</f>
        <v>43976</v>
      </c>
      <c r="B467" s="2">
        <v>30.790153838019997</v>
      </c>
      <c r="C467" s="2">
        <v>9.6418162991822385</v>
      </c>
      <c r="D467" s="2">
        <v>12.66454088219391</v>
      </c>
      <c r="E467" s="2">
        <v>13.237883988196787</v>
      </c>
      <c r="F467" s="2">
        <v>14.830200283324602</v>
      </c>
      <c r="G467" s="2">
        <v>14.890868676161183</v>
      </c>
      <c r="H467" s="2">
        <v>16.269954661537401</v>
      </c>
    </row>
    <row r="468" spans="1:8" x14ac:dyDescent="0.2">
      <c r="A468" s="16">
        <f>DATE(2020,5,26)</f>
        <v>43977</v>
      </c>
      <c r="B468" s="2">
        <v>30.854933670640978</v>
      </c>
      <c r="C468" s="2">
        <v>9.3927835935609938</v>
      </c>
      <c r="D468" s="2">
        <v>12.681771732072322</v>
      </c>
      <c r="E468" s="2">
        <v>13.241335671887544</v>
      </c>
      <c r="F468" s="2">
        <v>14.837148960453671</v>
      </c>
      <c r="G468" s="2">
        <v>14.897951536586906</v>
      </c>
      <c r="H468" s="2">
        <v>16.280106268165142</v>
      </c>
    </row>
    <row r="469" spans="1:8" x14ac:dyDescent="0.2">
      <c r="A469" s="16">
        <f>DATE(2020,5,27)</f>
        <v>43978</v>
      </c>
      <c r="B469" s="2">
        <v>35.820147055764508</v>
      </c>
      <c r="C469" s="2">
        <v>12.563563687839396</v>
      </c>
      <c r="D469" s="2">
        <v>12.699005217227</v>
      </c>
      <c r="E469" s="2">
        <v>13.244787460791496</v>
      </c>
      <c r="F469" s="2">
        <v>14.844098058065457</v>
      </c>
      <c r="G469" s="2">
        <v>14.905034833661013</v>
      </c>
      <c r="H469" s="2">
        <v>16.290258761136368</v>
      </c>
    </row>
    <row r="470" spans="1:8" x14ac:dyDescent="0.2">
      <c r="A470" s="16">
        <f>DATE(2020,5,28)</f>
        <v>43979</v>
      </c>
      <c r="B470" s="2">
        <v>35.322280443494257</v>
      </c>
      <c r="C470" s="2">
        <v>11.287285470553643</v>
      </c>
      <c r="D470" s="2">
        <v>12.716241338060952</v>
      </c>
      <c r="E470" s="2">
        <v>13.248239354911862</v>
      </c>
      <c r="F470" s="2">
        <v>14.851047576185383</v>
      </c>
      <c r="G470" s="2">
        <v>14.912118567410415</v>
      </c>
      <c r="H470" s="2">
        <v>16.300412140528465</v>
      </c>
    </row>
    <row r="471" spans="1:8" x14ac:dyDescent="0.2">
      <c r="A471" s="16">
        <f>DATE(2020,5,29)</f>
        <v>43980</v>
      </c>
      <c r="B471" s="2">
        <v>35.302094683942187</v>
      </c>
      <c r="C471" s="2">
        <v>11.867726093461783</v>
      </c>
      <c r="D471" s="2">
        <v>12.73348009497728</v>
      </c>
      <c r="E471" s="2">
        <v>13.251691354251838</v>
      </c>
      <c r="F471" s="2">
        <v>14.857997514838917</v>
      </c>
      <c r="G471" s="2">
        <v>14.919202737862047</v>
      </c>
      <c r="H471" s="2">
        <v>16.310566406418836</v>
      </c>
    </row>
    <row r="472" spans="1:8" x14ac:dyDescent="0.2">
      <c r="A472" s="16">
        <f>DATE(2020,6,1)</f>
        <v>43983</v>
      </c>
      <c r="B472" s="2">
        <v>39.197382974600451</v>
      </c>
      <c r="C472" s="2">
        <v>13.426033177909202</v>
      </c>
      <c r="D472" s="2">
        <v>12.750721488379146</v>
      </c>
      <c r="E472" s="2">
        <v>13.28547722459701</v>
      </c>
      <c r="F472" s="2">
        <v>14.895712802857419</v>
      </c>
      <c r="G472" s="2">
        <v>14.957068702746289</v>
      </c>
      <c r="H472" s="2">
        <v>16.351876395792452</v>
      </c>
    </row>
    <row r="473" spans="1:8" x14ac:dyDescent="0.2">
      <c r="A473" s="16">
        <f>DATE(2020,6,2)</f>
        <v>43984</v>
      </c>
      <c r="B473" s="2">
        <v>44.674044337792537</v>
      </c>
      <c r="C473" s="2">
        <v>16.531460905692153</v>
      </c>
      <c r="D473" s="2">
        <v>12.767965518669765</v>
      </c>
      <c r="E473" s="2">
        <v>13.319273174129711</v>
      </c>
      <c r="F473" s="2">
        <v>14.933440475237303</v>
      </c>
      <c r="G473" s="2">
        <v>14.99494714449483</v>
      </c>
      <c r="H473" s="2">
        <v>16.39320105722275</v>
      </c>
    </row>
    <row r="474" spans="1:8" x14ac:dyDescent="0.2">
      <c r="A474" s="16">
        <f>DATE(2020,6,3)</f>
        <v>43985</v>
      </c>
      <c r="B474" s="2">
        <v>49.050965472327171</v>
      </c>
      <c r="C474" s="2">
        <v>19.034663888401806</v>
      </c>
      <c r="D474" s="2">
        <v>12.785212186252437</v>
      </c>
      <c r="E474" s="2">
        <v>13.353079205856822</v>
      </c>
      <c r="F474" s="2">
        <v>14.97118053604518</v>
      </c>
      <c r="G474" s="2">
        <v>15.032838067218799</v>
      </c>
      <c r="H474" s="2">
        <v>16.434540395920784</v>
      </c>
    </row>
    <row r="475" spans="1:8" x14ac:dyDescent="0.2">
      <c r="A475" s="16">
        <f>DATE(2020,6,4)</f>
        <v>43986</v>
      </c>
      <c r="B475" s="2">
        <v>49.981768058747917</v>
      </c>
      <c r="C475" s="2">
        <v>20.092473726582405</v>
      </c>
      <c r="D475" s="2">
        <v>12.80246149153048</v>
      </c>
      <c r="E475" s="2">
        <v>13.38689532278612</v>
      </c>
      <c r="F475" s="2">
        <v>15.008932989348954</v>
      </c>
      <c r="G475" s="2">
        <v>15.070741475030671</v>
      </c>
      <c r="H475" s="2">
        <v>16.475894417099468</v>
      </c>
    </row>
    <row r="476" spans="1:8" x14ac:dyDescent="0.2">
      <c r="A476" s="16">
        <f>DATE(2020,6,5)</f>
        <v>43987</v>
      </c>
      <c r="B476" s="2">
        <v>52.542458733738677</v>
      </c>
      <c r="C476" s="2">
        <v>21.127219529427133</v>
      </c>
      <c r="D476" s="2">
        <v>12.819713434907332</v>
      </c>
      <c r="E476" s="2">
        <v>13.420721527926238</v>
      </c>
      <c r="F476" s="2">
        <v>15.04669783921786</v>
      </c>
      <c r="G476" s="2">
        <v>15.108657372044275</v>
      </c>
      <c r="H476" s="2">
        <v>16.517263125973571</v>
      </c>
    </row>
    <row r="477" spans="1:8" x14ac:dyDescent="0.2">
      <c r="A477" s="16">
        <f>DATE(2020,6,8)</f>
        <v>43990</v>
      </c>
      <c r="B477" s="2">
        <v>58.619875978445052</v>
      </c>
      <c r="C477" s="2">
        <v>24.976699180727579</v>
      </c>
      <c r="D477" s="2">
        <v>12.836968016786443</v>
      </c>
      <c r="E477" s="2">
        <v>13.454557824286841</v>
      </c>
      <c r="F477" s="2">
        <v>15.084475089722551</v>
      </c>
      <c r="G477" s="2">
        <v>15.14658576237491</v>
      </c>
      <c r="H477" s="2">
        <v>16.55864652775978</v>
      </c>
    </row>
    <row r="478" spans="1:8" x14ac:dyDescent="0.2">
      <c r="A478" s="16">
        <f>DATE(2020,6,9)</f>
        <v>43991</v>
      </c>
      <c r="B478" s="2">
        <v>57.243043952218379</v>
      </c>
      <c r="C478" s="2">
        <v>23.827183563867038</v>
      </c>
      <c r="D478" s="2">
        <v>12.854225237571359</v>
      </c>
      <c r="E478" s="2">
        <v>13.488404214878313</v>
      </c>
      <c r="F478" s="2">
        <v>15.122264744934901</v>
      </c>
      <c r="G478" s="2">
        <v>15.184526650139031</v>
      </c>
      <c r="H478" s="2">
        <v>16.600044627676503</v>
      </c>
    </row>
    <row r="479" spans="1:8" x14ac:dyDescent="0.2">
      <c r="A479" s="16">
        <f>DATE(2020,6,10)</f>
        <v>43992</v>
      </c>
      <c r="B479" s="2">
        <v>52.22463170968603</v>
      </c>
      <c r="C479" s="2">
        <v>21.189832881737303</v>
      </c>
      <c r="D479" s="2">
        <v>12.871485097665669</v>
      </c>
      <c r="E479" s="2">
        <v>13.52226070271203</v>
      </c>
      <c r="F479" s="2">
        <v>15.160066808928185</v>
      </c>
      <c r="G479" s="2">
        <v>15.22248003945459</v>
      </c>
      <c r="H479" s="2">
        <v>16.641457430944094</v>
      </c>
    </row>
    <row r="480" spans="1:8" x14ac:dyDescent="0.2">
      <c r="A480" s="16">
        <f>DATE(2020,6,12)</f>
        <v>43994</v>
      </c>
      <c r="B480" s="2">
        <v>49.159483335038878</v>
      </c>
      <c r="C480" s="2">
        <v>18.769888250781076</v>
      </c>
      <c r="D480" s="2">
        <v>12.888747597473026</v>
      </c>
      <c r="E480" s="2">
        <v>13.556127290800291</v>
      </c>
      <c r="F480" s="2">
        <v>15.197881285777015</v>
      </c>
      <c r="G480" s="2">
        <v>15.260445934440847</v>
      </c>
      <c r="H480" s="2">
        <v>16.68288494278476</v>
      </c>
    </row>
    <row r="481" spans="1:8" x14ac:dyDescent="0.2">
      <c r="A481" s="16">
        <f>DATE(2020,6,15)</f>
        <v>43997</v>
      </c>
      <c r="B481" s="2">
        <v>48.915644149942139</v>
      </c>
      <c r="C481" s="2">
        <v>18.232644697383748</v>
      </c>
      <c r="D481" s="2">
        <v>12.906012737397132</v>
      </c>
      <c r="E481" s="2">
        <v>13.59000398215624</v>
      </c>
      <c r="F481" s="2">
        <v>15.235708179557328</v>
      </c>
      <c r="G481" s="2">
        <v>15.298424339218442</v>
      </c>
      <c r="H481" s="2">
        <v>16.724327168422516</v>
      </c>
    </row>
    <row r="482" spans="1:8" x14ac:dyDescent="0.2">
      <c r="A482" s="16">
        <f>DATE(2020,6,16)</f>
        <v>43998</v>
      </c>
      <c r="B482" s="2">
        <v>50.135558619272878</v>
      </c>
      <c r="C482" s="2">
        <v>19.711776353092205</v>
      </c>
      <c r="D482" s="2">
        <v>12.923280517841773</v>
      </c>
      <c r="E482" s="2">
        <v>13.623890779793935</v>
      </c>
      <c r="F482" s="2">
        <v>15.273547494346396</v>
      </c>
      <c r="G482" s="2">
        <v>15.336415257909342</v>
      </c>
      <c r="H482" s="2">
        <v>16.765784113083249</v>
      </c>
    </row>
    <row r="483" spans="1:8" x14ac:dyDescent="0.2">
      <c r="A483" s="16">
        <f>DATE(2020,6,17)</f>
        <v>43999</v>
      </c>
      <c r="B483" s="2">
        <v>53.673961261704576</v>
      </c>
      <c r="C483" s="2">
        <v>22.292234894784713</v>
      </c>
      <c r="D483" s="2">
        <v>12.940550939210803</v>
      </c>
      <c r="E483" s="2">
        <v>13.657787686728341</v>
      </c>
      <c r="F483" s="2">
        <v>15.311399234222867</v>
      </c>
      <c r="G483" s="2">
        <v>15.374418694636915</v>
      </c>
      <c r="H483" s="2">
        <v>16.807255781994733</v>
      </c>
    </row>
    <row r="484" spans="1:8" x14ac:dyDescent="0.2">
      <c r="A484" s="16">
        <f>DATE(2020,6,18)</f>
        <v>44000</v>
      </c>
      <c r="B484" s="2">
        <v>54.802908967103541</v>
      </c>
      <c r="C484" s="2">
        <v>23.031960711785302</v>
      </c>
      <c r="D484" s="2">
        <v>12.957824001908103</v>
      </c>
      <c r="E484" s="2">
        <v>13.691694705975332</v>
      </c>
      <c r="F484" s="2">
        <v>15.349263403266677</v>
      </c>
      <c r="G484" s="2">
        <v>15.412434653525843</v>
      </c>
      <c r="H484" s="2">
        <v>16.848742180386566</v>
      </c>
    </row>
    <row r="485" spans="1:8" x14ac:dyDescent="0.2">
      <c r="A485" s="16">
        <f>DATE(2020,6,19)</f>
        <v>44001</v>
      </c>
      <c r="B485" s="2">
        <v>55.16026920910555</v>
      </c>
      <c r="C485" s="2">
        <v>23.603902711240067</v>
      </c>
      <c r="D485" s="2">
        <v>12.971820193682593</v>
      </c>
      <c r="E485" s="2">
        <v>13.725611840551633</v>
      </c>
      <c r="F485" s="2">
        <v>15.387140005559097</v>
      </c>
      <c r="G485" s="2">
        <v>15.450463138702174</v>
      </c>
      <c r="H485" s="2">
        <v>16.890243313490181</v>
      </c>
    </row>
    <row r="486" spans="1:8" x14ac:dyDescent="0.2">
      <c r="A486" s="16">
        <f>DATE(2020,6,22)</f>
        <v>44004</v>
      </c>
      <c r="B486" s="2">
        <v>54.470507035143157</v>
      </c>
      <c r="C486" s="2">
        <v>22.021750844422705</v>
      </c>
      <c r="D486" s="2">
        <v>12.985818119674143</v>
      </c>
      <c r="E486" s="2">
        <v>13.759539093474983</v>
      </c>
      <c r="F486" s="2">
        <v>15.425029045182836</v>
      </c>
      <c r="G486" s="2">
        <v>15.488504154293414</v>
      </c>
      <c r="H486" s="2">
        <v>16.931759186538976</v>
      </c>
    </row>
    <row r="487" spans="1:8" x14ac:dyDescent="0.2">
      <c r="A487" s="16">
        <f>DATE(2020,6,23)</f>
        <v>44005</v>
      </c>
      <c r="B487" s="2">
        <v>55.427882437533249</v>
      </c>
      <c r="C487" s="2">
        <v>22.83987134312806</v>
      </c>
      <c r="D487" s="2">
        <v>12.999817780097622</v>
      </c>
      <c r="E487" s="2">
        <v>13.793476467763877</v>
      </c>
      <c r="F487" s="2">
        <v>15.462930526221808</v>
      </c>
      <c r="G487" s="2">
        <v>15.526557704428257</v>
      </c>
      <c r="H487" s="2">
        <v>16.973289804768065</v>
      </c>
    </row>
    <row r="488" spans="1:8" x14ac:dyDescent="0.2">
      <c r="A488" s="16">
        <f>DATE(2020,6,24)</f>
        <v>44006</v>
      </c>
      <c r="B488" s="2">
        <v>51.648962766432938</v>
      </c>
      <c r="C488" s="2">
        <v>20.794826078998764</v>
      </c>
      <c r="D488" s="2">
        <v>13.01381917516793</v>
      </c>
      <c r="E488" s="2">
        <v>13.82742396643779</v>
      </c>
      <c r="F488" s="2">
        <v>15.500844452761342</v>
      </c>
      <c r="G488" s="2">
        <v>15.564623793236866</v>
      </c>
      <c r="H488" s="2">
        <v>17.014835173414511</v>
      </c>
    </row>
    <row r="489" spans="1:8" x14ac:dyDescent="0.2">
      <c r="A489" s="16">
        <f>DATE(2020,6,25)</f>
        <v>44007</v>
      </c>
      <c r="B489" s="2">
        <v>53.637825602932693</v>
      </c>
      <c r="C489" s="2">
        <v>22.850021054571613</v>
      </c>
      <c r="D489" s="2">
        <v>13.027822305100001</v>
      </c>
      <c r="E489" s="2">
        <v>13.861381592517086</v>
      </c>
      <c r="F489" s="2">
        <v>15.538770828888104</v>
      </c>
      <c r="G489" s="2">
        <v>15.602702424850756</v>
      </c>
      <c r="H489" s="2">
        <v>17.056395297717209</v>
      </c>
    </row>
    <row r="490" spans="1:8" x14ac:dyDescent="0.2">
      <c r="A490" s="16">
        <f>DATE(2020,6,26)</f>
        <v>44008</v>
      </c>
      <c r="B490" s="2">
        <v>49.014479412543487</v>
      </c>
      <c r="C490" s="2">
        <v>20.099999616026022</v>
      </c>
      <c r="D490" s="2">
        <v>13.0418271701088</v>
      </c>
      <c r="E490" s="2">
        <v>13.895349349023034</v>
      </c>
      <c r="F490" s="2">
        <v>15.576709658690113</v>
      </c>
      <c r="G490" s="2">
        <v>15.640793603402781</v>
      </c>
      <c r="H490" s="2">
        <v>17.097970182916946</v>
      </c>
    </row>
    <row r="491" spans="1:8" x14ac:dyDescent="0.2">
      <c r="A491" s="16">
        <f>DATE(2020,6,29)</f>
        <v>44011</v>
      </c>
      <c r="B491" s="2">
        <v>53.448675588408783</v>
      </c>
      <c r="C491" s="2">
        <v>22.532935365664763</v>
      </c>
      <c r="D491" s="2">
        <v>13.055833770409331</v>
      </c>
      <c r="E491" s="2">
        <v>13.929327238977773</v>
      </c>
      <c r="F491" s="2">
        <v>15.614660946256699</v>
      </c>
      <c r="G491" s="2">
        <v>15.678897333027164</v>
      </c>
      <c r="H491" s="2">
        <v>17.139559834256325</v>
      </c>
    </row>
    <row r="492" spans="1:8" x14ac:dyDescent="0.2">
      <c r="A492" s="16">
        <f>DATE(2020,6,30)</f>
        <v>44012</v>
      </c>
      <c r="B492" s="2">
        <v>52.515845998666698</v>
      </c>
      <c r="C492" s="2">
        <v>21.663195968785455</v>
      </c>
      <c r="D492" s="2">
        <v>13.069842106216578</v>
      </c>
      <c r="E492" s="2">
        <v>13.963315265404397</v>
      </c>
      <c r="F492" s="2">
        <v>15.65262469567854</v>
      </c>
      <c r="G492" s="2">
        <v>15.717013617859488</v>
      </c>
      <c r="H492" s="2">
        <v>17.18116425697982</v>
      </c>
    </row>
    <row r="493" spans="1:8" x14ac:dyDescent="0.2">
      <c r="A493" s="16">
        <f>DATE(2020,7,1)</f>
        <v>44013</v>
      </c>
      <c r="B493" s="2">
        <v>55.588876178351001</v>
      </c>
      <c r="C493" s="2">
        <v>23.131742742572303</v>
      </c>
      <c r="D493" s="2">
        <v>13.083852177745614</v>
      </c>
      <c r="E493" s="2">
        <v>14.00281295671031</v>
      </c>
      <c r="F493" s="2">
        <v>15.69618212500079</v>
      </c>
      <c r="G493" s="2">
        <v>15.760726789641222</v>
      </c>
      <c r="H493" s="2">
        <v>17.228438586737617</v>
      </c>
    </row>
    <row r="494" spans="1:8" x14ac:dyDescent="0.2">
      <c r="A494" s="16">
        <f>DATE(2020,7,2)</f>
        <v>44014</v>
      </c>
      <c r="B494" s="2">
        <v>55.212997908194758</v>
      </c>
      <c r="C494" s="2">
        <v>23.172392784873441</v>
      </c>
      <c r="D494" s="2">
        <v>13.09786398521149</v>
      </c>
      <c r="E494" s="2">
        <v>14.042324337225033</v>
      </c>
      <c r="F494" s="2">
        <v>15.739755959049283</v>
      </c>
      <c r="G494" s="2">
        <v>15.804456474477746</v>
      </c>
      <c r="H494" s="2">
        <v>17.275731988351083</v>
      </c>
    </row>
    <row r="495" spans="1:8" x14ac:dyDescent="0.2">
      <c r="A495" s="16">
        <f>DATE(2020,7,3)</f>
        <v>44015</v>
      </c>
      <c r="B495" s="2">
        <v>56.821387342282478</v>
      </c>
      <c r="C495" s="2">
        <v>23.850605974890637</v>
      </c>
      <c r="D495" s="2">
        <v>13.111877528829297</v>
      </c>
      <c r="E495" s="2">
        <v>14.081849411692993</v>
      </c>
      <c r="F495" s="2">
        <v>15.783346204002434</v>
      </c>
      <c r="G495" s="2">
        <v>15.848202678607048</v>
      </c>
      <c r="H495" s="2">
        <v>17.323044469514404</v>
      </c>
    </row>
    <row r="496" spans="1:8" x14ac:dyDescent="0.2">
      <c r="A496" s="16">
        <f>DATE(2020,7,6)</f>
        <v>44018</v>
      </c>
      <c r="B496" s="2">
        <v>60.632894307478402</v>
      </c>
      <c r="C496" s="2">
        <v>26.630974154713314</v>
      </c>
      <c r="D496" s="2">
        <v>13.125892808814156</v>
      </c>
      <c r="E496" s="2">
        <v>14.121388184860283</v>
      </c>
      <c r="F496" s="2">
        <v>15.826952866040966</v>
      </c>
      <c r="G496" s="2">
        <v>15.891965408269426</v>
      </c>
      <c r="H496" s="2">
        <v>17.370376037924796</v>
      </c>
    </row>
    <row r="497" spans="1:8" x14ac:dyDescent="0.2">
      <c r="A497" s="16">
        <f>DATE(2020,7,7)</f>
        <v>44019</v>
      </c>
      <c r="B497" s="2">
        <v>58.129350045598827</v>
      </c>
      <c r="C497" s="2">
        <v>25.125642676400805</v>
      </c>
      <c r="D497" s="2">
        <v>13.139909825381203</v>
      </c>
      <c r="E497" s="2">
        <v>14.160940661474619</v>
      </c>
      <c r="F497" s="2">
        <v>15.870575951347933</v>
      </c>
      <c r="G497" s="2">
        <v>15.935744669707551</v>
      </c>
      <c r="H497" s="2">
        <v>17.417726701282632</v>
      </c>
    </row>
    <row r="498" spans="1:8" x14ac:dyDescent="0.2">
      <c r="A498" s="16">
        <f>DATE(2020,7,8)</f>
        <v>44020</v>
      </c>
      <c r="B498" s="2">
        <v>61.224624036347429</v>
      </c>
      <c r="C498" s="2">
        <v>27.696783450210717</v>
      </c>
      <c r="D498" s="2">
        <v>13.153928578745623</v>
      </c>
      <c r="E498" s="2">
        <v>14.2005068462854</v>
      </c>
      <c r="F498" s="2">
        <v>15.914215466108693</v>
      </c>
      <c r="G498" s="2">
        <v>15.979540469166453</v>
      </c>
      <c r="H498" s="2">
        <v>17.465096467291374</v>
      </c>
    </row>
    <row r="499" spans="1:8" x14ac:dyDescent="0.2">
      <c r="A499" s="16">
        <f>DATE(2020,7,9)</f>
        <v>44021</v>
      </c>
      <c r="B499" s="2">
        <v>62.389272725845423</v>
      </c>
      <c r="C499" s="2">
        <v>26.916612377016325</v>
      </c>
      <c r="D499" s="2">
        <v>13.167949069122621</v>
      </c>
      <c r="E499" s="2">
        <v>14.240086744043623</v>
      </c>
      <c r="F499" s="2">
        <v>15.957871416510971</v>
      </c>
      <c r="G499" s="2">
        <v>16.02335281289351</v>
      </c>
      <c r="H499" s="2">
        <v>17.512485343657612</v>
      </c>
    </row>
    <row r="500" spans="1:8" x14ac:dyDescent="0.2">
      <c r="A500" s="16">
        <f>DATE(2020,7,10)</f>
        <v>44022</v>
      </c>
      <c r="B500" s="2">
        <v>64.451236310131989</v>
      </c>
      <c r="C500" s="2">
        <v>28.032056705273089</v>
      </c>
      <c r="D500" s="2">
        <v>13.181971296727424</v>
      </c>
      <c r="E500" s="2">
        <v>14.279680359501977</v>
      </c>
      <c r="F500" s="2">
        <v>16.00154380874481</v>
      </c>
      <c r="G500" s="2">
        <v>16.067181707138499</v>
      </c>
      <c r="H500" s="2">
        <v>17.559893338091005</v>
      </c>
    </row>
    <row r="501" spans="1:8" x14ac:dyDescent="0.2">
      <c r="A501" s="16">
        <f>DATE(2020,7,13)</f>
        <v>44025</v>
      </c>
      <c r="B501" s="2">
        <v>62.290583833286938</v>
      </c>
      <c r="C501" s="2">
        <v>26.323667002430518</v>
      </c>
      <c r="D501" s="2">
        <v>13.195995261775284</v>
      </c>
      <c r="E501" s="2">
        <v>14.31928769741473</v>
      </c>
      <c r="F501" s="2">
        <v>16.04523264900255</v>
      </c>
      <c r="G501" s="2">
        <v>16.11102715815349</v>
      </c>
      <c r="H501" s="2">
        <v>17.607320458304333</v>
      </c>
    </row>
    <row r="502" spans="1:8" x14ac:dyDescent="0.2">
      <c r="A502" s="16">
        <f>DATE(2020,7,14)</f>
        <v>44026</v>
      </c>
      <c r="B502" s="2">
        <v>63.696246322508209</v>
      </c>
      <c r="C502" s="2">
        <v>28.554773244183075</v>
      </c>
      <c r="D502" s="2">
        <v>13.210020964481473</v>
      </c>
      <c r="E502" s="2">
        <v>14.358908762537936</v>
      </c>
      <c r="F502" s="2">
        <v>16.088937943478964</v>
      </c>
      <c r="G502" s="2">
        <v>16.15488917219303</v>
      </c>
      <c r="H502" s="2">
        <v>17.654766712013561</v>
      </c>
    </row>
    <row r="503" spans="1:8" x14ac:dyDescent="0.2">
      <c r="A503" s="16">
        <f>DATE(2020,7,15)</f>
        <v>44027</v>
      </c>
      <c r="B503" s="2">
        <v>66.322750291331914</v>
      </c>
      <c r="C503" s="2">
        <v>30.283052797698161</v>
      </c>
      <c r="D503" s="2">
        <v>13.224048405061284</v>
      </c>
      <c r="E503" s="2">
        <v>14.398543559629131</v>
      </c>
      <c r="F503" s="2">
        <v>16.132659698371011</v>
      </c>
      <c r="G503" s="2">
        <v>16.198767755513899</v>
      </c>
      <c r="H503" s="2">
        <v>17.702232106937618</v>
      </c>
    </row>
    <row r="504" spans="1:8" x14ac:dyDescent="0.2">
      <c r="A504" s="16">
        <f>DATE(2020,7,16)</f>
        <v>44028</v>
      </c>
      <c r="B504" s="2">
        <v>65.367033749427975</v>
      </c>
      <c r="C504" s="2">
        <v>28.699454628997945</v>
      </c>
      <c r="D504" s="2">
        <v>13.238077583730099</v>
      </c>
      <c r="E504" s="2">
        <v>14.438192093447588</v>
      </c>
      <c r="F504" s="2">
        <v>16.176397919878106</v>
      </c>
      <c r="G504" s="2">
        <v>16.242662914375305</v>
      </c>
      <c r="H504" s="2">
        <v>17.749716650798675</v>
      </c>
    </row>
    <row r="505" spans="1:8" x14ac:dyDescent="0.2">
      <c r="A505" s="16">
        <f>DATE(2020,7,17)</f>
        <v>44029</v>
      </c>
      <c r="B505" s="2">
        <v>69.583484526934569</v>
      </c>
      <c r="C505" s="2">
        <v>31.688026284296853</v>
      </c>
      <c r="D505" s="2">
        <v>13.25210850070324</v>
      </c>
      <c r="E505" s="2">
        <v>14.477854368754217</v>
      </c>
      <c r="F505" s="2">
        <v>16.220152614201933</v>
      </c>
      <c r="G505" s="2">
        <v>16.286574655038802</v>
      </c>
      <c r="H505" s="2">
        <v>17.797220351321986</v>
      </c>
    </row>
    <row r="506" spans="1:8" x14ac:dyDescent="0.2">
      <c r="A506" s="16">
        <f>DATE(2020,7,20)</f>
        <v>44032</v>
      </c>
      <c r="B506" s="2">
        <v>72.179627800497045</v>
      </c>
      <c r="C506" s="2">
        <v>33.65668633039931</v>
      </c>
      <c r="D506" s="2">
        <v>13.26614115619611</v>
      </c>
      <c r="E506" s="2">
        <v>14.517530390311606</v>
      </c>
      <c r="F506" s="2">
        <v>16.263923787546531</v>
      </c>
      <c r="G506" s="2">
        <v>16.330502983768326</v>
      </c>
      <c r="H506" s="2">
        <v>17.844743216235901</v>
      </c>
    </row>
    <row r="507" spans="1:8" x14ac:dyDescent="0.2">
      <c r="A507" s="16">
        <f>DATE(2020,7,21)</f>
        <v>44033</v>
      </c>
      <c r="B507" s="2">
        <v>72.154079574827975</v>
      </c>
      <c r="C507" s="2">
        <v>33.507410057301691</v>
      </c>
      <c r="D507" s="2">
        <v>13.280175550424111</v>
      </c>
      <c r="E507" s="2">
        <v>14.557220162883922</v>
      </c>
      <c r="F507" s="2">
        <v>16.30771144611829</v>
      </c>
      <c r="G507" s="2">
        <v>16.374447906830181</v>
      </c>
      <c r="H507" s="2">
        <v>17.89228525327189</v>
      </c>
    </row>
    <row r="508" spans="1:8" x14ac:dyDescent="0.2">
      <c r="A508" s="16">
        <f>DATE(2020,7,22)</f>
        <v>44034</v>
      </c>
      <c r="B508" s="2">
        <v>72.180958437250624</v>
      </c>
      <c r="C508" s="2">
        <v>33.481594208648872</v>
      </c>
      <c r="D508" s="2">
        <v>13.294211683602676</v>
      </c>
      <c r="E508" s="2">
        <v>14.596923691237063</v>
      </c>
      <c r="F508" s="2">
        <v>16.351515596125932</v>
      </c>
      <c r="G508" s="2">
        <v>16.418409430493021</v>
      </c>
      <c r="H508" s="2">
        <v>17.939846470164554</v>
      </c>
    </row>
    <row r="509" spans="1:8" x14ac:dyDescent="0.2">
      <c r="A509" s="16">
        <f>DATE(2020,7,23)</f>
        <v>44035</v>
      </c>
      <c r="B509" s="2">
        <v>70.90321449460852</v>
      </c>
      <c r="C509" s="2">
        <v>30.926554742526235</v>
      </c>
      <c r="D509" s="2">
        <v>13.308249555947294</v>
      </c>
      <c r="E509" s="2">
        <v>14.636640980138527</v>
      </c>
      <c r="F509" s="2">
        <v>16.395336243780491</v>
      </c>
      <c r="G509" s="2">
        <v>16.462387561027889</v>
      </c>
      <c r="H509" s="2">
        <v>17.987426874651625</v>
      </c>
    </row>
    <row r="510" spans="1:8" x14ac:dyDescent="0.2">
      <c r="A510" s="16">
        <f>DATE(2020,7,24)</f>
        <v>44036</v>
      </c>
      <c r="B510" s="2">
        <v>70.564611795376393</v>
      </c>
      <c r="C510" s="2">
        <v>31.03953267810309</v>
      </c>
      <c r="D510" s="2">
        <v>13.322289167673439</v>
      </c>
      <c r="E510" s="2">
        <v>14.676372034357478</v>
      </c>
      <c r="F510" s="2">
        <v>16.43917339529537</v>
      </c>
      <c r="G510" s="2">
        <v>16.506382304708179</v>
      </c>
      <c r="H510" s="2">
        <v>18.035026474473948</v>
      </c>
    </row>
    <row r="511" spans="1:8" x14ac:dyDescent="0.2">
      <c r="A511" s="16">
        <f>DATE(2020,7,27)</f>
        <v>44039</v>
      </c>
      <c r="B511" s="2">
        <v>72.132266002980614</v>
      </c>
      <c r="C511" s="2">
        <v>33.721590727285019</v>
      </c>
      <c r="D511" s="2">
        <v>13.336330518996652</v>
      </c>
      <c r="E511" s="2">
        <v>14.716116858664718</v>
      </c>
      <c r="F511" s="2">
        <v>16.483027056886289</v>
      </c>
      <c r="G511" s="2">
        <v>16.550393667809661</v>
      </c>
      <c r="H511" s="2">
        <v>18.082645277375462</v>
      </c>
    </row>
    <row r="512" spans="1:8" x14ac:dyDescent="0.2">
      <c r="A512" s="16">
        <f>DATE(2020,7,28)</f>
        <v>44040</v>
      </c>
      <c r="B512" s="2">
        <v>72.617496001547522</v>
      </c>
      <c r="C512" s="2">
        <v>33.250569881339231</v>
      </c>
      <c r="D512" s="2">
        <v>13.35037361013247</v>
      </c>
      <c r="E512" s="2">
        <v>14.755875457832746</v>
      </c>
      <c r="F512" s="2">
        <v>16.526897234771319</v>
      </c>
      <c r="G512" s="2">
        <v>16.594421656610471</v>
      </c>
      <c r="H512" s="2">
        <v>18.130283291103265</v>
      </c>
    </row>
    <row r="513" spans="1:8" x14ac:dyDescent="0.2">
      <c r="A513" s="16">
        <f>DATE(2020,7,29)</f>
        <v>44041</v>
      </c>
      <c r="B513" s="2">
        <v>73.552135257274486</v>
      </c>
      <c r="C513" s="2">
        <v>35.16544797600929</v>
      </c>
      <c r="D513" s="2">
        <v>13.364418441296454</v>
      </c>
      <c r="E513" s="2">
        <v>14.795647836635673</v>
      </c>
      <c r="F513" s="2">
        <v>16.570783935170883</v>
      </c>
      <c r="G513" s="2">
        <v>16.638466277391117</v>
      </c>
      <c r="H513" s="2">
        <v>18.177940523407575</v>
      </c>
    </row>
    <row r="514" spans="1:8" x14ac:dyDescent="0.2">
      <c r="A514" s="16">
        <f>DATE(2020,7,30)</f>
        <v>44042</v>
      </c>
      <c r="B514" s="2">
        <v>72.608545251651663</v>
      </c>
      <c r="C514" s="2">
        <v>34.402018167087519</v>
      </c>
      <c r="D514" s="2">
        <v>13.37846501270421</v>
      </c>
      <c r="E514" s="2">
        <v>14.8354339998493</v>
      </c>
      <c r="F514" s="2">
        <v>16.614687164307785</v>
      </c>
      <c r="G514" s="2">
        <v>16.68252753643451</v>
      </c>
      <c r="H514" s="2">
        <v>18.22561698204175</v>
      </c>
    </row>
    <row r="515" spans="1:8" x14ac:dyDescent="0.2">
      <c r="A515" s="16">
        <f>DATE(2020,7,31)</f>
        <v>44043</v>
      </c>
      <c r="B515" s="2">
        <v>71.693000633338812</v>
      </c>
      <c r="C515" s="2">
        <v>31.718731401261735</v>
      </c>
      <c r="D515" s="2">
        <v>13.392513324571411</v>
      </c>
      <c r="E515" s="2">
        <v>14.87523395225101</v>
      </c>
      <c r="F515" s="2">
        <v>16.658606928407018</v>
      </c>
      <c r="G515" s="2">
        <v>16.726605440025843</v>
      </c>
      <c r="H515" s="2">
        <v>18.273312674762177</v>
      </c>
    </row>
    <row r="516" spans="1:8" x14ac:dyDescent="0.2">
      <c r="A516" s="16">
        <f>DATE(2020,8,3)</f>
        <v>44046</v>
      </c>
      <c r="B516" s="2">
        <v>70.905365690693458</v>
      </c>
      <c r="C516" s="2">
        <v>31.613420145577329</v>
      </c>
      <c r="D516" s="2">
        <v>13.406563377113612</v>
      </c>
      <c r="E516" s="2">
        <v>14.912776543488304</v>
      </c>
      <c r="F516" s="2">
        <v>16.70023675090513</v>
      </c>
      <c r="G516" s="2">
        <v>16.768392164626956</v>
      </c>
      <c r="H516" s="2">
        <v>18.318689139176737</v>
      </c>
    </row>
    <row r="517" spans="1:8" x14ac:dyDescent="0.2">
      <c r="A517" s="16">
        <f>DATE(2020,8,4)</f>
        <v>44047</v>
      </c>
      <c r="B517" s="2">
        <v>67.318878271442586</v>
      </c>
      <c r="C517" s="2">
        <v>29.547525095897488</v>
      </c>
      <c r="D517" s="2">
        <v>13.420615170546579</v>
      </c>
      <c r="E517" s="2">
        <v>14.95033140409039</v>
      </c>
      <c r="F517" s="2">
        <v>16.741881429076244</v>
      </c>
      <c r="G517" s="2">
        <v>16.81019384837419</v>
      </c>
      <c r="H517" s="2">
        <v>18.364083012620181</v>
      </c>
    </row>
    <row r="518" spans="1:8" x14ac:dyDescent="0.2">
      <c r="A518" s="16">
        <f>DATE(2020,8,5)</f>
        <v>44048</v>
      </c>
      <c r="B518" s="2">
        <v>69.653493761997098</v>
      </c>
      <c r="C518" s="2">
        <v>31.577326594163836</v>
      </c>
      <c r="D518" s="2">
        <v>13.434668705085985</v>
      </c>
      <c r="E518" s="2">
        <v>14.987898538067125</v>
      </c>
      <c r="F518" s="2">
        <v>16.783540968221676</v>
      </c>
      <c r="G518" s="2">
        <v>16.852010496622817</v>
      </c>
      <c r="H518" s="2">
        <v>18.409494301771701</v>
      </c>
    </row>
    <row r="519" spans="1:8" x14ac:dyDescent="0.2">
      <c r="A519" s="16">
        <f>DATE(2020,8,6)</f>
        <v>44049</v>
      </c>
      <c r="B519" s="2">
        <v>71.205535165025793</v>
      </c>
      <c r="C519" s="2">
        <v>33.271778042577573</v>
      </c>
      <c r="D519" s="2">
        <v>13.448723980947586</v>
      </c>
      <c r="E519" s="2">
        <v>15.025477949429543</v>
      </c>
      <c r="F519" s="2">
        <v>16.825215373644586</v>
      </c>
      <c r="G519" s="2">
        <v>16.893842114729932</v>
      </c>
      <c r="H519" s="2">
        <v>18.454923013312929</v>
      </c>
    </row>
    <row r="520" spans="1:8" x14ac:dyDescent="0.2">
      <c r="A520" s="16">
        <f>DATE(2020,8,7)</f>
        <v>44050</v>
      </c>
      <c r="B520" s="2">
        <v>69.084464696144423</v>
      </c>
      <c r="C520" s="2">
        <v>31.543780069960036</v>
      </c>
      <c r="D520" s="2">
        <v>13.46167772177964</v>
      </c>
      <c r="E520" s="2">
        <v>15.063069642190063</v>
      </c>
      <c r="F520" s="2">
        <v>16.866904650650017</v>
      </c>
      <c r="G520" s="2">
        <v>16.935688708054531</v>
      </c>
      <c r="H520" s="2">
        <v>18.500369153928098</v>
      </c>
    </row>
    <row r="521" spans="1:8" x14ac:dyDescent="0.2">
      <c r="A521" s="16">
        <f>DATE(2020,8,10)</f>
        <v>44053</v>
      </c>
      <c r="B521" s="2">
        <v>69.987918261822912</v>
      </c>
      <c r="C521" s="2">
        <v>32.399952387230016</v>
      </c>
      <c r="D521" s="2">
        <v>13.474632941688713</v>
      </c>
      <c r="E521" s="2">
        <v>15.100673620362404</v>
      </c>
      <c r="F521" s="2">
        <v>16.908608804544922</v>
      </c>
      <c r="G521" s="2">
        <v>16.977550281957598</v>
      </c>
      <c r="H521" s="2">
        <v>18.545832730304014</v>
      </c>
    </row>
    <row r="522" spans="1:8" x14ac:dyDescent="0.2">
      <c r="A522" s="16">
        <f>DATE(2020,8,11)</f>
        <v>44054</v>
      </c>
      <c r="B522" s="2">
        <v>68.417979794458319</v>
      </c>
      <c r="C522" s="2">
        <v>30.774360267399437</v>
      </c>
      <c r="D522" s="2">
        <v>13.48758964084371</v>
      </c>
      <c r="E522" s="2">
        <v>15.138289887961554</v>
      </c>
      <c r="F522" s="2">
        <v>16.950327840638145</v>
      </c>
      <c r="G522" s="2">
        <v>17.019426841802002</v>
      </c>
      <c r="H522" s="2">
        <v>18.591313749130034</v>
      </c>
    </row>
    <row r="523" spans="1:8" x14ac:dyDescent="0.2">
      <c r="A523" s="16">
        <f>DATE(2020,8,12)</f>
        <v>44055</v>
      </c>
      <c r="B523" s="2">
        <v>67.313875077248994</v>
      </c>
      <c r="C523" s="2">
        <v>30.701904382806642</v>
      </c>
      <c r="D523" s="2">
        <v>13.500547819413523</v>
      </c>
      <c r="E523" s="2">
        <v>15.175918449003856</v>
      </c>
      <c r="F523" s="2">
        <v>16.992061764240439</v>
      </c>
      <c r="G523" s="2">
        <v>17.061318392952508</v>
      </c>
      <c r="H523" s="2">
        <v>18.636812217098097</v>
      </c>
    </row>
    <row r="524" spans="1:8" x14ac:dyDescent="0.2">
      <c r="A524" s="16">
        <f>DATE(2020,8,13)</f>
        <v>44056</v>
      </c>
      <c r="B524" s="2">
        <v>65.856623801090734</v>
      </c>
      <c r="C524" s="2">
        <v>28.580845075470073</v>
      </c>
      <c r="D524" s="2">
        <v>13.513507477567076</v>
      </c>
      <c r="E524" s="2">
        <v>15.213559307506962</v>
      </c>
      <c r="F524" s="2">
        <v>17.033810580664419</v>
      </c>
      <c r="G524" s="2">
        <v>17.103224940775831</v>
      </c>
      <c r="H524" s="2">
        <v>18.682328140902694</v>
      </c>
    </row>
    <row r="525" spans="1:8" x14ac:dyDescent="0.2">
      <c r="A525" s="16">
        <f>DATE(2020,8,14)</f>
        <v>44057</v>
      </c>
      <c r="B525" s="2">
        <v>66.025171123213084</v>
      </c>
      <c r="C525" s="2">
        <v>29.723615549921071</v>
      </c>
      <c r="D525" s="2">
        <v>13.526468615473307</v>
      </c>
      <c r="E525" s="2">
        <v>15.251212467489816</v>
      </c>
      <c r="F525" s="2">
        <v>17.075574295224616</v>
      </c>
      <c r="G525" s="2">
        <v>17.145146490640606</v>
      </c>
      <c r="H525" s="2">
        <v>18.727861527240908</v>
      </c>
    </row>
    <row r="526" spans="1:8" x14ac:dyDescent="0.2">
      <c r="A526" s="16">
        <f>DATE(2020,8,17)</f>
        <v>44060</v>
      </c>
      <c r="B526" s="2">
        <v>61.396959237761578</v>
      </c>
      <c r="C526" s="2">
        <v>27.473476999320344</v>
      </c>
      <c r="D526" s="2">
        <v>13.539431233301171</v>
      </c>
      <c r="E526" s="2">
        <v>15.28887793297269</v>
      </c>
      <c r="F526" s="2">
        <v>17.117352913237461</v>
      </c>
      <c r="G526" s="2">
        <v>17.187083047917383</v>
      </c>
      <c r="H526" s="2">
        <v>18.77341238281236</v>
      </c>
    </row>
    <row r="527" spans="1:8" x14ac:dyDescent="0.2">
      <c r="A527" s="16">
        <f>DATE(2020,8,18)</f>
        <v>44061</v>
      </c>
      <c r="B527" s="2">
        <v>65.557949075378218</v>
      </c>
      <c r="C527" s="2">
        <v>30.63478573613563</v>
      </c>
      <c r="D527" s="2">
        <v>13.552395331219635</v>
      </c>
      <c r="E527" s="2">
        <v>15.326555707977162</v>
      </c>
      <c r="F527" s="2">
        <v>17.159146440021278</v>
      </c>
      <c r="G527" s="2">
        <v>17.229034617978623</v>
      </c>
      <c r="H527" s="2">
        <v>18.818980714319245</v>
      </c>
    </row>
    <row r="528" spans="1:8" x14ac:dyDescent="0.2">
      <c r="A528" s="16">
        <f>DATE(2020,8,19)</f>
        <v>44062</v>
      </c>
      <c r="B528" s="2">
        <v>64.343481345825552</v>
      </c>
      <c r="C528" s="2">
        <v>29.08400454113189</v>
      </c>
      <c r="D528" s="2">
        <v>13.565360909397729</v>
      </c>
      <c r="E528" s="2">
        <v>15.364245796526156</v>
      </c>
      <c r="F528" s="2">
        <v>17.20095488089628</v>
      </c>
      <c r="G528" s="2">
        <v>17.271001206198733</v>
      </c>
      <c r="H528" s="2">
        <v>18.864566528466352</v>
      </c>
    </row>
    <row r="529" spans="1:8" x14ac:dyDescent="0.2">
      <c r="A529" s="16">
        <f>DATE(2020,8,20)</f>
        <v>44063</v>
      </c>
      <c r="B529" s="2">
        <v>65.652273479384917</v>
      </c>
      <c r="C529" s="2">
        <v>29.870063214911461</v>
      </c>
      <c r="D529" s="2">
        <v>13.578327968004444</v>
      </c>
      <c r="E529" s="2">
        <v>15.401948202643867</v>
      </c>
      <c r="F529" s="2">
        <v>17.242778241184585</v>
      </c>
      <c r="G529" s="2">
        <v>17.312982817954037</v>
      </c>
      <c r="H529" s="2">
        <v>18.910169831961031</v>
      </c>
    </row>
    <row r="530" spans="1:8" x14ac:dyDescent="0.2">
      <c r="A530" s="16">
        <f>DATE(2020,8,21)</f>
        <v>44064</v>
      </c>
      <c r="B530" s="2">
        <v>67.623376750679952</v>
      </c>
      <c r="C530" s="2">
        <v>29.938436176489748</v>
      </c>
      <c r="D530" s="2">
        <v>13.591296507208872</v>
      </c>
      <c r="E530" s="2">
        <v>15.439662930355812</v>
      </c>
      <c r="F530" s="2">
        <v>17.284616526210229</v>
      </c>
      <c r="G530" s="2">
        <v>17.354979458622765</v>
      </c>
      <c r="H530" s="2">
        <v>18.955790631513203</v>
      </c>
    </row>
    <row r="531" spans="1:8" x14ac:dyDescent="0.2">
      <c r="A531" s="16">
        <f>DATE(2020,8,24)</f>
        <v>44067</v>
      </c>
      <c r="B531" s="2">
        <v>69.71705827971644</v>
      </c>
      <c r="C531" s="2">
        <v>30.932493539638251</v>
      </c>
      <c r="D531" s="2">
        <v>13.604266527179965</v>
      </c>
      <c r="E531" s="2">
        <v>15.477389983688861</v>
      </c>
      <c r="F531" s="2">
        <v>17.3264697412991</v>
      </c>
      <c r="G531" s="2">
        <v>17.396991133585104</v>
      </c>
      <c r="H531" s="2">
        <v>19.001428933835363</v>
      </c>
    </row>
    <row r="532" spans="1:8" x14ac:dyDescent="0.2">
      <c r="A532" s="16">
        <f>DATE(2020,8,25)</f>
        <v>44068</v>
      </c>
      <c r="B532" s="2">
        <v>70.095274035103174</v>
      </c>
      <c r="C532" s="2">
        <v>30.701712395831041</v>
      </c>
      <c r="D532" s="2">
        <v>13.617238028086899</v>
      </c>
      <c r="E532" s="2">
        <v>15.515129366671164</v>
      </c>
      <c r="F532" s="2">
        <v>17.368337891779074</v>
      </c>
      <c r="G532" s="2">
        <v>17.43901784822317</v>
      </c>
      <c r="H532" s="2">
        <v>19.047084745642607</v>
      </c>
    </row>
    <row r="533" spans="1:8" x14ac:dyDescent="0.2">
      <c r="A533" s="16">
        <f>DATE(2020,8,26)</f>
        <v>44069</v>
      </c>
      <c r="B533" s="2">
        <v>66.284423517372375</v>
      </c>
      <c r="C533" s="2">
        <v>28.794244998419295</v>
      </c>
      <c r="D533" s="2">
        <v>13.630211010098735</v>
      </c>
      <c r="E533" s="2">
        <v>15.552881083332171</v>
      </c>
      <c r="F533" s="2">
        <v>17.410220982979794</v>
      </c>
      <c r="G533" s="2">
        <v>17.481059607920947</v>
      </c>
      <c r="H533" s="2">
        <v>19.092758073652515</v>
      </c>
    </row>
    <row r="534" spans="1:8" x14ac:dyDescent="0.2">
      <c r="A534" s="16">
        <f>DATE(2020,8,27)</f>
        <v>44070</v>
      </c>
      <c r="B534" s="2">
        <v>66.24610561432462</v>
      </c>
      <c r="C534" s="2">
        <v>28.789522118819445</v>
      </c>
      <c r="D534" s="2">
        <v>13.643185473384589</v>
      </c>
      <c r="E534" s="2">
        <v>15.590645137702698</v>
      </c>
      <c r="F534" s="2">
        <v>17.452119020232914</v>
      </c>
      <c r="G534" s="2">
        <v>17.523116418064387</v>
      </c>
      <c r="H534" s="2">
        <v>19.138448924585362</v>
      </c>
    </row>
    <row r="535" spans="1:8" x14ac:dyDescent="0.2">
      <c r="A535" s="16">
        <f>DATE(2020,8,28)</f>
        <v>44071</v>
      </c>
      <c r="B535" s="2">
        <v>69.516154307202456</v>
      </c>
      <c r="C535" s="2">
        <v>30.734081399917802</v>
      </c>
      <c r="D535" s="2">
        <v>13.656161418113587</v>
      </c>
      <c r="E535" s="2">
        <v>15.62842153381483</v>
      </c>
      <c r="F535" s="2">
        <v>17.49403200887194</v>
      </c>
      <c r="G535" s="2">
        <v>17.565188284041366</v>
      </c>
      <c r="H535" s="2">
        <v>19.184157305163918</v>
      </c>
    </row>
    <row r="536" spans="1:8" x14ac:dyDescent="0.2">
      <c r="A536" s="16">
        <f>DATE(2020,8,31)</f>
        <v>44074</v>
      </c>
      <c r="B536" s="2">
        <v>65.367113587633114</v>
      </c>
      <c r="C536" s="2">
        <v>27.183883845319912</v>
      </c>
      <c r="D536" s="2">
        <v>13.669138844454887</v>
      </c>
      <c r="E536" s="2">
        <v>15.666210275702053</v>
      </c>
      <c r="F536" s="2">
        <v>17.535959954232361</v>
      </c>
      <c r="G536" s="2">
        <v>17.60727521124177</v>
      </c>
      <c r="H536" s="2">
        <v>19.229883222113653</v>
      </c>
    </row>
    <row r="537" spans="1:8" x14ac:dyDescent="0.2">
      <c r="A537" s="16">
        <f>DATE(2020,9,1)</f>
        <v>44075</v>
      </c>
      <c r="B537" s="2">
        <v>69.755469327336982</v>
      </c>
      <c r="C537" s="2">
        <v>30.765720853497271</v>
      </c>
      <c r="D537" s="2">
        <v>13.68211775257766</v>
      </c>
      <c r="E537" s="2">
        <v>15.731942587694746</v>
      </c>
      <c r="F537" s="2">
        <v>17.606286443758233</v>
      </c>
      <c r="G537" s="2">
        <v>17.677778041238533</v>
      </c>
      <c r="H537" s="2">
        <v>19.304420098789855</v>
      </c>
    </row>
    <row r="538" spans="1:8" x14ac:dyDescent="0.2">
      <c r="A538" s="16">
        <f>DATE(2020,9,2)</f>
        <v>44076</v>
      </c>
      <c r="B538" s="2">
        <v>70.738268762632501</v>
      </c>
      <c r="C538" s="2">
        <v>30.437397526951759</v>
      </c>
      <c r="D538" s="2">
        <v>13.695098142651085</v>
      </c>
      <c r="E538" s="2">
        <v>15.797712254908379</v>
      </c>
      <c r="F538" s="2">
        <v>17.676655012449771</v>
      </c>
      <c r="G538" s="2">
        <v>17.748323136044419</v>
      </c>
      <c r="H538" s="2">
        <v>19.37900357239155</v>
      </c>
    </row>
    <row r="539" spans="1:8" x14ac:dyDescent="0.2">
      <c r="A539" s="16">
        <f>DATE(2020,9,3)</f>
        <v>44077</v>
      </c>
      <c r="B539" s="2">
        <v>68.497374454089652</v>
      </c>
      <c r="C539" s="2">
        <v>28.91459523385933</v>
      </c>
      <c r="D539" s="2">
        <v>13.708080014844404</v>
      </c>
      <c r="E539" s="2">
        <v>15.86351929857166</v>
      </c>
      <c r="F539" s="2">
        <v>17.74706568548461</v>
      </c>
      <c r="G539" s="2">
        <v>17.818910520996177</v>
      </c>
      <c r="H539" s="2">
        <v>19.45363367204893</v>
      </c>
    </row>
    <row r="540" spans="1:8" x14ac:dyDescent="0.2">
      <c r="A540" s="16">
        <f>DATE(2020,9,4)</f>
        <v>44078</v>
      </c>
      <c r="B540" s="2">
        <v>68.712094871561845</v>
      </c>
      <c r="C540" s="2">
        <v>29.580623650491543</v>
      </c>
      <c r="D540" s="2">
        <v>13.721063369326814</v>
      </c>
      <c r="E540" s="2">
        <v>15.929363739925373</v>
      </c>
      <c r="F540" s="2">
        <v>17.817518488055484</v>
      </c>
      <c r="G540" s="2">
        <v>17.889540221445799</v>
      </c>
      <c r="H540" s="2">
        <v>19.528310426910391</v>
      </c>
    </row>
    <row r="541" spans="1:8" x14ac:dyDescent="0.2">
      <c r="A541" s="16">
        <f>DATE(2020,9,8)</f>
        <v>44082</v>
      </c>
      <c r="B541" s="2">
        <v>67.126073441302083</v>
      </c>
      <c r="C541" s="2">
        <v>28.055863090247946</v>
      </c>
      <c r="D541" s="2">
        <v>13.734048206267602</v>
      </c>
      <c r="E541" s="2">
        <v>15.995245600222384</v>
      </c>
      <c r="F541" s="2">
        <v>17.888013445370188</v>
      </c>
      <c r="G541" s="2">
        <v>17.960212262760411</v>
      </c>
      <c r="H541" s="2">
        <v>19.60303386614255</v>
      </c>
    </row>
    <row r="542" spans="1:8" x14ac:dyDescent="0.2">
      <c r="A542" s="16">
        <f>DATE(2020,9,9)</f>
        <v>44083</v>
      </c>
      <c r="B542" s="2">
        <v>68.100897926987713</v>
      </c>
      <c r="C542" s="2">
        <v>29.645028881240677</v>
      </c>
      <c r="D542" s="2">
        <v>13.74703452583601</v>
      </c>
      <c r="E542" s="2">
        <v>16.061164900727597</v>
      </c>
      <c r="F542" s="2">
        <v>17.95855058265159</v>
      </c>
      <c r="G542" s="2">
        <v>18.030926670322401</v>
      </c>
      <c r="H542" s="2">
        <v>19.677804018930289</v>
      </c>
    </row>
    <row r="543" spans="1:8" x14ac:dyDescent="0.2">
      <c r="A543" s="16">
        <f>DATE(2020,9,10)</f>
        <v>44084</v>
      </c>
      <c r="B543" s="2">
        <v>64.009509262495925</v>
      </c>
      <c r="C543" s="2">
        <v>26.499693460795591</v>
      </c>
      <c r="D543" s="2">
        <v>13.760022328201327</v>
      </c>
      <c r="E543" s="2">
        <v>16.127121662718036</v>
      </c>
      <c r="F543" s="2">
        <v>18.029129925137656</v>
      </c>
      <c r="G543" s="2">
        <v>18.101683469529341</v>
      </c>
      <c r="H543" s="2">
        <v>19.752620914476694</v>
      </c>
    </row>
    <row r="544" spans="1:8" x14ac:dyDescent="0.2">
      <c r="A544" s="16">
        <f>DATE(2020,9,11)</f>
        <v>44085</v>
      </c>
      <c r="B544" s="2">
        <v>61.574004893283643</v>
      </c>
      <c r="C544" s="2">
        <v>25.896380789527207</v>
      </c>
      <c r="D544" s="2">
        <v>13.773011613532882</v>
      </c>
      <c r="E544" s="2">
        <v>16.193115907482802</v>
      </c>
      <c r="F544" s="2">
        <v>18.099751498081474</v>
      </c>
      <c r="G544" s="2">
        <v>18.172482685794055</v>
      </c>
      <c r="H544" s="2">
        <v>19.82748458200312</v>
      </c>
    </row>
    <row r="545" spans="1:8" x14ac:dyDescent="0.2">
      <c r="A545" s="16">
        <f>DATE(2020,9,14)</f>
        <v>44088</v>
      </c>
      <c r="B545" s="2">
        <v>66.098169855515508</v>
      </c>
      <c r="C545" s="2">
        <v>28.342678832667946</v>
      </c>
      <c r="D545" s="2">
        <v>13.786002381999984</v>
      </c>
      <c r="E545" s="2">
        <v>16.259147656323105</v>
      </c>
      <c r="F545" s="2">
        <v>18.170415326751211</v>
      </c>
      <c r="G545" s="2">
        <v>18.243324344544565</v>
      </c>
      <c r="H545" s="2">
        <v>19.902395050749199</v>
      </c>
    </row>
    <row r="546" spans="1:8" x14ac:dyDescent="0.2">
      <c r="A546" s="16">
        <f>DATE(2020,9,15)</f>
        <v>44089</v>
      </c>
      <c r="B546" s="2">
        <v>65.587622274983488</v>
      </c>
      <c r="C546" s="2">
        <v>28.372616001730378</v>
      </c>
      <c r="D546" s="2">
        <v>13.798994633771988</v>
      </c>
      <c r="E546" s="2">
        <v>16.325216930552244</v>
      </c>
      <c r="F546" s="2">
        <v>18.241121436430173</v>
      </c>
      <c r="G546" s="2">
        <v>18.314208471224159</v>
      </c>
      <c r="H546" s="2">
        <v>19.977352349972843</v>
      </c>
    </row>
    <row r="547" spans="1:8" x14ac:dyDescent="0.2">
      <c r="A547" s="16">
        <f>DATE(2020,9,16)</f>
        <v>44090</v>
      </c>
      <c r="B547" s="2">
        <v>65.263368275410969</v>
      </c>
      <c r="C547" s="2">
        <v>27.57621562953161</v>
      </c>
      <c r="D547" s="2">
        <v>13.811988369018247</v>
      </c>
      <c r="E547" s="2">
        <v>16.391323751495634</v>
      </c>
      <c r="F547" s="2">
        <v>18.311869852416795</v>
      </c>
      <c r="G547" s="2">
        <v>18.385135091291382</v>
      </c>
      <c r="H547" s="2">
        <v>20.052356508950229</v>
      </c>
    </row>
    <row r="548" spans="1:8" x14ac:dyDescent="0.2">
      <c r="A548" s="16">
        <f>DATE(2020,9,17)</f>
        <v>44091</v>
      </c>
      <c r="B548" s="2">
        <v>65.453680379366361</v>
      </c>
      <c r="C548" s="2">
        <v>28.116530974538609</v>
      </c>
      <c r="D548" s="2">
        <v>13.824983587908157</v>
      </c>
      <c r="E548" s="2">
        <v>16.457468140490828</v>
      </c>
      <c r="F548" s="2">
        <v>18.382660600024625</v>
      </c>
      <c r="G548" s="2">
        <v>18.456104230220017</v>
      </c>
      <c r="H548" s="2">
        <v>20.127407556975886</v>
      </c>
    </row>
    <row r="549" spans="1:8" x14ac:dyDescent="0.2">
      <c r="A549" s="16">
        <f>DATE(2020,9,18)</f>
        <v>44092</v>
      </c>
      <c r="B549" s="2">
        <v>61.275232587542533</v>
      </c>
      <c r="C549" s="2">
        <v>25.80229437234971</v>
      </c>
      <c r="D549" s="2">
        <v>13.837980290611117</v>
      </c>
      <c r="E549" s="2">
        <v>16.523650118887499</v>
      </c>
      <c r="F549" s="2">
        <v>18.453493704582382</v>
      </c>
      <c r="G549" s="2">
        <v>18.527115913499138</v>
      </c>
      <c r="H549" s="2">
        <v>20.202505523362603</v>
      </c>
    </row>
    <row r="550" spans="1:8" x14ac:dyDescent="0.2">
      <c r="A550" s="16">
        <f>DATE(2020,9,21)</f>
        <v>44095</v>
      </c>
      <c r="B550" s="2">
        <v>58.689166669660644</v>
      </c>
      <c r="C550" s="2">
        <v>24.139699962754445</v>
      </c>
      <c r="D550" s="2">
        <v>13.85097847729655</v>
      </c>
      <c r="E550" s="2">
        <v>16.589869708047434</v>
      </c>
      <c r="F550" s="2">
        <v>18.524369191433919</v>
      </c>
      <c r="G550" s="2">
        <v>18.5981701666331</v>
      </c>
      <c r="H550" s="2">
        <v>20.277650437441519</v>
      </c>
    </row>
    <row r="551" spans="1:8" x14ac:dyDescent="0.2">
      <c r="A551" s="16">
        <f>DATE(2020,9,22)</f>
        <v>44096</v>
      </c>
      <c r="B551" s="2">
        <v>59.6166426641974</v>
      </c>
      <c r="C551" s="2">
        <v>24.527283269102917</v>
      </c>
      <c r="D551" s="2">
        <v>13.863978148133915</v>
      </c>
      <c r="E551" s="2">
        <v>16.656126929344573</v>
      </c>
      <c r="F551" s="2">
        <v>18.595287085938271</v>
      </c>
      <c r="G551" s="2">
        <v>18.669267015141553</v>
      </c>
      <c r="H551" s="2">
        <v>20.352842328562115</v>
      </c>
    </row>
    <row r="552" spans="1:8" x14ac:dyDescent="0.2">
      <c r="A552" s="16">
        <f>DATE(2020,9,23)</f>
        <v>44097</v>
      </c>
      <c r="B552" s="2">
        <v>55.667064393992362</v>
      </c>
      <c r="C552" s="2">
        <v>22.532257011684241</v>
      </c>
      <c r="D552" s="2">
        <v>13.876979303292657</v>
      </c>
      <c r="E552" s="2">
        <v>16.722421804164988</v>
      </c>
      <c r="F552" s="2">
        <v>18.666247413469652</v>
      </c>
      <c r="G552" s="2">
        <v>18.740406484559411</v>
      </c>
      <c r="H552" s="2">
        <v>20.42808122609221</v>
      </c>
    </row>
    <row r="553" spans="1:8" x14ac:dyDescent="0.2">
      <c r="A553" s="16">
        <f>DATE(2020,9,24)</f>
        <v>44098</v>
      </c>
      <c r="B553" s="2">
        <v>57.244166122547149</v>
      </c>
      <c r="C553" s="2">
        <v>24.167026108948676</v>
      </c>
      <c r="D553" s="2">
        <v>13.889981942942264</v>
      </c>
      <c r="E553" s="2">
        <v>16.788754353906963</v>
      </c>
      <c r="F553" s="2">
        <v>18.737250199417478</v>
      </c>
      <c r="G553" s="2">
        <v>18.811588600436966</v>
      </c>
      <c r="H553" s="2">
        <v>20.50336715941803</v>
      </c>
    </row>
    <row r="554" spans="1:8" x14ac:dyDescent="0.2">
      <c r="A554" s="16">
        <f>DATE(2020,9,25)</f>
        <v>44099</v>
      </c>
      <c r="B554" s="2">
        <v>57.204504276378273</v>
      </c>
      <c r="C554" s="2">
        <v>24.150784010812611</v>
      </c>
      <c r="D554" s="2">
        <v>13.902986067252243</v>
      </c>
      <c r="E554" s="2">
        <v>16.855124599980819</v>
      </c>
      <c r="F554" s="2">
        <v>18.808295469186255</v>
      </c>
      <c r="G554" s="2">
        <v>18.882813388339724</v>
      </c>
      <c r="H554" s="2">
        <v>20.578700157944052</v>
      </c>
    </row>
    <row r="555" spans="1:8" x14ac:dyDescent="0.2">
      <c r="A555" s="16">
        <f>DATE(2020,9,28)</f>
        <v>44102</v>
      </c>
      <c r="B555" s="2">
        <v>53.50611030614985</v>
      </c>
      <c r="C555" s="2">
        <v>21.164733784459955</v>
      </c>
      <c r="D555" s="2">
        <v>13.915991676392103</v>
      </c>
      <c r="E555" s="2">
        <v>16.921532563809173</v>
      </c>
      <c r="F555" s="2">
        <v>18.879383248195801</v>
      </c>
      <c r="G555" s="2">
        <v>18.9540808738486</v>
      </c>
      <c r="H555" s="2">
        <v>20.654080251093234</v>
      </c>
    </row>
    <row r="556" spans="1:8" x14ac:dyDescent="0.2">
      <c r="A556" s="16">
        <f>DATE(2020,9,29)</f>
        <v>44103</v>
      </c>
      <c r="B556" s="2">
        <v>50.999558805207101</v>
      </c>
      <c r="C556" s="2">
        <v>19.774722482826679</v>
      </c>
      <c r="D556" s="2">
        <v>13.928998770531399</v>
      </c>
      <c r="E556" s="2">
        <v>16.987978266826765</v>
      </c>
      <c r="F556" s="2">
        <v>18.95051356188111</v>
      </c>
      <c r="G556" s="2">
        <v>19.025391082559807</v>
      </c>
      <c r="H556" s="2">
        <v>20.729507468306906</v>
      </c>
    </row>
    <row r="557" spans="1:8" x14ac:dyDescent="0.2">
      <c r="A557" s="16">
        <f>DATE(2020,9,30)</f>
        <v>44104</v>
      </c>
      <c r="B557" s="2">
        <v>52.666993027507807</v>
      </c>
      <c r="C557" s="2">
        <v>21.084112053838179</v>
      </c>
      <c r="D557" s="2">
        <v>13.942007349839679</v>
      </c>
      <c r="E557" s="2">
        <v>17.054461730480508</v>
      </c>
      <c r="F557" s="2">
        <v>19.021686435692374</v>
      </c>
      <c r="G557" s="2">
        <v>19.096744040084921</v>
      </c>
      <c r="H557" s="2">
        <v>20.804981839044824</v>
      </c>
    </row>
    <row r="558" spans="1:8" x14ac:dyDescent="0.2">
      <c r="A558" s="16">
        <f>DATE(2020,10,1)</f>
        <v>44105</v>
      </c>
      <c r="B558" s="2">
        <v>54.952432619105231</v>
      </c>
      <c r="C558" s="2">
        <v>22.204215266036265</v>
      </c>
      <c r="D558" s="2">
        <v>13.955017414486527</v>
      </c>
      <c r="E558" s="2">
        <v>17.122088689157788</v>
      </c>
      <c r="F558" s="2">
        <v>19.094026224467473</v>
      </c>
      <c r="G558" s="2">
        <v>19.169264811727206</v>
      </c>
      <c r="H558" s="2">
        <v>20.881644598502326</v>
      </c>
    </row>
    <row r="559" spans="1:8" x14ac:dyDescent="0.2">
      <c r="A559" s="16">
        <f>DATE(2020,10,2)</f>
        <v>44106</v>
      </c>
      <c r="B559" s="2">
        <v>52.409142237395663</v>
      </c>
      <c r="C559" s="2">
        <v>20.331907083423364</v>
      </c>
      <c r="D559" s="2">
        <v>13.968028964641531</v>
      </c>
      <c r="E559" s="2">
        <v>17.18975471858446</v>
      </c>
      <c r="F559" s="2">
        <v>19.166409980398448</v>
      </c>
      <c r="G559" s="2">
        <v>19.241829742950522</v>
      </c>
      <c r="H559" s="2">
        <v>20.958356008094945</v>
      </c>
    </row>
    <row r="560" spans="1:8" x14ac:dyDescent="0.2">
      <c r="A560" s="16">
        <f>DATE(2020,10,5)</f>
        <v>44109</v>
      </c>
      <c r="B560" s="2">
        <v>55.29247684148708</v>
      </c>
      <c r="C560" s="2">
        <v>22.985819841981847</v>
      </c>
      <c r="D560" s="2">
        <v>13.98104200047432</v>
      </c>
      <c r="E560" s="2">
        <v>17.257459841333244</v>
      </c>
      <c r="F560" s="2">
        <v>19.238837730207958</v>
      </c>
      <c r="G560" s="2">
        <v>19.314438860644678</v>
      </c>
      <c r="H560" s="2">
        <v>21.035116098696015</v>
      </c>
    </row>
    <row r="561" spans="1:8" x14ac:dyDescent="0.2">
      <c r="A561" s="16">
        <f>DATE(2020,10,6)</f>
        <v>44110</v>
      </c>
      <c r="B561" s="2">
        <v>55.675438534628327</v>
      </c>
      <c r="C561" s="2">
        <v>22.37893621296725</v>
      </c>
      <c r="D561" s="2">
        <v>13.99405652215453</v>
      </c>
      <c r="E561" s="2">
        <v>17.325204079989874</v>
      </c>
      <c r="F561" s="2">
        <v>19.311309500634867</v>
      </c>
      <c r="G561" s="2">
        <v>19.387092191715837</v>
      </c>
      <c r="H561" s="2">
        <v>21.111924901198464</v>
      </c>
    </row>
    <row r="562" spans="1:8" x14ac:dyDescent="0.2">
      <c r="A562" s="16">
        <f>DATE(2020,10,7)</f>
        <v>44111</v>
      </c>
      <c r="B562" s="2">
        <v>54.56085727071234</v>
      </c>
      <c r="C562" s="2">
        <v>22.265318320805051</v>
      </c>
      <c r="D562" s="2">
        <v>14.007072529851804</v>
      </c>
      <c r="E562" s="2">
        <v>17.392987457153144</v>
      </c>
      <c r="F562" s="2">
        <v>19.383825318434344</v>
      </c>
      <c r="G562" s="2">
        <v>19.459789763086533</v>
      </c>
      <c r="H562" s="2">
        <v>21.188782446514828</v>
      </c>
    </row>
    <row r="563" spans="1:8" x14ac:dyDescent="0.2">
      <c r="A563" s="16">
        <f>DATE(2020,10,8)</f>
        <v>44112</v>
      </c>
      <c r="B563" s="2">
        <v>58.460292712585989</v>
      </c>
      <c r="C563" s="2">
        <v>25.328752097457642</v>
      </c>
      <c r="D563" s="2">
        <v>14.020090023735833</v>
      </c>
      <c r="E563" s="2">
        <v>17.460809995434911</v>
      </c>
      <c r="F563" s="2">
        <v>19.456385210377778</v>
      </c>
      <c r="G563" s="2">
        <v>19.532531601695723</v>
      </c>
      <c r="H563" s="2">
        <v>21.265688765577263</v>
      </c>
    </row>
    <row r="564" spans="1:8" x14ac:dyDescent="0.2">
      <c r="A564" s="16">
        <f>DATE(2020,10,9)</f>
        <v>44113</v>
      </c>
      <c r="B564" s="2">
        <v>58.471682963196798</v>
      </c>
      <c r="C564" s="2">
        <v>24.770172391504897</v>
      </c>
      <c r="D564" s="2">
        <v>14.033109003976296</v>
      </c>
      <c r="E564" s="2">
        <v>17.528671717460085</v>
      </c>
      <c r="F564" s="2">
        <v>19.528989203252856</v>
      </c>
      <c r="G564" s="2">
        <v>19.605317734498762</v>
      </c>
      <c r="H564" s="2">
        <v>21.342643889337555</v>
      </c>
    </row>
    <row r="565" spans="1:8" x14ac:dyDescent="0.2">
      <c r="A565" s="16">
        <f>DATE(2020,10,13)</f>
        <v>44117</v>
      </c>
      <c r="B565" s="2">
        <v>59.341529079935263</v>
      </c>
      <c r="C565" s="2">
        <v>26.075056668155572</v>
      </c>
      <c r="D565" s="2">
        <v>14.04612947074293</v>
      </c>
      <c r="E565" s="2">
        <v>17.596572645866669</v>
      </c>
      <c r="F565" s="2">
        <v>19.601637323863507</v>
      </c>
      <c r="G565" s="2">
        <v>19.678148188467404</v>
      </c>
      <c r="H565" s="2">
        <v>21.419647848767156</v>
      </c>
    </row>
    <row r="566" spans="1:8" x14ac:dyDescent="0.2">
      <c r="A566" s="16">
        <f>DATE(2020,10,14)</f>
        <v>44118</v>
      </c>
      <c r="B566" s="2">
        <v>59.478034669031011</v>
      </c>
      <c r="C566" s="2">
        <v>27.13944526003349</v>
      </c>
      <c r="D566" s="2">
        <v>14.059151424205464</v>
      </c>
      <c r="E566" s="2">
        <v>17.664512803305719</v>
      </c>
      <c r="F566" s="2">
        <v>19.674329599030017</v>
      </c>
      <c r="G566" s="2">
        <v>19.751022990589838</v>
      </c>
      <c r="H566" s="2">
        <v>21.496700674857117</v>
      </c>
    </row>
    <row r="567" spans="1:8" x14ac:dyDescent="0.2">
      <c r="A567" s="16">
        <f>DATE(2020,10,15)</f>
        <v>44119</v>
      </c>
      <c r="B567" s="2">
        <v>59.786835540438403</v>
      </c>
      <c r="C567" s="2">
        <v>26.780596004366998</v>
      </c>
      <c r="D567" s="2">
        <v>14.072174864533626</v>
      </c>
      <c r="E567" s="2">
        <v>17.732492212441397</v>
      </c>
      <c r="F567" s="2">
        <v>19.747066055588913</v>
      </c>
      <c r="G567" s="2">
        <v>19.82394216787069</v>
      </c>
      <c r="H567" s="2">
        <v>21.573802398618213</v>
      </c>
    </row>
    <row r="568" spans="1:8" x14ac:dyDescent="0.2">
      <c r="A568" s="16">
        <f>DATE(2020,10,16)</f>
        <v>44120</v>
      </c>
      <c r="B568" s="2">
        <v>59.122351029338489</v>
      </c>
      <c r="C568" s="2">
        <v>25.827137486992811</v>
      </c>
      <c r="D568" s="2">
        <v>14.085199791897217</v>
      </c>
      <c r="E568" s="2">
        <v>17.800510895950939</v>
      </c>
      <c r="F568" s="2">
        <v>19.819846720393052</v>
      </c>
      <c r="G568" s="2">
        <v>19.896905747331029</v>
      </c>
      <c r="H568" s="2">
        <v>21.650953051080869</v>
      </c>
    </row>
    <row r="569" spans="1:8" x14ac:dyDescent="0.2">
      <c r="A569" s="16">
        <f>DATE(2020,10,19)</f>
        <v>44123</v>
      </c>
      <c r="B569" s="2">
        <v>58.815186841138022</v>
      </c>
      <c r="C569" s="2">
        <v>26.273225624373552</v>
      </c>
      <c r="D569" s="2">
        <v>14.098226206466014</v>
      </c>
      <c r="E569" s="2">
        <v>17.868568876524684</v>
      </c>
      <c r="F569" s="2">
        <v>19.892671620311607</v>
      </c>
      <c r="G569" s="2">
        <v>19.969913756008363</v>
      </c>
      <c r="H569" s="2">
        <v>21.728152663295177</v>
      </c>
    </row>
    <row r="570" spans="1:8" x14ac:dyDescent="0.2">
      <c r="A570" s="16">
        <f>DATE(2020,10,20)</f>
        <v>44124</v>
      </c>
      <c r="B570" s="2">
        <v>63.052027409165582</v>
      </c>
      <c r="C570" s="2">
        <v>28.682252595983826</v>
      </c>
      <c r="D570" s="2">
        <v>14.111254108409833</v>
      </c>
      <c r="E570" s="2">
        <v>17.93666617686609</v>
      </c>
      <c r="F570" s="2">
        <v>19.965540782230118</v>
      </c>
      <c r="G570" s="2">
        <v>20.042966220956671</v>
      </c>
      <c r="H570" s="2">
        <v>21.805401266330993</v>
      </c>
    </row>
    <row r="571" spans="1:8" x14ac:dyDescent="0.2">
      <c r="A571" s="16">
        <f>DATE(2020,10,21)</f>
        <v>44125</v>
      </c>
      <c r="B571" s="2">
        <v>63.204806685757809</v>
      </c>
      <c r="C571" s="2">
        <v>28.698392301066256</v>
      </c>
      <c r="D571" s="2">
        <v>14.124283497898515</v>
      </c>
      <c r="E571" s="2">
        <v>18.004802819691744</v>
      </c>
      <c r="F571" s="2">
        <v>20.03845423305042</v>
      </c>
      <c r="G571" s="2">
        <v>20.116063169246413</v>
      </c>
      <c r="H571" s="2">
        <v>21.882698891277851</v>
      </c>
    </row>
    <row r="572" spans="1:8" x14ac:dyDescent="0.2">
      <c r="A572" s="16">
        <f>DATE(2020,10,22)</f>
        <v>44126</v>
      </c>
      <c r="B572" s="2">
        <v>66.004422060768732</v>
      </c>
      <c r="C572" s="2">
        <v>30.445844953878275</v>
      </c>
      <c r="D572" s="2">
        <v>14.137314375101884</v>
      </c>
      <c r="E572" s="2">
        <v>18.072978827731333</v>
      </c>
      <c r="F572" s="2">
        <v>20.111411999690709</v>
      </c>
      <c r="G572" s="2">
        <v>20.189204627964521</v>
      </c>
      <c r="H572" s="2">
        <v>21.960045569245025</v>
      </c>
    </row>
    <row r="573" spans="1:8" x14ac:dyDescent="0.2">
      <c r="A573" s="16">
        <f>DATE(2020,10,23)</f>
        <v>44127</v>
      </c>
      <c r="B573" s="2">
        <v>64.900614519101069</v>
      </c>
      <c r="C573" s="2">
        <v>29.603687685827349</v>
      </c>
      <c r="D573" s="2">
        <v>14.150346740189823</v>
      </c>
      <c r="E573" s="2">
        <v>18.14119422372773</v>
      </c>
      <c r="F573" s="2">
        <v>20.18441410908558</v>
      </c>
      <c r="G573" s="2">
        <v>20.262390624214444</v>
      </c>
      <c r="H573" s="2">
        <v>22.037441331361538</v>
      </c>
    </row>
    <row r="574" spans="1:8" x14ac:dyDescent="0.2">
      <c r="A574" s="16">
        <f>DATE(2020,10,26)</f>
        <v>44130</v>
      </c>
      <c r="B574" s="2">
        <v>63.669726732008968</v>
      </c>
      <c r="C574" s="2">
        <v>29.292937567115395</v>
      </c>
      <c r="D574" s="2">
        <v>14.163380593332242</v>
      </c>
      <c r="E574" s="2">
        <v>18.209449030436843</v>
      </c>
      <c r="F574" s="2">
        <v>20.257460588185918</v>
      </c>
      <c r="G574" s="2">
        <v>20.335621185116093</v>
      </c>
      <c r="H574" s="2">
        <v>22.114886208776131</v>
      </c>
    </row>
    <row r="575" spans="1:8" x14ac:dyDescent="0.2">
      <c r="A575" s="16">
        <f>DATE(2020,10,27)</f>
        <v>44131</v>
      </c>
      <c r="B575" s="2">
        <v>60.120173353582111</v>
      </c>
      <c r="C575" s="2">
        <v>27.486442519739395</v>
      </c>
      <c r="D575" s="2">
        <v>14.176415934699026</v>
      </c>
      <c r="E575" s="2">
        <v>18.277743270627809</v>
      </c>
      <c r="F575" s="2">
        <v>20.330551463959036</v>
      </c>
      <c r="G575" s="2">
        <v>20.408896337805913</v>
      </c>
      <c r="H575" s="2">
        <v>22.192380232657349</v>
      </c>
    </row>
    <row r="576" spans="1:8" x14ac:dyDescent="0.2">
      <c r="A576" s="16">
        <f>DATE(2020,10,28)</f>
        <v>44132</v>
      </c>
      <c r="B576" s="2">
        <v>52.213272507266112</v>
      </c>
      <c r="C576" s="2">
        <v>22.063731996421311</v>
      </c>
      <c r="D576" s="2">
        <v>14.189452764460111</v>
      </c>
      <c r="E576" s="2">
        <v>18.346076967082904</v>
      </c>
      <c r="F576" s="2">
        <v>20.403686763388663</v>
      </c>
      <c r="G576" s="2">
        <v>20.482216109436923</v>
      </c>
      <c r="H576" s="2">
        <v>22.269923434193515</v>
      </c>
    </row>
    <row r="577" spans="1:8" x14ac:dyDescent="0.2">
      <c r="A577" s="16">
        <f>DATE(2020,10,29)</f>
        <v>44133</v>
      </c>
      <c r="B577" s="2">
        <v>54.347600553669118</v>
      </c>
      <c r="C577" s="2">
        <v>23.616778637737191</v>
      </c>
      <c r="D577" s="2">
        <v>14.202491082785418</v>
      </c>
      <c r="E577" s="2">
        <v>18.414450142597548</v>
      </c>
      <c r="F577" s="2">
        <v>20.476866513474913</v>
      </c>
      <c r="G577" s="2">
        <v>20.555580527178584</v>
      </c>
      <c r="H577" s="2">
        <v>22.347515844592714</v>
      </c>
    </row>
    <row r="578" spans="1:8" x14ac:dyDescent="0.2">
      <c r="A578" s="16">
        <f>DATE(2020,10,30)</f>
        <v>44134</v>
      </c>
      <c r="B578" s="2">
        <v>49.754974330464648</v>
      </c>
      <c r="C578" s="2">
        <v>20.250914177982128</v>
      </c>
      <c r="D578" s="2">
        <v>14.215530889844953</v>
      </c>
      <c r="E578" s="2">
        <v>18.482862819980372</v>
      </c>
      <c r="F578" s="2">
        <v>20.550090741234285</v>
      </c>
      <c r="G578" s="2">
        <v>20.628989618216973</v>
      </c>
      <c r="H578" s="2">
        <v>22.425157495082871</v>
      </c>
    </row>
    <row r="579" spans="1:8" x14ac:dyDescent="0.2">
      <c r="A579" s="16">
        <f>DATE(2020,11,3)</f>
        <v>44138</v>
      </c>
      <c r="B579" s="2">
        <v>51.560901226079807</v>
      </c>
      <c r="C579" s="2">
        <v>22.845694948054707</v>
      </c>
      <c r="D579" s="2">
        <v>14.228572185808686</v>
      </c>
      <c r="E579" s="2">
        <v>18.557340338439055</v>
      </c>
      <c r="F579" s="2">
        <v>20.629490100797597</v>
      </c>
      <c r="G579" s="2">
        <v>20.708578056257497</v>
      </c>
      <c r="H579" s="2">
        <v>22.50907456817588</v>
      </c>
    </row>
    <row r="580" spans="1:8" x14ac:dyDescent="0.2">
      <c r="A580" s="16">
        <f>DATE(2020,11,4)</f>
        <v>44139</v>
      </c>
      <c r="B580" s="2">
        <v>55.879070312487237</v>
      </c>
      <c r="C580" s="2">
        <v>25.261019092464721</v>
      </c>
      <c r="D580" s="2">
        <v>14.241614970846618</v>
      </c>
      <c r="E580" s="2">
        <v>18.631864672957256</v>
      </c>
      <c r="F580" s="2">
        <v>20.708941756118303</v>
      </c>
      <c r="G580" s="2">
        <v>20.788219005054277</v>
      </c>
      <c r="H580" s="2">
        <v>22.593049162739963</v>
      </c>
    </row>
    <row r="581" spans="1:8" x14ac:dyDescent="0.2">
      <c r="A581" s="16">
        <f>DATE(2020,11,5)</f>
        <v>44140</v>
      </c>
      <c r="B581" s="2">
        <v>59.86692656663746</v>
      </c>
      <c r="C581" s="2">
        <v>28.953043825506828</v>
      </c>
      <c r="D581" s="2">
        <v>14.254659245128765</v>
      </c>
      <c r="E581" s="2">
        <v>18.70643585296321</v>
      </c>
      <c r="F581" s="2">
        <v>20.788445741640583</v>
      </c>
      <c r="G581" s="2">
        <v>20.867912499252771</v>
      </c>
      <c r="H581" s="2">
        <v>22.677081318203584</v>
      </c>
    </row>
    <row r="582" spans="1:8" x14ac:dyDescent="0.2">
      <c r="A582" s="16">
        <f>DATE(2020,11,6)</f>
        <v>44141</v>
      </c>
      <c r="B582" s="2">
        <v>60.771551092659131</v>
      </c>
      <c r="C582" s="2">
        <v>29.17537754238748</v>
      </c>
      <c r="D582" s="2">
        <v>14.267705008825192</v>
      </c>
      <c r="E582" s="2">
        <v>18.781053907903679</v>
      </c>
      <c r="F582" s="2">
        <v>20.868002091831308</v>
      </c>
      <c r="G582" s="2">
        <v>20.947658573521323</v>
      </c>
      <c r="H582" s="2">
        <v>22.761171074022201</v>
      </c>
    </row>
    <row r="583" spans="1:8" x14ac:dyDescent="0.2">
      <c r="A583" s="16">
        <f>DATE(2020,11,9)</f>
        <v>44144</v>
      </c>
      <c r="B583" s="2">
        <v>66.626414904870472</v>
      </c>
      <c r="C583" s="2">
        <v>32.490416650134435</v>
      </c>
      <c r="D583" s="2">
        <v>14.280752262105946</v>
      </c>
      <c r="E583" s="2">
        <v>18.855718867243912</v>
      </c>
      <c r="F583" s="2">
        <v>20.947610841180065</v>
      </c>
      <c r="G583" s="2">
        <v>21.027457262551152</v>
      </c>
      <c r="H583" s="2">
        <v>22.845318469678322</v>
      </c>
    </row>
    <row r="584" spans="1:8" x14ac:dyDescent="0.2">
      <c r="A584" s="16">
        <f>DATE(2020,11,10)</f>
        <v>44145</v>
      </c>
      <c r="B584" s="2">
        <v>69.487612148837869</v>
      </c>
      <c r="C584" s="2">
        <v>34.476585908411963</v>
      </c>
      <c r="D584" s="2">
        <v>14.293801005141127</v>
      </c>
      <c r="E584" s="2">
        <v>18.930430760467718</v>
      </c>
      <c r="F584" s="2">
        <v>21.027272024199164</v>
      </c>
      <c r="G584" s="2">
        <v>21.107308601056364</v>
      </c>
      <c r="H584" s="2">
        <v>22.929523544681562</v>
      </c>
    </row>
    <row r="585" spans="1:8" x14ac:dyDescent="0.2">
      <c r="A585" s="16">
        <f>DATE(2020,11,11)</f>
        <v>44146</v>
      </c>
      <c r="B585" s="2">
        <v>69.076747002973676</v>
      </c>
      <c r="C585" s="2">
        <v>34.146201921661621</v>
      </c>
      <c r="D585" s="2">
        <v>14.306851238100826</v>
      </c>
      <c r="E585" s="2">
        <v>19.005189617077356</v>
      </c>
      <c r="F585" s="2">
        <v>21.10698567542353</v>
      </c>
      <c r="G585" s="2">
        <v>21.187212623773899</v>
      </c>
      <c r="H585" s="2">
        <v>23.013786338568497</v>
      </c>
    </row>
    <row r="586" spans="1:8" x14ac:dyDescent="0.2">
      <c r="A586" s="16">
        <f>DATE(2020,11,12)</f>
        <v>44147</v>
      </c>
      <c r="B586" s="2">
        <v>64.13648305698014</v>
      </c>
      <c r="C586" s="2">
        <v>31.200072187102808</v>
      </c>
      <c r="D586" s="2">
        <v>14.319902961155149</v>
      </c>
      <c r="E586" s="2">
        <v>19.079995466593779</v>
      </c>
      <c r="F586" s="2">
        <v>21.186751829411008</v>
      </c>
      <c r="G586" s="2">
        <v>21.267169365463754</v>
      </c>
      <c r="H586" s="2">
        <v>23.098106890902994</v>
      </c>
    </row>
    <row r="587" spans="1:8" x14ac:dyDescent="0.2">
      <c r="A587" s="16">
        <f>DATE(2020,11,13)</f>
        <v>44148</v>
      </c>
      <c r="B587" s="2">
        <v>67.965980231084686</v>
      </c>
      <c r="C587" s="2">
        <v>34.036346974221267</v>
      </c>
      <c r="D587" s="2">
        <v>14.332956174474255</v>
      </c>
      <c r="E587" s="2">
        <v>19.154848338556384</v>
      </c>
      <c r="F587" s="2">
        <v>21.266570520742146</v>
      </c>
      <c r="G587" s="2">
        <v>21.347178860908777</v>
      </c>
      <c r="H587" s="2">
        <v>23.182485241275906</v>
      </c>
    </row>
    <row r="588" spans="1:8" x14ac:dyDescent="0.2">
      <c r="A588" s="16">
        <f>DATE(2020,11,16)</f>
        <v>44151</v>
      </c>
      <c r="B588" s="2">
        <v>71.200123908894597</v>
      </c>
      <c r="C588" s="2">
        <v>36.221056363536299</v>
      </c>
      <c r="D588" s="2">
        <v>14.346010878228309</v>
      </c>
      <c r="E588" s="2">
        <v>19.229748262523106</v>
      </c>
      <c r="F588" s="2">
        <v>21.346441784020186</v>
      </c>
      <c r="G588" s="2">
        <v>21.427241144914721</v>
      </c>
      <c r="H588" s="2">
        <v>23.266921429305199</v>
      </c>
    </row>
    <row r="589" spans="1:8" x14ac:dyDescent="0.2">
      <c r="A589" s="16">
        <f>DATE(2020,11,17)</f>
        <v>44152</v>
      </c>
      <c r="B589" s="2">
        <v>72.302973392099673</v>
      </c>
      <c r="C589" s="2">
        <v>37.268934075512306</v>
      </c>
      <c r="D589" s="2">
        <v>14.359067072587495</v>
      </c>
      <c r="E589" s="2">
        <v>19.304695268070549</v>
      </c>
      <c r="F589" s="2">
        <v>21.426365653871262</v>
      </c>
      <c r="G589" s="2">
        <v>21.507356252310394</v>
      </c>
      <c r="H589" s="2">
        <v>23.351415494636086</v>
      </c>
    </row>
    <row r="590" spans="1:8" x14ac:dyDescent="0.2">
      <c r="A590" s="16">
        <f>DATE(2020,11,18)</f>
        <v>44153</v>
      </c>
      <c r="B590" s="2">
        <v>71.636719134117484</v>
      </c>
      <c r="C590" s="2">
        <v>35.823220952690548</v>
      </c>
      <c r="D590" s="2">
        <v>14.372124757721982</v>
      </c>
      <c r="E590" s="2">
        <v>19.379689384793885</v>
      </c>
      <c r="F590" s="2">
        <v>21.506342164944272</v>
      </c>
      <c r="G590" s="2">
        <v>21.587524217947539</v>
      </c>
      <c r="H590" s="2">
        <v>23.43596747694092</v>
      </c>
    </row>
    <row r="591" spans="1:8" x14ac:dyDescent="0.2">
      <c r="A591" s="16">
        <f>DATE(2020,11,19)</f>
        <v>44154</v>
      </c>
      <c r="B591" s="2">
        <v>72.076166357448926</v>
      </c>
      <c r="C591" s="2">
        <v>36.528209926238574</v>
      </c>
      <c r="D591" s="2">
        <v>14.385183933802015</v>
      </c>
      <c r="E591" s="2">
        <v>19.454730642306849</v>
      </c>
      <c r="F591" s="2">
        <v>21.586371351910927</v>
      </c>
      <c r="G591" s="2">
        <v>21.667745076700886</v>
      </c>
      <c r="H591" s="2">
        <v>23.520577415919242</v>
      </c>
    </row>
    <row r="592" spans="1:8" x14ac:dyDescent="0.2">
      <c r="A592" s="16">
        <f>DATE(2020,11,20)</f>
        <v>44155</v>
      </c>
      <c r="B592" s="2">
        <v>71.100348329653968</v>
      </c>
      <c r="C592" s="2">
        <v>35.725166804683937</v>
      </c>
      <c r="D592" s="2">
        <v>14.398244600997835</v>
      </c>
      <c r="E592" s="2">
        <v>19.529819070241849</v>
      </c>
      <c r="F592" s="2">
        <v>21.666453249465789</v>
      </c>
      <c r="G592" s="2">
        <v>21.748018863468175</v>
      </c>
      <c r="H592" s="2">
        <v>23.6052453512978</v>
      </c>
    </row>
    <row r="593" spans="1:8" x14ac:dyDescent="0.2">
      <c r="A593" s="16">
        <f>DATE(2020,11,23)</f>
        <v>44158</v>
      </c>
      <c r="B593" s="2">
        <v>72.396743364125683</v>
      </c>
      <c r="C593" s="2">
        <v>37.435693962521555</v>
      </c>
      <c r="D593" s="2">
        <v>14.411306759479681</v>
      </c>
      <c r="E593" s="2">
        <v>19.604954698249877</v>
      </c>
      <c r="F593" s="2">
        <v>21.746587892326264</v>
      </c>
      <c r="G593" s="2">
        <v>21.828345613170221</v>
      </c>
      <c r="H593" s="2">
        <v>23.689971322830573</v>
      </c>
    </row>
    <row r="594" spans="1:8" x14ac:dyDescent="0.2">
      <c r="A594" s="16">
        <f>DATE(2020,11,24)</f>
        <v>44159</v>
      </c>
      <c r="B594" s="2">
        <v>74.935633773636681</v>
      </c>
      <c r="C594" s="2">
        <v>40.516931331378458</v>
      </c>
      <c r="D594" s="2">
        <v>14.424370409417842</v>
      </c>
      <c r="E594" s="2">
        <v>19.680137556000577</v>
      </c>
      <c r="F594" s="2">
        <v>21.826775315232627</v>
      </c>
      <c r="G594" s="2">
        <v>21.908725360750815</v>
      </c>
      <c r="H594" s="2">
        <v>23.774755370298827</v>
      </c>
    </row>
    <row r="595" spans="1:8" x14ac:dyDescent="0.2">
      <c r="A595" s="16">
        <f>DATE(2020,11,25)</f>
        <v>44160</v>
      </c>
      <c r="B595" s="2">
        <v>75.843660294291695</v>
      </c>
      <c r="C595" s="2">
        <v>40.960075668466622</v>
      </c>
      <c r="D595" s="2">
        <v>14.437435550982626</v>
      </c>
      <c r="E595" s="2">
        <v>19.755367673182224</v>
      </c>
      <c r="F595" s="2">
        <v>21.907015552948049</v>
      </c>
      <c r="G595" s="2">
        <v>21.989158141176834</v>
      </c>
      <c r="H595" s="2">
        <v>23.859597533511035</v>
      </c>
    </row>
    <row r="596" spans="1:8" x14ac:dyDescent="0.2">
      <c r="A596" s="16">
        <f>DATE(2020,11,26)</f>
        <v>44161</v>
      </c>
      <c r="B596" s="2">
        <v>76.418872385592707</v>
      </c>
      <c r="C596" s="2">
        <v>41.081104257887112</v>
      </c>
      <c r="D596" s="2">
        <v>14.450502184344337</v>
      </c>
      <c r="E596" s="2">
        <v>19.830645079501807</v>
      </c>
      <c r="F596" s="2">
        <v>21.987308640258576</v>
      </c>
      <c r="G596" s="2">
        <v>22.069643989438202</v>
      </c>
      <c r="H596" s="2">
        <v>23.944497852303016</v>
      </c>
    </row>
    <row r="597" spans="1:8" x14ac:dyDescent="0.2">
      <c r="A597" s="16">
        <f>DATE(2020,11,27)</f>
        <v>44162</v>
      </c>
      <c r="B597" s="2">
        <v>76.010641900500659</v>
      </c>
      <c r="C597" s="2">
        <v>41.527000408292267</v>
      </c>
      <c r="D597" s="2">
        <v>14.463570309673313</v>
      </c>
      <c r="E597" s="2">
        <v>19.905969804684929</v>
      </c>
      <c r="F597" s="2">
        <v>22.067654611973175</v>
      </c>
      <c r="G597" s="2">
        <v>22.150182940547982</v>
      </c>
      <c r="H597" s="2">
        <v>24.029456366537861</v>
      </c>
    </row>
    <row r="598" spans="1:8" x14ac:dyDescent="0.2">
      <c r="A598" s="16">
        <f>DATE(2020,11,30)</f>
        <v>44165</v>
      </c>
      <c r="B598" s="2">
        <v>73.921236150899077</v>
      </c>
      <c r="C598" s="2">
        <v>39.373994468215258</v>
      </c>
      <c r="D598" s="2">
        <v>14.4766399271399</v>
      </c>
      <c r="E598" s="2">
        <v>19.981341878475909</v>
      </c>
      <c r="F598" s="2">
        <v>22.148053502923748</v>
      </c>
      <c r="G598" s="2">
        <v>22.230775029542269</v>
      </c>
      <c r="H598" s="2">
        <v>24.114473116105973</v>
      </c>
    </row>
    <row r="599" spans="1:8" x14ac:dyDescent="0.2">
      <c r="A599" s="16">
        <f>DATE(2020,12,1)</f>
        <v>44166</v>
      </c>
      <c r="B599" s="2">
        <v>76.75278237254048</v>
      </c>
      <c r="C599" s="2">
        <v>42.582212022736357</v>
      </c>
      <c r="D599" s="2">
        <v>14.489711036914477</v>
      </c>
      <c r="E599" s="2">
        <v>20.079103634226716</v>
      </c>
      <c r="F599" s="2">
        <v>22.251251808418004</v>
      </c>
      <c r="G599" s="2">
        <v>22.334182182224851</v>
      </c>
      <c r="H599" s="2">
        <v>24.222661408178215</v>
      </c>
    </row>
    <row r="600" spans="1:8" x14ac:dyDescent="0.2">
      <c r="A600" s="16">
        <f>DATE(2020,12,2)</f>
        <v>44167</v>
      </c>
      <c r="B600" s="2">
        <v>77.803466459548702</v>
      </c>
      <c r="C600" s="2">
        <v>43.194804064492232</v>
      </c>
      <c r="D600" s="2">
        <v>14.502783639167438</v>
      </c>
      <c r="E600" s="2">
        <v>20.17694504703702</v>
      </c>
      <c r="F600" s="2">
        <v>22.35453730228696</v>
      </c>
      <c r="G600" s="2">
        <v>22.437676817288366</v>
      </c>
      <c r="H600" s="2">
        <v>24.3309440059849</v>
      </c>
    </row>
    <row r="601" spans="1:8" x14ac:dyDescent="0.2">
      <c r="A601" s="16">
        <f>DATE(2020,12,3)</f>
        <v>44168</v>
      </c>
      <c r="B601" s="2">
        <v>78.810816142948084</v>
      </c>
      <c r="C601" s="2">
        <v>43.72348499877765</v>
      </c>
      <c r="D601" s="2">
        <v>14.515857734069204</v>
      </c>
      <c r="E601" s="2">
        <v>20.274866181812023</v>
      </c>
      <c r="F601" s="2">
        <v>22.457910058192798</v>
      </c>
      <c r="G601" s="2">
        <v>22.541259008742887</v>
      </c>
      <c r="H601" s="2">
        <v>24.439320991730582</v>
      </c>
    </row>
    <row r="602" spans="1:8" x14ac:dyDescent="0.2">
      <c r="A602" s="16">
        <f>DATE(2020,12,4)</f>
        <v>44169</v>
      </c>
      <c r="B602" s="2">
        <v>80.936623678672277</v>
      </c>
      <c r="C602" s="2">
        <v>45.590404746941935</v>
      </c>
      <c r="D602" s="2">
        <v>14.528933321790195</v>
      </c>
      <c r="E602" s="2">
        <v>20.372867103509805</v>
      </c>
      <c r="F602" s="2">
        <v>22.561370149859926</v>
      </c>
      <c r="G602" s="2">
        <v>22.644928830661048</v>
      </c>
      <c r="H602" s="2">
        <v>24.547792447691496</v>
      </c>
    </row>
    <row r="603" spans="1:8" x14ac:dyDescent="0.2">
      <c r="A603" s="16">
        <f>DATE(2020,12,7)</f>
        <v>44172</v>
      </c>
      <c r="B603" s="2">
        <v>80.810306331653251</v>
      </c>
      <c r="C603" s="2">
        <v>45.385042678704643</v>
      </c>
      <c r="D603" s="2">
        <v>14.542010402500869</v>
      </c>
      <c r="E603" s="2">
        <v>20.470947877141409</v>
      </c>
      <c r="F603" s="2">
        <v>22.664917651075079</v>
      </c>
      <c r="G603" s="2">
        <v>22.748686357178173</v>
      </c>
      <c r="H603" s="2">
        <v>24.656358456215568</v>
      </c>
    </row>
    <row r="604" spans="1:8" x14ac:dyDescent="0.2">
      <c r="A604" s="16">
        <f>DATE(2020,12,8)</f>
        <v>44173</v>
      </c>
      <c r="B604" s="2">
        <v>82.428555784085134</v>
      </c>
      <c r="C604" s="2">
        <v>45.645236227174316</v>
      </c>
      <c r="D604" s="2">
        <v>14.5550889763717</v>
      </c>
      <c r="E604" s="2">
        <v>20.569108567770812</v>
      </c>
      <c r="F604" s="2">
        <v>22.768552635687268</v>
      </c>
      <c r="G604" s="2">
        <v>22.852531662492261</v>
      </c>
      <c r="H604" s="2">
        <v>24.765019099722529</v>
      </c>
    </row>
    <row r="605" spans="1:8" x14ac:dyDescent="0.2">
      <c r="A605" s="16">
        <f>DATE(2020,12,9)</f>
        <v>44174</v>
      </c>
      <c r="B605" s="2">
        <v>81.500103989262399</v>
      </c>
      <c r="C605" s="2">
        <v>44.631672987304526</v>
      </c>
      <c r="D605" s="2">
        <v>14.568169043573187</v>
      </c>
      <c r="E605" s="2">
        <v>20.667349240515033</v>
      </c>
      <c r="F605" s="2">
        <v>22.872275177607946</v>
      </c>
      <c r="G605" s="2">
        <v>22.956464820864152</v>
      </c>
      <c r="H605" s="2">
        <v>24.873774460703935</v>
      </c>
    </row>
    <row r="606" spans="1:8" x14ac:dyDescent="0.2">
      <c r="A606" s="16">
        <f>DATE(2020,12,10)</f>
        <v>44175</v>
      </c>
      <c r="B606" s="2">
        <v>83.844366596280537</v>
      </c>
      <c r="C606" s="2">
        <v>47.354649860553465</v>
      </c>
      <c r="D606" s="2">
        <v>14.581250604275819</v>
      </c>
      <c r="E606" s="2">
        <v>20.76566996054412</v>
      </c>
      <c r="F606" s="2">
        <v>22.976085350810994</v>
      </c>
      <c r="G606" s="2">
        <v>23.060485906617444</v>
      </c>
      <c r="H606" s="2">
        <v>24.982624621723271</v>
      </c>
    </row>
    <row r="607" spans="1:8" x14ac:dyDescent="0.2">
      <c r="A607" s="16">
        <f>DATE(2020,12,11)</f>
        <v>44176</v>
      </c>
      <c r="B607" s="2">
        <v>83.478738664582821</v>
      </c>
      <c r="C607" s="2">
        <v>47.353843515255932</v>
      </c>
      <c r="D607" s="2">
        <v>14.59433365865015</v>
      </c>
      <c r="E607" s="2">
        <v>20.864070793081257</v>
      </c>
      <c r="F607" s="2">
        <v>23.0799832293328</v>
      </c>
      <c r="G607" s="2">
        <v>23.164594994138653</v>
      </c>
      <c r="H607" s="2">
        <v>25.091569665415971</v>
      </c>
    </row>
    <row r="608" spans="1:8" x14ac:dyDescent="0.2">
      <c r="A608" s="16">
        <f>DATE(2020,12,14)</f>
        <v>44179</v>
      </c>
      <c r="B608" s="2">
        <v>81.919915449566631</v>
      </c>
      <c r="C608" s="2">
        <v>46.692281995589411</v>
      </c>
      <c r="D608" s="2">
        <v>14.607418206866708</v>
      </c>
      <c r="E608" s="2">
        <v>20.962551803402761</v>
      </c>
      <c r="F608" s="2">
        <v>23.1839688872723</v>
      </c>
      <c r="G608" s="2">
        <v>23.268792157877225</v>
      </c>
      <c r="H608" s="2">
        <v>25.200609674489517</v>
      </c>
    </row>
    <row r="609" spans="1:8" x14ac:dyDescent="0.2">
      <c r="A609" s="16">
        <f>DATE(2020,12,15)</f>
        <v>44180</v>
      </c>
      <c r="B609" s="2">
        <v>85.43300938094491</v>
      </c>
      <c r="C609" s="2">
        <v>48.660161294657797</v>
      </c>
      <c r="D609" s="2">
        <v>14.620504249096067</v>
      </c>
      <c r="E609" s="2">
        <v>21.06111305683811</v>
      </c>
      <c r="F609" s="2">
        <v>23.28804239879101</v>
      </c>
      <c r="G609" s="2">
        <v>23.373077472345582</v>
      </c>
      <c r="H609" s="2">
        <v>25.309744731723448</v>
      </c>
    </row>
    <row r="610" spans="1:8" x14ac:dyDescent="0.2">
      <c r="A610" s="16">
        <f>DATE(2020,12,16)</f>
        <v>44181</v>
      </c>
      <c r="B610" s="2">
        <v>86.999798674659317</v>
      </c>
      <c r="C610" s="2">
        <v>50.847174527680082</v>
      </c>
      <c r="D610" s="2">
        <v>14.633591785508827</v>
      </c>
      <c r="E610" s="2">
        <v>21.159754618770066</v>
      </c>
      <c r="F610" s="2">
        <v>23.392203838113137</v>
      </c>
      <c r="G610" s="2">
        <v>23.477451012119154</v>
      </c>
      <c r="H610" s="2">
        <v>25.418974919969518</v>
      </c>
    </row>
    <row r="611" spans="1:8" x14ac:dyDescent="0.2">
      <c r="A611" s="16">
        <f>DATE(2020,12,17)</f>
        <v>44182</v>
      </c>
      <c r="B611" s="2">
        <v>86.418022108707234</v>
      </c>
      <c r="C611" s="2">
        <v>51.54244896026259</v>
      </c>
      <c r="D611" s="2">
        <v>14.646680816275603</v>
      </c>
      <c r="E611" s="2">
        <v>21.258476554634598</v>
      </c>
      <c r="F611" s="2">
        <v>23.496453279525564</v>
      </c>
      <c r="G611" s="2">
        <v>23.581912851836506</v>
      </c>
      <c r="H611" s="2">
        <v>25.528300322151654</v>
      </c>
    </row>
    <row r="612" spans="1:8" x14ac:dyDescent="0.2">
      <c r="A612" s="16">
        <f>DATE(2020,12,18)</f>
        <v>44183</v>
      </c>
      <c r="B612" s="2">
        <v>85.148603516686805</v>
      </c>
      <c r="C612" s="2">
        <v>51.060049686229327</v>
      </c>
      <c r="D612" s="2">
        <v>14.659771341566996</v>
      </c>
      <c r="E612" s="2">
        <v>21.357278929921051</v>
      </c>
      <c r="F612" s="2">
        <v>23.600790797377979</v>
      </c>
      <c r="G612" s="2">
        <v>23.686463066199348</v>
      </c>
      <c r="H612" s="2">
        <v>25.637721021266088</v>
      </c>
    </row>
    <row r="613" spans="1:8" x14ac:dyDescent="0.2">
      <c r="A613" s="16">
        <f>DATE(2020,12,21)</f>
        <v>44186</v>
      </c>
      <c r="B613" s="2">
        <v>80.9602824001513</v>
      </c>
      <c r="C613" s="2">
        <v>48.242832806222481</v>
      </c>
      <c r="D613" s="2">
        <v>14.672863361553667</v>
      </c>
      <c r="E613" s="2">
        <v>21.456161810172112</v>
      </c>
      <c r="F613" s="2">
        <v>23.705216466082856</v>
      </c>
      <c r="G613" s="2">
        <v>23.791101729972539</v>
      </c>
      <c r="H613" s="2">
        <v>25.747237100381405</v>
      </c>
    </row>
    <row r="614" spans="1:8" x14ac:dyDescent="0.2">
      <c r="A614" s="16">
        <f>DATE(2020,12,22)</f>
        <v>44187</v>
      </c>
      <c r="B614" s="2">
        <v>82.055786768476466</v>
      </c>
      <c r="C614" s="2">
        <v>49.284182961027966</v>
      </c>
      <c r="D614" s="2">
        <v>14.68595687640628</v>
      </c>
      <c r="E614" s="2">
        <v>21.555125260983822</v>
      </c>
      <c r="F614" s="2">
        <v>23.809730360115488</v>
      </c>
      <c r="G614" s="2">
        <v>23.895828917984208</v>
      </c>
      <c r="H614" s="2">
        <v>25.85684864263855</v>
      </c>
    </row>
    <row r="615" spans="1:8" x14ac:dyDescent="0.2">
      <c r="A615" s="16">
        <f>DATE(2020,12,23)</f>
        <v>44188</v>
      </c>
      <c r="B615" s="2">
        <v>84.517895001849055</v>
      </c>
      <c r="C615" s="2">
        <v>50.782538912560241</v>
      </c>
      <c r="D615" s="2">
        <v>14.6990518862955</v>
      </c>
      <c r="E615" s="2">
        <v>21.654169348005748</v>
      </c>
      <c r="F615" s="2">
        <v>23.914332554014205</v>
      </c>
      <c r="G615" s="2">
        <v>24.00064470512584</v>
      </c>
      <c r="H615" s="2">
        <v>25.96655573125102</v>
      </c>
    </row>
    <row r="616" spans="1:8" x14ac:dyDescent="0.2">
      <c r="A616" s="16">
        <f>DATE(2020,12,24)</f>
        <v>44189</v>
      </c>
      <c r="B616" s="2">
        <v>84.50462411795985</v>
      </c>
      <c r="C616" s="2">
        <v>50.782538912560241</v>
      </c>
      <c r="D616" s="2">
        <v>14.712148391392077</v>
      </c>
      <c r="E616" s="2">
        <v>21.753294136940958</v>
      </c>
      <c r="F616" s="2">
        <v>24.019023122380244</v>
      </c>
      <c r="G616" s="2">
        <v>24.105549166352237</v>
      </c>
      <c r="H616" s="2">
        <v>26.07635844950482</v>
      </c>
    </row>
    <row r="617" spans="1:8" x14ac:dyDescent="0.2">
      <c r="A617" s="16">
        <f>DATE(2020,12,28)</f>
        <v>44193</v>
      </c>
      <c r="B617" s="2">
        <v>87.126821259157737</v>
      </c>
      <c r="C617" s="2">
        <v>52.467992571384009</v>
      </c>
      <c r="D617" s="2">
        <v>14.725246391866742</v>
      </c>
      <c r="E617" s="2">
        <v>21.85249969354599</v>
      </c>
      <c r="F617" s="2">
        <v>24.123802139877881</v>
      </c>
      <c r="G617" s="2">
        <v>24.210542376681609</v>
      </c>
      <c r="H617" s="2">
        <v>26.186256880758531</v>
      </c>
    </row>
    <row r="618" spans="1:8" x14ac:dyDescent="0.2">
      <c r="A618" s="16">
        <f>DATE(2020,12,29)</f>
        <v>44194</v>
      </c>
      <c r="B618" s="2">
        <v>87.2122658805621</v>
      </c>
      <c r="C618" s="2">
        <v>52.833343785957609</v>
      </c>
      <c r="D618" s="2">
        <v>14.73834588789018</v>
      </c>
      <c r="E618" s="2">
        <v>21.951786083630974</v>
      </c>
      <c r="F618" s="2">
        <v>24.22866968123445</v>
      </c>
      <c r="G618" s="2">
        <v>24.315624411195635</v>
      </c>
      <c r="H618" s="2">
        <v>26.296251108443379</v>
      </c>
    </row>
    <row r="619" spans="1:8" x14ac:dyDescent="0.2">
      <c r="A619" s="16">
        <f>DATE(2020,12,30)</f>
        <v>44195</v>
      </c>
      <c r="B619" s="2">
        <v>86.160752363310777</v>
      </c>
      <c r="C619" s="2">
        <v>52.331733015232309</v>
      </c>
      <c r="D619" s="2">
        <v>14.751446879633191</v>
      </c>
      <c r="E619" s="2">
        <v>22.051153373059673</v>
      </c>
      <c r="F619" s="2">
        <v>24.333625821240435</v>
      </c>
      <c r="G619" s="2">
        <v>24.420795345039515</v>
      </c>
      <c r="H619" s="2">
        <v>26.406341216063357</v>
      </c>
    </row>
    <row r="620" spans="1:8" x14ac:dyDescent="0.2">
      <c r="A620" s="16">
        <f>DATE(2020,12,31)</f>
        <v>44196</v>
      </c>
      <c r="B620" s="2">
        <v>86.146394792739443</v>
      </c>
      <c r="C620" s="2">
        <v>52.331733015232309</v>
      </c>
      <c r="D620" s="2">
        <v>14.764549367266566</v>
      </c>
      <c r="E620" s="2">
        <v>22.150601627749534</v>
      </c>
      <c r="F620" s="2">
        <v>24.438670634749492</v>
      </c>
      <c r="G620" s="2">
        <v>24.526055253422019</v>
      </c>
      <c r="H620" s="2">
        <v>26.516527287195245</v>
      </c>
    </row>
    <row r="621" spans="1:8" x14ac:dyDescent="0.2">
      <c r="A621" s="16">
        <f>DATE(2021,1,4)</f>
        <v>44200</v>
      </c>
      <c r="B621" s="2">
        <v>84.566152761446176</v>
      </c>
      <c r="C621" s="2">
        <v>52.12370872759999</v>
      </c>
      <c r="D621" s="2">
        <v>14.777653350961129</v>
      </c>
      <c r="E621" s="2">
        <v>22.186086134976922</v>
      </c>
      <c r="F621" s="2">
        <v>24.478557801292578</v>
      </c>
      <c r="G621" s="2">
        <v>24.566111924061349</v>
      </c>
      <c r="H621" s="2">
        <v>26.560471758857208</v>
      </c>
    </row>
    <row r="622" spans="1:8" x14ac:dyDescent="0.2">
      <c r="A622" s="16">
        <f>DATE(2021,1,5)</f>
        <v>44201</v>
      </c>
      <c r="B622" s="2">
        <v>85.528939419967557</v>
      </c>
      <c r="C622" s="2">
        <v>52.791183446115092</v>
      </c>
      <c r="D622" s="2">
        <v>14.790758830887629</v>
      </c>
      <c r="E622" s="2">
        <v>22.221580950383224</v>
      </c>
      <c r="F622" s="2">
        <v>24.518457753138257</v>
      </c>
      <c r="G622" s="2">
        <v>24.606181479850409</v>
      </c>
      <c r="H622" s="2">
        <v>26.604431494268766</v>
      </c>
    </row>
    <row r="623" spans="1:8" x14ac:dyDescent="0.2">
      <c r="A623" s="16">
        <f>DATE(2021,1,6)</f>
        <v>44202</v>
      </c>
      <c r="B623" s="2">
        <v>83.689187738075987</v>
      </c>
      <c r="C623" s="2">
        <v>52.4377610222923</v>
      </c>
      <c r="D623" s="2">
        <v>14.803865807216955</v>
      </c>
      <c r="E623" s="2">
        <v>22.257086076962931</v>
      </c>
      <c r="F623" s="2">
        <v>24.558370494384675</v>
      </c>
      <c r="G623" s="2">
        <v>24.646263924933965</v>
      </c>
      <c r="H623" s="2">
        <v>26.648406498731635</v>
      </c>
    </row>
    <row r="624" spans="1:8" x14ac:dyDescent="0.2">
      <c r="A624" s="16">
        <f>DATE(2021,1,7)</f>
        <v>44203</v>
      </c>
      <c r="B624" s="2">
        <v>85.435963394537865</v>
      </c>
      <c r="C624" s="2">
        <v>56.643350915073981</v>
      </c>
      <c r="D624" s="2">
        <v>14.816974280119966</v>
      </c>
      <c r="E624" s="2">
        <v>22.292601517711422</v>
      </c>
      <c r="F624" s="2">
        <v>24.598296029131305</v>
      </c>
      <c r="G624" s="2">
        <v>24.68635926345819</v>
      </c>
      <c r="H624" s="2">
        <v>26.692396777549444</v>
      </c>
    </row>
    <row r="625" spans="1:8" x14ac:dyDescent="0.2">
      <c r="A625" s="16">
        <f>DATE(2021,1,8)</f>
        <v>44204</v>
      </c>
      <c r="B625" s="2">
        <v>89.088911684175073</v>
      </c>
      <c r="C625" s="2">
        <v>60.087226082582632</v>
      </c>
      <c r="D625" s="2">
        <v>14.830084249767529</v>
      </c>
      <c r="E625" s="2">
        <v>22.328127275624876</v>
      </c>
      <c r="F625" s="2">
        <v>24.638234361478872</v>
      </c>
      <c r="G625" s="2">
        <v>24.726467499570461</v>
      </c>
      <c r="H625" s="2">
        <v>26.736402336027499</v>
      </c>
    </row>
    <row r="626" spans="1:8" x14ac:dyDescent="0.2">
      <c r="A626" s="16">
        <f>DATE(2021,1,11)</f>
        <v>44207</v>
      </c>
      <c r="B626" s="2">
        <v>84.921038019086467</v>
      </c>
      <c r="C626" s="2">
        <v>57.755864242169899</v>
      </c>
      <c r="D626" s="2">
        <v>14.843195716330548</v>
      </c>
      <c r="E626" s="2">
        <v>22.363663353700481</v>
      </c>
      <c r="F626" s="2">
        <v>24.678185495529537</v>
      </c>
      <c r="G626" s="2">
        <v>24.766588637419673</v>
      </c>
      <c r="H626" s="2">
        <v>26.780423179473157</v>
      </c>
    </row>
    <row r="627" spans="1:8" x14ac:dyDescent="0.2">
      <c r="A627" s="16">
        <f>DATE(2021,1,12)</f>
        <v>44208</v>
      </c>
      <c r="B627" s="2">
        <v>87.55398670525345</v>
      </c>
      <c r="C627" s="2">
        <v>58.706673339280748</v>
      </c>
      <c r="D627" s="2">
        <v>14.856308679979957</v>
      </c>
      <c r="E627" s="2">
        <v>22.399209754936209</v>
      </c>
      <c r="F627" s="2">
        <v>24.718149435386707</v>
      </c>
      <c r="G627" s="2">
        <v>24.806722681155936</v>
      </c>
      <c r="H627" s="2">
        <v>26.824459313195504</v>
      </c>
    </row>
    <row r="628" spans="1:8" x14ac:dyDescent="0.2">
      <c r="A628" s="16">
        <f>DATE(2021,1,13)</f>
        <v>44209</v>
      </c>
      <c r="B628" s="2">
        <v>85.555578767774605</v>
      </c>
      <c r="C628" s="2">
        <v>56.063755034858517</v>
      </c>
      <c r="D628" s="2">
        <v>14.869423140886685</v>
      </c>
      <c r="E628" s="2">
        <v>22.434766482330893</v>
      </c>
      <c r="F628" s="2">
        <v>24.758126185155096</v>
      </c>
      <c r="G628" s="2">
        <v>24.846869634930702</v>
      </c>
      <c r="H628" s="2">
        <v>26.868510742505446</v>
      </c>
    </row>
    <row r="629" spans="1:8" x14ac:dyDescent="0.2">
      <c r="A629" s="16">
        <f>DATE(2021,1,14)</f>
        <v>44210</v>
      </c>
      <c r="B629" s="2">
        <v>88.209826512910794</v>
      </c>
      <c r="C629" s="2">
        <v>58.044343871711853</v>
      </c>
      <c r="D629" s="2">
        <v>14.882539099221702</v>
      </c>
      <c r="E629" s="2">
        <v>22.470333538884347</v>
      </c>
      <c r="F629" s="2">
        <v>24.79811574894082</v>
      </c>
      <c r="G629" s="2">
        <v>24.887029502896873</v>
      </c>
      <c r="H629" s="2">
        <v>26.912577472715892</v>
      </c>
    </row>
    <row r="630" spans="1:8" x14ac:dyDescent="0.2">
      <c r="A630" s="16">
        <f>DATE(2021,1,15)</f>
        <v>44211</v>
      </c>
      <c r="B630" s="2">
        <v>84.869719794956097</v>
      </c>
      <c r="C630" s="2">
        <v>54.036014196796998</v>
      </c>
      <c r="D630" s="2">
        <v>14.895656555155966</v>
      </c>
      <c r="E630" s="2">
        <v>22.505910927597107</v>
      </c>
      <c r="F630" s="2">
        <v>24.838118130851171</v>
      </c>
      <c r="G630" s="2">
        <v>24.927202289208527</v>
      </c>
      <c r="H630" s="2">
        <v>26.95665950914141</v>
      </c>
    </row>
    <row r="631" spans="1:8" x14ac:dyDescent="0.2">
      <c r="A631" s="16">
        <f>DATE(2021,1,18)</f>
        <v>44214</v>
      </c>
      <c r="B631" s="2">
        <v>83.519970662120954</v>
      </c>
      <c r="C631" s="2">
        <v>55.178759072984619</v>
      </c>
      <c r="D631" s="2">
        <v>14.908775508860495</v>
      </c>
      <c r="E631" s="2">
        <v>22.541498651470615</v>
      </c>
      <c r="F631" s="2">
        <v>24.878133334994821</v>
      </c>
      <c r="G631" s="2">
        <v>24.967387998021142</v>
      </c>
      <c r="H631" s="2">
        <v>27.000756857098459</v>
      </c>
    </row>
    <row r="632" spans="1:8" x14ac:dyDescent="0.2">
      <c r="A632" s="16">
        <f>DATE(2021,1,19)</f>
        <v>44215</v>
      </c>
      <c r="B632" s="2">
        <v>82.881171875821366</v>
      </c>
      <c r="C632" s="2">
        <v>54.4041044255559</v>
      </c>
      <c r="D632" s="2">
        <v>14.921895960506305</v>
      </c>
      <c r="E632" s="2">
        <v>22.577096713507228</v>
      </c>
      <c r="F632" s="2">
        <v>24.918161365481794</v>
      </c>
      <c r="G632" s="2">
        <v>25.007586633491542</v>
      </c>
      <c r="H632" s="2">
        <v>27.044869521905412</v>
      </c>
    </row>
    <row r="633" spans="1:8" x14ac:dyDescent="0.2">
      <c r="A633" s="16">
        <f>DATE(2021,1,20)</f>
        <v>44216</v>
      </c>
      <c r="B633" s="2">
        <v>81.361815346916842</v>
      </c>
      <c r="C633" s="2">
        <v>53.137003185704003</v>
      </c>
      <c r="D633" s="2">
        <v>14.935017910264413</v>
      </c>
      <c r="E633" s="2">
        <v>22.612705116710185</v>
      </c>
      <c r="F633" s="2">
        <v>24.958202226423399</v>
      </c>
      <c r="G633" s="2">
        <v>25.047798199777869</v>
      </c>
      <c r="H633" s="2">
        <v>27.088997508882429</v>
      </c>
    </row>
    <row r="634" spans="1:8" x14ac:dyDescent="0.2">
      <c r="A634" s="16">
        <f>DATE(2021,1,21)</f>
        <v>44217</v>
      </c>
      <c r="B634" s="2">
        <v>77.966238818160477</v>
      </c>
      <c r="C634" s="2">
        <v>51.450832775504637</v>
      </c>
      <c r="D634" s="2">
        <v>14.948141358305911</v>
      </c>
      <c r="E634" s="2">
        <v>22.648323864083576</v>
      </c>
      <c r="F634" s="2">
        <v>24.998255921932277</v>
      </c>
      <c r="G634" s="2">
        <v>25.088022701039652</v>
      </c>
      <c r="H634" s="2">
        <v>27.133140823351539</v>
      </c>
    </row>
    <row r="635" spans="1:8" x14ac:dyDescent="0.2">
      <c r="A635" s="16">
        <f>DATE(2021,1,22)</f>
        <v>44218</v>
      </c>
      <c r="B635" s="2">
        <v>76.604083715325984</v>
      </c>
      <c r="C635" s="2">
        <v>50.236835133104712</v>
      </c>
      <c r="D635" s="2">
        <v>14.961266304801836</v>
      </c>
      <c r="E635" s="2">
        <v>22.683952958632347</v>
      </c>
      <c r="F635" s="2">
        <v>25.038322456122366</v>
      </c>
      <c r="G635" s="2">
        <v>25.128260141437696</v>
      </c>
      <c r="H635" s="2">
        <v>27.177299470636651</v>
      </c>
    </row>
    <row r="636" spans="1:8" x14ac:dyDescent="0.2">
      <c r="A636" s="16">
        <f>DATE(2021,1,25)</f>
        <v>44221</v>
      </c>
      <c r="B636" s="2">
        <v>76.590178561250895</v>
      </c>
      <c r="C636" s="2">
        <v>50.236835133104712</v>
      </c>
      <c r="D636" s="2">
        <v>14.974392749923314</v>
      </c>
      <c r="E636" s="2">
        <v>22.719592403362341</v>
      </c>
      <c r="F636" s="2">
        <v>25.078401833108941</v>
      </c>
      <c r="G636" s="2">
        <v>25.168510525134199</v>
      </c>
      <c r="H636" s="2">
        <v>27.221473456063471</v>
      </c>
    </row>
    <row r="637" spans="1:8" x14ac:dyDescent="0.2">
      <c r="A637" s="16">
        <f>DATE(2021,1,26)</f>
        <v>44222</v>
      </c>
      <c r="B637" s="2">
        <v>72.957682158516477</v>
      </c>
      <c r="C637" s="2">
        <v>49.063884306088788</v>
      </c>
      <c r="D637" s="2">
        <v>14.987520693841438</v>
      </c>
      <c r="E637" s="2">
        <v>22.755242201280289</v>
      </c>
      <c r="F637" s="2">
        <v>25.118494057008633</v>
      </c>
      <c r="G637" s="2">
        <v>25.208773856292702</v>
      </c>
      <c r="H637" s="2">
        <v>27.265662784959609</v>
      </c>
    </row>
    <row r="638" spans="1:8" x14ac:dyDescent="0.2">
      <c r="A638" s="16">
        <f>DATE(2021,1,27)</f>
        <v>44223</v>
      </c>
      <c r="B638" s="2">
        <v>74.486175726462392</v>
      </c>
      <c r="C638" s="2">
        <v>48.319282019907895</v>
      </c>
      <c r="D638" s="2">
        <v>15.000650136727357</v>
      </c>
      <c r="E638" s="2">
        <v>22.790902355393694</v>
      </c>
      <c r="F638" s="2">
        <v>25.158599131939251</v>
      </c>
      <c r="G638" s="2">
        <v>25.249050139077944</v>
      </c>
      <c r="H638" s="2">
        <v>27.309867462654399</v>
      </c>
    </row>
    <row r="639" spans="1:8" x14ac:dyDescent="0.2">
      <c r="A639" s="16">
        <f>DATE(2021,1,28)</f>
        <v>44224</v>
      </c>
      <c r="B639" s="2">
        <v>79.284296618980775</v>
      </c>
      <c r="C639" s="2">
        <v>52.160237449491561</v>
      </c>
      <c r="D639" s="2">
        <v>15.013781078752221</v>
      </c>
      <c r="E639" s="2">
        <v>22.826572868711079</v>
      </c>
      <c r="F639" s="2">
        <v>25.198717062020105</v>
      </c>
      <c r="G639" s="2">
        <v>25.289339377656205</v>
      </c>
      <c r="H639" s="2">
        <v>27.354087494479206</v>
      </c>
    </row>
    <row r="640" spans="1:8" x14ac:dyDescent="0.2">
      <c r="A640" s="16">
        <f>DATE(2021,1,29)</f>
        <v>44225</v>
      </c>
      <c r="B640" s="2">
        <v>74.494124063337225</v>
      </c>
      <c r="C640" s="2">
        <v>47.276472764087821</v>
      </c>
      <c r="D640" s="2">
        <v>15.026913520087204</v>
      </c>
      <c r="E640" s="2">
        <v>22.862253744241755</v>
      </c>
      <c r="F640" s="2">
        <v>25.238847851371716</v>
      </c>
      <c r="G640" s="2">
        <v>25.329641576194994</v>
      </c>
      <c r="H640" s="2">
        <v>27.398322885767136</v>
      </c>
    </row>
    <row r="641" spans="1:8" x14ac:dyDescent="0.2">
      <c r="A641" s="16">
        <f>DATE(2021,2,1)</f>
        <v>44228</v>
      </c>
      <c r="B641" s="2">
        <v>78.287232757686695</v>
      </c>
      <c r="C641" s="2">
        <v>50.412285630542961</v>
      </c>
      <c r="D641" s="2">
        <v>15.040047460903505</v>
      </c>
      <c r="E641" s="2">
        <v>22.937140912140141</v>
      </c>
      <c r="F641" s="2">
        <v>25.318946820083955</v>
      </c>
      <c r="G641" s="2">
        <v>25.409941066436815</v>
      </c>
      <c r="H641" s="2">
        <v>27.483218990578461</v>
      </c>
    </row>
    <row r="642" spans="1:8" x14ac:dyDescent="0.2">
      <c r="A642" s="16">
        <f>DATE(2021,2,2)</f>
        <v>44229</v>
      </c>
      <c r="B642" s="2">
        <v>81.291837160045205</v>
      </c>
      <c r="C642" s="2">
        <v>51.329010639918302</v>
      </c>
      <c r="D642" s="2">
        <v>15.05318290137232</v>
      </c>
      <c r="E642" s="2">
        <v>23.012073725366889</v>
      </c>
      <c r="F642" s="2">
        <v>25.399097017667248</v>
      </c>
      <c r="G642" s="2">
        <v>25.49029200506747</v>
      </c>
      <c r="H642" s="2">
        <v>27.568171668729601</v>
      </c>
    </row>
    <row r="643" spans="1:8" x14ac:dyDescent="0.2">
      <c r="A643" s="16">
        <f>DATE(2021,2,3)</f>
        <v>44230</v>
      </c>
      <c r="B643" s="2">
        <v>83.075023473541364</v>
      </c>
      <c r="C643" s="2">
        <v>53.23724598523247</v>
      </c>
      <c r="D643" s="2">
        <v>15.06631984166491</v>
      </c>
      <c r="E643" s="2">
        <v>23.087052211743806</v>
      </c>
      <c r="F643" s="2">
        <v>25.479298476886061</v>
      </c>
      <c r="G643" s="2">
        <v>25.570694425050267</v>
      </c>
      <c r="H643" s="2">
        <v>27.653180957920064</v>
      </c>
    </row>
    <row r="644" spans="1:8" x14ac:dyDescent="0.2">
      <c r="A644" s="16">
        <f>DATE(2021,2,4)</f>
        <v>44231</v>
      </c>
      <c r="B644" s="2">
        <v>82.091434527105392</v>
      </c>
      <c r="C644" s="2">
        <v>52.643494265349162</v>
      </c>
      <c r="D644" s="2">
        <v>15.079458281952496</v>
      </c>
      <c r="E644" s="2">
        <v>23.162076399109655</v>
      </c>
      <c r="F644" s="2">
        <v>25.559551230525734</v>
      </c>
      <c r="G644" s="2">
        <v>25.651148359369635</v>
      </c>
      <c r="H644" s="2">
        <v>27.738246895874521</v>
      </c>
    </row>
    <row r="645" spans="1:8" x14ac:dyDescent="0.2">
      <c r="A645" s="16">
        <f>DATE(2021,2,5)</f>
        <v>44232</v>
      </c>
      <c r="B645" s="2">
        <v>81.534882398545648</v>
      </c>
      <c r="C645" s="2">
        <v>53.89709242125025</v>
      </c>
      <c r="D645" s="2">
        <v>15.092598222406362</v>
      </c>
      <c r="E645" s="2">
        <v>23.237146315320146</v>
      </c>
      <c r="F645" s="2">
        <v>25.639855311392655</v>
      </c>
      <c r="G645" s="2">
        <v>25.731653841031154</v>
      </c>
      <c r="H645" s="2">
        <v>27.823369520342744</v>
      </c>
    </row>
    <row r="646" spans="1:8" x14ac:dyDescent="0.2">
      <c r="A646" s="16">
        <f>DATE(2021,2,8)</f>
        <v>44235</v>
      </c>
      <c r="B646" s="2">
        <v>81.243406417670045</v>
      </c>
      <c r="C646" s="2">
        <v>53.2009476477117</v>
      </c>
      <c r="D646" s="2">
        <v>15.105739663197815</v>
      </c>
      <c r="E646" s="2">
        <v>23.312261988248007</v>
      </c>
      <c r="F646" s="2">
        <v>25.720210752314166</v>
      </c>
      <c r="G646" s="2">
        <v>25.812210903061494</v>
      </c>
      <c r="H646" s="2">
        <v>27.908548869099679</v>
      </c>
    </row>
    <row r="647" spans="1:8" x14ac:dyDescent="0.2">
      <c r="A647" s="16">
        <f>DATE(2021,2,9)</f>
        <v>44236</v>
      </c>
      <c r="B647" s="2">
        <v>80.358404348308142</v>
      </c>
      <c r="C647" s="2">
        <v>52.913299961730729</v>
      </c>
      <c r="D647" s="2">
        <v>15.11888260449814</v>
      </c>
      <c r="E647" s="2">
        <v>23.387423445782929</v>
      </c>
      <c r="F647" s="2">
        <v>25.800617586138586</v>
      </c>
      <c r="G647" s="2">
        <v>25.892819578508551</v>
      </c>
      <c r="H647" s="2">
        <v>27.993784979945445</v>
      </c>
    </row>
    <row r="648" spans="1:8" x14ac:dyDescent="0.2">
      <c r="A648" s="16">
        <f>DATE(2021,2,10)</f>
        <v>44237</v>
      </c>
      <c r="B648" s="2">
        <v>78.034260969004436</v>
      </c>
      <c r="C648" s="2">
        <v>51.586938742075873</v>
      </c>
      <c r="D648" s="2">
        <v>15.132027046478671</v>
      </c>
      <c r="E648" s="2">
        <v>23.462630715831612</v>
      </c>
      <c r="F648" s="2">
        <v>25.881075845735246</v>
      </c>
      <c r="G648" s="2">
        <v>25.973479900441365</v>
      </c>
      <c r="H648" s="2">
        <v>28.079077890705339</v>
      </c>
    </row>
    <row r="649" spans="1:8" x14ac:dyDescent="0.2">
      <c r="A649" s="16">
        <f>DATE(2021,2,11)</f>
        <v>44238</v>
      </c>
      <c r="B649" s="2">
        <v>80.272769002302454</v>
      </c>
      <c r="C649" s="2">
        <v>52.693423678137833</v>
      </c>
      <c r="D649" s="2">
        <v>15.145172989310796</v>
      </c>
      <c r="E649" s="2">
        <v>23.537883826317785</v>
      </c>
      <c r="F649" s="2">
        <v>25.96158556399455</v>
      </c>
      <c r="G649" s="2">
        <v>26.054191901950173</v>
      </c>
      <c r="H649" s="2">
        <v>28.164427639229881</v>
      </c>
    </row>
    <row r="650" spans="1:8" x14ac:dyDescent="0.2">
      <c r="A650" s="16">
        <f>DATE(2021,2,12)</f>
        <v>44239</v>
      </c>
      <c r="B650" s="2">
        <v>80.64552027608778</v>
      </c>
      <c r="C650" s="2">
        <v>52.858391686708117</v>
      </c>
      <c r="D650" s="2">
        <v>15.158320433165828</v>
      </c>
      <c r="E650" s="2">
        <v>23.613182805182099</v>
      </c>
      <c r="F650" s="2">
        <v>26.04214677382781</v>
      </c>
      <c r="G650" s="2">
        <v>26.134955616146339</v>
      </c>
      <c r="H650" s="2">
        <v>28.24983426339476</v>
      </c>
    </row>
    <row r="651" spans="1:8" x14ac:dyDescent="0.2">
      <c r="A651" s="16">
        <f>DATE(2021,2,17)</f>
        <v>44244</v>
      </c>
      <c r="B651" s="2">
        <v>81.3428315958989</v>
      </c>
      <c r="C651" s="2">
        <v>54.044960789860163</v>
      </c>
      <c r="D651" s="2">
        <v>15.171469378215185</v>
      </c>
      <c r="E651" s="2">
        <v>23.688527680382386</v>
      </c>
      <c r="F651" s="2">
        <v>26.122759508167579</v>
      </c>
      <c r="G651" s="2">
        <v>26.215771076162575</v>
      </c>
      <c r="H651" s="2">
        <v>28.335297801100999</v>
      </c>
    </row>
    <row r="652" spans="1:8" x14ac:dyDescent="0.2">
      <c r="A652" s="16">
        <f>DATE(2021,2,18)</f>
        <v>44245</v>
      </c>
      <c r="B652" s="2">
        <v>78.734224691411043</v>
      </c>
      <c r="C652" s="2">
        <v>52.564331635741993</v>
      </c>
      <c r="D652" s="2">
        <v>15.184619824630285</v>
      </c>
      <c r="E652" s="2">
        <v>23.763918479893409</v>
      </c>
      <c r="F652" s="2">
        <v>26.203423799967322</v>
      </c>
      <c r="G652" s="2">
        <v>26.296638315152741</v>
      </c>
      <c r="H652" s="2">
        <v>28.420818290274809</v>
      </c>
    </row>
    <row r="653" spans="1:8" x14ac:dyDescent="0.2">
      <c r="A653" s="16">
        <f>DATE(2021,2,19)</f>
        <v>44246</v>
      </c>
      <c r="B653" s="2">
        <v>76.655978548716305</v>
      </c>
      <c r="C653" s="2">
        <v>51.580795158856581</v>
      </c>
      <c r="D653" s="2">
        <v>15.197771772582547</v>
      </c>
      <c r="E653" s="2">
        <v>23.839355231707017</v>
      </c>
      <c r="F653" s="2">
        <v>26.284139682201623</v>
      </c>
      <c r="G653" s="2">
        <v>26.377557366291949</v>
      </c>
      <c r="H653" s="2">
        <v>28.506395768867687</v>
      </c>
    </row>
    <row r="654" spans="1:8" x14ac:dyDescent="0.2">
      <c r="A654" s="16">
        <f>DATE(2021,2,22)</f>
        <v>44249</v>
      </c>
      <c r="B654" s="2">
        <v>67.920148665834958</v>
      </c>
      <c r="C654" s="2">
        <v>44.204873141406239</v>
      </c>
      <c r="D654" s="2">
        <v>15.210925222243411</v>
      </c>
      <c r="E654" s="2">
        <v>23.914837963832134</v>
      </c>
      <c r="F654" s="2">
        <v>26.364907187866169</v>
      </c>
      <c r="G654" s="2">
        <v>26.45852826277655</v>
      </c>
      <c r="H654" s="2">
        <v>28.592030274856441</v>
      </c>
    </row>
    <row r="655" spans="1:8" x14ac:dyDescent="0.2">
      <c r="A655" s="16">
        <f>DATE(2021,2,23)</f>
        <v>44250</v>
      </c>
      <c r="B655" s="2">
        <v>72.945746346836728</v>
      </c>
      <c r="C655" s="2">
        <v>47.48114367921297</v>
      </c>
      <c r="D655" s="2">
        <v>15.224080173784339</v>
      </c>
      <c r="E655" s="2">
        <v>23.990366704294729</v>
      </c>
      <c r="F655" s="2">
        <v>26.44572634997775</v>
      </c>
      <c r="G655" s="2">
        <v>26.539551037824193</v>
      </c>
      <c r="H655" s="2">
        <v>28.677721846243156</v>
      </c>
    </row>
    <row r="656" spans="1:8" x14ac:dyDescent="0.2">
      <c r="A656" s="16">
        <f>DATE(2021,2,24)</f>
        <v>44251</v>
      </c>
      <c r="B656" s="2">
        <v>73.34142005643065</v>
      </c>
      <c r="C656" s="2">
        <v>48.044715046531408</v>
      </c>
      <c r="D656" s="2">
        <v>15.237236627376838</v>
      </c>
      <c r="E656" s="2">
        <v>24.065941481137877</v>
      </c>
      <c r="F656" s="2">
        <v>26.526597201574241</v>
      </c>
      <c r="G656" s="2">
        <v>26.620625724673811</v>
      </c>
      <c r="H656" s="2">
        <v>28.763470521055257</v>
      </c>
    </row>
    <row r="657" spans="1:8" x14ac:dyDescent="0.2">
      <c r="A657" s="16">
        <f>DATE(2021,2,25)</f>
        <v>44252</v>
      </c>
      <c r="B657" s="2">
        <v>68.782796037736446</v>
      </c>
      <c r="C657" s="2">
        <v>43.678393657774414</v>
      </c>
      <c r="D657" s="2">
        <v>15.250394583192396</v>
      </c>
      <c r="E657" s="2">
        <v>24.141562322421727</v>
      </c>
      <c r="F657" s="2">
        <v>26.607519775714671</v>
      </c>
      <c r="G657" s="2">
        <v>26.701752356585605</v>
      </c>
      <c r="H657" s="2">
        <v>28.849276337345529</v>
      </c>
    </row>
    <row r="658" spans="1:8" x14ac:dyDescent="0.2">
      <c r="A658" s="16">
        <f>DATE(2021,2,26)</f>
        <v>44253</v>
      </c>
      <c r="B658" s="2">
        <v>64.096754678973582</v>
      </c>
      <c r="C658" s="2">
        <v>40.835463322168387</v>
      </c>
      <c r="D658" s="2">
        <v>15.263554041402561</v>
      </c>
      <c r="E658" s="2">
        <v>24.217229256223536</v>
      </c>
      <c r="F658" s="2">
        <v>26.688494105479219</v>
      </c>
      <c r="G658" s="2">
        <v>26.782930966841121</v>
      </c>
      <c r="H658" s="2">
        <v>28.935139333192069</v>
      </c>
    </row>
    <row r="659" spans="1:8" x14ac:dyDescent="0.2">
      <c r="A659" s="16">
        <f>DATE(2021,3,1)</f>
        <v>44256</v>
      </c>
      <c r="B659" s="2">
        <v>62.63650059920802</v>
      </c>
      <c r="C659" s="2">
        <v>41.219002102897527</v>
      </c>
      <c r="D659" s="2">
        <v>15.276715002178864</v>
      </c>
      <c r="E659" s="2">
        <v>24.282827321433519</v>
      </c>
      <c r="F659" s="2">
        <v>26.759203690265476</v>
      </c>
      <c r="G659" s="2">
        <v>26.853837353102694</v>
      </c>
      <c r="H659" s="2">
        <v>29.010559782189116</v>
      </c>
    </row>
    <row r="660" spans="1:8" x14ac:dyDescent="0.2">
      <c r="A660" s="16">
        <f>DATE(2021,3,2)</f>
        <v>44257</v>
      </c>
      <c r="B660" s="2">
        <v>62.758870390524677</v>
      </c>
      <c r="C660" s="2">
        <v>42.761259076184466</v>
      </c>
      <c r="D660" s="2">
        <v>15.289877465692857</v>
      </c>
      <c r="E660" s="2">
        <v>24.348460028425347</v>
      </c>
      <c r="F660" s="2">
        <v>26.829952740714472</v>
      </c>
      <c r="G660" s="2">
        <v>26.924783395456586</v>
      </c>
      <c r="H660" s="2">
        <v>29.086024348283757</v>
      </c>
    </row>
    <row r="661" spans="1:8" x14ac:dyDescent="0.2">
      <c r="A661" s="16">
        <f>DATE(2021,3,3)</f>
        <v>44258</v>
      </c>
      <c r="B661" s="2">
        <v>61.50940247889654</v>
      </c>
      <c r="C661" s="2">
        <v>42.305801974394242</v>
      </c>
      <c r="D661" s="2">
        <v>15.303041432116139</v>
      </c>
      <c r="E661" s="2">
        <v>24.414127395493068</v>
      </c>
      <c r="F661" s="2">
        <v>26.900741278853445</v>
      </c>
      <c r="G661" s="2">
        <v>26.995769116081391</v>
      </c>
      <c r="H661" s="2">
        <v>29.161533057282242</v>
      </c>
    </row>
    <row r="662" spans="1:8" x14ac:dyDescent="0.2">
      <c r="A662" s="16">
        <f>DATE(2021,3,4)</f>
        <v>44259</v>
      </c>
      <c r="B662" s="2">
        <v>65.767311462189369</v>
      </c>
      <c r="C662" s="2">
        <v>44.233632790351685</v>
      </c>
      <c r="D662" s="2">
        <v>15.316206901620323</v>
      </c>
      <c r="E662" s="2">
        <v>24.479829440940382</v>
      </c>
      <c r="F662" s="2">
        <v>26.97156932672198</v>
      </c>
      <c r="G662" s="2">
        <v>27.066794537168139</v>
      </c>
      <c r="H662" s="2">
        <v>29.237085935005911</v>
      </c>
    </row>
    <row r="663" spans="1:8" x14ac:dyDescent="0.2">
      <c r="A663" s="16">
        <f>DATE(2021,3,5)</f>
        <v>44260</v>
      </c>
      <c r="B663" s="2">
        <v>68.788597613982134</v>
      </c>
      <c r="C663" s="2">
        <v>47.448851469916463</v>
      </c>
      <c r="D663" s="2">
        <v>15.329373874377028</v>
      </c>
      <c r="E663" s="2">
        <v>24.545566183080638</v>
      </c>
      <c r="F663" s="2">
        <v>27.042436906371936</v>
      </c>
      <c r="G663" s="2">
        <v>27.137859680920261</v>
      </c>
      <c r="H663" s="2">
        <v>29.31268300729122</v>
      </c>
    </row>
    <row r="664" spans="1:8" x14ac:dyDescent="0.2">
      <c r="A664" s="16">
        <f>DATE(2021,3,8)</f>
        <v>44263</v>
      </c>
      <c r="B664" s="2">
        <v>61.293808276622833</v>
      </c>
      <c r="C664" s="2">
        <v>41.573218072886121</v>
      </c>
      <c r="D664" s="2">
        <v>15.342542350557874</v>
      </c>
      <c r="E664" s="2">
        <v>24.611337640236862</v>
      </c>
      <c r="F664" s="2">
        <v>27.113344039867449</v>
      </c>
      <c r="G664" s="2">
        <v>27.208964569553594</v>
      </c>
      <c r="H664" s="2">
        <v>29.388324299989701</v>
      </c>
    </row>
    <row r="665" spans="1:8" x14ac:dyDescent="0.2">
      <c r="A665" s="16">
        <f>DATE(2021,3,9)</f>
        <v>44264</v>
      </c>
      <c r="B665" s="2">
        <v>60.615764577003773</v>
      </c>
      <c r="C665" s="2">
        <v>42.493526839139406</v>
      </c>
      <c r="D665" s="2">
        <v>15.355712330334548</v>
      </c>
      <c r="E665" s="2">
        <v>24.677143830741777</v>
      </c>
      <c r="F665" s="2">
        <v>27.184290749285033</v>
      </c>
      <c r="G665" s="2">
        <v>27.280109225296446</v>
      </c>
      <c r="H665" s="2">
        <v>29.464009838968039</v>
      </c>
    </row>
    <row r="666" spans="1:8" x14ac:dyDescent="0.2">
      <c r="A666" s="16">
        <f>DATE(2021,3,10)</f>
        <v>44265</v>
      </c>
      <c r="B666" s="2">
        <v>63.535647337260691</v>
      </c>
      <c r="C666" s="2">
        <v>44.344114895245703</v>
      </c>
      <c r="D666" s="2">
        <v>15.36888381387873</v>
      </c>
      <c r="E666" s="2">
        <v>24.742984772937749</v>
      </c>
      <c r="F666" s="2">
        <v>27.255277056713471</v>
      </c>
      <c r="G666" s="2">
        <v>27.351293670389488</v>
      </c>
      <c r="H666" s="2">
        <v>29.539739650108029</v>
      </c>
    </row>
    <row r="667" spans="1:8" x14ac:dyDescent="0.2">
      <c r="A667" s="16">
        <f>DATE(2021,3,11)</f>
        <v>44266</v>
      </c>
      <c r="B667" s="2">
        <v>68.612536629657797</v>
      </c>
      <c r="C667" s="2">
        <v>47.169228839515711</v>
      </c>
      <c r="D667" s="2">
        <v>15.382056801362133</v>
      </c>
      <c r="E667" s="2">
        <v>24.808860485176854</v>
      </c>
      <c r="F667" s="2">
        <v>27.326302984253889</v>
      </c>
      <c r="G667" s="2">
        <v>27.422517927085899</v>
      </c>
      <c r="H667" s="2">
        <v>29.615513759306644</v>
      </c>
    </row>
    <row r="668" spans="1:8" x14ac:dyDescent="0.2">
      <c r="A668" s="16">
        <f>DATE(2021,3,12)</f>
        <v>44267</v>
      </c>
      <c r="B668" s="2">
        <v>67.698828290064924</v>
      </c>
      <c r="C668" s="2">
        <v>46.115399531295978</v>
      </c>
      <c r="D668" s="2">
        <v>15.395231292956456</v>
      </c>
      <c r="E668" s="2">
        <v>24.87477098582087</v>
      </c>
      <c r="F668" s="2">
        <v>27.397368554019749</v>
      </c>
      <c r="G668" s="2">
        <v>27.493782017651245</v>
      </c>
      <c r="H668" s="2">
        <v>29.691332192475951</v>
      </c>
    </row>
    <row r="669" spans="1:8" x14ac:dyDescent="0.2">
      <c r="A669" s="16">
        <f>DATE(2021,3,15)</f>
        <v>44270</v>
      </c>
      <c r="B669" s="2">
        <v>69.791950951664901</v>
      </c>
      <c r="C669" s="2">
        <v>46.998974789550466</v>
      </c>
      <c r="D669" s="2">
        <v>15.408407288833461</v>
      </c>
      <c r="E669" s="2">
        <v>24.940716293241238</v>
      </c>
      <c r="F669" s="2">
        <v>27.46847378813688</v>
      </c>
      <c r="G669" s="2">
        <v>27.565085964363579</v>
      </c>
      <c r="H669" s="2">
        <v>29.767194975543209</v>
      </c>
    </row>
    <row r="670" spans="1:8" x14ac:dyDescent="0.2">
      <c r="A670" s="16">
        <f>DATE(2021,3,16)</f>
        <v>44271</v>
      </c>
      <c r="B670" s="2">
        <v>67.270860026461193</v>
      </c>
      <c r="C670" s="2">
        <v>45.934138228062778</v>
      </c>
      <c r="D670" s="2">
        <v>15.421584789164887</v>
      </c>
      <c r="E670" s="2">
        <v>25.00669642581914</v>
      </c>
      <c r="F670" s="2">
        <v>27.539618708743419</v>
      </c>
      <c r="G670" s="2">
        <v>27.636429789513418</v>
      </c>
      <c r="H670" s="2">
        <v>29.843102134450831</v>
      </c>
    </row>
    <row r="671" spans="1:8" x14ac:dyDescent="0.2">
      <c r="A671" s="16">
        <f>DATE(2021,3,17)</f>
        <v>44272</v>
      </c>
      <c r="B671" s="2">
        <v>71.634989306337872</v>
      </c>
      <c r="C671" s="2">
        <v>49.173163292602396</v>
      </c>
      <c r="D671" s="2">
        <v>15.434763794122563</v>
      </c>
      <c r="E671" s="2">
        <v>25.072711401945448</v>
      </c>
      <c r="F671" s="2">
        <v>27.610803337989886</v>
      </c>
      <c r="G671" s="2">
        <v>27.7078135154037</v>
      </c>
      <c r="H671" s="2">
        <v>29.919053695156418</v>
      </c>
    </row>
    <row r="672" spans="1:8" x14ac:dyDescent="0.2">
      <c r="A672" s="16">
        <f>DATE(2021,3,18)</f>
        <v>44273</v>
      </c>
      <c r="B672" s="2">
        <v>68.032232635046356</v>
      </c>
      <c r="C672" s="2">
        <v>46.979379318907164</v>
      </c>
      <c r="D672" s="2">
        <v>15.447944303878192</v>
      </c>
      <c r="E672" s="2">
        <v>25.138761240020699</v>
      </c>
      <c r="F672" s="2">
        <v>27.682027698039136</v>
      </c>
      <c r="G672" s="2">
        <v>27.779237164349869</v>
      </c>
      <c r="H672" s="2">
        <v>29.995049683632715</v>
      </c>
    </row>
    <row r="673" spans="1:8" x14ac:dyDescent="0.2">
      <c r="A673" s="16">
        <f>DATE(2021,3,19)</f>
        <v>44274</v>
      </c>
      <c r="B673" s="2">
        <v>71.746234974394469</v>
      </c>
      <c r="C673" s="2">
        <v>48.75353096045982</v>
      </c>
      <c r="D673" s="2">
        <v>15.4644862877497</v>
      </c>
      <c r="E673" s="2">
        <v>25.204845958455245</v>
      </c>
      <c r="F673" s="2">
        <v>27.753291811066472</v>
      </c>
      <c r="G673" s="2">
        <v>27.850700758679881</v>
      </c>
      <c r="H673" s="2">
        <v>30.071090125867752</v>
      </c>
    </row>
    <row r="674" spans="1:8" x14ac:dyDescent="0.2">
      <c r="A674" s="16">
        <f>DATE(2021,3,22)</f>
        <v>44277</v>
      </c>
      <c r="B674" s="2">
        <v>70.743821953350945</v>
      </c>
      <c r="C674" s="2">
        <v>47.162957264979319</v>
      </c>
      <c r="D674" s="2">
        <v>15.481030641842963</v>
      </c>
      <c r="E674" s="2">
        <v>25.270965575669099</v>
      </c>
      <c r="F674" s="2">
        <v>27.824595699259479</v>
      </c>
      <c r="G674" s="2">
        <v>27.922204320734135</v>
      </c>
      <c r="H674" s="2">
        <v>30.147175047864661</v>
      </c>
    </row>
    <row r="675" spans="1:8" x14ac:dyDescent="0.2">
      <c r="A675" s="16">
        <f>DATE(2021,3,23)</f>
        <v>44278</v>
      </c>
      <c r="B675" s="2">
        <v>68.299025304142646</v>
      </c>
      <c r="C675" s="2">
        <v>44.965269556113512</v>
      </c>
      <c r="D675" s="2">
        <v>15.497577366497618</v>
      </c>
      <c r="E675" s="2">
        <v>25.337120110092016</v>
      </c>
      <c r="F675" s="2">
        <v>27.895939384818181</v>
      </c>
      <c r="G675" s="2">
        <v>27.993747872865551</v>
      </c>
      <c r="H675" s="2">
        <v>30.223304475641829</v>
      </c>
    </row>
    <row r="676" spans="1:8" x14ac:dyDescent="0.2">
      <c r="A676" s="16">
        <f>DATE(2021,3,24)</f>
        <v>44279</v>
      </c>
      <c r="B676" s="2">
        <v>66.617743588692861</v>
      </c>
      <c r="C676" s="2">
        <v>43.432432743762867</v>
      </c>
      <c r="D676" s="2">
        <v>15.514126462053301</v>
      </c>
      <c r="E676" s="2">
        <v>25.403309580163459</v>
      </c>
      <c r="F676" s="2">
        <v>27.967322889954961</v>
      </c>
      <c r="G676" s="2">
        <v>28.0653314374395</v>
      </c>
      <c r="H676" s="2">
        <v>30.29947843523286</v>
      </c>
    </row>
    <row r="677" spans="1:8" x14ac:dyDescent="0.2">
      <c r="A677" s="16">
        <f>DATE(2021,3,25)</f>
        <v>44280</v>
      </c>
      <c r="B677" s="2">
        <v>69.372024169508734</v>
      </c>
      <c r="C677" s="2">
        <v>45.589995174727548</v>
      </c>
      <c r="D677" s="2">
        <v>15.530677928849791</v>
      </c>
      <c r="E677" s="2">
        <v>25.469534004332651</v>
      </c>
      <c r="F677" s="2">
        <v>28.038746236894621</v>
      </c>
      <c r="G677" s="2">
        <v>28.136955036833928</v>
      </c>
      <c r="H677" s="2">
        <v>30.375696952686582</v>
      </c>
    </row>
    <row r="678" spans="1:8" x14ac:dyDescent="0.2">
      <c r="A678" s="16">
        <f>DATE(2021,3,26)</f>
        <v>44281</v>
      </c>
      <c r="B678" s="2">
        <v>69.656190519151195</v>
      </c>
      <c r="C678" s="2">
        <v>46.909227278021667</v>
      </c>
      <c r="D678" s="2">
        <v>15.547231767226789</v>
      </c>
      <c r="E678" s="2">
        <v>25.53579340105858</v>
      </c>
      <c r="F678" s="2">
        <v>28.110209447874372</v>
      </c>
      <c r="G678" s="2">
        <v>28.208618693439291</v>
      </c>
      <c r="H678" s="2">
        <v>30.451960054067094</v>
      </c>
    </row>
    <row r="679" spans="1:8" x14ac:dyDescent="0.2">
      <c r="A679" s="16">
        <f>DATE(2021,3,29)</f>
        <v>44284</v>
      </c>
      <c r="B679" s="2">
        <v>70.551846553453586</v>
      </c>
      <c r="C679" s="2">
        <v>47.725939872239273</v>
      </c>
      <c r="D679" s="2">
        <v>15.563787977524113</v>
      </c>
      <c r="E679" s="2">
        <v>25.602087788809925</v>
      </c>
      <c r="F679" s="2">
        <v>28.181712545143789</v>
      </c>
      <c r="G679" s="2">
        <v>28.280322429658479</v>
      </c>
      <c r="H679" s="2">
        <v>30.528267765453631</v>
      </c>
    </row>
    <row r="680" spans="1:8" x14ac:dyDescent="0.2">
      <c r="A680" s="16">
        <f>DATE(2021,3,30)</f>
        <v>44285</v>
      </c>
      <c r="B680" s="2">
        <v>74.215661709911871</v>
      </c>
      <c r="C680" s="2">
        <v>49.557431623838831</v>
      </c>
      <c r="D680" s="2">
        <v>15.580346560081647</v>
      </c>
      <c r="E680" s="2">
        <v>25.66841718606512</v>
      </c>
      <c r="F680" s="2">
        <v>28.253255550964894</v>
      </c>
      <c r="G680" s="2">
        <v>28.352066267906959</v>
      </c>
      <c r="H680" s="2">
        <v>30.604620112940783</v>
      </c>
    </row>
    <row r="681" spans="1:8" x14ac:dyDescent="0.2">
      <c r="A681" s="16">
        <f>DATE(2021,3,31)</f>
        <v>44286</v>
      </c>
      <c r="B681" s="2">
        <v>74.319721939499033</v>
      </c>
      <c r="C681" s="2">
        <v>49.281034374628227</v>
      </c>
      <c r="D681" s="2">
        <v>15.5969075152393</v>
      </c>
      <c r="E681" s="2">
        <v>25.734781611312464</v>
      </c>
      <c r="F681" s="2">
        <v>28.324838487612205</v>
      </c>
      <c r="G681" s="2">
        <v>28.423850230612825</v>
      </c>
      <c r="H681" s="2">
        <v>30.681017122638444</v>
      </c>
    </row>
    <row r="682" spans="1:8" x14ac:dyDescent="0.2">
      <c r="A682" s="16">
        <f>DATE(2021,4,1)</f>
        <v>44287</v>
      </c>
      <c r="B682" s="2">
        <v>72.418459355944435</v>
      </c>
      <c r="C682" s="2">
        <v>47.514229434675336</v>
      </c>
      <c r="D682" s="2">
        <v>15.613470843337018</v>
      </c>
      <c r="E682" s="2">
        <v>25.778202518510859</v>
      </c>
      <c r="F682" s="2">
        <v>28.37300876469482</v>
      </c>
      <c r="G682" s="2">
        <v>28.472203605519276</v>
      </c>
      <c r="H682" s="2">
        <v>30.733574953440844</v>
      </c>
    </row>
    <row r="683" spans="1:8" x14ac:dyDescent="0.2">
      <c r="A683" s="16">
        <f>DATE(2021,4,5)</f>
        <v>44291</v>
      </c>
      <c r="B683" s="2">
        <v>74.934613618792355</v>
      </c>
      <c r="C683" s="2">
        <v>50.413399155001542</v>
      </c>
      <c r="D683" s="2">
        <v>15.63003654471482</v>
      </c>
      <c r="E683" s="2">
        <v>25.821638420567151</v>
      </c>
      <c r="F683" s="2">
        <v>28.421197123823141</v>
      </c>
      <c r="G683" s="2">
        <v>28.520575186147322</v>
      </c>
      <c r="H683" s="2">
        <v>30.786153922168548</v>
      </c>
    </row>
    <row r="684" spans="1:8" x14ac:dyDescent="0.2">
      <c r="A684" s="16">
        <f>DATE(2021,4,6)</f>
        <v>44292</v>
      </c>
      <c r="B684" s="2">
        <v>74.775283173916549</v>
      </c>
      <c r="C684" s="2">
        <v>50.38835125425112</v>
      </c>
      <c r="D684" s="2">
        <v>15.646604619712745</v>
      </c>
      <c r="E684" s="2">
        <v>25.865089322659632</v>
      </c>
      <c r="F684" s="2">
        <v>28.469403571784756</v>
      </c>
      <c r="G684" s="2">
        <v>28.568964979351708</v>
      </c>
      <c r="H684" s="2">
        <v>30.838754037322879</v>
      </c>
    </row>
    <row r="685" spans="1:8" x14ac:dyDescent="0.2">
      <c r="A685" s="16">
        <f>DATE(2021,4,7)</f>
        <v>44293</v>
      </c>
      <c r="B685" s="2">
        <v>73.995964710981198</v>
      </c>
      <c r="C685" s="2">
        <v>50.547969225767943</v>
      </c>
      <c r="D685" s="2">
        <v>15.66317506867092</v>
      </c>
      <c r="E685" s="2">
        <v>25.908555229968332</v>
      </c>
      <c r="F685" s="2">
        <v>28.517628115369821</v>
      </c>
      <c r="G685" s="2">
        <v>28.617372991989676</v>
      </c>
      <c r="H685" s="2">
        <v>30.891375307408619</v>
      </c>
    </row>
    <row r="686" spans="1:8" x14ac:dyDescent="0.2">
      <c r="A686" s="16">
        <f>DATE(2021,4,8)</f>
        <v>44294</v>
      </c>
      <c r="B686" s="2">
        <v>75.408661833173156</v>
      </c>
      <c r="C686" s="2">
        <v>51.430661343934638</v>
      </c>
      <c r="D686" s="2">
        <v>15.679747891929473</v>
      </c>
      <c r="E686" s="2">
        <v>25.952036147675159</v>
      </c>
      <c r="F686" s="2">
        <v>28.565870761371027</v>
      </c>
      <c r="G686" s="2">
        <v>28.66579923092112</v>
      </c>
      <c r="H686" s="2">
        <v>30.944017740933941</v>
      </c>
    </row>
    <row r="687" spans="1:8" x14ac:dyDescent="0.2">
      <c r="A687" s="16">
        <f>DATE(2021,4,9)</f>
        <v>44295</v>
      </c>
      <c r="B687" s="2">
        <v>74.590133940565124</v>
      </c>
      <c r="C687" s="2">
        <v>50.607254803834323</v>
      </c>
      <c r="D687" s="2">
        <v>15.696323089828622</v>
      </c>
      <c r="E687" s="2">
        <v>25.995532080963724</v>
      </c>
      <c r="F687" s="2">
        <v>28.614131516583608</v>
      </c>
      <c r="G687" s="2">
        <v>28.714243703008499</v>
      </c>
      <c r="H687" s="2">
        <v>30.996681346410426</v>
      </c>
    </row>
    <row r="688" spans="1:8" x14ac:dyDescent="0.2">
      <c r="A688" s="16">
        <f>DATE(2021,4,12)</f>
        <v>44298</v>
      </c>
      <c r="B688" s="2">
        <v>75.139141358731962</v>
      </c>
      <c r="C688" s="2">
        <v>52.068710858655557</v>
      </c>
      <c r="D688" s="2">
        <v>15.712900662708631</v>
      </c>
      <c r="E688" s="2">
        <v>26.039043035019493</v>
      </c>
      <c r="F688" s="2">
        <v>28.662410387805352</v>
      </c>
      <c r="G688" s="2">
        <v>28.762706415116845</v>
      </c>
      <c r="H688" s="2">
        <v>31.049366132353121</v>
      </c>
    </row>
    <row r="689" spans="1:8" x14ac:dyDescent="0.2">
      <c r="A689" s="16">
        <f>DATE(2021,4,13)</f>
        <v>44299</v>
      </c>
      <c r="B689" s="2">
        <v>75.794595281730778</v>
      </c>
      <c r="C689" s="2">
        <v>52.689967912577011</v>
      </c>
      <c r="D689" s="2">
        <v>15.729480610909773</v>
      </c>
      <c r="E689" s="2">
        <v>26.08256901502968</v>
      </c>
      <c r="F689" s="2">
        <v>28.71070738183661</v>
      </c>
      <c r="G689" s="2">
        <v>28.811187374113789</v>
      </c>
      <c r="H689" s="2">
        <v>31.102072107280463</v>
      </c>
    </row>
    <row r="690" spans="1:8" x14ac:dyDescent="0.2">
      <c r="A690" s="16">
        <f>DATE(2021,4,14)</f>
        <v>44300</v>
      </c>
      <c r="B690" s="2">
        <v>74.650646864662917</v>
      </c>
      <c r="C690" s="2">
        <v>53.966745295999303</v>
      </c>
      <c r="D690" s="2">
        <v>15.746062934772411</v>
      </c>
      <c r="E690" s="2">
        <v>26.126110026183326</v>
      </c>
      <c r="F690" s="2">
        <v>28.759022505480281</v>
      </c>
      <c r="G690" s="2">
        <v>28.859686586869525</v>
      </c>
      <c r="H690" s="2">
        <v>31.154799279714322</v>
      </c>
    </row>
    <row r="691" spans="1:8" x14ac:dyDescent="0.2">
      <c r="A691" s="16">
        <f>DATE(2021,4,15)</f>
        <v>44301</v>
      </c>
      <c r="B691" s="2">
        <v>74.662294371712747</v>
      </c>
      <c r="C691" s="2">
        <v>54.48637724416794</v>
      </c>
      <c r="D691" s="2">
        <v>15.762647634636927</v>
      </c>
      <c r="E691" s="2">
        <v>26.169666073671195</v>
      </c>
      <c r="F691" s="2">
        <v>28.807355765541786</v>
      </c>
      <c r="G691" s="2">
        <v>28.908204060256825</v>
      </c>
      <c r="H691" s="2">
        <v>31.207547658179969</v>
      </c>
    </row>
    <row r="692" spans="1:8" x14ac:dyDescent="0.2">
      <c r="A692" s="16">
        <f>DATE(2021,4,16)</f>
        <v>44302</v>
      </c>
      <c r="B692" s="2">
        <v>75.413718252836844</v>
      </c>
      <c r="C692" s="2">
        <v>55.015314161087488</v>
      </c>
      <c r="D692" s="2">
        <v>15.779234710843792</v>
      </c>
      <c r="E692" s="2">
        <v>26.213237162685953</v>
      </c>
      <c r="F692" s="2">
        <v>28.855707168829191</v>
      </c>
      <c r="G692" s="2">
        <v>28.956739801151144</v>
      </c>
      <c r="H692" s="2">
        <v>31.260317251206192</v>
      </c>
    </row>
    <row r="693" spans="1:8" x14ac:dyDescent="0.2">
      <c r="A693" s="16">
        <f>DATE(2021,4,19)</f>
        <v>44305</v>
      </c>
      <c r="B693" s="2">
        <v>75.797300909796419</v>
      </c>
      <c r="C693" s="2">
        <v>54.784737803387621</v>
      </c>
      <c r="D693" s="2">
        <v>15.795824163733485</v>
      </c>
      <c r="E693" s="2">
        <v>26.256823298421985</v>
      </c>
      <c r="F693" s="2">
        <v>28.904076722153025</v>
      </c>
      <c r="G693" s="2">
        <v>29.005293816430399</v>
      </c>
      <c r="H693" s="2">
        <v>31.313108067325125</v>
      </c>
    </row>
    <row r="694" spans="1:8" x14ac:dyDescent="0.2">
      <c r="A694" s="16">
        <f>DATE(2021,4,20)</f>
        <v>44306</v>
      </c>
      <c r="B694" s="2">
        <v>74.674913243592684</v>
      </c>
      <c r="C694" s="2">
        <v>53.668922300311351</v>
      </c>
      <c r="D694" s="2">
        <v>15.812415993646557</v>
      </c>
      <c r="E694" s="2">
        <v>26.300424486075482</v>
      </c>
      <c r="F694" s="2">
        <v>28.952464432326419</v>
      </c>
      <c r="G694" s="2">
        <v>29.053866112975179</v>
      </c>
      <c r="H694" s="2">
        <v>31.365920115072353</v>
      </c>
    </row>
    <row r="695" spans="1:8" x14ac:dyDescent="0.2">
      <c r="A695" s="16">
        <f>DATE(2021,4,22)</f>
        <v>44308</v>
      </c>
      <c r="B695" s="2">
        <v>73.822525081061443</v>
      </c>
      <c r="C695" s="2">
        <v>52.785129456817842</v>
      </c>
      <c r="D695" s="2">
        <v>15.8290102009236</v>
      </c>
      <c r="E695" s="2">
        <v>26.344040730844419</v>
      </c>
      <c r="F695" s="2">
        <v>29.00087030616503</v>
      </c>
      <c r="G695" s="2">
        <v>29.102456697668622</v>
      </c>
      <c r="H695" s="2">
        <v>31.418753402986919</v>
      </c>
    </row>
    <row r="696" spans="1:8" x14ac:dyDescent="0.2">
      <c r="A696" s="16">
        <f>DATE(2021,4,23)</f>
        <v>44309</v>
      </c>
      <c r="B696" s="2">
        <v>76.805661877128557</v>
      </c>
      <c r="C696" s="2">
        <v>54.268011258116438</v>
      </c>
      <c r="D696" s="2">
        <v>15.845606785905254</v>
      </c>
      <c r="E696" s="2">
        <v>26.387672037928599</v>
      </c>
      <c r="F696" s="2">
        <v>29.049294350487109</v>
      </c>
      <c r="G696" s="2">
        <v>29.151065577396459</v>
      </c>
      <c r="H696" s="2">
        <v>31.471607939611257</v>
      </c>
    </row>
    <row r="697" spans="1:8" x14ac:dyDescent="0.2">
      <c r="A697" s="16">
        <f>DATE(2021,4,26)</f>
        <v>44312</v>
      </c>
      <c r="B697" s="2">
        <v>76.446638339184545</v>
      </c>
      <c r="C697" s="2">
        <v>54.350629653284521</v>
      </c>
      <c r="D697" s="2">
        <v>15.862205748932199</v>
      </c>
      <c r="E697" s="2">
        <v>26.431318412529588</v>
      </c>
      <c r="F697" s="2">
        <v>29.09773657211343</v>
      </c>
      <c r="G697" s="2">
        <v>29.199692759047061</v>
      </c>
      <c r="H697" s="2">
        <v>31.52448373349128</v>
      </c>
    </row>
    <row r="698" spans="1:8" x14ac:dyDescent="0.2">
      <c r="A698" s="16">
        <f>DATE(2021,4,27)</f>
        <v>44313</v>
      </c>
      <c r="B698" s="2">
        <v>72.595748961537979</v>
      </c>
      <c r="C698" s="2">
        <v>52.806747190270812</v>
      </c>
      <c r="D698" s="2">
        <v>15.87880709034517</v>
      </c>
      <c r="E698" s="2">
        <v>26.474979859850766</v>
      </c>
      <c r="F698" s="2">
        <v>29.14619697786738</v>
      </c>
      <c r="G698" s="2">
        <v>29.24833824951132</v>
      </c>
      <c r="H698" s="2">
        <v>31.577380793176314</v>
      </c>
    </row>
    <row r="699" spans="1:8" x14ac:dyDescent="0.2">
      <c r="A699" s="16">
        <f>DATE(2021,4,28)</f>
        <v>44314</v>
      </c>
      <c r="B699" s="2">
        <v>75.288456544309</v>
      </c>
      <c r="C699" s="2">
        <v>54.936714693275412</v>
      </c>
      <c r="D699" s="2">
        <v>15.895410810484979</v>
      </c>
      <c r="E699" s="2">
        <v>26.518656385097316</v>
      </c>
      <c r="F699" s="2">
        <v>29.194675574574848</v>
      </c>
      <c r="G699" s="2">
        <v>29.297002055682775</v>
      </c>
      <c r="H699" s="2">
        <v>31.630299127219129</v>
      </c>
    </row>
    <row r="700" spans="1:8" x14ac:dyDescent="0.2">
      <c r="A700" s="16">
        <f>DATE(2021,4,29)</f>
        <v>44315</v>
      </c>
      <c r="B700" s="2">
        <v>73.865038925338865</v>
      </c>
      <c r="C700" s="2">
        <v>53.673734773833147</v>
      </c>
      <c r="D700" s="2">
        <v>15.91201690969244</v>
      </c>
      <c r="E700" s="2">
        <v>26.562347993476191</v>
      </c>
      <c r="F700" s="2">
        <v>29.243172369064311</v>
      </c>
      <c r="G700" s="2">
        <v>29.345684184457554</v>
      </c>
      <c r="H700" s="2">
        <v>31.68323874417591</v>
      </c>
    </row>
    <row r="701" spans="1:8" x14ac:dyDescent="0.2">
      <c r="A701" s="16">
        <f>DATE(2021,4,30)</f>
        <v>44316</v>
      </c>
      <c r="B701" s="2">
        <v>72.279518701589623</v>
      </c>
      <c r="C701" s="2">
        <v>52.173791729969253</v>
      </c>
      <c r="D701" s="2">
        <v>15.928625388308459</v>
      </c>
      <c r="E701" s="2">
        <v>26.606054690196171</v>
      </c>
      <c r="F701" s="2">
        <v>29.291687368166809</v>
      </c>
      <c r="G701" s="2">
        <v>29.394384642734359</v>
      </c>
      <c r="H701" s="2">
        <v>31.736199652606345</v>
      </c>
    </row>
    <row r="702" spans="1:8" x14ac:dyDescent="0.2">
      <c r="A702" s="16">
        <f>DATE(2021,5,3)</f>
        <v>44319</v>
      </c>
      <c r="B702" s="2">
        <v>72.853187254256454</v>
      </c>
      <c r="C702" s="2">
        <v>52.577783523165998</v>
      </c>
      <c r="D702" s="2">
        <v>15.945236246673945</v>
      </c>
      <c r="E702" s="2">
        <v>26.683383986998191</v>
      </c>
      <c r="F702" s="2">
        <v>29.374542015583316</v>
      </c>
      <c r="G702" s="2">
        <v>29.477452175051312</v>
      </c>
      <c r="H702" s="2">
        <v>31.82415314892819</v>
      </c>
    </row>
    <row r="703" spans="1:8" x14ac:dyDescent="0.2">
      <c r="A703" s="16">
        <f>DATE(2021,5,4)</f>
        <v>44320</v>
      </c>
      <c r="B703" s="2">
        <v>69.89167330543529</v>
      </c>
      <c r="C703" s="2">
        <v>50.661139148320402</v>
      </c>
      <c r="D703" s="2">
        <v>15.961849485129886</v>
      </c>
      <c r="E703" s="2">
        <v>26.760760515507709</v>
      </c>
      <c r="F703" s="2">
        <v>29.457449759163534</v>
      </c>
      <c r="G703" s="2">
        <v>29.560573034372716</v>
      </c>
      <c r="H703" s="2">
        <v>31.912165367283428</v>
      </c>
    </row>
    <row r="704" spans="1:8" x14ac:dyDescent="0.2">
      <c r="A704" s="16">
        <f>DATE(2021,5,5)</f>
        <v>44321</v>
      </c>
      <c r="B704" s="2">
        <v>72.174203237998171</v>
      </c>
      <c r="C704" s="2">
        <v>53.032101502234298</v>
      </c>
      <c r="D704" s="2">
        <v>15.978465104017324</v>
      </c>
      <c r="E704" s="2">
        <v>26.838184304573229</v>
      </c>
      <c r="F704" s="2">
        <v>29.540410632933334</v>
      </c>
      <c r="G704" s="2">
        <v>29.643747254932993</v>
      </c>
      <c r="H704" s="2">
        <v>32.000236346877763</v>
      </c>
    </row>
    <row r="705" spans="1:8" x14ac:dyDescent="0.2">
      <c r="A705" s="16">
        <f>DATE(2021,5,6)</f>
        <v>44322</v>
      </c>
      <c r="B705" s="2">
        <v>71.470052445273566</v>
      </c>
      <c r="C705" s="2">
        <v>53.487968176239129</v>
      </c>
      <c r="D705" s="2">
        <v>15.995083103677343</v>
      </c>
      <c r="E705" s="2">
        <v>26.915655383060891</v>
      </c>
      <c r="F705" s="2">
        <v>29.623424670940409</v>
      </c>
      <c r="G705" s="2">
        <v>29.726974870988542</v>
      </c>
      <c r="H705" s="2">
        <v>32.088366126943036</v>
      </c>
    </row>
    <row r="706" spans="1:8" x14ac:dyDescent="0.2">
      <c r="A706" s="16">
        <f>DATE(2021,5,7)</f>
        <v>44323</v>
      </c>
      <c r="B706" s="2">
        <v>75.636693053637146</v>
      </c>
      <c r="C706" s="2">
        <v>56.19818431517627</v>
      </c>
      <c r="D706" s="2">
        <v>16.015054898565008</v>
      </c>
      <c r="E706" s="2">
        <v>26.99317377985442</v>
      </c>
      <c r="F706" s="2">
        <v>29.706491907254296</v>
      </c>
      <c r="G706" s="2">
        <v>29.810255916817759</v>
      </c>
      <c r="H706" s="2">
        <v>32.17655474673731</v>
      </c>
    </row>
    <row r="707" spans="1:8" x14ac:dyDescent="0.2">
      <c r="A707" s="16">
        <f>DATE(2021,5,10)</f>
        <v>44326</v>
      </c>
      <c r="B707" s="2">
        <v>74.847350460491342</v>
      </c>
      <c r="C707" s="2">
        <v>56.032973123103538</v>
      </c>
      <c r="D707" s="2">
        <v>16.03503013215526</v>
      </c>
      <c r="E707" s="2">
        <v>27.070739523855234</v>
      </c>
      <c r="F707" s="2">
        <v>29.789612375966289</v>
      </c>
      <c r="G707" s="2">
        <v>29.893590426721062</v>
      </c>
      <c r="H707" s="2">
        <v>32.264802245544843</v>
      </c>
    </row>
    <row r="708" spans="1:8" x14ac:dyDescent="0.2">
      <c r="A708" s="16">
        <f>DATE(2021,5,11)</f>
        <v>44327</v>
      </c>
      <c r="B708" s="2">
        <v>75.118214878053664</v>
      </c>
      <c r="C708" s="2">
        <v>57.383255919918597</v>
      </c>
      <c r="D708" s="2">
        <v>16.05500880504016</v>
      </c>
      <c r="E708" s="2">
        <v>27.148352643982363</v>
      </c>
      <c r="F708" s="2">
        <v>29.872786111189619</v>
      </c>
      <c r="G708" s="2">
        <v>29.976978435020872</v>
      </c>
      <c r="H708" s="2">
        <v>32.353108662676135</v>
      </c>
    </row>
    <row r="709" spans="1:8" x14ac:dyDescent="0.2">
      <c r="A709" s="16">
        <f>DATE(2021,5,12)</f>
        <v>44328</v>
      </c>
      <c r="B709" s="2">
        <v>70.927724823609779</v>
      </c>
      <c r="C709" s="2">
        <v>53.218444060755132</v>
      </c>
      <c r="D709" s="2">
        <v>16.07499091781186</v>
      </c>
      <c r="E709" s="2">
        <v>27.226013169172479</v>
      </c>
      <c r="F709" s="2">
        <v>29.95601314705927</v>
      </c>
      <c r="G709" s="2">
        <v>30.060419976061613</v>
      </c>
      <c r="H709" s="2">
        <v>32.441474037467891</v>
      </c>
    </row>
    <row r="710" spans="1:8" x14ac:dyDescent="0.2">
      <c r="A710" s="16">
        <f>DATE(2021,5,13)</f>
        <v>44329</v>
      </c>
      <c r="B710" s="2">
        <v>73.015223327197845</v>
      </c>
      <c r="C710" s="2">
        <v>54.493083989182402</v>
      </c>
      <c r="D710" s="2">
        <v>16.094976471062662</v>
      </c>
      <c r="E710" s="2">
        <v>27.303721128380044</v>
      </c>
      <c r="F710" s="2">
        <v>30.039293517732247</v>
      </c>
      <c r="G710" s="2">
        <v>30.143915084209841</v>
      </c>
      <c r="H710" s="2">
        <v>32.529898409283177</v>
      </c>
    </row>
    <row r="711" spans="1:8" x14ac:dyDescent="0.2">
      <c r="A711" s="16">
        <f>DATE(2021,5,14)</f>
        <v>44330</v>
      </c>
      <c r="B711" s="2">
        <v>75.36483065850959</v>
      </c>
      <c r="C711" s="2">
        <v>55.99686677255837</v>
      </c>
      <c r="D711" s="2">
        <v>16.114965465384913</v>
      </c>
      <c r="E711" s="2">
        <v>27.38147655057708</v>
      </c>
      <c r="F711" s="2">
        <v>30.122627257387325</v>
      </c>
      <c r="G711" s="2">
        <v>30.227463793854081</v>
      </c>
      <c r="H711" s="2">
        <v>32.618381817511242</v>
      </c>
    </row>
    <row r="712" spans="1:8" x14ac:dyDescent="0.2">
      <c r="A712" s="16">
        <f>DATE(2021,5,17)</f>
        <v>44333</v>
      </c>
      <c r="B712" s="2">
        <v>75.904643376709075</v>
      </c>
      <c r="C712" s="2">
        <v>57.349798989636753</v>
      </c>
      <c r="D712" s="2">
        <v>16.134957901371116</v>
      </c>
      <c r="E712" s="2">
        <v>27.459279464753351</v>
      </c>
      <c r="F712" s="2">
        <v>30.206014400225211</v>
      </c>
      <c r="G712" s="2">
        <v>30.311066139404996</v>
      </c>
      <c r="H712" s="2">
        <v>32.706924301567675</v>
      </c>
    </row>
    <row r="713" spans="1:8" x14ac:dyDescent="0.2">
      <c r="A713" s="16">
        <f>DATE(2021,5,18)</f>
        <v>44334</v>
      </c>
      <c r="B713" s="2">
        <v>76.18406378859703</v>
      </c>
      <c r="C713" s="2">
        <v>57.403670534991107</v>
      </c>
      <c r="D713" s="2">
        <v>16.154953779613823</v>
      </c>
      <c r="E713" s="2">
        <v>27.537129899916344</v>
      </c>
      <c r="F713" s="2">
        <v>30.289454980468555</v>
      </c>
      <c r="G713" s="2">
        <v>30.39472215529533</v>
      </c>
      <c r="H713" s="2">
        <v>32.795525900894361</v>
      </c>
    </row>
    <row r="714" spans="1:8" x14ac:dyDescent="0.2">
      <c r="A714" s="16">
        <f>DATE(2021,5,19)</f>
        <v>44335</v>
      </c>
      <c r="B714" s="2">
        <v>77.012105733993295</v>
      </c>
      <c r="C714" s="2">
        <v>56.963815574751607</v>
      </c>
      <c r="D714" s="2">
        <v>16.174953100705736</v>
      </c>
      <c r="E714" s="2">
        <v>27.615027885091227</v>
      </c>
      <c r="F714" s="2">
        <v>30.372949032361895</v>
      </c>
      <c r="G714" s="2">
        <v>30.478431875979894</v>
      </c>
      <c r="H714" s="2">
        <v>32.884186654959557</v>
      </c>
    </row>
    <row r="715" spans="1:8" x14ac:dyDescent="0.2">
      <c r="A715" s="16">
        <f>DATE(2021,5,20)</f>
        <v>44336</v>
      </c>
      <c r="B715" s="2">
        <v>78.331205866937196</v>
      </c>
      <c r="C715" s="2">
        <v>57.046357175129401</v>
      </c>
      <c r="D715" s="2">
        <v>16.194955865239624</v>
      </c>
      <c r="E715" s="2">
        <v>27.692973449320935</v>
      </c>
      <c r="F715" s="2">
        <v>30.456496590171756</v>
      </c>
      <c r="G715" s="2">
        <v>30.56219533593567</v>
      </c>
      <c r="H715" s="2">
        <v>32.972906603257826</v>
      </c>
    </row>
    <row r="716" spans="1:8" x14ac:dyDescent="0.2">
      <c r="A716" s="16">
        <f>DATE(2021,5,21)</f>
        <v>44337</v>
      </c>
      <c r="B716" s="2">
        <v>79.626221474641014</v>
      </c>
      <c r="C716" s="2">
        <v>56.907716980480231</v>
      </c>
      <c r="D716" s="2">
        <v>16.21496207380839</v>
      </c>
      <c r="E716" s="2">
        <v>27.770966621666094</v>
      </c>
      <c r="F716" s="2">
        <v>30.54009768818662</v>
      </c>
      <c r="G716" s="2">
        <v>30.646012569661728</v>
      </c>
      <c r="H716" s="2">
        <v>33.061685785310097</v>
      </c>
    </row>
    <row r="717" spans="1:8" x14ac:dyDescent="0.2">
      <c r="A717" s="16">
        <f>DATE(2021,5,24)</f>
        <v>44340</v>
      </c>
      <c r="B717" s="2">
        <v>81.567083807982627</v>
      </c>
      <c r="C717" s="2">
        <v>58.749704020079442</v>
      </c>
      <c r="D717" s="2">
        <v>16.234971727005011</v>
      </c>
      <c r="E717" s="2">
        <v>27.849007431205131</v>
      </c>
      <c r="F717" s="2">
        <v>30.623752360716907</v>
      </c>
      <c r="G717" s="2">
        <v>30.72988361167932</v>
      </c>
      <c r="H717" s="2">
        <v>33.150524240663763</v>
      </c>
    </row>
    <row r="718" spans="1:8" x14ac:dyDescent="0.2">
      <c r="A718" s="16">
        <f>DATE(2021,5,25)</f>
        <v>44341</v>
      </c>
      <c r="B718" s="2">
        <v>81.43132781092477</v>
      </c>
      <c r="C718" s="2">
        <v>57.41358986206393</v>
      </c>
      <c r="D718" s="2">
        <v>16.254984825422557</v>
      </c>
      <c r="E718" s="2">
        <v>27.927095907034214</v>
      </c>
      <c r="F718" s="2">
        <v>30.70746064209504</v>
      </c>
      <c r="G718" s="2">
        <v>30.813808496531838</v>
      </c>
      <c r="H718" s="2">
        <v>33.239422008892518</v>
      </c>
    </row>
    <row r="719" spans="1:8" x14ac:dyDescent="0.2">
      <c r="A719" s="16">
        <f>DATE(2021,5,26)</f>
        <v>44342</v>
      </c>
      <c r="B719" s="2">
        <v>82.416690939698881</v>
      </c>
      <c r="C719" s="2">
        <v>58.695371705983618</v>
      </c>
      <c r="D719" s="2">
        <v>16.275001369654252</v>
      </c>
      <c r="E719" s="2">
        <v>28.005232078267259</v>
      </c>
      <c r="F719" s="2">
        <v>30.791222566675462</v>
      </c>
      <c r="G719" s="2">
        <v>30.89778725878487</v>
      </c>
      <c r="H719" s="2">
        <v>33.32837912959652</v>
      </c>
    </row>
    <row r="720" spans="1:8" x14ac:dyDescent="0.2">
      <c r="A720" s="16">
        <f>DATE(2021,5,27)</f>
        <v>44343</v>
      </c>
      <c r="B720" s="2">
        <v>83.353352763291298</v>
      </c>
      <c r="C720" s="2">
        <v>59.178410936602212</v>
      </c>
      <c r="D720" s="2">
        <v>16.295021360293369</v>
      </c>
      <c r="E720" s="2">
        <v>28.083415974036011</v>
      </c>
      <c r="F720" s="2">
        <v>30.87503816883461</v>
      </c>
      <c r="G720" s="2">
        <v>30.981819933026181</v>
      </c>
      <c r="H720" s="2">
        <v>33.417395642402404</v>
      </c>
    </row>
    <row r="721" spans="1:8" x14ac:dyDescent="0.2">
      <c r="A721" s="16">
        <f>DATE(2021,5,28)</f>
        <v>44344</v>
      </c>
      <c r="B721" s="2">
        <v>84.669215013468147</v>
      </c>
      <c r="C721" s="2">
        <v>60.70765119294321</v>
      </c>
      <c r="D721" s="2">
        <v>16.315044797933311</v>
      </c>
      <c r="E721" s="2">
        <v>28.161647623489959</v>
      </c>
      <c r="F721" s="2">
        <v>30.958907482970965</v>
      </c>
      <c r="G721" s="2">
        <v>31.06590655386572</v>
      </c>
      <c r="H721" s="2">
        <v>33.506471586963208</v>
      </c>
    </row>
    <row r="722" spans="1:8" x14ac:dyDescent="0.2">
      <c r="A722" s="16">
        <f>DATE(2021,5,31)</f>
        <v>44347</v>
      </c>
      <c r="B722" s="2">
        <v>84.760345889266176</v>
      </c>
      <c r="C722" s="2">
        <v>61.54517517531626</v>
      </c>
      <c r="D722" s="2">
        <v>16.33507168316757</v>
      </c>
      <c r="E722" s="2">
        <v>28.239927055796429</v>
      </c>
      <c r="F722" s="2">
        <v>31.042830543505051</v>
      </c>
      <c r="G722" s="2">
        <v>31.150047155935699</v>
      </c>
      <c r="H722" s="2">
        <v>33.595607002958452</v>
      </c>
    </row>
    <row r="723" spans="1:8" x14ac:dyDescent="0.2">
      <c r="A723" s="16">
        <f>DATE(2021,6,1)</f>
        <v>44348</v>
      </c>
      <c r="B723" s="2">
        <v>90.070739754640414</v>
      </c>
      <c r="C723" s="2">
        <v>64.170686660617122</v>
      </c>
      <c r="D723" s="2">
        <v>16.35510201658974</v>
      </c>
      <c r="E723" s="2">
        <v>28.296428970098674</v>
      </c>
      <c r="F723" s="2">
        <v>31.104504355087425</v>
      </c>
      <c r="G723" s="2">
        <v>31.211920470852728</v>
      </c>
      <c r="H723" s="2">
        <v>33.662063817425597</v>
      </c>
    </row>
    <row r="724" spans="1:8" x14ac:dyDescent="0.2">
      <c r="A724" s="16">
        <f>DATE(2021,6,2)</f>
        <v>44349</v>
      </c>
      <c r="B724" s="2">
        <v>93.890549893178743</v>
      </c>
      <c r="C724" s="2">
        <v>65.878589996454821</v>
      </c>
      <c r="D724" s="2">
        <v>16.375135798793551</v>
      </c>
      <c r="E724" s="2">
        <v>28.352955778881086</v>
      </c>
      <c r="F724" s="2">
        <v>31.166207192744857</v>
      </c>
      <c r="G724" s="2">
        <v>31.273822976053566</v>
      </c>
      <c r="H724" s="2">
        <v>33.728553690675803</v>
      </c>
    </row>
    <row r="725" spans="1:8" x14ac:dyDescent="0.2">
      <c r="A725" s="16">
        <f>DATE(2021,6,4)</f>
        <v>44351</v>
      </c>
      <c r="B725" s="2">
        <v>94.477790940732319</v>
      </c>
      <c r="C725" s="2">
        <v>66.549699668374672</v>
      </c>
      <c r="D725" s="2">
        <v>16.395173030372746</v>
      </c>
      <c r="E725" s="2">
        <v>28.409507493112041</v>
      </c>
      <c r="F725" s="2">
        <v>31.227939070138145</v>
      </c>
      <c r="G725" s="2">
        <v>31.335754685309471</v>
      </c>
      <c r="H725" s="2">
        <v>33.795076639154068</v>
      </c>
    </row>
    <row r="726" spans="1:8" x14ac:dyDescent="0.2">
      <c r="A726" s="16">
        <f>DATE(2021,6,7)</f>
        <v>44354</v>
      </c>
      <c r="B726" s="2">
        <v>95.97765807665246</v>
      </c>
      <c r="C726" s="2">
        <v>67.382270386777151</v>
      </c>
      <c r="D726" s="2">
        <v>16.415213711921297</v>
      </c>
      <c r="E726" s="2">
        <v>28.466084123764769</v>
      </c>
      <c r="F726" s="2">
        <v>31.289700000934495</v>
      </c>
      <c r="G726" s="2">
        <v>31.397715612398191</v>
      </c>
      <c r="H726" s="2">
        <v>33.861632679313587</v>
      </c>
    </row>
    <row r="727" spans="1:8" x14ac:dyDescent="0.2">
      <c r="A727" s="16">
        <f>DATE(2021,6,8)</f>
        <v>44355</v>
      </c>
      <c r="B727" s="2">
        <v>95.556782106945377</v>
      </c>
      <c r="C727" s="2">
        <v>66.116231474856917</v>
      </c>
      <c r="D727" s="2">
        <v>16.43525784403317</v>
      </c>
      <c r="E727" s="2">
        <v>28.522685681817329</v>
      </c>
      <c r="F727" s="2">
        <v>31.351489998807569</v>
      </c>
      <c r="G727" s="2">
        <v>31.459705771103948</v>
      </c>
      <c r="H727" s="2">
        <v>33.928221827615772</v>
      </c>
    </row>
    <row r="728" spans="1:8" x14ac:dyDescent="0.2">
      <c r="A728" s="16">
        <f>DATE(2021,6,9)</f>
        <v>44356</v>
      </c>
      <c r="B728" s="2">
        <v>94.909826517346204</v>
      </c>
      <c r="C728" s="2">
        <v>66.269424282256878</v>
      </c>
      <c r="D728" s="2">
        <v>16.455305427302491</v>
      </c>
      <c r="E728" s="2">
        <v>28.579312178252646</v>
      </c>
      <c r="F728" s="2">
        <v>31.413309077437489</v>
      </c>
      <c r="G728" s="2">
        <v>31.52172517521754</v>
      </c>
      <c r="H728" s="2">
        <v>33.994844100530173</v>
      </c>
    </row>
    <row r="729" spans="1:8" x14ac:dyDescent="0.2">
      <c r="A729" s="16">
        <f>DATE(2021,6,10)</f>
        <v>44357</v>
      </c>
      <c r="B729" s="2">
        <v>95.206709318897225</v>
      </c>
      <c r="C729" s="2">
        <v>66.486203175976726</v>
      </c>
      <c r="D729" s="2">
        <v>16.475356462323475</v>
      </c>
      <c r="E729" s="2">
        <v>28.635963624058402</v>
      </c>
      <c r="F729" s="2">
        <v>31.475157250510708</v>
      </c>
      <c r="G729" s="2">
        <v>31.583773838536143</v>
      </c>
      <c r="H729" s="2">
        <v>34.061499514534518</v>
      </c>
    </row>
    <row r="730" spans="1:8" x14ac:dyDescent="0.2">
      <c r="A730" s="16">
        <f>DATE(2021,6,11)</f>
        <v>44358</v>
      </c>
      <c r="B730" s="2">
        <v>93.819897517018575</v>
      </c>
      <c r="C730" s="2">
        <v>65.673279124744369</v>
      </c>
      <c r="D730" s="2">
        <v>16.49541094969047</v>
      </c>
      <c r="E730" s="2">
        <v>28.692640030227246</v>
      </c>
      <c r="F730" s="2">
        <v>31.537034531720256</v>
      </c>
      <c r="G730" s="2">
        <v>31.645851774863587</v>
      </c>
      <c r="H730" s="2">
        <v>34.128188086114818</v>
      </c>
    </row>
    <row r="731" spans="1:8" x14ac:dyDescent="0.2">
      <c r="A731" s="16">
        <f>DATE(2021,6,14)</f>
        <v>44361</v>
      </c>
      <c r="B731" s="2">
        <v>95.123988067381916</v>
      </c>
      <c r="C731" s="2">
        <v>66.654882932742041</v>
      </c>
      <c r="D731" s="2">
        <v>16.51546888999782</v>
      </c>
      <c r="E731" s="2">
        <v>28.749341407756511</v>
      </c>
      <c r="F731" s="2">
        <v>31.598940934765498</v>
      </c>
      <c r="G731" s="2">
        <v>31.707958998010088</v>
      </c>
      <c r="H731" s="2">
        <v>34.194909831765166</v>
      </c>
    </row>
    <row r="732" spans="1:8" x14ac:dyDescent="0.2">
      <c r="A732" s="16">
        <f>DATE(2021,6,15)</f>
        <v>44362</v>
      </c>
      <c r="B732" s="2">
        <v>95.865707171116469</v>
      </c>
      <c r="C732" s="2">
        <v>66.505286681351734</v>
      </c>
      <c r="D732" s="2">
        <v>16.535530283840117</v>
      </c>
      <c r="E732" s="2">
        <v>28.806067767648514</v>
      </c>
      <c r="F732" s="2">
        <v>31.660876473352296</v>
      </c>
      <c r="G732" s="2">
        <v>31.770095521792463</v>
      </c>
      <c r="H732" s="2">
        <v>34.261664767987931</v>
      </c>
    </row>
    <row r="733" spans="1:8" x14ac:dyDescent="0.2">
      <c r="A733" s="16">
        <f>DATE(2021,6,16)</f>
        <v>44363</v>
      </c>
      <c r="B733" s="2">
        <v>94.851007937381368</v>
      </c>
      <c r="C733" s="2">
        <v>65.440923687737239</v>
      </c>
      <c r="D733" s="2">
        <v>16.555595131811948</v>
      </c>
      <c r="E733" s="2">
        <v>28.862819120910356</v>
      </c>
      <c r="F733" s="2">
        <v>31.722841161192996</v>
      </c>
      <c r="G733" s="2">
        <v>31.832261360034011</v>
      </c>
      <c r="H733" s="2">
        <v>34.328452911293716</v>
      </c>
    </row>
    <row r="734" spans="1:8" x14ac:dyDescent="0.2">
      <c r="A734" s="16">
        <f>DATE(2021,6,17)</f>
        <v>44364</v>
      </c>
      <c r="B734" s="2">
        <v>92.999449072029535</v>
      </c>
      <c r="C734" s="2">
        <v>63.902122480011172</v>
      </c>
      <c r="D734" s="2">
        <v>16.575663434508048</v>
      </c>
      <c r="E734" s="2">
        <v>28.919595478554029</v>
      </c>
      <c r="F734" s="2">
        <v>31.784835012006351</v>
      </c>
      <c r="G734" s="2">
        <v>31.894456526564596</v>
      </c>
      <c r="H734" s="2">
        <v>34.395274278201327</v>
      </c>
    </row>
    <row r="735" spans="1:8" x14ac:dyDescent="0.2">
      <c r="A735" s="16">
        <f>DATE(2021,6,18)</f>
        <v>44365</v>
      </c>
      <c r="B735" s="2">
        <v>92.805304734223796</v>
      </c>
      <c r="C735" s="2">
        <v>64.347698652123654</v>
      </c>
      <c r="D735" s="2">
        <v>16.599079134736506</v>
      </c>
      <c r="E735" s="2">
        <v>28.976396851596252</v>
      </c>
      <c r="F735" s="2">
        <v>31.846858039517521</v>
      </c>
      <c r="G735" s="2">
        <v>31.956681035220491</v>
      </c>
      <c r="H735" s="2">
        <v>34.462128885237654</v>
      </c>
    </row>
    <row r="736" spans="1:8" x14ac:dyDescent="0.2">
      <c r="A736" s="16">
        <f>DATE(2021,6,21)</f>
        <v>44368</v>
      </c>
      <c r="B736" s="2">
        <v>94.260826182602415</v>
      </c>
      <c r="C736" s="2">
        <v>65.447924812780926</v>
      </c>
      <c r="D736" s="2">
        <v>16.622499538305281</v>
      </c>
      <c r="E736" s="2">
        <v>29.033223251058793</v>
      </c>
      <c r="F736" s="2">
        <v>31.908910257458281</v>
      </c>
      <c r="G736" s="2">
        <v>32.018934899844666</v>
      </c>
      <c r="H736" s="2">
        <v>34.529016748938027</v>
      </c>
    </row>
    <row r="737" spans="1:8" x14ac:dyDescent="0.2">
      <c r="A737" s="16">
        <f>DATE(2021,6,22)</f>
        <v>44369</v>
      </c>
      <c r="B737" s="2">
        <v>92.464608499832707</v>
      </c>
      <c r="C737" s="2">
        <v>64.811155211230655</v>
      </c>
      <c r="D737" s="2">
        <v>16.645924646159106</v>
      </c>
      <c r="E737" s="2">
        <v>29.090074687968158</v>
      </c>
      <c r="F737" s="2">
        <v>31.970991679566719</v>
      </c>
      <c r="G737" s="2">
        <v>32.08121813428648</v>
      </c>
      <c r="H737" s="2">
        <v>34.595937885845871</v>
      </c>
    </row>
    <row r="738" spans="1:8" x14ac:dyDescent="0.2">
      <c r="A738" s="16">
        <f>DATE(2021,6,23)</f>
        <v>44370</v>
      </c>
      <c r="B738" s="2">
        <v>91.958625003365512</v>
      </c>
      <c r="C738" s="2">
        <v>64.376663087176382</v>
      </c>
      <c r="D738" s="2">
        <v>16.669354459242872</v>
      </c>
      <c r="E738" s="2">
        <v>29.146951173355706</v>
      </c>
      <c r="F738" s="2">
        <v>32.033102319587449</v>
      </c>
      <c r="G738" s="2">
        <v>32.143530752401908</v>
      </c>
      <c r="H738" s="2">
        <v>34.662892312512852</v>
      </c>
    </row>
    <row r="739" spans="1:8" x14ac:dyDescent="0.2">
      <c r="A739" s="16">
        <f>DATE(2021,6,24)</f>
        <v>44371</v>
      </c>
      <c r="B739" s="2">
        <v>93.220645255035933</v>
      </c>
      <c r="C739" s="2">
        <v>65.766188021804808</v>
      </c>
      <c r="D739" s="2">
        <v>16.692788978501707</v>
      </c>
      <c r="E739" s="2">
        <v>29.203852718257696</v>
      </c>
      <c r="F739" s="2">
        <v>32.095242191271559</v>
      </c>
      <c r="G739" s="2">
        <v>32.205872768053425</v>
      </c>
      <c r="H739" s="2">
        <v>34.729880045498881</v>
      </c>
    </row>
    <row r="740" spans="1:8" x14ac:dyDescent="0.2">
      <c r="A740" s="16">
        <f>DATE(2021,6,25)</f>
        <v>44372</v>
      </c>
      <c r="B740" s="2">
        <v>89.423713197747773</v>
      </c>
      <c r="C740" s="2">
        <v>62.876131283253962</v>
      </c>
      <c r="D740" s="2">
        <v>16.716228204880878</v>
      </c>
      <c r="E740" s="2">
        <v>29.260779333715227</v>
      </c>
      <c r="F740" s="2">
        <v>32.157411308376595</v>
      </c>
      <c r="G740" s="2">
        <v>32.26824419511005</v>
      </c>
      <c r="H740" s="2">
        <v>34.796901101372121</v>
      </c>
    </row>
    <row r="741" spans="1:8" x14ac:dyDescent="0.2">
      <c r="A741" s="16">
        <f>DATE(2021,6,28)</f>
        <v>44375</v>
      </c>
      <c r="B741" s="2">
        <v>89.810737768443374</v>
      </c>
      <c r="C741" s="2">
        <v>63.098273013159002</v>
      </c>
      <c r="D741" s="2">
        <v>16.739672139325901</v>
      </c>
      <c r="E741" s="2">
        <v>29.317731030774262</v>
      </c>
      <c r="F741" s="2">
        <v>32.219609684666572</v>
      </c>
      <c r="G741" s="2">
        <v>32.330645047447362</v>
      </c>
      <c r="H741" s="2">
        <v>34.863955496708954</v>
      </c>
    </row>
    <row r="742" spans="1:8" x14ac:dyDescent="0.2">
      <c r="A742" s="16">
        <f>DATE(2021,6,29)</f>
        <v>44376</v>
      </c>
      <c r="B742" s="2">
        <v>88.531884961839921</v>
      </c>
      <c r="C742" s="2">
        <v>62.968067446304651</v>
      </c>
      <c r="D742" s="2">
        <v>16.763120782782437</v>
      </c>
      <c r="E742" s="2">
        <v>29.374707820485657</v>
      </c>
      <c r="F742" s="2">
        <v>32.281837333911987</v>
      </c>
      <c r="G742" s="2">
        <v>32.39307533894744</v>
      </c>
      <c r="H742" s="2">
        <v>34.931043248094021</v>
      </c>
    </row>
    <row r="743" spans="1:8" x14ac:dyDescent="0.2">
      <c r="A743" s="16">
        <f>DATE(2021,6,30)</f>
        <v>44377</v>
      </c>
      <c r="B743" s="2">
        <v>87.576554304594495</v>
      </c>
      <c r="C743" s="2">
        <v>62.295114699419017</v>
      </c>
      <c r="D743" s="2">
        <v>16.786574136196329</v>
      </c>
      <c r="E743" s="2">
        <v>29.431709713905096</v>
      </c>
      <c r="F743" s="2">
        <v>32.344094269889844</v>
      </c>
      <c r="G743" s="2">
        <v>32.455535083498965</v>
      </c>
      <c r="H743" s="2">
        <v>34.998164372120179</v>
      </c>
    </row>
    <row r="744" spans="1:8" x14ac:dyDescent="0.2">
      <c r="A744" s="16">
        <f>DATE(2021,7,1)</f>
        <v>44378</v>
      </c>
      <c r="B744" s="2">
        <v>85.37005252067631</v>
      </c>
      <c r="C744" s="2">
        <v>60.841811691495067</v>
      </c>
      <c r="D744" s="2">
        <v>16.810032200513671</v>
      </c>
      <c r="E744" s="2">
        <v>29.51158407519425</v>
      </c>
      <c r="F744" s="2">
        <v>32.429742656674357</v>
      </c>
      <c r="G744" s="2">
        <v>32.54140614402872</v>
      </c>
      <c r="H744" s="2">
        <v>35.089150186167316</v>
      </c>
    </row>
    <row r="745" spans="1:8" x14ac:dyDescent="0.2">
      <c r="A745" s="16">
        <f>DATE(2021,7,2)</f>
        <v>44379</v>
      </c>
      <c r="B745" s="2">
        <v>87.964035727242134</v>
      </c>
      <c r="C745" s="2">
        <v>63.344630700253489</v>
      </c>
      <c r="D745" s="2">
        <v>16.833494976680672</v>
      </c>
      <c r="E745" s="2">
        <v>29.591507728218836</v>
      </c>
      <c r="F745" s="2">
        <v>32.51544647204598</v>
      </c>
      <c r="G745" s="2">
        <v>32.627332874855931</v>
      </c>
      <c r="H745" s="2">
        <v>35.180197322665748</v>
      </c>
    </row>
    <row r="746" spans="1:8" x14ac:dyDescent="0.2">
      <c r="A746" s="16">
        <f>DATE(2021,7,5)</f>
        <v>44382</v>
      </c>
      <c r="B746" s="2">
        <v>86.897490450131073</v>
      </c>
      <c r="C746" s="2">
        <v>62.446643619697028</v>
      </c>
      <c r="D746" s="2">
        <v>16.85696246564379</v>
      </c>
      <c r="E746" s="2">
        <v>29.671480703397556</v>
      </c>
      <c r="F746" s="2">
        <v>32.601205751876151</v>
      </c>
      <c r="G746" s="2">
        <v>32.713315312071693</v>
      </c>
      <c r="H746" s="2">
        <v>35.271305822945443</v>
      </c>
    </row>
    <row r="747" spans="1:8" x14ac:dyDescent="0.2">
      <c r="A747" s="16">
        <f>DATE(2021,7,6)</f>
        <v>44383</v>
      </c>
      <c r="B747" s="2">
        <v>83.038626122874604</v>
      </c>
      <c r="C747" s="2">
        <v>60.110584497947841</v>
      </c>
      <c r="D747" s="2">
        <v>16.880434668349654</v>
      </c>
      <c r="E747" s="2">
        <v>29.751503031167871</v>
      </c>
      <c r="F747" s="2">
        <v>32.687020532059428</v>
      </c>
      <c r="G747" s="2">
        <v>32.799353491790484</v>
      </c>
      <c r="H747" s="2">
        <v>35.362475728364238</v>
      </c>
    </row>
    <row r="748" spans="1:8" x14ac:dyDescent="0.2">
      <c r="A748" s="16">
        <f>DATE(2021,7,7)</f>
        <v>44384</v>
      </c>
      <c r="B748" s="2">
        <v>84.80279320170601</v>
      </c>
      <c r="C748" s="2">
        <v>62.572919853117327</v>
      </c>
      <c r="D748" s="2">
        <v>16.903911585745067</v>
      </c>
      <c r="E748" s="2">
        <v>29.831574741986099</v>
      </c>
      <c r="F748" s="2">
        <v>32.772890848513732</v>
      </c>
      <c r="G748" s="2">
        <v>32.885447450150295</v>
      </c>
      <c r="H748" s="2">
        <v>35.453707080307908</v>
      </c>
    </row>
    <row r="749" spans="1:8" x14ac:dyDescent="0.2">
      <c r="A749" s="16">
        <f>DATE(2021,7,8)</f>
        <v>44385</v>
      </c>
      <c r="B749" s="2">
        <v>81.920598509766776</v>
      </c>
      <c r="C749" s="2">
        <v>60.536654793338982</v>
      </c>
      <c r="D749" s="2">
        <v>16.927393218777031</v>
      </c>
      <c r="E749" s="2">
        <v>29.911695866327289</v>
      </c>
      <c r="F749" s="2">
        <v>32.858816737180142</v>
      </c>
      <c r="G749" s="2">
        <v>32.971597223312465</v>
      </c>
      <c r="H749" s="2">
        <v>35.544999920190023</v>
      </c>
    </row>
    <row r="750" spans="1:8" x14ac:dyDescent="0.2">
      <c r="A750" s="16">
        <f>DATE(2021,7,9)</f>
        <v>44386</v>
      </c>
      <c r="B750" s="2">
        <v>81.906161100990275</v>
      </c>
      <c r="C750" s="2">
        <v>60.536654793338982</v>
      </c>
      <c r="D750" s="2">
        <v>16.95087956839274</v>
      </c>
      <c r="E750" s="2">
        <v>29.991866434685299</v>
      </c>
      <c r="F750" s="2">
        <v>32.944798234023011</v>
      </c>
      <c r="G750" s="2">
        <v>33.057802847461758</v>
      </c>
      <c r="H750" s="2">
        <v>35.636354289452129</v>
      </c>
    </row>
    <row r="751" spans="1:8" x14ac:dyDescent="0.2">
      <c r="A751" s="16">
        <f>DATE(2021,7,12)</f>
        <v>44389</v>
      </c>
      <c r="B751" s="2">
        <v>84.208211474728458</v>
      </c>
      <c r="C751" s="2">
        <v>63.309023515844842</v>
      </c>
      <c r="D751" s="2">
        <v>16.974370635539593</v>
      </c>
      <c r="E751" s="2">
        <v>30.072086477572824</v>
      </c>
      <c r="F751" s="2">
        <v>33.03083537502998</v>
      </c>
      <c r="G751" s="2">
        <v>33.144064358806432</v>
      </c>
      <c r="H751" s="2">
        <v>35.727770229563703</v>
      </c>
    </row>
    <row r="752" spans="1:8" x14ac:dyDescent="0.2">
      <c r="A752" s="16">
        <f>DATE(2021,7,13)</f>
        <v>44390</v>
      </c>
      <c r="B752" s="2">
        <v>85.952742790532625</v>
      </c>
      <c r="C752" s="2">
        <v>64.043578483635841</v>
      </c>
      <c r="D752" s="2">
        <v>16.997866421165163</v>
      </c>
      <c r="E752" s="2">
        <v>30.152356025521375</v>
      </c>
      <c r="F752" s="2">
        <v>33.116928196211951</v>
      </c>
      <c r="G752" s="2">
        <v>33.230381793578225</v>
      </c>
      <c r="H752" s="2">
        <v>35.819247782022124</v>
      </c>
    </row>
    <row r="753" spans="1:8" x14ac:dyDescent="0.2">
      <c r="A753" s="16">
        <f>DATE(2021,7,14)</f>
        <v>44391</v>
      </c>
      <c r="B753" s="2">
        <v>86.925176565517575</v>
      </c>
      <c r="C753" s="2">
        <v>64.349183351401607</v>
      </c>
      <c r="D753" s="2">
        <v>17.021366926217208</v>
      </c>
      <c r="E753" s="2">
        <v>30.232675109081299</v>
      </c>
      <c r="F753" s="2">
        <v>33.203076733603162</v>
      </c>
      <c r="G753" s="2">
        <v>33.316755188032346</v>
      </c>
      <c r="H753" s="2">
        <v>35.910786988352768</v>
      </c>
    </row>
    <row r="754" spans="1:8" x14ac:dyDescent="0.2">
      <c r="A754" s="16">
        <f>DATE(2021,7,15)</f>
        <v>44392</v>
      </c>
      <c r="B754" s="2">
        <v>85.349276845496846</v>
      </c>
      <c r="C754" s="2">
        <v>63.147818451996372</v>
      </c>
      <c r="D754" s="2">
        <v>17.044872151643698</v>
      </c>
      <c r="E754" s="2">
        <v>30.31304375882182</v>
      </c>
      <c r="F754" s="2">
        <v>33.289281023261161</v>
      </c>
      <c r="G754" s="2">
        <v>33.403184578447508</v>
      </c>
      <c r="H754" s="2">
        <v>36.002387890109013</v>
      </c>
    </row>
    <row r="755" spans="1:8" x14ac:dyDescent="0.2">
      <c r="A755" s="16">
        <f>DATE(2021,7,16)</f>
        <v>44393</v>
      </c>
      <c r="B755" s="2">
        <v>84.212717897867279</v>
      </c>
      <c r="C755" s="2">
        <v>61.21819575759995</v>
      </c>
      <c r="D755" s="2">
        <v>17.068382098392764</v>
      </c>
      <c r="E755" s="2">
        <v>30.39346200533102</v>
      </c>
      <c r="F755" s="2">
        <v>33.37554110126684</v>
      </c>
      <c r="G755" s="2">
        <v>33.489670001125972</v>
      </c>
      <c r="H755" s="2">
        <v>36.094050528872202</v>
      </c>
    </row>
    <row r="756" spans="1:8" x14ac:dyDescent="0.2">
      <c r="A756" s="16">
        <f>DATE(2021,7,19)</f>
        <v>44396</v>
      </c>
      <c r="B756" s="2">
        <v>79.881685989508426</v>
      </c>
      <c r="C756" s="2">
        <v>59.214248505381548</v>
      </c>
      <c r="D756" s="2">
        <v>17.091896767412742</v>
      </c>
      <c r="E756" s="2">
        <v>30.473929879215845</v>
      </c>
      <c r="F756" s="2">
        <v>33.461857003724418</v>
      </c>
      <c r="G756" s="2">
        <v>33.57621149239349</v>
      </c>
      <c r="H756" s="2">
        <v>36.185774946251748</v>
      </c>
    </row>
    <row r="757" spans="1:8" x14ac:dyDescent="0.2">
      <c r="A757" s="16">
        <f>DATE(2021,7,20)</f>
        <v>44397</v>
      </c>
      <c r="B757" s="2">
        <v>80.488354333664518</v>
      </c>
      <c r="C757" s="2">
        <v>60.502852286501032</v>
      </c>
      <c r="D757" s="2">
        <v>17.115416159652174</v>
      </c>
      <c r="E757" s="2">
        <v>30.554447411102139</v>
      </c>
      <c r="F757" s="2">
        <v>33.54822876676149</v>
      </c>
      <c r="G757" s="2">
        <v>33.662809088599403</v>
      </c>
      <c r="H757" s="2">
        <v>36.277561183885098</v>
      </c>
    </row>
    <row r="758" spans="1:8" x14ac:dyDescent="0.2">
      <c r="A758" s="16">
        <f>DATE(2021,7,21)</f>
        <v>44398</v>
      </c>
      <c r="B758" s="2">
        <v>79.519180618725827</v>
      </c>
      <c r="C758" s="2">
        <v>61.178505650176838</v>
      </c>
      <c r="D758" s="2">
        <v>17.138940276059778</v>
      </c>
      <c r="E758" s="2">
        <v>30.63501463163465</v>
      </c>
      <c r="F758" s="2">
        <v>33.634656426529027</v>
      </c>
      <c r="G758" s="2">
        <v>33.749462826116591</v>
      </c>
      <c r="H758" s="2">
        <v>36.369409283437747</v>
      </c>
    </row>
    <row r="759" spans="1:8" x14ac:dyDescent="0.2">
      <c r="A759" s="16">
        <f>DATE(2021,7,22)</f>
        <v>44399</v>
      </c>
      <c r="B759" s="2">
        <v>80.251394540583846</v>
      </c>
      <c r="C759" s="2">
        <v>61.456771572616688</v>
      </c>
      <c r="D759" s="2">
        <v>17.162469117584457</v>
      </c>
      <c r="E759" s="2">
        <v>30.715631571477012</v>
      </c>
      <c r="F759" s="2">
        <v>33.721140019201435</v>
      </c>
      <c r="G759" s="2">
        <v>33.836172741341542</v>
      </c>
      <c r="H759" s="2">
        <v>36.461319286603278</v>
      </c>
    </row>
    <row r="760" spans="1:8" x14ac:dyDescent="0.2">
      <c r="A760" s="16">
        <f>DATE(2021,7,23)</f>
        <v>44400</v>
      </c>
      <c r="B760" s="2">
        <v>78.365225813270897</v>
      </c>
      <c r="C760" s="2">
        <v>60.05670015346174</v>
      </c>
      <c r="D760" s="2">
        <v>17.186002685175318</v>
      </c>
      <c r="E760" s="2">
        <v>30.796298261311804</v>
      </c>
      <c r="F760" s="2">
        <v>33.807679580976483</v>
      </c>
      <c r="G760" s="2">
        <v>33.922938870694288</v>
      </c>
      <c r="H760" s="2">
        <v>36.553291235103359</v>
      </c>
    </row>
    <row r="761" spans="1:8" x14ac:dyDescent="0.2">
      <c r="A761" s="16">
        <f>DATE(2021,7,26)</f>
        <v>44403</v>
      </c>
      <c r="B761" s="2">
        <v>77.771846094827424</v>
      </c>
      <c r="C761" s="2">
        <v>61.273999971842059</v>
      </c>
      <c r="D761" s="2">
        <v>17.209540979781622</v>
      </c>
      <c r="E761" s="2">
        <v>30.877014731840546</v>
      </c>
      <c r="F761" s="2">
        <v>33.894275148075373</v>
      </c>
      <c r="G761" s="2">
        <v>34.009761250618517</v>
      </c>
      <c r="H761" s="2">
        <v>36.645325170687812</v>
      </c>
    </row>
    <row r="762" spans="1:8" x14ac:dyDescent="0.2">
      <c r="A762" s="16">
        <f>DATE(2021,7,27)</f>
        <v>44404</v>
      </c>
      <c r="B762" s="2">
        <v>75.850042915253169</v>
      </c>
      <c r="C762" s="2">
        <v>59.492578423479898</v>
      </c>
      <c r="D762" s="2">
        <v>17.233084002352882</v>
      </c>
      <c r="E762" s="2">
        <v>30.957781013783681</v>
      </c>
      <c r="F762" s="2">
        <v>33.980926756742761</v>
      </c>
      <c r="G762" s="2">
        <v>34.096639917581562</v>
      </c>
      <c r="H762" s="2">
        <v>36.737421135134561</v>
      </c>
    </row>
    <row r="763" spans="1:8" x14ac:dyDescent="0.2">
      <c r="A763" s="16">
        <f>DATE(2021,7,28)</f>
        <v>44405</v>
      </c>
      <c r="B763" s="2">
        <v>78.029399709397936</v>
      </c>
      <c r="C763" s="2">
        <v>61.634589909420697</v>
      </c>
      <c r="D763" s="2">
        <v>17.256631753838757</v>
      </c>
      <c r="E763" s="2">
        <v>31.03859713788064</v>
      </c>
      <c r="F763" s="2">
        <v>34.067634443246767</v>
      </c>
      <c r="G763" s="2">
        <v>34.183574908074327</v>
      </c>
      <c r="H763" s="2">
        <v>36.829579170249716</v>
      </c>
    </row>
    <row r="764" spans="1:8" x14ac:dyDescent="0.2">
      <c r="A764" s="16">
        <f>DATE(2021,7,29)</f>
        <v>44406</v>
      </c>
      <c r="B764" s="2">
        <v>76.692331544824626</v>
      </c>
      <c r="C764" s="2">
        <v>60.853510097875123</v>
      </c>
      <c r="D764" s="2">
        <v>17.280184235189111</v>
      </c>
      <c r="E764" s="2">
        <v>31.119463134889799</v>
      </c>
      <c r="F764" s="2">
        <v>34.154398243878958</v>
      </c>
      <c r="G764" s="2">
        <v>34.270566258611446</v>
      </c>
      <c r="H764" s="2">
        <v>36.921799317867546</v>
      </c>
    </row>
    <row r="765" spans="1:8" x14ac:dyDescent="0.2">
      <c r="A765" s="16">
        <f>DATE(2021,7,30)</f>
        <v>44407</v>
      </c>
      <c r="B765" s="2">
        <v>71.987594739673696</v>
      </c>
      <c r="C765" s="2">
        <v>55.894435321507927</v>
      </c>
      <c r="D765" s="2">
        <v>17.303741447354003</v>
      </c>
      <c r="E765" s="2">
        <v>31.200379035588519</v>
      </c>
      <c r="F765" s="2">
        <v>34.241218194954406</v>
      </c>
      <c r="G765" s="2">
        <v>34.357614005731186</v>
      </c>
      <c r="H765" s="2">
        <v>37.014081619850515</v>
      </c>
    </row>
    <row r="766" spans="1:8" x14ac:dyDescent="0.2">
      <c r="A766" s="16">
        <f>DATE(2021,8,2)</f>
        <v>44410</v>
      </c>
      <c r="B766" s="2">
        <v>73.077102371696014</v>
      </c>
      <c r="C766" s="2">
        <v>56.809509242893142</v>
      </c>
      <c r="D766" s="2">
        <v>17.327303391283678</v>
      </c>
      <c r="E766" s="2">
        <v>31.273069481541668</v>
      </c>
      <c r="F766" s="2">
        <v>34.31962689011123</v>
      </c>
      <c r="G766" s="2">
        <v>34.436243391848627</v>
      </c>
      <c r="H766" s="2">
        <v>37.097783541770646</v>
      </c>
    </row>
    <row r="767" spans="1:8" x14ac:dyDescent="0.2">
      <c r="A767" s="16">
        <f>DATE(2021,8,3)</f>
        <v>44411</v>
      </c>
      <c r="B767" s="2">
        <v>72.439625351238334</v>
      </c>
      <c r="C767" s="2">
        <v>58.167266732625023</v>
      </c>
      <c r="D767" s="2">
        <v>17.350870067928572</v>
      </c>
      <c r="E767" s="2">
        <v>31.345800201013631</v>
      </c>
      <c r="F767" s="2">
        <v>34.398081382852141</v>
      </c>
      <c r="G767" s="2">
        <v>34.514918793820158</v>
      </c>
      <c r="H767" s="2">
        <v>37.181536597206758</v>
      </c>
    </row>
    <row r="768" spans="1:8" x14ac:dyDescent="0.2">
      <c r="A768" s="16">
        <f>DATE(2021,8,4)</f>
        <v>44412</v>
      </c>
      <c r="B768" s="2">
        <v>69.315942265800402</v>
      </c>
      <c r="C768" s="2">
        <v>55.894972885039657</v>
      </c>
      <c r="D768" s="2">
        <v>17.374441478239302</v>
      </c>
      <c r="E768" s="2">
        <v>31.418571216317591</v>
      </c>
      <c r="F768" s="2">
        <v>34.476581699926932</v>
      </c>
      <c r="G768" s="2">
        <v>34.593640238575382</v>
      </c>
      <c r="H768" s="2">
        <v>37.265340817396343</v>
      </c>
    </row>
    <row r="769" spans="1:8" x14ac:dyDescent="0.2">
      <c r="A769" s="16">
        <f>DATE(2021,8,5)</f>
        <v>44413</v>
      </c>
      <c r="B769" s="2">
        <v>69.144068351794047</v>
      </c>
      <c r="C769" s="2">
        <v>55.679576297544138</v>
      </c>
      <c r="D769" s="2">
        <v>17.398017623166684</v>
      </c>
      <c r="E769" s="2">
        <v>31.491382549779122</v>
      </c>
      <c r="F769" s="2">
        <v>34.555127868101067</v>
      </c>
      <c r="G769" s="2">
        <v>34.672407753059687</v>
      </c>
      <c r="H769" s="2">
        <v>37.34919623359594</v>
      </c>
    </row>
    <row r="770" spans="1:8" x14ac:dyDescent="0.2">
      <c r="A770" s="16">
        <f>DATE(2021,8,6)</f>
        <v>44414</v>
      </c>
      <c r="B770" s="2">
        <v>70.155405509998388</v>
      </c>
      <c r="C770" s="2">
        <v>57.186597261241978</v>
      </c>
      <c r="D770" s="2">
        <v>17.426051165912227</v>
      </c>
      <c r="E770" s="2">
        <v>31.564234223736175</v>
      </c>
      <c r="F770" s="2">
        <v>34.633719914155648</v>
      </c>
      <c r="G770" s="2">
        <v>34.751221364234212</v>
      </c>
      <c r="H770" s="2">
        <v>37.43310287708124</v>
      </c>
    </row>
    <row r="771" spans="1:8" x14ac:dyDescent="0.2">
      <c r="A771" s="16">
        <f>DATE(2021,8,9)</f>
        <v>44417</v>
      </c>
      <c r="B771" s="2">
        <v>70.813742479296664</v>
      </c>
      <c r="C771" s="2">
        <v>57.454124712179699</v>
      </c>
      <c r="D771" s="2">
        <v>17.454091402804185</v>
      </c>
      <c r="E771" s="2">
        <v>31.637126260539006</v>
      </c>
      <c r="F771" s="2">
        <v>34.712357864887352</v>
      </c>
      <c r="G771" s="2">
        <v>34.830081099075841</v>
      </c>
      <c r="H771" s="2">
        <v>37.517060779146917</v>
      </c>
    </row>
    <row r="772" spans="1:8" x14ac:dyDescent="0.2">
      <c r="A772" s="16">
        <f>DATE(2021,8,10)</f>
        <v>44418</v>
      </c>
      <c r="B772" s="2">
        <v>68.457708172465061</v>
      </c>
      <c r="C772" s="2">
        <v>56.408550843910923</v>
      </c>
      <c r="D772" s="2">
        <v>17.482138335441054</v>
      </c>
      <c r="E772" s="2">
        <v>31.710058682550326</v>
      </c>
      <c r="F772" s="2">
        <v>34.791041747108586</v>
      </c>
      <c r="G772" s="2">
        <v>34.908986984577297</v>
      </c>
      <c r="H772" s="2">
        <v>37.601069971106881</v>
      </c>
    </row>
    <row r="773" spans="1:8" x14ac:dyDescent="0.2">
      <c r="A773" s="16">
        <f>DATE(2021,8,11)</f>
        <v>44419</v>
      </c>
      <c r="B773" s="2">
        <v>69.019409865261196</v>
      </c>
      <c r="C773" s="2">
        <v>56.221517132277917</v>
      </c>
      <c r="D773" s="2">
        <v>17.510191965421718</v>
      </c>
      <c r="E773" s="2">
        <v>31.783031512145211</v>
      </c>
      <c r="F773" s="2">
        <v>34.869771587647371</v>
      </c>
      <c r="G773" s="2">
        <v>34.987939047747084</v>
      </c>
      <c r="H773" s="2">
        <v>37.685130484294163</v>
      </c>
    </row>
    <row r="774" spans="1:8" x14ac:dyDescent="0.2">
      <c r="A774" s="16">
        <f>DATE(2021,8,12)</f>
        <v>44420</v>
      </c>
      <c r="B774" s="2">
        <v>67.044163878206618</v>
      </c>
      <c r="C774" s="2">
        <v>54.486774017250838</v>
      </c>
      <c r="D774" s="2">
        <v>17.538252294345448</v>
      </c>
      <c r="E774" s="2">
        <v>31.856044771711154</v>
      </c>
      <c r="F774" s="2">
        <v>34.948547413347413</v>
      </c>
      <c r="G774" s="2">
        <v>35.066937315609522</v>
      </c>
      <c r="H774" s="2">
        <v>37.769242350060871</v>
      </c>
    </row>
    <row r="775" spans="1:8" x14ac:dyDescent="0.2">
      <c r="A775" s="16">
        <f>DATE(2021,8,13)</f>
        <v>44421</v>
      </c>
      <c r="B775" s="2">
        <v>65.767573154084303</v>
      </c>
      <c r="C775" s="2">
        <v>55.117476830372027</v>
      </c>
      <c r="D775" s="2">
        <v>17.566319323811875</v>
      </c>
      <c r="E775" s="2">
        <v>31.929098483648001</v>
      </c>
      <c r="F775" s="2">
        <v>35.027369251068066</v>
      </c>
      <c r="G775" s="2">
        <v>35.145981815204699</v>
      </c>
      <c r="H775" s="2">
        <v>37.853405599778299</v>
      </c>
    </row>
    <row r="776" spans="1:8" x14ac:dyDescent="0.2">
      <c r="A776" s="16">
        <f>DATE(2021,8,16)</f>
        <v>44424</v>
      </c>
      <c r="B776" s="2">
        <v>61.414186548264979</v>
      </c>
      <c r="C776" s="2">
        <v>52.540090080289147</v>
      </c>
      <c r="D776" s="2">
        <v>17.59439305542103</v>
      </c>
      <c r="E776" s="2">
        <v>32.002192670368103</v>
      </c>
      <c r="F776" s="2">
        <v>35.106237127684501</v>
      </c>
      <c r="G776" s="2">
        <v>35.225072573588669</v>
      </c>
      <c r="H776" s="2">
        <v>37.937620264837001</v>
      </c>
    </row>
    <row r="777" spans="1:8" x14ac:dyDescent="0.2">
      <c r="A777" s="16">
        <f>DATE(2021,8,17)</f>
        <v>44425</v>
      </c>
      <c r="B777" s="2">
        <v>59.292331003698997</v>
      </c>
      <c r="C777" s="2">
        <v>50.906639293590523</v>
      </c>
      <c r="D777" s="2">
        <v>17.622473490773327</v>
      </c>
      <c r="E777" s="2">
        <v>32.0753273542961</v>
      </c>
      <c r="F777" s="2">
        <v>35.185151070087393</v>
      </c>
      <c r="G777" s="2">
        <v>35.304209617833095</v>
      </c>
      <c r="H777" s="2">
        <v>38.02188637664652</v>
      </c>
    </row>
    <row r="778" spans="1:8" x14ac:dyDescent="0.2">
      <c r="A778" s="16">
        <f>DATE(2021,8,18)</f>
        <v>44426</v>
      </c>
      <c r="B778" s="2">
        <v>58.466990250912531</v>
      </c>
      <c r="C778" s="2">
        <v>49.29242560184737</v>
      </c>
      <c r="D778" s="2">
        <v>17.650560631469546</v>
      </c>
      <c r="E778" s="2">
        <v>32.148502557869165</v>
      </c>
      <c r="F778" s="2">
        <v>35.264111105183261</v>
      </c>
      <c r="G778" s="2">
        <v>35.383392975025657</v>
      </c>
      <c r="H778" s="2">
        <v>38.106203966635711</v>
      </c>
    </row>
    <row r="779" spans="1:8" x14ac:dyDescent="0.2">
      <c r="A779" s="16">
        <f>DATE(2021,8,19)</f>
        <v>44427</v>
      </c>
      <c r="B779" s="2">
        <v>60.921074744660913</v>
      </c>
      <c r="C779" s="2">
        <v>49.960629870869774</v>
      </c>
      <c r="D779" s="2">
        <v>17.678654479110879</v>
      </c>
      <c r="E779" s="2">
        <v>32.221718303536839</v>
      </c>
      <c r="F779" s="2">
        <v>35.343117259894271</v>
      </c>
      <c r="G779" s="2">
        <v>35.462622672269831</v>
      </c>
      <c r="H779" s="2">
        <v>38.190573066252597</v>
      </c>
    </row>
    <row r="780" spans="1:8" x14ac:dyDescent="0.2">
      <c r="A780" s="16">
        <f>DATE(2021,8,20)</f>
        <v>44428</v>
      </c>
      <c r="B780" s="2">
        <v>63.122976960867483</v>
      </c>
      <c r="C780" s="2">
        <v>51.097295159496589</v>
      </c>
      <c r="D780" s="2">
        <v>17.706755035298858</v>
      </c>
      <c r="E780" s="2">
        <v>32.29497461376112</v>
      </c>
      <c r="F780" s="2">
        <v>35.422169561158356</v>
      </c>
      <c r="G780" s="2">
        <v>35.541898736684942</v>
      </c>
      <c r="H780" s="2">
        <v>38.274993706964409</v>
      </c>
    </row>
    <row r="781" spans="1:8" x14ac:dyDescent="0.2">
      <c r="A781" s="16">
        <f>DATE(2021,8,23)</f>
        <v>44431</v>
      </c>
      <c r="B781" s="2">
        <v>62.887853446506782</v>
      </c>
      <c r="C781" s="2">
        <v>50.353537616008339</v>
      </c>
      <c r="D781" s="2">
        <v>17.734862301635435</v>
      </c>
      <c r="E781" s="2">
        <v>32.368271511016466</v>
      </c>
      <c r="F781" s="2">
        <v>35.501268035929172</v>
      </c>
      <c r="G781" s="2">
        <v>35.621221195406207</v>
      </c>
      <c r="H781" s="2">
        <v>38.359465920257627</v>
      </c>
    </row>
    <row r="782" spans="1:8" x14ac:dyDescent="0.2">
      <c r="A782" s="16">
        <f>DATE(2021,8,24)</f>
        <v>44432</v>
      </c>
      <c r="B782" s="2">
        <v>67.57465770367503</v>
      </c>
      <c r="C782" s="2">
        <v>53.859322183583288</v>
      </c>
      <c r="D782" s="2">
        <v>17.76297627972292</v>
      </c>
      <c r="E782" s="2">
        <v>32.441609017789737</v>
      </c>
      <c r="F782" s="2">
        <v>35.580412711176074</v>
      </c>
      <c r="G782" s="2">
        <v>35.700590075584707</v>
      </c>
      <c r="H782" s="2">
        <v>38.443989737637921</v>
      </c>
    </row>
    <row r="783" spans="1:8" x14ac:dyDescent="0.2">
      <c r="A783" s="16">
        <f>DATE(2021,8,25)</f>
        <v>44433</v>
      </c>
      <c r="B783" s="2">
        <v>67.892364970419862</v>
      </c>
      <c r="C783" s="2">
        <v>54.6361782816656</v>
      </c>
      <c r="D783" s="2">
        <v>17.791096971164034</v>
      </c>
      <c r="E783" s="2">
        <v>32.514987156580389</v>
      </c>
      <c r="F783" s="2">
        <v>35.659603613884293</v>
      </c>
      <c r="G783" s="2">
        <v>35.780005404387481</v>
      </c>
      <c r="H783" s="2">
        <v>38.528565190630303</v>
      </c>
    </row>
    <row r="784" spans="1:8" x14ac:dyDescent="0.2">
      <c r="A784" s="16">
        <f>DATE(2021,8,26)</f>
        <v>44434</v>
      </c>
      <c r="B784" s="2">
        <v>65.404908106891241</v>
      </c>
      <c r="C784" s="2">
        <v>51.956372879664059</v>
      </c>
      <c r="D784" s="2">
        <v>17.819224377561849</v>
      </c>
      <c r="E784" s="2">
        <v>32.588405949900135</v>
      </c>
      <c r="F784" s="2">
        <v>35.738840771054669</v>
      </c>
      <c r="G784" s="2">
        <v>35.85946720899733</v>
      </c>
      <c r="H784" s="2">
        <v>38.613192310778913</v>
      </c>
    </row>
    <row r="785" spans="1:8" x14ac:dyDescent="0.2">
      <c r="A785" s="16">
        <f>DATE(2021,8,27)</f>
        <v>44435</v>
      </c>
      <c r="B785" s="2">
        <v>67.699458124794958</v>
      </c>
      <c r="C785" s="2">
        <v>54.456849647320141</v>
      </c>
      <c r="D785" s="2">
        <v>17.847358500519839</v>
      </c>
      <c r="E785" s="2">
        <v>32.661865420273315</v>
      </c>
      <c r="F785" s="2">
        <v>35.818124209703917</v>
      </c>
      <c r="G785" s="2">
        <v>35.938975516613091</v>
      </c>
      <c r="H785" s="2">
        <v>38.697871129647218</v>
      </c>
    </row>
    <row r="786" spans="1:8" x14ac:dyDescent="0.2">
      <c r="A786" s="16">
        <f>DATE(2021,8,30)</f>
        <v>44438</v>
      </c>
      <c r="B786" s="2">
        <v>66.173896393162821</v>
      </c>
      <c r="C786" s="2">
        <v>53.256751861953887</v>
      </c>
      <c r="D786" s="2">
        <v>17.875499341641856</v>
      </c>
      <c r="E786" s="2">
        <v>32.735365590236711</v>
      </c>
      <c r="F786" s="2">
        <v>35.897453956864481</v>
      </c>
      <c r="G786" s="2">
        <v>36.018530354449439</v>
      </c>
      <c r="H786" s="2">
        <v>38.782601678818018</v>
      </c>
    </row>
    <row r="787" spans="1:8" x14ac:dyDescent="0.2">
      <c r="A787" s="16">
        <f>DATE(2021,8,31)</f>
        <v>44439</v>
      </c>
      <c r="B787" s="2">
        <v>64.436696885870987</v>
      </c>
      <c r="C787" s="2">
        <v>52.029404725183653</v>
      </c>
      <c r="D787" s="2">
        <v>17.90364690253212</v>
      </c>
      <c r="E787" s="2">
        <v>32.808906482339516</v>
      </c>
      <c r="F787" s="2">
        <v>35.976830039584563</v>
      </c>
      <c r="G787" s="2">
        <v>36.098131749736993</v>
      </c>
      <c r="H787" s="2">
        <v>38.867383989893312</v>
      </c>
    </row>
    <row r="788" spans="1:8" x14ac:dyDescent="0.2">
      <c r="A788" s="16">
        <f>DATE(2021,9,1)</f>
        <v>44440</v>
      </c>
      <c r="B788" s="2">
        <v>64.779619719096473</v>
      </c>
      <c r="C788" s="2">
        <v>52.816000962494918</v>
      </c>
      <c r="D788" s="2">
        <v>17.931801184795269</v>
      </c>
      <c r="E788" s="2">
        <v>32.905050414772987</v>
      </c>
      <c r="F788" s="2">
        <v>36.079353658260068</v>
      </c>
      <c r="G788" s="2">
        <v>36.20090153732778</v>
      </c>
      <c r="H788" s="2">
        <v>38.975810977705748</v>
      </c>
    </row>
    <row r="789" spans="1:8" x14ac:dyDescent="0.2">
      <c r="A789" s="16">
        <f>DATE(2021,9,2)</f>
        <v>44441</v>
      </c>
      <c r="B789" s="2">
        <v>60.644994231024448</v>
      </c>
      <c r="C789" s="2">
        <v>49.336531409709373</v>
      </c>
      <c r="D789" s="2">
        <v>17.959962190036304</v>
      </c>
      <c r="E789" s="2">
        <v>33.001263948379965</v>
      </c>
      <c r="F789" s="2">
        <v>36.181954577549114</v>
      </c>
      <c r="G789" s="2">
        <v>36.30374892796209</v>
      </c>
      <c r="H789" s="2">
        <v>39.084322624790559</v>
      </c>
    </row>
    <row r="790" spans="1:8" x14ac:dyDescent="0.2">
      <c r="A790" s="16">
        <f>DATE(2021,9,3)</f>
        <v>44442</v>
      </c>
      <c r="B790" s="2">
        <v>60.498570962658562</v>
      </c>
      <c r="C790" s="2">
        <v>49.664393967513455</v>
      </c>
      <c r="D790" s="2">
        <v>17.988129919860587</v>
      </c>
      <c r="E790" s="2">
        <v>33.097547133546598</v>
      </c>
      <c r="F790" s="2">
        <v>36.284632855734664</v>
      </c>
      <c r="G790" s="2">
        <v>36.406673980239177</v>
      </c>
      <c r="H790" s="2">
        <v>39.192918997249301</v>
      </c>
    </row>
    <row r="791" spans="1:8" x14ac:dyDescent="0.2">
      <c r="A791" s="16">
        <f>DATE(2021,9,6)</f>
        <v>44445</v>
      </c>
      <c r="B791" s="2">
        <v>62.703196548754157</v>
      </c>
      <c r="C791" s="2">
        <v>50.861611948245631</v>
      </c>
      <c r="D791" s="2">
        <v>18.016304375873894</v>
      </c>
      <c r="E791" s="2">
        <v>33.193900020695558</v>
      </c>
      <c r="F791" s="2">
        <v>36.387388551143694</v>
      </c>
      <c r="G791" s="2">
        <v>36.50967675280252</v>
      </c>
      <c r="H791" s="2">
        <v>39.301600161235157</v>
      </c>
    </row>
    <row r="792" spans="1:8" x14ac:dyDescent="0.2">
      <c r="A792" s="16">
        <f>DATE(2021,9,8)</f>
        <v>44447</v>
      </c>
      <c r="B792" s="2">
        <v>55.205533036007061</v>
      </c>
      <c r="C792" s="2">
        <v>45.158587641414577</v>
      </c>
      <c r="D792" s="2">
        <v>18.044485559682389</v>
      </c>
      <c r="E792" s="2">
        <v>33.290322660285931</v>
      </c>
      <c r="F792" s="2">
        <v>36.490221722147133</v>
      </c>
      <c r="G792" s="2">
        <v>36.612757304339929</v>
      </c>
      <c r="H792" s="2">
        <v>39.410366182952927</v>
      </c>
    </row>
    <row r="793" spans="1:8" x14ac:dyDescent="0.2">
      <c r="A793" s="16">
        <f>DATE(2021,9,9)</f>
        <v>44448</v>
      </c>
      <c r="B793" s="2">
        <v>58.207706808562293</v>
      </c>
      <c r="C793" s="2">
        <v>47.651884096183082</v>
      </c>
      <c r="D793" s="2">
        <v>18.07267347289261</v>
      </c>
      <c r="E793" s="2">
        <v>33.386815102813429</v>
      </c>
      <c r="F793" s="2">
        <v>36.593132427159915</v>
      </c>
      <c r="G793" s="2">
        <v>36.715915693583483</v>
      </c>
      <c r="H793" s="2">
        <v>39.519217128659136</v>
      </c>
    </row>
    <row r="794" spans="1:8" x14ac:dyDescent="0.2">
      <c r="A794" s="16">
        <f>DATE(2021,9,10)</f>
        <v>44449</v>
      </c>
      <c r="B794" s="2">
        <v>57.371783058128891</v>
      </c>
      <c r="C794" s="2">
        <v>46.276067031612733</v>
      </c>
      <c r="D794" s="2">
        <v>18.100868117111446</v>
      </c>
      <c r="E794" s="2">
        <v>33.483377398810241</v>
      </c>
      <c r="F794" s="2">
        <v>36.696120724641034</v>
      </c>
      <c r="G794" s="2">
        <v>36.81915197930963</v>
      </c>
      <c r="H794" s="2">
        <v>39.628153064662008</v>
      </c>
    </row>
    <row r="795" spans="1:8" x14ac:dyDescent="0.2">
      <c r="A795" s="16">
        <f>DATE(2021,9,13)</f>
        <v>44452</v>
      </c>
      <c r="B795" s="2">
        <v>61.235464290433363</v>
      </c>
      <c r="C795" s="2">
        <v>48.986654345369395</v>
      </c>
      <c r="D795" s="2">
        <v>18.129069493946215</v>
      </c>
      <c r="E795" s="2">
        <v>33.580009598845173</v>
      </c>
      <c r="F795" s="2">
        <v>36.799186673093537</v>
      </c>
      <c r="G795" s="2">
        <v>36.922466220339189</v>
      </c>
      <c r="H795" s="2">
        <v>39.737174057321582</v>
      </c>
    </row>
    <row r="796" spans="1:8" x14ac:dyDescent="0.2">
      <c r="A796" s="16">
        <f>DATE(2021,9,14)</f>
        <v>44453</v>
      </c>
      <c r="B796" s="2">
        <v>60.246535055159598</v>
      </c>
      <c r="C796" s="2">
        <v>48.701016123066388</v>
      </c>
      <c r="D796" s="2">
        <v>18.157277605004609</v>
      </c>
      <c r="E796" s="2">
        <v>33.676711753523598</v>
      </c>
      <c r="F796" s="2">
        <v>36.902330331064583</v>
      </c>
      <c r="G796" s="2">
        <v>37.02585847553739</v>
      </c>
      <c r="H796" s="2">
        <v>39.846280173049628</v>
      </c>
    </row>
    <row r="797" spans="1:8" x14ac:dyDescent="0.2">
      <c r="A797" s="16">
        <f>DATE(2021,9,15)</f>
        <v>44454</v>
      </c>
      <c r="B797" s="2">
        <v>59.250651025120391</v>
      </c>
      <c r="C797" s="2">
        <v>47.27006039910269</v>
      </c>
      <c r="D797" s="2">
        <v>18.185492451894692</v>
      </c>
      <c r="E797" s="2">
        <v>33.773483913487645</v>
      </c>
      <c r="F797" s="2">
        <v>37.005551757145533</v>
      </c>
      <c r="G797" s="2">
        <v>37.129328803813991</v>
      </c>
      <c r="H797" s="2">
        <v>39.95547147830991</v>
      </c>
    </row>
    <row r="798" spans="1:8" x14ac:dyDescent="0.2">
      <c r="A798" s="16">
        <f>DATE(2021,9,16)</f>
        <v>44455</v>
      </c>
      <c r="B798" s="2">
        <v>58.363311470527997</v>
      </c>
      <c r="C798" s="2">
        <v>45.646797721242763</v>
      </c>
      <c r="D798" s="2">
        <v>18.213714036224914</v>
      </c>
      <c r="E798" s="2">
        <v>33.870326129415957</v>
      </c>
      <c r="F798" s="2">
        <v>37.108851009971829</v>
      </c>
      <c r="G798" s="2">
        <v>37.232877264123118</v>
      </c>
      <c r="H798" s="2">
        <v>40.064748039617967</v>
      </c>
    </row>
    <row r="799" spans="1:8" x14ac:dyDescent="0.2">
      <c r="A799" s="16">
        <f>DATE(2021,9,17)</f>
        <v>44456</v>
      </c>
      <c r="B799" s="2">
        <v>55.825112992128837</v>
      </c>
      <c r="C799" s="2">
        <v>42.632717396452001</v>
      </c>
      <c r="D799" s="2">
        <v>18.241942359604103</v>
      </c>
      <c r="E799" s="2">
        <v>33.967238452023963</v>
      </c>
      <c r="F799" s="2">
        <v>37.212228148223204</v>
      </c>
      <c r="G799" s="2">
        <v>37.336503915463503</v>
      </c>
      <c r="H799" s="2">
        <v>40.174109923541337</v>
      </c>
    </row>
    <row r="800" spans="1:8" x14ac:dyDescent="0.2">
      <c r="A800" s="16">
        <f>DATE(2021,9,20)</f>
        <v>44459</v>
      </c>
      <c r="B800" s="2">
        <v>53.387382024082179</v>
      </c>
      <c r="C800" s="2">
        <v>39.310536373212621</v>
      </c>
      <c r="D800" s="2">
        <v>18.270177423641499</v>
      </c>
      <c r="E800" s="2">
        <v>34.064220932063762</v>
      </c>
      <c r="F800" s="2">
        <v>37.315683230623577</v>
      </c>
      <c r="G800" s="2">
        <v>37.440208816878375</v>
      </c>
      <c r="H800" s="2">
        <v>40.283557196699469</v>
      </c>
    </row>
    <row r="801" spans="1:8" x14ac:dyDescent="0.2">
      <c r="A801" s="16">
        <f>DATE(2021,9,21)</f>
        <v>44460</v>
      </c>
      <c r="B801" s="2">
        <v>55.943233616745687</v>
      </c>
      <c r="C801" s="2">
        <v>41.110081492071757</v>
      </c>
      <c r="D801" s="2">
        <v>18.298419229946706</v>
      </c>
      <c r="E801" s="2">
        <v>34.161273620324174</v>
      </c>
      <c r="F801" s="2">
        <v>37.419216315941163</v>
      </c>
      <c r="G801" s="2">
        <v>37.543992027455552</v>
      </c>
      <c r="H801" s="2">
        <v>40.393089925763888</v>
      </c>
    </row>
    <row r="802" spans="1:8" x14ac:dyDescent="0.2">
      <c r="A802" s="16">
        <f>DATE(2021,9,22)</f>
        <v>44461</v>
      </c>
      <c r="B802" s="2">
        <v>58.409049891204937</v>
      </c>
      <c r="C802" s="2">
        <v>43.711569007158758</v>
      </c>
      <c r="D802" s="2">
        <v>18.326667780129704</v>
      </c>
      <c r="E802" s="2">
        <v>34.258396567630832</v>
      </c>
      <c r="F802" s="2">
        <v>37.522827462988523</v>
      </c>
      <c r="G802" s="2">
        <v>37.647853606327494</v>
      </c>
      <c r="H802" s="2">
        <v>40.502708177458182</v>
      </c>
    </row>
    <row r="803" spans="1:8" x14ac:dyDescent="0.2">
      <c r="A803" s="16">
        <f>DATE(2021,9,23)</f>
        <v>44462</v>
      </c>
      <c r="B803" s="2">
        <v>60.091977160773347</v>
      </c>
      <c r="C803" s="2">
        <v>45.992476670382885</v>
      </c>
      <c r="D803" s="2">
        <v>18.354923075800865</v>
      </c>
      <c r="E803" s="2">
        <v>34.35558982484617</v>
      </c>
      <c r="F803" s="2">
        <v>37.626516730622498</v>
      </c>
      <c r="G803" s="2">
        <v>37.751793612671314</v>
      </c>
      <c r="H803" s="2">
        <v>40.612412018557961</v>
      </c>
    </row>
    <row r="804" spans="1:8" x14ac:dyDescent="0.2">
      <c r="A804" s="16">
        <f>DATE(2021,9,24)</f>
        <v>44463</v>
      </c>
      <c r="B804" s="2">
        <v>59.85767864119989</v>
      </c>
      <c r="C804" s="2">
        <v>44.991981343985827</v>
      </c>
      <c r="D804" s="2">
        <v>18.387631752495562</v>
      </c>
      <c r="E804" s="2">
        <v>34.452853442869369</v>
      </c>
      <c r="F804" s="2">
        <v>37.730284177744352</v>
      </c>
      <c r="G804" s="2">
        <v>37.855812105708786</v>
      </c>
      <c r="H804" s="2">
        <v>40.722201515891051</v>
      </c>
    </row>
    <row r="805" spans="1:8" x14ac:dyDescent="0.2">
      <c r="A805" s="16">
        <f>DATE(2021,9,27)</f>
        <v>44466</v>
      </c>
      <c r="B805" s="2">
        <v>60.92199731947661</v>
      </c>
      <c r="C805" s="2">
        <v>45.376390465671008</v>
      </c>
      <c r="D805" s="2">
        <v>18.42034946859059</v>
      </c>
      <c r="E805" s="2">
        <v>34.550187472636537</v>
      </c>
      <c r="F805" s="2">
        <v>37.834129863299751</v>
      </c>
      <c r="G805" s="2">
        <v>37.959909144706437</v>
      </c>
      <c r="H805" s="2">
        <v>40.832076736337442</v>
      </c>
    </row>
    <row r="806" spans="1:8" x14ac:dyDescent="0.2">
      <c r="A806" s="16">
        <f>DATE(2021,9,28)</f>
        <v>44467</v>
      </c>
      <c r="B806" s="2">
        <v>57.386051919583238</v>
      </c>
      <c r="C806" s="2">
        <v>40.948966022145257</v>
      </c>
      <c r="D806" s="2">
        <v>18.453076226584098</v>
      </c>
      <c r="E806" s="2">
        <v>34.64759196512064</v>
      </c>
      <c r="F806" s="2">
        <v>37.938053846278777</v>
      </c>
      <c r="G806" s="2">
        <v>38.064084788975514</v>
      </c>
      <c r="H806" s="2">
        <v>40.942037746829293</v>
      </c>
    </row>
    <row r="807" spans="1:8" x14ac:dyDescent="0.2">
      <c r="A807" s="16">
        <f>DATE(2021,9,29)</f>
        <v>44468</v>
      </c>
      <c r="B807" s="2">
        <v>58.388039136865608</v>
      </c>
      <c r="C807" s="2">
        <v>42.207095070670597</v>
      </c>
      <c r="D807" s="2">
        <v>18.485812028974902</v>
      </c>
      <c r="E807" s="2">
        <v>34.745066971331504</v>
      </c>
      <c r="F807" s="2">
        <v>38.042056185716035</v>
      </c>
      <c r="G807" s="2">
        <v>38.16833909787205</v>
      </c>
      <c r="H807" s="2">
        <v>41.052084614351102</v>
      </c>
    </row>
    <row r="808" spans="1:8" x14ac:dyDescent="0.2">
      <c r="A808" s="16">
        <f>DATE(2021,9,30)</f>
        <v>44469</v>
      </c>
      <c r="B808" s="2">
        <v>57.861967460874951</v>
      </c>
      <c r="C808" s="2">
        <v>42.043611761378294</v>
      </c>
      <c r="D808" s="2">
        <v>18.518556878262515</v>
      </c>
      <c r="E808" s="2">
        <v>34.842612542315912</v>
      </c>
      <c r="F808" s="2">
        <v>38.146136940690603</v>
      </c>
      <c r="G808" s="2">
        <v>38.272672130796927</v>
      </c>
      <c r="H808" s="2">
        <v>41.162217405939593</v>
      </c>
    </row>
    <row r="809" spans="1:8" x14ac:dyDescent="0.2">
      <c r="A809" s="16">
        <f>DATE(2021,10,1)</f>
        <v>44470</v>
      </c>
      <c r="B809" s="2">
        <v>60.780209102469058</v>
      </c>
      <c r="C809" s="2">
        <v>44.50173620221625</v>
      </c>
      <c r="D809" s="2">
        <v>18.551310776947162</v>
      </c>
      <c r="E809" s="2">
        <v>34.941393889980631</v>
      </c>
      <c r="F809" s="2">
        <v>38.251489912402789</v>
      </c>
      <c r="G809" s="2">
        <v>38.378278784039857</v>
      </c>
      <c r="H809" s="2">
        <v>41.273656025863438</v>
      </c>
    </row>
    <row r="810" spans="1:8" x14ac:dyDescent="0.2">
      <c r="A810" s="16">
        <f>DATE(2021,10,4)</f>
        <v>44473</v>
      </c>
      <c r="B810" s="2">
        <v>57.138908319881693</v>
      </c>
      <c r="C810" s="2">
        <v>41.29356984422197</v>
      </c>
      <c r="D810" s="2">
        <v>18.584073727529727</v>
      </c>
      <c r="E810" s="2">
        <v>35.040247601673769</v>
      </c>
      <c r="F810" s="2">
        <v>38.356923228371407</v>
      </c>
      <c r="G810" s="2">
        <v>38.483966095051514</v>
      </c>
      <c r="H810" s="2">
        <v>41.385182619511674</v>
      </c>
    </row>
    <row r="811" spans="1:8" x14ac:dyDescent="0.2">
      <c r="A811" s="16">
        <f>DATE(2021,10,5)</f>
        <v>44474</v>
      </c>
      <c r="B811" s="2">
        <v>57.811558505192771</v>
      </c>
      <c r="C811" s="2">
        <v>41.376188239390046</v>
      </c>
      <c r="D811" s="2">
        <v>18.616845732511809</v>
      </c>
      <c r="E811" s="2">
        <v>35.139173730406867</v>
      </c>
      <c r="F811" s="2">
        <v>38.462436949868547</v>
      </c>
      <c r="G811" s="2">
        <v>38.589734125434781</v>
      </c>
      <c r="H811" s="2">
        <v>41.496797256333998</v>
      </c>
    </row>
    <row r="812" spans="1:8" x14ac:dyDescent="0.2">
      <c r="A812" s="16">
        <f>DATE(2021,10,6)</f>
        <v>44475</v>
      </c>
      <c r="B812" s="2">
        <v>57.282719104754641</v>
      </c>
      <c r="C812" s="2">
        <v>41.506649788878526</v>
      </c>
      <c r="D812" s="2">
        <v>18.649626794395701</v>
      </c>
      <c r="E812" s="2">
        <v>35.238172329230345</v>
      </c>
      <c r="F812" s="2">
        <v>38.568031138213058</v>
      </c>
      <c r="G812" s="2">
        <v>38.695582936839607</v>
      </c>
      <c r="H812" s="2">
        <v>41.608500005834912</v>
      </c>
    </row>
    <row r="813" spans="1:8" x14ac:dyDescent="0.2">
      <c r="A813" s="16">
        <f>DATE(2021,10,7)</f>
        <v>44476</v>
      </c>
      <c r="B813" s="2">
        <v>55.941716690846533</v>
      </c>
      <c r="C813" s="2">
        <v>41.539748343472581</v>
      </c>
      <c r="D813" s="2">
        <v>18.682416915684353</v>
      </c>
      <c r="E813" s="2">
        <v>35.337243451233434</v>
      </c>
      <c r="F813" s="2">
        <v>38.673705854770546</v>
      </c>
      <c r="G813" s="2">
        <v>38.801512590963029</v>
      </c>
      <c r="H813" s="2">
        <v>41.720290937573793</v>
      </c>
    </row>
    <row r="814" spans="1:8" x14ac:dyDescent="0.2">
      <c r="A814" s="16">
        <f>DATE(2021,10,8)</f>
        <v>44477</v>
      </c>
      <c r="B814" s="2">
        <v>59.18830625775842</v>
      </c>
      <c r="C814" s="2">
        <v>44.416698771155595</v>
      </c>
      <c r="D814" s="2">
        <v>18.715216098881449</v>
      </c>
      <c r="E814" s="2">
        <v>35.436387149544267</v>
      </c>
      <c r="F814" s="2">
        <v>38.77946116095341</v>
      </c>
      <c r="G814" s="2">
        <v>38.907523149549192</v>
      </c>
      <c r="H814" s="2">
        <v>41.832170121164914</v>
      </c>
    </row>
    <row r="815" spans="1:8" x14ac:dyDescent="0.2">
      <c r="A815" s="16">
        <f>DATE(2021,10,11)</f>
        <v>44480</v>
      </c>
      <c r="B815" s="2">
        <v>58.975484215388029</v>
      </c>
      <c r="C815" s="2">
        <v>43.581273846382487</v>
      </c>
      <c r="D815" s="2">
        <v>18.748024346491341</v>
      </c>
      <c r="E815" s="2">
        <v>35.535603477329914</v>
      </c>
      <c r="F815" s="2">
        <v>38.885297118220912</v>
      </c>
      <c r="G815" s="2">
        <v>39.013614674389423</v>
      </c>
      <c r="H815" s="2">
        <v>41.944137626277509</v>
      </c>
    </row>
    <row r="816" spans="1:8" x14ac:dyDescent="0.2">
      <c r="A816" s="16">
        <f>DATE(2021,10,13)</f>
        <v>44482</v>
      </c>
      <c r="B816" s="2">
        <v>61.479698231100237</v>
      </c>
      <c r="C816" s="2">
        <v>45.213726300807977</v>
      </c>
      <c r="D816" s="2">
        <v>18.780841661019075</v>
      </c>
      <c r="E816" s="2">
        <v>35.634892487796392</v>
      </c>
      <c r="F816" s="2">
        <v>38.991213788079129</v>
      </c>
      <c r="G816" s="2">
        <v>39.119787227322213</v>
      </c>
      <c r="H816" s="2">
        <v>42.05619352263583</v>
      </c>
    </row>
    <row r="817" spans="1:8" x14ac:dyDescent="0.2">
      <c r="A817" s="16">
        <f>DATE(2021,10,14)</f>
        <v>44483</v>
      </c>
      <c r="B817" s="2">
        <v>60.202136142147801</v>
      </c>
      <c r="C817" s="2">
        <v>44.867586582926421</v>
      </c>
      <c r="D817" s="2">
        <v>18.813668044970399</v>
      </c>
      <c r="E817" s="2">
        <v>35.734254234188683</v>
      </c>
      <c r="F817" s="2">
        <v>39.097211232081094</v>
      </c>
      <c r="G817" s="2">
        <v>39.226040870233291</v>
      </c>
      <c r="H817" s="2">
        <v>42.168337880019173</v>
      </c>
    </row>
    <row r="818" spans="1:8" x14ac:dyDescent="0.2">
      <c r="A818" s="16">
        <f>DATE(2021,10,15)</f>
        <v>44484</v>
      </c>
      <c r="B818" s="2">
        <v>62.97948109335934</v>
      </c>
      <c r="C818" s="2">
        <v>46.739472394193008</v>
      </c>
      <c r="D818" s="2">
        <v>18.846503500851728</v>
      </c>
      <c r="E818" s="2">
        <v>35.833688769790761</v>
      </c>
      <c r="F818" s="2">
        <v>39.203289511826767</v>
      </c>
      <c r="G818" s="2">
        <v>39.33237566505565</v>
      </c>
      <c r="H818" s="2">
        <v>42.280570768261882</v>
      </c>
    </row>
    <row r="819" spans="1:8" x14ac:dyDescent="0.2">
      <c r="A819" s="16">
        <f>DATE(2021,10,18)</f>
        <v>44487</v>
      </c>
      <c r="B819" s="2">
        <v>64.062060543351279</v>
      </c>
      <c r="C819" s="2">
        <v>46.458134680143523</v>
      </c>
      <c r="D819" s="2">
        <v>18.879348031170217</v>
      </c>
      <c r="E819" s="2">
        <v>35.93319614792572</v>
      </c>
      <c r="F819" s="2">
        <v>39.309448688963109</v>
      </c>
      <c r="G819" s="2">
        <v>39.438791673769643</v>
      </c>
      <c r="H819" s="2">
        <v>42.392892257253507</v>
      </c>
    </row>
    <row r="820" spans="1:8" x14ac:dyDescent="0.2">
      <c r="A820" s="16">
        <f>DATE(2021,10,19)</f>
        <v>44488</v>
      </c>
      <c r="B820" s="2">
        <v>57.426272633188617</v>
      </c>
      <c r="C820" s="2">
        <v>41.651523160669001</v>
      </c>
      <c r="D820" s="2">
        <v>18.912201638433679</v>
      </c>
      <c r="E820" s="2">
        <v>36.032776421955525</v>
      </c>
      <c r="F820" s="2">
        <v>39.415688825183977</v>
      </c>
      <c r="G820" s="2">
        <v>39.545288958402814</v>
      </c>
      <c r="H820" s="2">
        <v>42.50530241693864</v>
      </c>
    </row>
    <row r="821" spans="1:8" x14ac:dyDescent="0.2">
      <c r="A821" s="16">
        <f>DATE(2021,10,20)</f>
        <v>44489</v>
      </c>
      <c r="B821" s="2">
        <v>57.353486802766838</v>
      </c>
      <c r="C821" s="2">
        <v>41.79701089078138</v>
      </c>
      <c r="D821" s="2">
        <v>18.945064325150618</v>
      </c>
      <c r="E821" s="2">
        <v>36.132429645281469</v>
      </c>
      <c r="F821" s="2">
        <v>39.522009982230479</v>
      </c>
      <c r="G821" s="2">
        <v>39.651867581030231</v>
      </c>
      <c r="H821" s="2">
        <v>42.61780131731723</v>
      </c>
    </row>
    <row r="822" spans="1:8" x14ac:dyDescent="0.2">
      <c r="A822" s="16">
        <f>DATE(2021,10,21)</f>
        <v>44490</v>
      </c>
      <c r="B822" s="2">
        <v>50.5723046499944</v>
      </c>
      <c r="C822" s="2">
        <v>37.891458243472975</v>
      </c>
      <c r="D822" s="2">
        <v>18.977936093830227</v>
      </c>
      <c r="E822" s="2">
        <v>36.232155871343828</v>
      </c>
      <c r="F822" s="2">
        <v>39.628412221890621</v>
      </c>
      <c r="G822" s="2">
        <v>39.758527603774318</v>
      </c>
      <c r="H822" s="2">
        <v>42.730389028444414</v>
      </c>
    </row>
    <row r="823" spans="1:8" x14ac:dyDescent="0.2">
      <c r="A823" s="16">
        <f>DATE(2021,10,22)</f>
        <v>44491</v>
      </c>
      <c r="B823" s="2">
        <v>46.286208344804528</v>
      </c>
      <c r="C823" s="2">
        <v>36.049880776088372</v>
      </c>
      <c r="D823" s="2">
        <v>19.010816946982434</v>
      </c>
      <c r="E823" s="2">
        <v>36.33195515362204</v>
      </c>
      <c r="F823" s="2">
        <v>39.734895605999633</v>
      </c>
      <c r="G823" s="2">
        <v>39.865269088804943</v>
      </c>
      <c r="H823" s="2">
        <v>42.843065620430657</v>
      </c>
    </row>
    <row r="824" spans="1:8" x14ac:dyDescent="0.2">
      <c r="A824" s="16">
        <f>DATE(2021,10,25)</f>
        <v>44494</v>
      </c>
      <c r="B824" s="2">
        <v>50.062174002311828</v>
      </c>
      <c r="C824" s="2">
        <v>39.145184390691171</v>
      </c>
      <c r="D824" s="2">
        <v>19.043706887117807</v>
      </c>
      <c r="E824" s="2">
        <v>36.431827545634697</v>
      </c>
      <c r="F824" s="2">
        <v>39.84146019643984</v>
      </c>
      <c r="G824" s="2">
        <v>39.972092098339431</v>
      </c>
      <c r="H824" s="2">
        <v>42.955831163441729</v>
      </c>
    </row>
    <row r="825" spans="1:8" x14ac:dyDescent="0.2">
      <c r="A825" s="16">
        <f>DATE(2021,10,26)</f>
        <v>44495</v>
      </c>
      <c r="B825" s="2">
        <v>45.844530087182854</v>
      </c>
      <c r="C825" s="2">
        <v>36.207758065693049</v>
      </c>
      <c r="D825" s="2">
        <v>19.076605916747646</v>
      </c>
      <c r="E825" s="2">
        <v>36.531773100939688</v>
      </c>
      <c r="F825" s="2">
        <v>39.948106055140855</v>
      </c>
      <c r="G825" s="2">
        <v>40.078996694642697</v>
      </c>
      <c r="H825" s="2">
        <v>43.068685727698863</v>
      </c>
    </row>
    <row r="826" spans="1:8" x14ac:dyDescent="0.2">
      <c r="A826" s="16">
        <f>DATE(2021,10,27)</f>
        <v>44496</v>
      </c>
      <c r="B826" s="2">
        <v>46.479212770457991</v>
      </c>
      <c r="C826" s="2">
        <v>36.135532565470996</v>
      </c>
      <c r="D826" s="2">
        <v>19.109514038383924</v>
      </c>
      <c r="E826" s="2">
        <v>36.631791873134055</v>
      </c>
      <c r="F826" s="2">
        <v>40.054833244079433</v>
      </c>
      <c r="G826" s="2">
        <v>40.185982940027152</v>
      </c>
      <c r="H826" s="2">
        <v>43.181629383478672</v>
      </c>
    </row>
    <row r="827" spans="1:8" x14ac:dyDescent="0.2">
      <c r="A827" s="16">
        <f>DATE(2021,10,28)</f>
        <v>44497</v>
      </c>
      <c r="B827" s="2">
        <v>44.720935976989182</v>
      </c>
      <c r="C827" s="2">
        <v>35.293170511312752</v>
      </c>
      <c r="D827" s="2">
        <v>19.142431254539339</v>
      </c>
      <c r="E827" s="2">
        <v>36.731883915854134</v>
      </c>
      <c r="F827" s="2">
        <v>40.161641825279617</v>
      </c>
      <c r="G827" s="2">
        <v>40.293050896852797</v>
      </c>
      <c r="H827" s="2">
        <v>43.294662201113262</v>
      </c>
    </row>
    <row r="828" spans="1:8" x14ac:dyDescent="0.2">
      <c r="A828" s="16">
        <f>DATE(2021,10,29)</f>
        <v>44498</v>
      </c>
      <c r="B828" s="2">
        <v>41.646526370536982</v>
      </c>
      <c r="C828" s="2">
        <v>32.471921904818203</v>
      </c>
      <c r="D828" s="2">
        <v>19.18199375592766</v>
      </c>
      <c r="E828" s="2">
        <v>36.83204928277555</v>
      </c>
      <c r="F828" s="2">
        <v>40.268531860812743</v>
      </c>
      <c r="G828" s="2">
        <v>40.40020062752729</v>
      </c>
      <c r="H828" s="2">
        <v>43.407784250990282</v>
      </c>
    </row>
    <row r="829" spans="1:8" x14ac:dyDescent="0.2">
      <c r="A829" s="16">
        <f>DATE(2021,11,1)</f>
        <v>44501</v>
      </c>
      <c r="B829" s="2">
        <v>46.203606850597033</v>
      </c>
      <c r="C829" s="2">
        <v>35.095935891709317</v>
      </c>
      <c r="D829" s="2">
        <v>19.22156939446198</v>
      </c>
      <c r="E829" s="2">
        <v>36.910597483928932</v>
      </c>
      <c r="F829" s="2">
        <v>40.353267451996409</v>
      </c>
      <c r="G829" s="2">
        <v>40.485175335733722</v>
      </c>
      <c r="H829" s="2">
        <v>43.498261386009361</v>
      </c>
    </row>
    <row r="830" spans="1:8" x14ac:dyDescent="0.2">
      <c r="A830" s="16">
        <f>DATE(2021,11,3)</f>
        <v>44503</v>
      </c>
      <c r="B830" s="2">
        <v>49.345914415129478</v>
      </c>
      <c r="C830" s="2">
        <v>35.180435759238307</v>
      </c>
      <c r="D830" s="2">
        <v>19.261158174504644</v>
      </c>
      <c r="E830" s="2">
        <v>36.989190775541353</v>
      </c>
      <c r="F830" s="2">
        <v>40.438054231570852</v>
      </c>
      <c r="G830" s="2">
        <v>40.57020147336128</v>
      </c>
      <c r="H830" s="2">
        <v>43.588795603787318</v>
      </c>
    </row>
    <row r="831" spans="1:8" x14ac:dyDescent="0.2">
      <c r="A831" s="16">
        <f>DATE(2021,11,4)</f>
        <v>44504</v>
      </c>
      <c r="B831" s="2">
        <v>45.649281320871651</v>
      </c>
      <c r="C831" s="2">
        <v>32.358495999631586</v>
      </c>
      <c r="D831" s="2">
        <v>19.300760100419435</v>
      </c>
      <c r="E831" s="2">
        <v>37.067829183496805</v>
      </c>
      <c r="F831" s="2">
        <v>40.522892230458659</v>
      </c>
      <c r="G831" s="2">
        <v>40.655279071536611</v>
      </c>
      <c r="H831" s="2">
        <v>43.679386940338063</v>
      </c>
    </row>
    <row r="832" spans="1:8" x14ac:dyDescent="0.2">
      <c r="A832" s="16">
        <f>DATE(2021,11,5)</f>
        <v>44505</v>
      </c>
      <c r="B832" s="2">
        <v>49.139794346541343</v>
      </c>
      <c r="C832" s="2">
        <v>34.165912584490464</v>
      </c>
      <c r="D832" s="2">
        <v>19.340375176571566</v>
      </c>
      <c r="E832" s="2">
        <v>37.146512733694287</v>
      </c>
      <c r="F832" s="2">
        <v>40.607781479601201</v>
      </c>
      <c r="G832" s="2">
        <v>40.740408161405298</v>
      </c>
      <c r="H832" s="2">
        <v>43.770035431698282</v>
      </c>
    </row>
    <row r="833" spans="1:8" x14ac:dyDescent="0.2">
      <c r="A833" s="16">
        <f>DATE(2021,11,8)</f>
        <v>44508</v>
      </c>
      <c r="B833" s="2">
        <v>47.398416639843227</v>
      </c>
      <c r="C833" s="2">
        <v>34.110748326833722</v>
      </c>
      <c r="D833" s="2">
        <v>19.380003407327706</v>
      </c>
      <c r="E833" s="2">
        <v>37.225241452047641</v>
      </c>
      <c r="F833" s="2">
        <v>40.692722009958551</v>
      </c>
      <c r="G833" s="2">
        <v>40.825588774131781</v>
      </c>
      <c r="H833" s="2">
        <v>43.860741113927439</v>
      </c>
    </row>
    <row r="834" spans="1:8" x14ac:dyDescent="0.2">
      <c r="A834" s="16">
        <f>DATE(2021,11,9)</f>
        <v>44509</v>
      </c>
      <c r="B834" s="2">
        <v>49.622070331515268</v>
      </c>
      <c r="C834" s="2">
        <v>35.075738861875827</v>
      </c>
      <c r="D834" s="2">
        <v>19.419644797056002</v>
      </c>
      <c r="E834" s="2">
        <v>37.304015364485551</v>
      </c>
      <c r="F834" s="2">
        <v>40.777713852509436</v>
      </c>
      <c r="G834" s="2">
        <v>40.910820940899349</v>
      </c>
      <c r="H834" s="2">
        <v>43.951504023107702</v>
      </c>
    </row>
    <row r="835" spans="1:8" x14ac:dyDescent="0.2">
      <c r="A835" s="16">
        <f>DATE(2021,11,10)</f>
        <v>44510</v>
      </c>
      <c r="B835" s="2">
        <v>50.13427677253344</v>
      </c>
      <c r="C835" s="2">
        <v>35.629211714277531</v>
      </c>
      <c r="D835" s="2">
        <v>19.459299350126024</v>
      </c>
      <c r="E835" s="2">
        <v>37.38283449695161</v>
      </c>
      <c r="F835" s="2">
        <v>40.862757038251331</v>
      </c>
      <c r="G835" s="2">
        <v>40.996104692910173</v>
      </c>
      <c r="H835" s="2">
        <v>44.042324195344023</v>
      </c>
    </row>
    <row r="836" spans="1:8" x14ac:dyDescent="0.2">
      <c r="A836" s="16">
        <f>DATE(2021,11,11)</f>
        <v>44511</v>
      </c>
      <c r="B836" s="2">
        <v>51.209200625736329</v>
      </c>
      <c r="C836" s="2">
        <v>37.711835229098291</v>
      </c>
      <c r="D836" s="2">
        <v>19.49896707090879</v>
      </c>
      <c r="E836" s="2">
        <v>37.461698875404288</v>
      </c>
      <c r="F836" s="2">
        <v>40.947851598200423</v>
      </c>
      <c r="G836" s="2">
        <v>41.08144006138528</v>
      </c>
      <c r="H836" s="2">
        <v>44.133201666764108</v>
      </c>
    </row>
    <row r="837" spans="1:8" x14ac:dyDescent="0.2">
      <c r="A837" s="16">
        <f>DATE(2021,11,12)</f>
        <v>44512</v>
      </c>
      <c r="B837" s="2">
        <v>50.269167855701461</v>
      </c>
      <c r="C837" s="2">
        <v>36.098978245316069</v>
      </c>
      <c r="D837" s="2">
        <v>19.538647963776778</v>
      </c>
      <c r="E837" s="2">
        <v>37.540608525816957</v>
      </c>
      <c r="F837" s="2">
        <v>41.032997563391625</v>
      </c>
      <c r="G837" s="2">
        <v>41.166827077564584</v>
      </c>
      <c r="H837" s="2">
        <v>44.224136473518477</v>
      </c>
    </row>
    <row r="838" spans="1:8" x14ac:dyDescent="0.2">
      <c r="A838" s="16">
        <f>DATE(2021,11,16)</f>
        <v>44516</v>
      </c>
      <c r="B838" s="2">
        <v>46.673197431853275</v>
      </c>
      <c r="C838" s="2">
        <v>33.627619502293207</v>
      </c>
      <c r="D838" s="2">
        <v>19.578342033103937</v>
      </c>
      <c r="E838" s="2">
        <v>37.619563474177937</v>
      </c>
      <c r="F838" s="2">
        <v>41.118194964878676</v>
      </c>
      <c r="G838" s="2">
        <v>41.252265772706998</v>
      </c>
      <c r="H838" s="2">
        <v>44.315128651780512</v>
      </c>
    </row>
    <row r="839" spans="1:8" x14ac:dyDescent="0.2">
      <c r="A839" s="16">
        <f>DATE(2021,11,17)</f>
        <v>44517</v>
      </c>
      <c r="B839" s="2">
        <v>43.930852662717207</v>
      </c>
      <c r="C839" s="2">
        <v>31.765077057172686</v>
      </c>
      <c r="D839" s="2">
        <v>19.618049283265627</v>
      </c>
      <c r="E839" s="2">
        <v>37.698563746490429</v>
      </c>
      <c r="F839" s="2">
        <v>41.203443833733957</v>
      </c>
      <c r="G839" s="2">
        <v>41.33775617809026</v>
      </c>
      <c r="H839" s="2">
        <v>44.406178237746332</v>
      </c>
    </row>
    <row r="840" spans="1:8" x14ac:dyDescent="0.2">
      <c r="A840" s="16">
        <f>DATE(2021,11,18)</f>
        <v>44518</v>
      </c>
      <c r="B840" s="2">
        <v>43.540417226476613</v>
      </c>
      <c r="C840" s="2">
        <v>31.09638642114545</v>
      </c>
      <c r="D840" s="2">
        <v>19.657769718638686</v>
      </c>
      <c r="E840" s="2">
        <v>37.777609368772573</v>
      </c>
      <c r="F840" s="2">
        <v>41.288744201048686</v>
      </c>
      <c r="G840" s="2">
        <v>41.423298325011061</v>
      </c>
      <c r="H840" s="2">
        <v>44.497285267634922</v>
      </c>
    </row>
    <row r="841" spans="1:8" x14ac:dyDescent="0.2">
      <c r="A841" s="16">
        <f>DATE(2021,11,19)</f>
        <v>44519</v>
      </c>
      <c r="B841" s="2">
        <v>44.39387433386657</v>
      </c>
      <c r="C841" s="2">
        <v>31.875879140359388</v>
      </c>
      <c r="D841" s="2">
        <v>19.697503343601408</v>
      </c>
      <c r="E841" s="2">
        <v>37.856700367057414</v>
      </c>
      <c r="F841" s="2">
        <v>41.374096097932856</v>
      </c>
      <c r="G841" s="2">
        <v>41.508892244785045</v>
      </c>
      <c r="H841" s="2">
        <v>44.588449777688119</v>
      </c>
    </row>
    <row r="842" spans="1:8" x14ac:dyDescent="0.2">
      <c r="A842" s="16">
        <f>DATE(2021,11,22)</f>
        <v>44522</v>
      </c>
      <c r="B842" s="2">
        <v>41.129933263687768</v>
      </c>
      <c r="C842" s="2">
        <v>30.707766385128689</v>
      </c>
      <c r="D842" s="2">
        <v>19.737250162533538</v>
      </c>
      <c r="E842" s="2">
        <v>37.935836767393006</v>
      </c>
      <c r="F842" s="2">
        <v>41.459499555515293</v>
      </c>
      <c r="G842" s="2">
        <v>41.594537968746835</v>
      </c>
      <c r="H842" s="2">
        <v>44.679671804170653</v>
      </c>
    </row>
    <row r="843" spans="1:8" x14ac:dyDescent="0.2">
      <c r="A843" s="16">
        <f>DATE(2021,11,23)</f>
        <v>44523</v>
      </c>
      <c r="B843" s="2">
        <v>43.290461547769119</v>
      </c>
      <c r="C843" s="2">
        <v>32.667889410382678</v>
      </c>
      <c r="D843" s="2">
        <v>19.777010179816259</v>
      </c>
      <c r="E843" s="2">
        <v>38.015018595842243</v>
      </c>
      <c r="F843" s="2">
        <v>41.544954604943449</v>
      </c>
      <c r="G843" s="2">
        <v>41.680235528249909</v>
      </c>
      <c r="H843" s="2">
        <v>44.770951383370019</v>
      </c>
    </row>
    <row r="844" spans="1:8" x14ac:dyDescent="0.2">
      <c r="A844" s="16">
        <f>DATE(2021,11,24)</f>
        <v>44524</v>
      </c>
      <c r="B844" s="2">
        <v>44.410152456818899</v>
      </c>
      <c r="C844" s="2">
        <v>33.769088305049657</v>
      </c>
      <c r="D844" s="2">
        <v>19.816783399832239</v>
      </c>
      <c r="E844" s="2">
        <v>38.094245878483157</v>
      </c>
      <c r="F844" s="2">
        <v>41.630461277383901</v>
      </c>
      <c r="G844" s="2">
        <v>41.765984954666898</v>
      </c>
      <c r="H844" s="2">
        <v>44.862288551596798</v>
      </c>
    </row>
    <row r="845" spans="1:8" x14ac:dyDescent="0.2">
      <c r="A845" s="16">
        <f>DATE(2021,11,25)</f>
        <v>44525</v>
      </c>
      <c r="B845" s="2">
        <v>48.62741048728931</v>
      </c>
      <c r="C845" s="2">
        <v>35.429212482225481</v>
      </c>
      <c r="D845" s="2">
        <v>19.856569826965575</v>
      </c>
      <c r="E845" s="2">
        <v>38.173518641408563</v>
      </c>
      <c r="F845" s="2">
        <v>41.71601960402176</v>
      </c>
      <c r="G845" s="2">
        <v>41.851786279389259</v>
      </c>
      <c r="H845" s="2">
        <v>44.953683345184302</v>
      </c>
    </row>
    <row r="846" spans="1:8" x14ac:dyDescent="0.2">
      <c r="A846" s="16">
        <f>DATE(2021,11,26)</f>
        <v>44526</v>
      </c>
      <c r="B846" s="2">
        <v>42.701477366068374</v>
      </c>
      <c r="C846" s="2">
        <v>30.83817673809035</v>
      </c>
      <c r="D846" s="2">
        <v>19.896369465601826</v>
      </c>
      <c r="E846" s="2">
        <v>38.25283691072643</v>
      </c>
      <c r="F846" s="2">
        <v>41.801629616061156</v>
      </c>
      <c r="G846" s="2">
        <v>41.937639533827543</v>
      </c>
      <c r="H846" s="2">
        <v>45.0451358004889</v>
      </c>
    </row>
    <row r="847" spans="1:8" x14ac:dyDescent="0.2">
      <c r="A847" s="16">
        <f>DATE(2021,11,29)</f>
        <v>44529</v>
      </c>
      <c r="B847" s="2">
        <v>44.064364319117331</v>
      </c>
      <c r="C847" s="2">
        <v>31.593031128768502</v>
      </c>
      <c r="D847" s="2">
        <v>19.936182320128037</v>
      </c>
      <c r="E847" s="2">
        <v>38.332200712559519</v>
      </c>
      <c r="F847" s="2">
        <v>41.88729134472495</v>
      </c>
      <c r="G847" s="2">
        <v>42.023544749411236</v>
      </c>
      <c r="H847" s="2">
        <v>45.136645953889776</v>
      </c>
    </row>
    <row r="848" spans="1:8" x14ac:dyDescent="0.2">
      <c r="A848" s="16">
        <f>DATE(2021,11,30)</f>
        <v>44530</v>
      </c>
      <c r="B848" s="2">
        <v>42.46786634215092</v>
      </c>
      <c r="C848" s="2">
        <v>30.442926751849431</v>
      </c>
      <c r="D848" s="2">
        <v>19.976008394932656</v>
      </c>
      <c r="E848" s="2">
        <v>38.411610073045743</v>
      </c>
      <c r="F848" s="2">
        <v>41.973004821254946</v>
      </c>
      <c r="G848" s="2">
        <v>42.109501957588911</v>
      </c>
      <c r="H848" s="2">
        <v>45.228213841789142</v>
      </c>
    </row>
    <row r="849" spans="1:8" x14ac:dyDescent="0.2">
      <c r="A849" s="16">
        <f>DATE(2021,12,1)</f>
        <v>44531</v>
      </c>
      <c r="B849" s="2">
        <v>39.585627295653268</v>
      </c>
      <c r="C849" s="2">
        <v>28.982699413672066</v>
      </c>
      <c r="D849" s="2">
        <v>20.015847694405629</v>
      </c>
      <c r="E849" s="2">
        <v>38.476938627701522</v>
      </c>
      <c r="F849" s="2">
        <v>42.044279772579387</v>
      </c>
      <c r="G849" s="2">
        <v>42.181006937604003</v>
      </c>
      <c r="H849" s="2">
        <v>45.305016560087161</v>
      </c>
    </row>
    <row r="850" spans="1:8" x14ac:dyDescent="0.2">
      <c r="A850" s="16">
        <f>DATE(2021,12,2)</f>
        <v>44532</v>
      </c>
      <c r="B850" s="2">
        <v>43.680559889365483</v>
      </c>
      <c r="C850" s="2">
        <v>33.707716468515088</v>
      </c>
      <c r="D850" s="2">
        <v>20.055700222938345</v>
      </c>
      <c r="E850" s="2">
        <v>38.542298016620769</v>
      </c>
      <c r="F850" s="2">
        <v>42.115590506189982</v>
      </c>
      <c r="G850" s="2">
        <v>42.252547896650029</v>
      </c>
      <c r="H850" s="2">
        <v>45.381859894856191</v>
      </c>
    </row>
    <row r="851" spans="1:8" x14ac:dyDescent="0.2">
      <c r="A851" s="16">
        <f>DATE(2021,12,3)</f>
        <v>44533</v>
      </c>
      <c r="B851" s="2">
        <v>46.356785318215302</v>
      </c>
      <c r="C851" s="2">
        <v>34.48008007136827</v>
      </c>
      <c r="D851" s="2">
        <v>20.095565984923635</v>
      </c>
      <c r="E851" s="2">
        <v>38.607688254356873</v>
      </c>
      <c r="F851" s="2">
        <v>42.186937040050587</v>
      </c>
      <c r="G851" s="2">
        <v>42.324124852830501</v>
      </c>
      <c r="H851" s="2">
        <v>45.458743867575912</v>
      </c>
    </row>
    <row r="852" spans="1:8" x14ac:dyDescent="0.2">
      <c r="A852" s="16">
        <f>DATE(2021,12,6)</f>
        <v>44536</v>
      </c>
      <c r="B852" s="2">
        <v>49.522787087873475</v>
      </c>
      <c r="C852" s="2">
        <v>36.770075118104288</v>
      </c>
      <c r="D852" s="2">
        <v>20.135444984755836</v>
      </c>
      <c r="E852" s="2">
        <v>38.673109355470103</v>
      </c>
      <c r="F852" s="2">
        <v>42.258319392134069</v>
      </c>
      <c r="G852" s="2">
        <v>42.395737824258028</v>
      </c>
      <c r="H852" s="2">
        <v>45.535668499737362</v>
      </c>
    </row>
    <row r="853" spans="1:8" x14ac:dyDescent="0.2">
      <c r="A853" s="16">
        <f>DATE(2021,12,7)</f>
        <v>44537</v>
      </c>
      <c r="B853" s="2">
        <v>49.309317468949637</v>
      </c>
      <c r="C853" s="2">
        <v>37.664478441782819</v>
      </c>
      <c r="D853" s="2">
        <v>20.175337226830692</v>
      </c>
      <c r="E853" s="2">
        <v>38.738561334527603</v>
      </c>
      <c r="F853" s="2">
        <v>42.32973758042229</v>
      </c>
      <c r="G853" s="2">
        <v>42.467386829054327</v>
      </c>
      <c r="H853" s="2">
        <v>45.612633812842951</v>
      </c>
    </row>
    <row r="854" spans="1:8" x14ac:dyDescent="0.2">
      <c r="A854" s="16">
        <f>DATE(2021,12,8)</f>
        <v>44538</v>
      </c>
      <c r="B854" s="2">
        <v>51.714283724666892</v>
      </c>
      <c r="C854" s="2">
        <v>38.35289253977043</v>
      </c>
      <c r="D854" s="2">
        <v>20.215242715545443</v>
      </c>
      <c r="E854" s="2">
        <v>38.804044206103306</v>
      </c>
      <c r="F854" s="2">
        <v>42.40119162290614</v>
      </c>
      <c r="G854" s="2">
        <v>42.539071885350218</v>
      </c>
      <c r="H854" s="2">
        <v>45.689639828406413</v>
      </c>
    </row>
    <row r="855" spans="1:8" x14ac:dyDescent="0.2">
      <c r="A855" s="16">
        <f>DATE(2021,12,9)</f>
        <v>44539</v>
      </c>
      <c r="B855" s="2">
        <v>48.157513859579687</v>
      </c>
      <c r="C855" s="2">
        <v>36.043558005025282</v>
      </c>
      <c r="D855" s="2">
        <v>20.255161455298776</v>
      </c>
      <c r="E855" s="2">
        <v>38.869557984778197</v>
      </c>
      <c r="F855" s="2">
        <v>42.472681537585629</v>
      </c>
      <c r="G855" s="2">
        <v>42.610793011285743</v>
      </c>
      <c r="H855" s="2">
        <v>45.766686567952974</v>
      </c>
    </row>
    <row r="856" spans="1:8" x14ac:dyDescent="0.2">
      <c r="A856" s="16">
        <f>DATE(2021,12,10)</f>
        <v>44540</v>
      </c>
      <c r="B856" s="2">
        <v>51.206029274806887</v>
      </c>
      <c r="C856" s="2">
        <v>37.9213186177453</v>
      </c>
      <c r="D856" s="2">
        <v>20.301699292827436</v>
      </c>
      <c r="E856" s="2">
        <v>38.935102685140002</v>
      </c>
      <c r="F856" s="2">
        <v>42.544207342469711</v>
      </c>
      <c r="G856" s="2">
        <v>42.682550225009933</v>
      </c>
      <c r="H856" s="2">
        <v>45.843774053019139</v>
      </c>
    </row>
    <row r="857" spans="1:8" x14ac:dyDescent="0.2">
      <c r="A857" s="16">
        <f>DATE(2021,12,13)</f>
        <v>44543</v>
      </c>
      <c r="B857" s="2">
        <v>49.046348162791965</v>
      </c>
      <c r="C857" s="2">
        <v>37.441325580472949</v>
      </c>
      <c r="D857" s="2">
        <v>20.348255140147064</v>
      </c>
      <c r="E857" s="2">
        <v>39.000678321783354</v>
      </c>
      <c r="F857" s="2">
        <v>42.615769055576401</v>
      </c>
      <c r="G857" s="2">
        <v>42.754343544681042</v>
      </c>
      <c r="H857" s="2">
        <v>45.920902305152822</v>
      </c>
    </row>
    <row r="858" spans="1:8" x14ac:dyDescent="0.2">
      <c r="A858" s="16">
        <f>DATE(2021,12,14)</f>
        <v>44544</v>
      </c>
      <c r="B858" s="2">
        <v>47.058966768544551</v>
      </c>
      <c r="C858" s="2">
        <v>36.643427709864483</v>
      </c>
      <c r="D858" s="2">
        <v>20.394829004227333</v>
      </c>
      <c r="E858" s="2">
        <v>39.066284909309807</v>
      </c>
      <c r="F858" s="2">
        <v>42.687366694932777</v>
      </c>
      <c r="G858" s="2">
        <v>42.826172988466425</v>
      </c>
      <c r="H858" s="2">
        <v>45.998071345913338</v>
      </c>
    </row>
    <row r="859" spans="1:8" x14ac:dyDescent="0.2">
      <c r="A859" s="16">
        <f>DATE(2021,12,15)</f>
        <v>44545</v>
      </c>
      <c r="B859" s="2">
        <v>49.129100462498187</v>
      </c>
      <c r="C859" s="2">
        <v>37.502582224822191</v>
      </c>
      <c r="D859" s="2">
        <v>20.441420892040576</v>
      </c>
      <c r="E859" s="2">
        <v>39.131922462327793</v>
      </c>
      <c r="F859" s="2">
        <v>42.759000278574952</v>
      </c>
      <c r="G859" s="2">
        <v>42.898038574542596</v>
      </c>
      <c r="H859" s="2">
        <v>46.07528119687143</v>
      </c>
    </row>
    <row r="860" spans="1:8" x14ac:dyDescent="0.2">
      <c r="A860" s="16">
        <f>DATE(2021,12,16)</f>
        <v>44546</v>
      </c>
      <c r="B860" s="2">
        <v>50.137967071796673</v>
      </c>
      <c r="C860" s="2">
        <v>38.648296499565824</v>
      </c>
      <c r="D860" s="2">
        <v>20.488030810561852</v>
      </c>
      <c r="E860" s="2">
        <v>39.197590995452614</v>
      </c>
      <c r="F860" s="2">
        <v>42.830669824548082</v>
      </c>
      <c r="G860" s="2">
        <v>42.96994032109518</v>
      </c>
      <c r="H860" s="2">
        <v>46.152531879609214</v>
      </c>
    </row>
    <row r="861" spans="1:8" x14ac:dyDescent="0.2">
      <c r="A861" s="16">
        <f>DATE(2021,12,17)</f>
        <v>44547</v>
      </c>
      <c r="B861" s="2">
        <v>50.929589489246951</v>
      </c>
      <c r="C861" s="2">
        <v>37.207408649397578</v>
      </c>
      <c r="D861" s="2">
        <v>20.534658766768899</v>
      </c>
      <c r="E861" s="2">
        <v>39.26329052330653</v>
      </c>
      <c r="F861" s="2">
        <v>42.902375350906397</v>
      </c>
      <c r="G861" s="2">
        <v>43.041878246319001</v>
      </c>
      <c r="H861" s="2">
        <v>46.22982341572024</v>
      </c>
    </row>
    <row r="862" spans="1:8" x14ac:dyDescent="0.2">
      <c r="A862" s="16">
        <f>DATE(2021,12,20)</f>
        <v>44550</v>
      </c>
      <c r="B862" s="2">
        <v>47.631176056238282</v>
      </c>
      <c r="C862" s="2">
        <v>34.416199605019138</v>
      </c>
      <c r="D862" s="2">
        <v>20.581304767642173</v>
      </c>
      <c r="E862" s="2">
        <v>39.329021060518627</v>
      </c>
      <c r="F862" s="2">
        <v>42.9741168757132</v>
      </c>
      <c r="G862" s="2">
        <v>43.113852368418002</v>
      </c>
      <c r="H862" s="2">
        <v>46.307155826809442</v>
      </c>
    </row>
    <row r="863" spans="1:8" x14ac:dyDescent="0.2">
      <c r="A863" s="16">
        <f>DATE(2021,12,21)</f>
        <v>44551</v>
      </c>
      <c r="B863" s="2">
        <v>48.522707116604536</v>
      </c>
      <c r="C863" s="2">
        <v>35.030685918267679</v>
      </c>
      <c r="D863" s="2">
        <v>20.627968820164821</v>
      </c>
      <c r="E863" s="2">
        <v>39.394782621724978</v>
      </c>
      <c r="F863" s="2">
        <v>43.045894417040856</v>
      </c>
      <c r="G863" s="2">
        <v>43.185862705605317</v>
      </c>
      <c r="H863" s="2">
        <v>46.384529134493249</v>
      </c>
    </row>
    <row r="864" spans="1:8" x14ac:dyDescent="0.2">
      <c r="A864" s="16">
        <f>DATE(2021,12,22)</f>
        <v>44552</v>
      </c>
      <c r="B864" s="2">
        <v>48.506548750960008</v>
      </c>
      <c r="C864" s="2">
        <v>34.702823360463597</v>
      </c>
      <c r="D864" s="2">
        <v>20.674650931322702</v>
      </c>
      <c r="E864" s="2">
        <v>39.460575221568497</v>
      </c>
      <c r="F864" s="2">
        <v>43.117707992970807</v>
      </c>
      <c r="G864" s="2">
        <v>43.257909276103227</v>
      </c>
      <c r="H864" s="2">
        <v>46.461943360399459</v>
      </c>
    </row>
    <row r="865" spans="1:8" x14ac:dyDescent="0.2">
      <c r="A865" s="16">
        <f>DATE(2021,12,23)</f>
        <v>44553</v>
      </c>
      <c r="B865" s="2">
        <v>48.21414132435693</v>
      </c>
      <c r="C865" s="2">
        <v>34.251781959112272</v>
      </c>
      <c r="D865" s="2">
        <v>20.721351108104358</v>
      </c>
      <c r="E865" s="2">
        <v>39.526398874699062</v>
      </c>
      <c r="F865" s="2">
        <v>43.1895576215936</v>
      </c>
      <c r="G865" s="2">
        <v>43.329992098143187</v>
      </c>
      <c r="H865" s="2">
        <v>46.539398526167375</v>
      </c>
    </row>
    <row r="866" spans="1:8" x14ac:dyDescent="0.2">
      <c r="A866" s="16">
        <f>DATE(2021,12,24)</f>
        <v>44554</v>
      </c>
      <c r="B866" s="2">
        <v>48.202515994586335</v>
      </c>
      <c r="C866" s="2">
        <v>34.251781959112272</v>
      </c>
      <c r="D866" s="2">
        <v>20.768069357501062</v>
      </c>
      <c r="E866" s="2">
        <v>39.592253595773364</v>
      </c>
      <c r="F866" s="2">
        <v>43.26144332100872</v>
      </c>
      <c r="G866" s="2">
        <v>43.402111189965751</v>
      </c>
      <c r="H866" s="2">
        <v>46.616894653447581</v>
      </c>
    </row>
    <row r="867" spans="1:8" x14ac:dyDescent="0.2">
      <c r="A867" s="16">
        <f>DATE(2021,12,27)</f>
        <v>44557</v>
      </c>
      <c r="B867" s="2">
        <v>49.297714316458219</v>
      </c>
      <c r="C867" s="2">
        <v>35.100466784333719</v>
      </c>
      <c r="D867" s="2">
        <v>20.814805686506755</v>
      </c>
      <c r="E867" s="2">
        <v>39.658139399455152</v>
      </c>
      <c r="F867" s="2">
        <v>43.333365109324951</v>
      </c>
      <c r="G867" s="2">
        <v>43.474266569820813</v>
      </c>
      <c r="H867" s="2">
        <v>46.69443176390233</v>
      </c>
    </row>
    <row r="868" spans="1:8" x14ac:dyDescent="0.2">
      <c r="A868" s="16">
        <f>DATE(2021,12,28)</f>
        <v>44558</v>
      </c>
      <c r="B868" s="2">
        <v>49.560949749966568</v>
      </c>
      <c r="C868" s="2">
        <v>34.217032316528019</v>
      </c>
      <c r="D868" s="2">
        <v>20.861560102118126</v>
      </c>
      <c r="E868" s="2">
        <v>39.724056300415022</v>
      </c>
      <c r="F868" s="2">
        <v>43.405323004660026</v>
      </c>
      <c r="G868" s="2">
        <v>43.546458255967302</v>
      </c>
      <c r="H868" s="2">
        <v>46.772009879205221</v>
      </c>
    </row>
    <row r="869" spans="1:8" x14ac:dyDescent="0.2">
      <c r="A869" s="16">
        <f>DATE(2021,12,29)</f>
        <v>44559</v>
      </c>
      <c r="B869" s="2">
        <v>48.163989625113807</v>
      </c>
      <c r="C869" s="2">
        <v>33.248227640237268</v>
      </c>
      <c r="D869" s="2">
        <v>20.908332611334558</v>
      </c>
      <c r="E869" s="2">
        <v>39.790004313330485</v>
      </c>
      <c r="F869" s="2">
        <v>43.477317025140813</v>
      </c>
      <c r="G869" s="2">
        <v>43.6186862666734</v>
      </c>
      <c r="H869" s="2">
        <v>46.849629021041309</v>
      </c>
    </row>
    <row r="870" spans="1:8" x14ac:dyDescent="0.2">
      <c r="A870" s="16">
        <f>DATE(2021,12,30)</f>
        <v>44560</v>
      </c>
      <c r="B870" s="2">
        <v>49.531121309406757</v>
      </c>
      <c r="C870" s="2">
        <v>34.16362153991512</v>
      </c>
      <c r="D870" s="2">
        <v>20.955123221158136</v>
      </c>
      <c r="E870" s="2">
        <v>39.855983452886008</v>
      </c>
      <c r="F870" s="2">
        <v>43.54934718890329</v>
      </c>
      <c r="G870" s="2">
        <v>43.690950620216483</v>
      </c>
      <c r="H870" s="2">
        <v>46.927289211107116</v>
      </c>
    </row>
    <row r="871" spans="1:8" x14ac:dyDescent="0.2">
      <c r="A871" s="16">
        <f>DATE(2021,12,31)</f>
        <v>44561</v>
      </c>
      <c r="B871" s="2">
        <v>49.518759693965841</v>
      </c>
      <c r="C871" s="2">
        <v>34.16362153991512</v>
      </c>
      <c r="D871" s="2">
        <v>21.001931938593653</v>
      </c>
      <c r="E871" s="2">
        <v>39.921993733772965</v>
      </c>
      <c r="F871" s="2">
        <v>43.621413514092517</v>
      </c>
      <c r="G871" s="2">
        <v>43.763251334883101</v>
      </c>
      <c r="H871" s="2">
        <v>47.004990471110666</v>
      </c>
    </row>
    <row r="872" spans="1:8" x14ac:dyDescent="0.2">
      <c r="A872" s="16">
        <f>DATE(2022,1,3)</f>
        <v>44564</v>
      </c>
      <c r="B872" s="2">
        <v>47.023837958249558</v>
      </c>
      <c r="C872" s="2">
        <v>33.010611760098563</v>
      </c>
      <c r="D872" s="2">
        <v>21.048758770648622</v>
      </c>
      <c r="E872" s="2">
        <v>39.988279467712019</v>
      </c>
      <c r="F872" s="2">
        <v>43.693766782422962</v>
      </c>
      <c r="G872" s="2">
        <v>43.835839440463786</v>
      </c>
      <c r="H872" s="2">
        <v>47.082989500948401</v>
      </c>
    </row>
    <row r="873" spans="1:8" x14ac:dyDescent="0.2">
      <c r="A873" s="16">
        <f>DATE(2022,1,4)</f>
        <v>44565</v>
      </c>
      <c r="B873" s="2">
        <v>44.329334015861164</v>
      </c>
      <c r="C873" s="2">
        <v>32.488471182115376</v>
      </c>
      <c r="D873" s="2">
        <v>21.095603724333277</v>
      </c>
      <c r="E873" s="2">
        <v>40.054596603422922</v>
      </c>
      <c r="F873" s="2">
        <v>43.766156500717997</v>
      </c>
      <c r="G873" s="2">
        <v>43.908464196808985</v>
      </c>
      <c r="H873" s="2">
        <v>47.161029916106713</v>
      </c>
    </row>
    <row r="874" spans="1:8" x14ac:dyDescent="0.2">
      <c r="A874" s="16">
        <f>DATE(2022,1,5)</f>
        <v>44566</v>
      </c>
      <c r="B874" s="2">
        <v>39.7183982309272</v>
      </c>
      <c r="C874" s="2">
        <v>29.278448950023606</v>
      </c>
      <c r="D874" s="2">
        <v>21.142466806660543</v>
      </c>
      <c r="E874" s="2">
        <v>40.120945155781747</v>
      </c>
      <c r="F874" s="2">
        <v>43.838582687340335</v>
      </c>
      <c r="G874" s="2">
        <v>43.981125622424202</v>
      </c>
      <c r="H874" s="2">
        <v>47.239111738544118</v>
      </c>
    </row>
    <row r="875" spans="1:8" x14ac:dyDescent="0.2">
      <c r="A875" s="16">
        <f>DATE(2022,1,6)</f>
        <v>44567</v>
      </c>
      <c r="B875" s="2">
        <v>41.054832125314668</v>
      </c>
      <c r="C875" s="2">
        <v>29.989325524156829</v>
      </c>
      <c r="D875" s="2">
        <v>21.189348024646048</v>
      </c>
      <c r="E875" s="2">
        <v>40.187325139671628</v>
      </c>
      <c r="F875" s="2">
        <v>43.911045360661859</v>
      </c>
      <c r="G875" s="2">
        <v>44.053823735824267</v>
      </c>
      <c r="H875" s="2">
        <v>47.317234990230816</v>
      </c>
    </row>
    <row r="876" spans="1:8" x14ac:dyDescent="0.2">
      <c r="A876" s="16">
        <f>DATE(2022,1,7)</f>
        <v>44568</v>
      </c>
      <c r="B876" s="2">
        <v>40.938534473050225</v>
      </c>
      <c r="C876" s="2">
        <v>31.472002539348122</v>
      </c>
      <c r="D876" s="2">
        <v>21.236247385308182</v>
      </c>
      <c r="E876" s="2">
        <v>40.253736569982699</v>
      </c>
      <c r="F876" s="2">
        <v>43.983544539063793</v>
      </c>
      <c r="G876" s="2">
        <v>44.126558555533379</v>
      </c>
      <c r="H876" s="2">
        <v>47.395399693148676</v>
      </c>
    </row>
    <row r="877" spans="1:8" x14ac:dyDescent="0.2">
      <c r="A877" s="16">
        <f>DATE(2022,1,10)</f>
        <v>44571</v>
      </c>
      <c r="B877" s="2">
        <v>39.033492881115457</v>
      </c>
      <c r="C877" s="2">
        <v>30.481004168677583</v>
      </c>
      <c r="D877" s="2">
        <v>21.283164895668016</v>
      </c>
      <c r="E877" s="2">
        <v>40.320179461612192</v>
      </c>
      <c r="F877" s="2">
        <v>44.056080240936545</v>
      </c>
      <c r="G877" s="2">
        <v>44.199330100085056</v>
      </c>
      <c r="H877" s="2">
        <v>47.473605869291191</v>
      </c>
    </row>
    <row r="878" spans="1:8" x14ac:dyDescent="0.2">
      <c r="A878" s="16">
        <f>DATE(2022,1,11)</f>
        <v>44572</v>
      </c>
      <c r="B878" s="2">
        <v>41.422322948467418</v>
      </c>
      <c r="C878" s="2">
        <v>32.82808334282641</v>
      </c>
      <c r="D878" s="2">
        <v>21.330100562749333</v>
      </c>
      <c r="E878" s="2">
        <v>40.3866538294644</v>
      </c>
      <c r="F878" s="2">
        <v>44.128652484679854</v>
      </c>
      <c r="G878" s="2">
        <v>44.272138388022199</v>
      </c>
      <c r="H878" s="2">
        <v>47.551853540663537</v>
      </c>
    </row>
    <row r="879" spans="1:8" x14ac:dyDescent="0.2">
      <c r="A879" s="16">
        <f>DATE(2022,1,12)</f>
        <v>44573</v>
      </c>
      <c r="B879" s="2">
        <v>44.778925126710909</v>
      </c>
      <c r="C879" s="2">
        <v>35.268468187118593</v>
      </c>
      <c r="D879" s="2">
        <v>21.377054393578643</v>
      </c>
      <c r="E879" s="2">
        <v>40.453159688450668</v>
      </c>
      <c r="F879" s="2">
        <v>44.201261288702703</v>
      </c>
      <c r="G879" s="2">
        <v>44.344983437897056</v>
      </c>
      <c r="H879" s="2">
        <v>47.630142729282568</v>
      </c>
    </row>
    <row r="880" spans="1:8" x14ac:dyDescent="0.2">
      <c r="A880" s="16">
        <f>DATE(2022,1,13)</f>
        <v>44574</v>
      </c>
      <c r="B880" s="2">
        <v>44.860812512527289</v>
      </c>
      <c r="C880" s="2">
        <v>35.068596946383579</v>
      </c>
      <c r="D880" s="2">
        <v>21.424026395185191</v>
      </c>
      <c r="E880" s="2">
        <v>40.519697053489388</v>
      </c>
      <c r="F880" s="2">
        <v>44.273906671423326</v>
      </c>
      <c r="G880" s="2">
        <v>44.41786526827125</v>
      </c>
      <c r="H880" s="2">
        <v>47.708473457176815</v>
      </c>
    </row>
    <row r="881" spans="1:8" x14ac:dyDescent="0.2">
      <c r="A881" s="16">
        <f>DATE(2022,1,14)</f>
        <v>44575</v>
      </c>
      <c r="B881" s="2">
        <v>46.864334530595819</v>
      </c>
      <c r="C881" s="2">
        <v>36.858286733828407</v>
      </c>
      <c r="D881" s="2">
        <v>21.471016574600931</v>
      </c>
      <c r="E881" s="2">
        <v>40.586265939506028</v>
      </c>
      <c r="F881" s="2">
        <v>44.346588651269279</v>
      </c>
      <c r="G881" s="2">
        <v>44.490783897715787</v>
      </c>
      <c r="H881" s="2">
        <v>47.786845746386518</v>
      </c>
    </row>
    <row r="882" spans="1:8" x14ac:dyDescent="0.2">
      <c r="A882" s="16">
        <f>DATE(2022,1,17)</f>
        <v>44578</v>
      </c>
      <c r="B882" s="2">
        <v>47.441551447938934</v>
      </c>
      <c r="C882" s="2">
        <v>36.149317230319532</v>
      </c>
      <c r="D882" s="2">
        <v>21.518024938860545</v>
      </c>
      <c r="E882" s="2">
        <v>40.652866361433105</v>
      </c>
      <c r="F882" s="2">
        <v>44.419307246677327</v>
      </c>
      <c r="G882" s="2">
        <v>44.563739344811012</v>
      </c>
      <c r="H882" s="2">
        <v>47.865259618963577</v>
      </c>
    </row>
    <row r="883" spans="1:8" x14ac:dyDescent="0.2">
      <c r="A883" s="16">
        <f>DATE(2022,1,18)</f>
        <v>44579</v>
      </c>
      <c r="B883" s="2">
        <v>46.007683894997207</v>
      </c>
      <c r="C883" s="2">
        <v>36.525342920736705</v>
      </c>
      <c r="D883" s="2">
        <v>21.56505149500143</v>
      </c>
      <c r="E883" s="2">
        <v>40.719498334210314</v>
      </c>
      <c r="F883" s="2">
        <v>44.492062476093672</v>
      </c>
      <c r="G883" s="2">
        <v>44.63673162814672</v>
      </c>
      <c r="H883" s="2">
        <v>47.943715096971658</v>
      </c>
    </row>
    <row r="884" spans="1:8" x14ac:dyDescent="0.2">
      <c r="A884" s="16">
        <f>DATE(2022,1,19)</f>
        <v>44580</v>
      </c>
      <c r="B884" s="2">
        <v>50.328948929584662</v>
      </c>
      <c r="C884" s="2">
        <v>38.247862864983695</v>
      </c>
      <c r="D884" s="2">
        <v>21.612096250063683</v>
      </c>
      <c r="E884" s="2">
        <v>40.786161872784298</v>
      </c>
      <c r="F884" s="2">
        <v>44.564854357973637</v>
      </c>
      <c r="G884" s="2">
        <v>44.709760766322049</v>
      </c>
      <c r="H884" s="2">
        <v>48.02221220248606</v>
      </c>
    </row>
    <row r="885" spans="1:8" x14ac:dyDescent="0.2">
      <c r="A885" s="16">
        <f>DATE(2022,1,20)</f>
        <v>44581</v>
      </c>
      <c r="B885" s="2">
        <v>53.418385860440807</v>
      </c>
      <c r="C885" s="2">
        <v>39.641073949543724</v>
      </c>
      <c r="D885" s="2">
        <v>21.659159211090163</v>
      </c>
      <c r="E885" s="2">
        <v>40.852856992108833</v>
      </c>
      <c r="F885" s="2">
        <v>44.63768291078194</v>
      </c>
      <c r="G885" s="2">
        <v>44.782826777945516</v>
      </c>
      <c r="H885" s="2">
        <v>48.100750957593831</v>
      </c>
    </row>
    <row r="886" spans="1:8" x14ac:dyDescent="0.2">
      <c r="A886" s="16">
        <f>DATE(2022,1,21)</f>
        <v>44582</v>
      </c>
      <c r="B886" s="2">
        <v>53.499483735116733</v>
      </c>
      <c r="C886" s="2">
        <v>39.435891069150308</v>
      </c>
      <c r="D886" s="2">
        <v>21.706240385126453</v>
      </c>
      <c r="E886" s="2">
        <v>40.919583707144788</v>
      </c>
      <c r="F886" s="2">
        <v>44.71054815299258</v>
      </c>
      <c r="G886" s="2">
        <v>44.855929681635054</v>
      </c>
      <c r="H886" s="2">
        <v>48.17933138439372</v>
      </c>
    </row>
    <row r="887" spans="1:8" x14ac:dyDescent="0.2">
      <c r="A887" s="16">
        <f>DATE(2022,1,24)</f>
        <v>44585</v>
      </c>
      <c r="B887" s="2">
        <v>52.557472751774853</v>
      </c>
      <c r="C887" s="2">
        <v>38.15012869526975</v>
      </c>
      <c r="D887" s="2">
        <v>21.753339779220827</v>
      </c>
      <c r="E887" s="2">
        <v>40.986342032860087</v>
      </c>
      <c r="F887" s="2">
        <v>44.783450103088839</v>
      </c>
      <c r="G887" s="2">
        <v>44.929069496017981</v>
      </c>
      <c r="H887" s="2">
        <v>48.257953504996202</v>
      </c>
    </row>
    <row r="888" spans="1:8" x14ac:dyDescent="0.2">
      <c r="A888" s="16">
        <f>DATE(2022,1,25)</f>
        <v>44586</v>
      </c>
      <c r="B888" s="2">
        <v>56.402263377634078</v>
      </c>
      <c r="C888" s="2">
        <v>41.051256682747074</v>
      </c>
      <c r="D888" s="2">
        <v>21.800457400424332</v>
      </c>
      <c r="E888" s="2">
        <v>41.053131984229793</v>
      </c>
      <c r="F888" s="2">
        <v>44.856388779563353</v>
      </c>
      <c r="G888" s="2">
        <v>45.002246239731036</v>
      </c>
      <c r="H888" s="2">
        <v>48.3366173415235</v>
      </c>
    </row>
    <row r="889" spans="1:8" x14ac:dyDescent="0.2">
      <c r="A889" s="16">
        <f>DATE(2022,1,26)</f>
        <v>44587</v>
      </c>
      <c r="B889" s="2">
        <v>57.035792842389441</v>
      </c>
      <c r="C889" s="2">
        <v>42.440487237346211</v>
      </c>
      <c r="D889" s="2">
        <v>21.847593255790709</v>
      </c>
      <c r="E889" s="2">
        <v>41.119953576236036</v>
      </c>
      <c r="F889" s="2">
        <v>44.929364200918037</v>
      </c>
      <c r="G889" s="2">
        <v>45.075459931420347</v>
      </c>
      <c r="H889" s="2">
        <v>48.415322916109595</v>
      </c>
    </row>
    <row r="890" spans="1:8" x14ac:dyDescent="0.2">
      <c r="A890" s="16">
        <f>DATE(2022,1,27)</f>
        <v>44588</v>
      </c>
      <c r="B890" s="2">
        <v>59.376533697466357</v>
      </c>
      <c r="C890" s="2">
        <v>44.13313400818928</v>
      </c>
      <c r="D890" s="2">
        <v>21.894747352376442</v>
      </c>
      <c r="E890" s="2">
        <v>41.186806823868039</v>
      </c>
      <c r="F890" s="2">
        <v>45.002376385664157</v>
      </c>
      <c r="G890" s="2">
        <v>45.148710589741484</v>
      </c>
      <c r="H890" s="2">
        <v>48.494070250900158</v>
      </c>
    </row>
    <row r="891" spans="1:8" x14ac:dyDescent="0.2">
      <c r="A891" s="16">
        <f>DATE(2022,1,28)</f>
        <v>44589</v>
      </c>
      <c r="B891" s="2">
        <v>57.966599864266023</v>
      </c>
      <c r="C891" s="2">
        <v>43.235210923291369</v>
      </c>
      <c r="D891" s="2">
        <v>21.941919697240753</v>
      </c>
      <c r="E891" s="2">
        <v>41.253691742122122</v>
      </c>
      <c r="F891" s="2">
        <v>45.075425352322277</v>
      </c>
      <c r="G891" s="2">
        <v>45.221998233359422</v>
      </c>
      <c r="H891" s="2">
        <v>48.572859368052626</v>
      </c>
    </row>
    <row r="892" spans="1:8" x14ac:dyDescent="0.2">
      <c r="A892" s="16">
        <f>DATE(2022,1,31)</f>
        <v>44592</v>
      </c>
      <c r="B892" s="2">
        <v>60.482998077185378</v>
      </c>
      <c r="C892" s="2">
        <v>43.533955456462238</v>
      </c>
      <c r="D892" s="2">
        <v>21.989110297445571</v>
      </c>
      <c r="E892" s="2">
        <v>41.320608346001727</v>
      </c>
      <c r="F892" s="2">
        <v>45.148511119422309</v>
      </c>
      <c r="G892" s="2">
        <v>45.295322880948575</v>
      </c>
      <c r="H892" s="2">
        <v>48.651690289736216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60.482998077185535</v>
      </c>
      <c r="D3" s="5">
        <v>7.3330185494188793</v>
      </c>
    </row>
    <row r="4" spans="1:4" x14ac:dyDescent="0.2">
      <c r="A4" s="7"/>
      <c r="B4" s="3" t="s">
        <v>2</v>
      </c>
      <c r="C4" s="4">
        <v>43.533955456461811</v>
      </c>
      <c r="D4" s="5">
        <v>6.9842583324715601</v>
      </c>
    </row>
    <row r="5" spans="1:4" x14ac:dyDescent="0.2">
      <c r="A5" s="8"/>
      <c r="B5" s="3" t="s">
        <v>3</v>
      </c>
      <c r="C5" s="4">
        <v>21.989110297445571</v>
      </c>
      <c r="D5" s="5">
        <v>0.81583685734278877</v>
      </c>
    </row>
    <row r="6" spans="1:4" x14ac:dyDescent="0.2">
      <c r="A6" s="9"/>
      <c r="B6" s="3" t="s">
        <v>4</v>
      </c>
      <c r="C6" s="4">
        <v>41.320608346001734</v>
      </c>
      <c r="D6" s="5">
        <v>0.99956738387378952</v>
      </c>
    </row>
    <row r="7" spans="1:4" x14ac:dyDescent="0.2">
      <c r="A7" s="10"/>
      <c r="B7" s="3" t="s">
        <v>5</v>
      </c>
      <c r="C7" s="4">
        <v>45.148511119422309</v>
      </c>
      <c r="D7" s="5">
        <v>1.0632798883991601</v>
      </c>
    </row>
    <row r="8" spans="1:4" x14ac:dyDescent="0.2">
      <c r="A8" s="11"/>
      <c r="B8" s="3" t="s">
        <v>6</v>
      </c>
      <c r="C8" s="4">
        <v>45.295322880948575</v>
      </c>
      <c r="D8" s="5">
        <v>1.0656906628361051</v>
      </c>
    </row>
    <row r="9" spans="1:4" x14ac:dyDescent="0.2">
      <c r="A9" s="12"/>
      <c r="B9" s="3" t="s">
        <v>7</v>
      </c>
      <c r="C9" s="4">
        <v>48.651690289736216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2022-02-17T18:22:08Z</dcterms:created>
  <dcterms:modified xsi:type="dcterms:W3CDTF">2022-02-17T20:32:14Z</dcterms:modified>
</cp:coreProperties>
</file>