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02D20B10-3CA5-4888-AA39-A903876E8B4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1369" i="1" l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<sst xmlns="http://schemas.openxmlformats.org/spreadsheetml/2006/main" count="19" uniqueCount="12">
  <si>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</si>
  <si>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NEO NAVITAS FIC AÇÕES</t>
  </si>
  <si>
    <t>Ibovespa</t>
  </si>
  <si>
    <t>CDI +1,00%</t>
  </si>
  <si>
    <t>Índice INPC +4,00%</t>
  </si>
  <si>
    <t>Índice INPC +4,79%</t>
  </si>
  <si>
    <t>Índice INPC +4,82%</t>
  </si>
  <si>
    <t>Índice INPC +5,500%</t>
  </si>
  <si>
    <t>Retorno acumulado - 19/08/2016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</si>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</sst>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9"/>
  <sheetViews>
    <sheetView tabSelected="1" workbookViewId="0">
      <selection sqref="A1:A1369"/>
    </sheetView>
  </sheetViews>
  <sheetFormatPr defaultRowHeight="12" x14ac:dyDescent="0.2"/>
  <cols>
    <col min="1" max="9" width="20.33203125" customWidth="1"/>
  </cols>
  <sheetData>
    <row r="1" spans="1:8" ht="22.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DATE(2016,8,18)</f>
        <v>42600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DATE(2016,8,19)</f>
        <v>42601</v>
      </c>
      <c r="B3" s="2">
        <v>-0.2080674895475032</v>
      </c>
      <c r="C3" s="2">
        <v>-0.11493087246053912</v>
      </c>
      <c r="D3" s="2">
        <v>5.6412054201326889E-2</v>
      </c>
      <c r="E3" s="2">
        <v>2.9025399255355744E-2</v>
      </c>
      <c r="F3" s="2">
        <v>3.2029271670142023E-2</v>
      </c>
      <c r="G3" s="2">
        <v>3.2142897754372513E-2</v>
      </c>
      <c r="H3" s="2">
        <v>3.4709771170526871E-2</v>
      </c>
    </row>
    <row r="4" spans="1:8" x14ac:dyDescent="0.2">
      <c r="A4" s="16">
        <f>DATE(2016,8,22)</f>
        <v>42604</v>
      </c>
      <c r="B4" s="2">
        <v>-1.5324349914474289</v>
      </c>
      <c r="C4" s="2">
        <v>-2.3408714464388414</v>
      </c>
      <c r="D4" s="2">
        <v>0.11285593160124119</v>
      </c>
      <c r="E4" s="2">
        <v>5.8059223248729808E-2</v>
      </c>
      <c r="F4" s="2">
        <v>6.4068802082717369E-2</v>
      </c>
      <c r="G4" s="2">
        <v>6.4296127167495776E-2</v>
      </c>
      <c r="H4" s="2">
        <v>6.9431590023194545E-2</v>
      </c>
    </row>
    <row r="5" spans="1:8" x14ac:dyDescent="0.2">
      <c r="A5" s="16">
        <f>DATE(2016,8,23)</f>
        <v>42605</v>
      </c>
      <c r="B5" s="2">
        <v>-2.0596318154881277</v>
      </c>
      <c r="C5" s="2">
        <v>-1.9369232329378483</v>
      </c>
      <c r="D5" s="2">
        <v>0.16933165015184937</v>
      </c>
      <c r="E5" s="2">
        <v>8.7101474425432812E-2</v>
      </c>
      <c r="F5" s="2">
        <v>9.61185945235421E-2</v>
      </c>
      <c r="G5" s="2">
        <v>9.6459691560291105E-2</v>
      </c>
      <c r="H5" s="2">
        <v>0.10416546073974686</v>
      </c>
    </row>
    <row r="6" spans="1:8" x14ac:dyDescent="0.2">
      <c r="A6" s="16">
        <f>DATE(2016,8,24)</f>
        <v>42606</v>
      </c>
      <c r="B6" s="2">
        <v>-2.4384141253409153</v>
      </c>
      <c r="C6" s="2">
        <v>-2.4490416793428782</v>
      </c>
      <c r="D6" s="2">
        <v>0.22583922781547194</v>
      </c>
      <c r="E6" s="2">
        <v>0.11615215523150813</v>
      </c>
      <c r="F6" s="2">
        <v>0.12817865227945369</v>
      </c>
      <c r="G6" s="2">
        <v>0.12863359425470122</v>
      </c>
      <c r="H6" s="2">
        <v>0.13891138750332654</v>
      </c>
    </row>
    <row r="7" spans="1:8" x14ac:dyDescent="0.2">
      <c r="A7" s="16">
        <f>DATE(2016,8,25)</f>
        <v>42607</v>
      </c>
      <c r="B7" s="2">
        <v>-1.8911909943587046</v>
      </c>
      <c r="C7" s="2">
        <v>-2.440590879897242</v>
      </c>
      <c r="D7" s="2">
        <v>0.28237868256439924</v>
      </c>
      <c r="E7" s="2">
        <v>0.14521126811366525</v>
      </c>
      <c r="F7" s="2">
        <v>0.16024897863835541</v>
      </c>
      <c r="G7" s="2">
        <v>0.16081783857375687</v>
      </c>
      <c r="H7" s="2">
        <v>0.17366937449858622</v>
      </c>
    </row>
    <row r="8" spans="1:8" x14ac:dyDescent="0.2">
      <c r="A8" s="16">
        <f>DATE(2016,8,26)</f>
        <v>42608</v>
      </c>
      <c r="B8" s="2">
        <v>-1.7636821583948303</v>
      </c>
      <c r="C8" s="2">
        <v>-2.450731839232001</v>
      </c>
      <c r="D8" s="2">
        <v>0.33895003238118004</v>
      </c>
      <c r="E8" s="2">
        <v>0.17427881551934643</v>
      </c>
      <c r="F8" s="2">
        <v>0.19232957688921637</v>
      </c>
      <c r="G8" s="2">
        <v>0.19301242784155459</v>
      </c>
      <c r="H8" s="2">
        <v>0.20843942591159961</v>
      </c>
    </row>
    <row r="9" spans="1:8" x14ac:dyDescent="0.2">
      <c r="A9" s="16">
        <f>DATE(2016,8,29)</f>
        <v>42611</v>
      </c>
      <c r="B9" s="2">
        <v>-1.0935600205937757</v>
      </c>
      <c r="C9" s="2">
        <v>-0.93972889835379769</v>
      </c>
      <c r="D9" s="2">
        <v>0.39555329525846622</v>
      </c>
      <c r="E9" s="2">
        <v>0.20335479989672667</v>
      </c>
      <c r="F9" s="2">
        <v>0.22442045032204927</v>
      </c>
      <c r="G9" s="2">
        <v>0.22521736538325676</v>
      </c>
      <c r="H9" s="2">
        <v>0.24322154592988365</v>
      </c>
    </row>
    <row r="10" spans="1:8" x14ac:dyDescent="0.2">
      <c r="A10" s="16">
        <f>DATE(2016,8,30)</f>
        <v>42612</v>
      </c>
      <c r="B10" s="2">
        <v>-1.393212655197007</v>
      </c>
      <c r="C10" s="2">
        <v>-0.99888449447319561</v>
      </c>
      <c r="D10" s="2">
        <v>0.45218848919910132</v>
      </c>
      <c r="E10" s="2">
        <v>0.23243922369464709</v>
      </c>
      <c r="F10" s="2">
        <v>0.25652160222791043</v>
      </c>
      <c r="G10" s="2">
        <v>0.25743265452511377</v>
      </c>
      <c r="H10" s="2">
        <v>0.27801573874244312</v>
      </c>
    </row>
    <row r="11" spans="1:8" x14ac:dyDescent="0.2">
      <c r="A11" s="16">
        <f>DATE(2016,8,31)</f>
        <v>42613</v>
      </c>
      <c r="B11" s="2">
        <v>-1.4710507538753914</v>
      </c>
      <c r="C11" s="2">
        <v>-2.1380522597437945</v>
      </c>
      <c r="D11" s="2">
        <v>0.50885563221605423</v>
      </c>
      <c r="E11" s="2">
        <v>0.26153208936270378</v>
      </c>
      <c r="F11" s="2">
        <v>0.28863303589892197</v>
      </c>
      <c r="G11" s="2">
        <v>0.28965829859441961</v>
      </c>
      <c r="H11" s="2">
        <v>0.31282200853970377</v>
      </c>
    </row>
    <row r="12" spans="1:8" x14ac:dyDescent="0.2">
      <c r="A12" s="16">
        <f>DATE(2016,9,1)</f>
        <v>42614</v>
      </c>
      <c r="B12" s="2">
        <v>-1.661572038301562</v>
      </c>
      <c r="C12" s="2">
        <v>-1.5718486968867573</v>
      </c>
      <c r="D12" s="2">
        <v>0.56555474233246361</v>
      </c>
      <c r="E12" s="2">
        <v>0.28095641000309701</v>
      </c>
      <c r="F12" s="2">
        <v>0.31107485888679509</v>
      </c>
      <c r="G12" s="2">
        <v>0.31221429522387822</v>
      </c>
      <c r="H12" s="2">
        <v>0.33795786959451846</v>
      </c>
    </row>
    <row r="13" spans="1:8" x14ac:dyDescent="0.2">
      <c r="A13" s="16">
        <f>DATE(2016,9,2)</f>
        <v>42615</v>
      </c>
      <c r="B13" s="2">
        <v>-7.6594612724201205E-2</v>
      </c>
      <c r="C13" s="2">
        <v>0.76057195010643674</v>
      </c>
      <c r="D13" s="2">
        <v>0.62228583758157097</v>
      </c>
      <c r="E13" s="2">
        <v>0.30038449384384158</v>
      </c>
      <c r="F13" s="2">
        <v>0.33352170373410761</v>
      </c>
      <c r="G13" s="2">
        <v>0.33477536488870641</v>
      </c>
      <c r="H13" s="2">
        <v>0.36310002906163596</v>
      </c>
    </row>
    <row r="14" spans="1:8" x14ac:dyDescent="0.2">
      <c r="A14" s="16">
        <f>DATE(2016,9,5)</f>
        <v>42618</v>
      </c>
      <c r="B14" s="2">
        <v>0.67756931334981285</v>
      </c>
      <c r="C14" s="2">
        <v>0.67606395565016353</v>
      </c>
      <c r="D14" s="2">
        <v>0.67904893600685412</v>
      </c>
      <c r="E14" s="2">
        <v>0.31981634161399874</v>
      </c>
      <c r="F14" s="2">
        <v>0.35597357156462728</v>
      </c>
      <c r="G14" s="2">
        <v>0.35734150872985815</v>
      </c>
      <c r="H14" s="2">
        <v>0.38824848851926053</v>
      </c>
    </row>
    <row r="15" spans="1:8" x14ac:dyDescent="0.2">
      <c r="A15" s="16">
        <f>DATE(2016,9,6)</f>
        <v>42619</v>
      </c>
      <c r="B15" s="2">
        <v>2.4750797857686635</v>
      </c>
      <c r="C15" s="2">
        <v>1.6276239732278208</v>
      </c>
      <c r="D15" s="2">
        <v>0.73584405566200495</v>
      </c>
      <c r="E15" s="2">
        <v>0.33925195404278519</v>
      </c>
      <c r="F15" s="2">
        <v>0.37843046350234388</v>
      </c>
      <c r="G15" s="2">
        <v>0.37991272788857611</v>
      </c>
      <c r="H15" s="2">
        <v>0.41340324954601831</v>
      </c>
    </row>
    <row r="16" spans="1:8" x14ac:dyDescent="0.2">
      <c r="A16" s="16">
        <f>DATE(2016,9,8)</f>
        <v>42621</v>
      </c>
      <c r="B16" s="2">
        <v>3.1647061038122541</v>
      </c>
      <c r="C16" s="2">
        <v>1.8000202819186131</v>
      </c>
      <c r="D16" s="2">
        <v>0.79267121461084056</v>
      </c>
      <c r="E16" s="2">
        <v>0.35869133185955082</v>
      </c>
      <c r="F16" s="2">
        <v>0.40089238067151373</v>
      </c>
      <c r="G16" s="2">
        <v>0.40248902350634719</v>
      </c>
      <c r="H16" s="2">
        <v>0.43856431372091281</v>
      </c>
    </row>
    <row r="17" spans="1:8" x14ac:dyDescent="0.2">
      <c r="A17" s="16">
        <f>DATE(2016,9,9)</f>
        <v>42622</v>
      </c>
      <c r="B17" s="2">
        <v>0.91100803841532851</v>
      </c>
      <c r="C17" s="2">
        <v>-1.972416590609527</v>
      </c>
      <c r="D17" s="2">
        <v>0.84953043092739211</v>
      </c>
      <c r="E17" s="2">
        <v>0.37813447579380099</v>
      </c>
      <c r="F17" s="2">
        <v>0.42335932419665928</v>
      </c>
      <c r="G17" s="2">
        <v>0.42507039672490254</v>
      </c>
      <c r="H17" s="2">
        <v>0.4637316826233695</v>
      </c>
    </row>
    <row r="18" spans="1:8" x14ac:dyDescent="0.2">
      <c r="A18" s="16">
        <f>DATE(2016,9,12)</f>
        <v>42625</v>
      </c>
      <c r="B18" s="2">
        <v>1.9950255065762423</v>
      </c>
      <c r="C18" s="2">
        <v>-0.98029273569284481</v>
      </c>
      <c r="D18" s="2">
        <v>0.90642172269586041</v>
      </c>
      <c r="E18" s="2">
        <v>0.39758138657515207</v>
      </c>
      <c r="F18" s="2">
        <v>0.44583129520252562</v>
      </c>
      <c r="G18" s="2">
        <v>0.44765684868623978</v>
      </c>
      <c r="H18" s="2">
        <v>0.48890535783319145</v>
      </c>
    </row>
    <row r="19" spans="1:8" x14ac:dyDescent="0.2">
      <c r="A19" s="16">
        <f>DATE(2016,9,13)</f>
        <v>42626</v>
      </c>
      <c r="B19" s="2">
        <v>0.67895707115501747</v>
      </c>
      <c r="C19" s="2">
        <v>-3.9651150998885054</v>
      </c>
      <c r="D19" s="2">
        <v>0.96334510801068252</v>
      </c>
      <c r="E19" s="2">
        <v>0.41703206493337591</v>
      </c>
      <c r="F19" s="2">
        <v>0.46830829481412373</v>
      </c>
      <c r="G19" s="2">
        <v>0.47024838053262302</v>
      </c>
      <c r="H19" s="2">
        <v>0.51408534093058122</v>
      </c>
    </row>
    <row r="20" spans="1:8" x14ac:dyDescent="0.2">
      <c r="A20" s="16">
        <f>DATE(2016,9,14)</f>
        <v>42627</v>
      </c>
      <c r="B20" s="2">
        <v>0.42834999581611299</v>
      </c>
      <c r="C20" s="2">
        <v>-3.5611668863875119</v>
      </c>
      <c r="D20" s="2">
        <v>1.0203006049765095</v>
      </c>
      <c r="E20" s="2">
        <v>0.43648651159839957</v>
      </c>
      <c r="F20" s="2">
        <v>0.49079032415673129</v>
      </c>
      <c r="G20" s="2">
        <v>0.4928449934065382</v>
      </c>
      <c r="H20" s="2">
        <v>0.53927163349611895</v>
      </c>
    </row>
    <row r="21" spans="1:8" x14ac:dyDescent="0.2">
      <c r="A21" s="16">
        <f>DATE(2016,9,15)</f>
        <v>42628</v>
      </c>
      <c r="B21" s="2">
        <v>0.79361884228847934</v>
      </c>
      <c r="C21" s="2">
        <v>-2.1245309806308343</v>
      </c>
      <c r="D21" s="2">
        <v>1.07728823170814</v>
      </c>
      <c r="E21" s="2">
        <v>0.45594472730028368</v>
      </c>
      <c r="F21" s="2">
        <v>0.51327738435584802</v>
      </c>
      <c r="G21" s="2">
        <v>0.51544668845076025</v>
      </c>
      <c r="H21" s="2">
        <v>0.56446423711080662</v>
      </c>
    </row>
    <row r="22" spans="1:8" x14ac:dyDescent="0.2">
      <c r="A22" s="16">
        <f>DATE(2016,9,16)</f>
        <v>42629</v>
      </c>
      <c r="B22" s="2">
        <v>0.99802457485491658</v>
      </c>
      <c r="C22" s="2">
        <v>-3.5273636886050119</v>
      </c>
      <c r="D22" s="2">
        <v>1.1343080063306532</v>
      </c>
      <c r="E22" s="2">
        <v>0.47540671276922192</v>
      </c>
      <c r="F22" s="2">
        <v>0.53576947653726226</v>
      </c>
      <c r="G22" s="2">
        <v>0.53805346680833033</v>
      </c>
      <c r="H22" s="2">
        <v>0.58966315335604591</v>
      </c>
    </row>
    <row r="23" spans="1:8" x14ac:dyDescent="0.2">
      <c r="A23" s="16">
        <f>DATE(2016,9,19)</f>
        <v>42632</v>
      </c>
      <c r="B23" s="2">
        <v>1.6845868335860104</v>
      </c>
      <c r="C23" s="2">
        <v>-3.0693303586520004</v>
      </c>
      <c r="D23" s="2">
        <v>1.1913599469793201</v>
      </c>
      <c r="E23" s="2">
        <v>0.49487246873556318</v>
      </c>
      <c r="F23" s="2">
        <v>0.55826660182696219</v>
      </c>
      <c r="G23" s="2">
        <v>0.5606653296225117</v>
      </c>
      <c r="H23" s="2">
        <v>0.61486838381361597</v>
      </c>
    </row>
    <row r="24" spans="1:8" x14ac:dyDescent="0.2">
      <c r="A24" s="16">
        <f>DATE(2016,9,20)</f>
        <v>42633</v>
      </c>
      <c r="B24" s="2">
        <v>2.5145553122476016</v>
      </c>
      <c r="C24" s="2">
        <v>-2.4169286414495672</v>
      </c>
      <c r="D24" s="2">
        <v>1.2484440717996703</v>
      </c>
      <c r="E24" s="2">
        <v>0.51434199592979013</v>
      </c>
      <c r="F24" s="2">
        <v>0.58076876135124689</v>
      </c>
      <c r="G24" s="2">
        <v>0.58328227803683408</v>
      </c>
      <c r="H24" s="2">
        <v>0.64007993006569563</v>
      </c>
    </row>
    <row r="25" spans="1:8" x14ac:dyDescent="0.2">
      <c r="A25" s="16">
        <f>DATE(2016,9,21)</f>
        <v>42634</v>
      </c>
      <c r="B25" s="2">
        <v>3.1419180214366178</v>
      </c>
      <c r="C25" s="2">
        <v>-1.3064935942941114</v>
      </c>
      <c r="D25" s="2">
        <v>1.3055603989474474</v>
      </c>
      <c r="E25" s="2">
        <v>0.53381529508251813</v>
      </c>
      <c r="F25" s="2">
        <v>0.60327595623661523</v>
      </c>
      <c r="G25" s="2">
        <v>0.60590431319511584</v>
      </c>
      <c r="H25" s="2">
        <v>0.66529779369486342</v>
      </c>
    </row>
    <row r="26" spans="1:8" x14ac:dyDescent="0.2">
      <c r="A26" s="16">
        <f>DATE(2016,9,22)</f>
        <v>42635</v>
      </c>
      <c r="B26" s="2">
        <v>3.1542979202731969</v>
      </c>
      <c r="C26" s="2">
        <v>-0.29070750092966557</v>
      </c>
      <c r="D26" s="2">
        <v>1.3627089465886533</v>
      </c>
      <c r="E26" s="2">
        <v>0.55329236692451822</v>
      </c>
      <c r="F26" s="2">
        <v>0.62578818760985477</v>
      </c>
      <c r="G26" s="2">
        <v>0.6285314362413974</v>
      </c>
      <c r="H26" s="2">
        <v>0.69052197628409751</v>
      </c>
    </row>
    <row r="27" spans="1:8" x14ac:dyDescent="0.2">
      <c r="A27" s="16">
        <f>DATE(2016,9,23)</f>
        <v>42636</v>
      </c>
      <c r="B27" s="2">
        <v>2.3764390601884511</v>
      </c>
      <c r="C27" s="2">
        <v>-0.79268498799993647</v>
      </c>
      <c r="D27" s="2">
        <v>1.4198897328995264</v>
      </c>
      <c r="E27" s="2">
        <v>0.57277321218671684</v>
      </c>
      <c r="F27" s="2">
        <v>0.64830545659799732</v>
      </c>
      <c r="G27" s="2">
        <v>0.65116364831998563</v>
      </c>
      <c r="H27" s="2">
        <v>0.71575247941677578</v>
      </c>
    </row>
    <row r="28" spans="1:8" x14ac:dyDescent="0.2">
      <c r="A28" s="16">
        <f>DATE(2016,9,26)</f>
        <v>42639</v>
      </c>
      <c r="B28" s="2">
        <v>1.7910594596511009</v>
      </c>
      <c r="C28" s="2">
        <v>-1.8811479565967626</v>
      </c>
      <c r="D28" s="2">
        <v>1.4771027760665856</v>
      </c>
      <c r="E28" s="2">
        <v>0.59225783160012924</v>
      </c>
      <c r="F28" s="2">
        <v>0.67082776432829672</v>
      </c>
      <c r="G28" s="2">
        <v>0.67380095057543166</v>
      </c>
      <c r="H28" s="2">
        <v>0.74098930467665358</v>
      </c>
    </row>
    <row r="29" spans="1:8" x14ac:dyDescent="0.2">
      <c r="A29" s="16">
        <f>DATE(2016,9,27)</f>
        <v>42640</v>
      </c>
      <c r="B29" s="2">
        <v>2.3630149079538976</v>
      </c>
      <c r="C29" s="2">
        <v>-1.3250853530744733</v>
      </c>
      <c r="D29" s="2">
        <v>1.5343480942865639</v>
      </c>
      <c r="E29" s="2">
        <v>0.6117462258959705</v>
      </c>
      <c r="F29" s="2">
        <v>0.69335511192831767</v>
      </c>
      <c r="G29" s="2">
        <v>0.69644334415259745</v>
      </c>
      <c r="H29" s="2">
        <v>0.76623245364790815</v>
      </c>
    </row>
    <row r="30" spans="1:8" x14ac:dyDescent="0.2">
      <c r="A30" s="16">
        <f>DATE(2016,9,28)</f>
        <v>42641</v>
      </c>
      <c r="B30" s="2">
        <v>2.8882194064326461</v>
      </c>
      <c r="C30" s="2">
        <v>0.31944021904464215</v>
      </c>
      <c r="D30" s="2">
        <v>1.5916257057664751</v>
      </c>
      <c r="E30" s="2">
        <v>0.63123839580556673</v>
      </c>
      <c r="F30" s="2">
        <v>0.71588750052582473</v>
      </c>
      <c r="G30" s="2">
        <v>0.71909083019652265</v>
      </c>
      <c r="H30" s="2">
        <v>0.7914819279150942</v>
      </c>
    </row>
    <row r="31" spans="1:8" x14ac:dyDescent="0.2">
      <c r="A31" s="16">
        <f>DATE(2016,9,29)</f>
        <v>42642</v>
      </c>
      <c r="B31" s="2">
        <v>1.7035894973939758</v>
      </c>
      <c r="C31" s="2">
        <v>-1.3791704695265028</v>
      </c>
      <c r="D31" s="2">
        <v>1.6489356287236134</v>
      </c>
      <c r="E31" s="2">
        <v>0.65073434206039948</v>
      </c>
      <c r="F31" s="2">
        <v>0.73842493124884889</v>
      </c>
      <c r="G31" s="2">
        <v>0.74174340985257992</v>
      </c>
      <c r="H31" s="2">
        <v>0.81673772906316611</v>
      </c>
    </row>
    <row r="32" spans="1:8" x14ac:dyDescent="0.2">
      <c r="A32" s="16">
        <f>DATE(2016,9,30)</f>
        <v>42643</v>
      </c>
      <c r="B32" s="2">
        <v>1.5233046443032583</v>
      </c>
      <c r="C32" s="2">
        <v>-1.3504377514113597</v>
      </c>
      <c r="D32" s="2">
        <v>1.7062778813855539</v>
      </c>
      <c r="E32" s="2">
        <v>0.67023406539206132</v>
      </c>
      <c r="F32" s="2">
        <v>0.76096740522568762</v>
      </c>
      <c r="G32" s="2">
        <v>0.76440108426634179</v>
      </c>
      <c r="H32" s="2">
        <v>0.84199985867750016</v>
      </c>
    </row>
    <row r="33" spans="1:8" x14ac:dyDescent="0.2">
      <c r="A33" s="16">
        <f>DATE(2016,10,3)</f>
        <v>42646</v>
      </c>
      <c r="B33" s="2">
        <v>3.2647277171095719</v>
      </c>
      <c r="C33" s="2">
        <v>0.49859716729194758</v>
      </c>
      <c r="D33" s="2">
        <v>1.7636524819901522</v>
      </c>
      <c r="E33" s="2">
        <v>0.69445477209646445</v>
      </c>
      <c r="F33" s="2">
        <v>0.78823652251698295</v>
      </c>
      <c r="G33" s="2">
        <v>0.79178561977937267</v>
      </c>
      <c r="H33" s="2">
        <v>0.87199384103213695</v>
      </c>
    </row>
    <row r="34" spans="1:8" x14ac:dyDescent="0.2">
      <c r="A34" s="16">
        <f>DATE(2016,10,4)</f>
        <v>42647</v>
      </c>
      <c r="B34" s="2">
        <v>3.5651017109679994</v>
      </c>
      <c r="C34" s="2">
        <v>0.29239766081863294</v>
      </c>
      <c r="D34" s="2">
        <v>1.8210594487855447</v>
      </c>
      <c r="E34" s="2">
        <v>0.71868130617018799</v>
      </c>
      <c r="F34" s="2">
        <v>0.81551301969731149</v>
      </c>
      <c r="G34" s="2">
        <v>0.81917759753169495</v>
      </c>
      <c r="H34" s="2">
        <v>0.90199674465942803</v>
      </c>
    </row>
    <row r="35" spans="1:8" x14ac:dyDescent="0.2">
      <c r="A35" s="16">
        <f>DATE(2016,10,5)</f>
        <v>42648</v>
      </c>
      <c r="B35" s="2">
        <v>3.9309270345800669</v>
      </c>
      <c r="C35" s="2">
        <v>1.8388939593684706</v>
      </c>
      <c r="D35" s="2">
        <v>1.8784988000301484</v>
      </c>
      <c r="E35" s="2">
        <v>0.74291366901526601</v>
      </c>
      <c r="F35" s="2">
        <v>0.84279689876389785</v>
      </c>
      <c r="G35" s="2">
        <v>0.84657701954589104</v>
      </c>
      <c r="H35" s="2">
        <v>0.93200857221289457</v>
      </c>
    </row>
    <row r="36" spans="1:8" x14ac:dyDescent="0.2">
      <c r="A36" s="16">
        <f>DATE(2016,10,6)</f>
        <v>42649</v>
      </c>
      <c r="B36" s="2">
        <v>4.3838032450724373</v>
      </c>
      <c r="C36" s="2">
        <v>2.4980563161274283</v>
      </c>
      <c r="D36" s="2">
        <v>1.9359705539927274</v>
      </c>
      <c r="E36" s="2">
        <v>0.7671518620340656</v>
      </c>
      <c r="F36" s="2">
        <v>0.87008816171452175</v>
      </c>
      <c r="G36" s="2">
        <v>0.87398388784505343</v>
      </c>
      <c r="H36" s="2">
        <v>0.96202932634683602</v>
      </c>
    </row>
    <row r="37" spans="1:8" x14ac:dyDescent="0.2">
      <c r="A37" s="16">
        <f>DATE(2016,10,7)</f>
        <v>42650</v>
      </c>
      <c r="B37" s="2">
        <v>4.3461002013348571</v>
      </c>
      <c r="C37" s="2">
        <v>3.2822905046816508</v>
      </c>
      <c r="D37" s="2">
        <v>1.9934747289522825</v>
      </c>
      <c r="E37" s="2">
        <v>0.79139588662928695</v>
      </c>
      <c r="F37" s="2">
        <v>0.89738681054749581</v>
      </c>
      <c r="G37" s="2">
        <v>0.90139820445285235</v>
      </c>
      <c r="H37" s="2">
        <v>0.99205900971632843</v>
      </c>
    </row>
    <row r="38" spans="1:8" x14ac:dyDescent="0.2">
      <c r="A38" s="16">
        <f>DATE(2016,10,10)</f>
        <v>42653</v>
      </c>
      <c r="B38" s="2">
        <v>4.4019814983030869</v>
      </c>
      <c r="C38" s="2">
        <v>4.2287800425919286</v>
      </c>
      <c r="D38" s="2">
        <v>2.0510113431982058</v>
      </c>
      <c r="E38" s="2">
        <v>0.8156457442039855</v>
      </c>
      <c r="F38" s="2">
        <v>0.92469284726166556</v>
      </c>
      <c r="G38" s="2">
        <v>0.92881997139349082</v>
      </c>
      <c r="H38" s="2">
        <v>1.0220976249772251</v>
      </c>
    </row>
    <row r="39" spans="1:8" x14ac:dyDescent="0.2">
      <c r="A39" s="16">
        <f>DATE(2016,10,11)</f>
        <v>42654</v>
      </c>
      <c r="B39" s="2">
        <v>3.6634401526699056</v>
      </c>
      <c r="C39" s="2">
        <v>3.1352465943277119</v>
      </c>
      <c r="D39" s="2">
        <v>2.1085804150301257</v>
      </c>
      <c r="E39" s="2">
        <v>0.83990143616154977</v>
      </c>
      <c r="F39" s="2">
        <v>0.95200627385643166</v>
      </c>
      <c r="G39" s="2">
        <v>0.95624919069172698</v>
      </c>
      <c r="H39" s="2">
        <v>1.052145174786201</v>
      </c>
    </row>
    <row r="40" spans="1:8" x14ac:dyDescent="0.2">
      <c r="A40" s="16">
        <f>DATE(2016,10,13)</f>
        <v>42656</v>
      </c>
      <c r="B40" s="2">
        <v>4.2590836648952912</v>
      </c>
      <c r="C40" s="2">
        <v>3.299192103572901</v>
      </c>
      <c r="D40" s="2">
        <v>2.1661819627580625</v>
      </c>
      <c r="E40" s="2">
        <v>0.86416296390567915</v>
      </c>
      <c r="F40" s="2">
        <v>0.97932709233172766</v>
      </c>
      <c r="G40" s="2">
        <v>0.98368586437287397</v>
      </c>
      <c r="H40" s="2">
        <v>1.082201661800708</v>
      </c>
    </row>
    <row r="41" spans="1:8" x14ac:dyDescent="0.2">
      <c r="A41" s="16">
        <f>DATE(2016,10,14)</f>
        <v>42657</v>
      </c>
      <c r="B41" s="2">
        <v>3.9689048818434709</v>
      </c>
      <c r="C41" s="2">
        <v>4.3961058716153634</v>
      </c>
      <c r="D41" s="2">
        <v>2.223816004702317</v>
      </c>
      <c r="E41" s="2">
        <v>0.88843032884045048</v>
      </c>
      <c r="F41" s="2">
        <v>1.0066553046880422</v>
      </c>
      <c r="G41" s="2">
        <v>1.0111299944628005</v>
      </c>
      <c r="H41" s="2">
        <v>1.1122670886789976</v>
      </c>
    </row>
    <row r="42" spans="1:8" x14ac:dyDescent="0.2">
      <c r="A42" s="16">
        <f>DATE(2016,10,17)</f>
        <v>42660</v>
      </c>
      <c r="B42" s="2">
        <v>4.622751780829959</v>
      </c>
      <c r="C42" s="2">
        <v>5.9662644086129646</v>
      </c>
      <c r="D42" s="2">
        <v>2.2814825591935595</v>
      </c>
      <c r="E42" s="2">
        <v>0.91270353237025148</v>
      </c>
      <c r="F42" s="2">
        <v>1.0339909129263969</v>
      </c>
      <c r="G42" s="2">
        <v>1.0385815829879297</v>
      </c>
      <c r="H42" s="2">
        <v>1.1423414580800761</v>
      </c>
    </row>
    <row r="43" spans="1:8" x14ac:dyDescent="0.2">
      <c r="A43" s="16">
        <f>DATE(2016,10,18)</f>
        <v>42661</v>
      </c>
      <c r="B43" s="2">
        <v>5.4704863074334753</v>
      </c>
      <c r="C43" s="2">
        <v>7.8017780482032784</v>
      </c>
      <c r="D43" s="2">
        <v>2.3391816445727853</v>
      </c>
      <c r="E43" s="2">
        <v>0.93698257589982514</v>
      </c>
      <c r="F43" s="2">
        <v>1.061333919048324</v>
      </c>
      <c r="G43" s="2">
        <v>1.0660406319751958</v>
      </c>
      <c r="H43" s="2">
        <v>1.1724247726637937</v>
      </c>
    </row>
    <row r="44" spans="1:8" x14ac:dyDescent="0.2">
      <c r="A44" s="16">
        <f>DATE(2016,10,19)</f>
        <v>42662</v>
      </c>
      <c r="B44" s="2">
        <v>5.0868605854387239</v>
      </c>
      <c r="C44" s="2">
        <v>7.333603758915519</v>
      </c>
      <c r="D44" s="2">
        <v>2.3969132791912928</v>
      </c>
      <c r="E44" s="2">
        <v>0.96126746083422532</v>
      </c>
      <c r="F44" s="2">
        <v>1.0886843250559552</v>
      </c>
      <c r="G44" s="2">
        <v>1.0935071434521326</v>
      </c>
      <c r="H44" s="2">
        <v>1.2025170350907555</v>
      </c>
    </row>
    <row r="45" spans="1:8" x14ac:dyDescent="0.2">
      <c r="A45" s="16">
        <f>DATE(2016,10,20)</f>
        <v>42663</v>
      </c>
      <c r="B45" s="2">
        <v>4.9510389428198964</v>
      </c>
      <c r="C45" s="2">
        <v>7.8947368421051989</v>
      </c>
      <c r="D45" s="2">
        <v>2.4546774814108385</v>
      </c>
      <c r="E45" s="2">
        <v>0.98555818857888333</v>
      </c>
      <c r="F45" s="2">
        <v>1.116042132951911</v>
      </c>
      <c r="G45" s="2">
        <v>1.1209811194468067</v>
      </c>
      <c r="H45" s="2">
        <v>1.2326182480223657</v>
      </c>
    </row>
    <row r="46" spans="1:8" x14ac:dyDescent="0.2">
      <c r="A46" s="16">
        <f>DATE(2016,10,21)</f>
        <v>42664</v>
      </c>
      <c r="B46" s="2">
        <v>4.5134830288900085</v>
      </c>
      <c r="C46" s="2">
        <v>8.3527701720582215</v>
      </c>
      <c r="D46" s="2">
        <v>2.5115822167858681</v>
      </c>
      <c r="E46" s="2">
        <v>1.0098547605395414</v>
      </c>
      <c r="F46" s="2">
        <v>1.1434073447393889</v>
      </c>
      <c r="G46" s="2">
        <v>1.1484625619878397</v>
      </c>
      <c r="H46" s="2">
        <v>1.2627284141208062</v>
      </c>
    </row>
    <row r="47" spans="1:8" x14ac:dyDescent="0.2">
      <c r="A47" s="16">
        <f>DATE(2016,10,24)</f>
        <v>42667</v>
      </c>
      <c r="B47" s="2">
        <v>4.0304677417072776</v>
      </c>
      <c r="C47" s="2">
        <v>8.2699523374910822</v>
      </c>
      <c r="D47" s="2">
        <v>2.5685185578326886</v>
      </c>
      <c r="E47" s="2">
        <v>1.0341571781222747</v>
      </c>
      <c r="F47" s="2">
        <v>1.1707799624221193</v>
      </c>
      <c r="G47" s="2">
        <v>1.1759514731043863</v>
      </c>
      <c r="H47" s="2">
        <v>1.2928475360490799</v>
      </c>
    </row>
    <row r="48" spans="1:8" x14ac:dyDescent="0.2">
      <c r="A48" s="16">
        <f>DATE(2016,10,25)</f>
        <v>42668</v>
      </c>
      <c r="B48" s="2">
        <v>3.8015083141120121</v>
      </c>
      <c r="C48" s="2">
        <v>7.94375147888986</v>
      </c>
      <c r="D48" s="2">
        <v>2.6254865221054802</v>
      </c>
      <c r="E48" s="2">
        <v>1.0584654427335138</v>
      </c>
      <c r="F48" s="2">
        <v>1.1981599880043659</v>
      </c>
      <c r="G48" s="2">
        <v>1.2034478548261784</v>
      </c>
      <c r="H48" s="2">
        <v>1.3229756164709672</v>
      </c>
    </row>
    <row r="49" spans="1:8" x14ac:dyDescent="0.2">
      <c r="A49" s="16">
        <f>DATE(2016,10,26)</f>
        <v>42669</v>
      </c>
      <c r="B49" s="2">
        <v>2.9548180409064706</v>
      </c>
      <c r="C49" s="2">
        <v>7.8744549234357031</v>
      </c>
      <c r="D49" s="2">
        <v>2.6824861271682598</v>
      </c>
      <c r="E49" s="2">
        <v>1.0827795557800224</v>
      </c>
      <c r="F49" s="2">
        <v>1.2255474234909469</v>
      </c>
      <c r="G49" s="2">
        <v>1.230951709183481</v>
      </c>
      <c r="H49" s="2">
        <v>1.3531126580510477</v>
      </c>
    </row>
    <row r="50" spans="1:8" x14ac:dyDescent="0.2">
      <c r="A50" s="16">
        <f>DATE(2016,10,27)</f>
        <v>42670</v>
      </c>
      <c r="B50" s="2">
        <v>2.8635076993765329</v>
      </c>
      <c r="C50" s="2">
        <v>8.5910827164249035</v>
      </c>
      <c r="D50" s="2">
        <v>2.7395173905947257</v>
      </c>
      <c r="E50" s="2">
        <v>1.1070995186689192</v>
      </c>
      <c r="F50" s="2">
        <v>1.2529422708872362</v>
      </c>
      <c r="G50" s="2">
        <v>1.2584630382071138</v>
      </c>
      <c r="H50" s="2">
        <v>1.3832586634546784</v>
      </c>
    </row>
    <row r="51" spans="1:8" x14ac:dyDescent="0.2">
      <c r="A51" s="16">
        <f>DATE(2016,10,28)</f>
        <v>42671</v>
      </c>
      <c r="B51" s="2">
        <v>3.9940425343645725</v>
      </c>
      <c r="C51" s="2">
        <v>8.6891119899941796</v>
      </c>
      <c r="D51" s="2">
        <v>2.79658032996839</v>
      </c>
      <c r="E51" s="2">
        <v>1.1314253328076118</v>
      </c>
      <c r="F51" s="2">
        <v>1.2803445321990958</v>
      </c>
      <c r="G51" s="2">
        <v>1.2859818439284521</v>
      </c>
      <c r="H51" s="2">
        <v>1.4134136353480153</v>
      </c>
    </row>
    <row r="52" spans="1:8" x14ac:dyDescent="0.2">
      <c r="A52" s="16">
        <f>DATE(2016,10,31)</f>
        <v>42674</v>
      </c>
      <c r="B52" s="2">
        <v>5.0189291538648595</v>
      </c>
      <c r="C52" s="2">
        <v>9.7319406415846235</v>
      </c>
      <c r="D52" s="2">
        <v>2.8536749628825131</v>
      </c>
      <c r="E52" s="2">
        <v>1.1557569996039074</v>
      </c>
      <c r="F52" s="2">
        <v>1.3077542094329875</v>
      </c>
      <c r="G52" s="2">
        <v>1.3135081283794259</v>
      </c>
      <c r="H52" s="2">
        <v>1.4435775763980141</v>
      </c>
    </row>
    <row r="53" spans="1:8" x14ac:dyDescent="0.2">
      <c r="A53" s="16">
        <f>DATE(2016,11,1)</f>
        <v>42675</v>
      </c>
      <c r="B53" s="2">
        <v>2.5858393468360275</v>
      </c>
      <c r="C53" s="2">
        <v>7.0310651387620604</v>
      </c>
      <c r="D53" s="2">
        <v>2.9108013069401029</v>
      </c>
      <c r="E53" s="2">
        <v>1.1750417050192974</v>
      </c>
      <c r="F53" s="2">
        <v>1.3301107447962757</v>
      </c>
      <c r="G53" s="2">
        <v>1.3359810406225803</v>
      </c>
      <c r="H53" s="2">
        <v>1.4686830089905678</v>
      </c>
    </row>
    <row r="54" spans="1:8" x14ac:dyDescent="0.2">
      <c r="A54" s="16">
        <f>DATE(2016,11,3)</f>
        <v>42677</v>
      </c>
      <c r="B54" s="2">
        <v>1.1211777749351448</v>
      </c>
      <c r="C54" s="2">
        <v>4.3673731535002647</v>
      </c>
      <c r="D54" s="2">
        <v>2.9679593797539816</v>
      </c>
      <c r="E54" s="2">
        <v>1.1943300869418305</v>
      </c>
      <c r="F54" s="2">
        <v>1.3524722137865819</v>
      </c>
      <c r="G54" s="2">
        <v>1.3584589377072742</v>
      </c>
      <c r="H54" s="2">
        <v>1.4937946547191494</v>
      </c>
    </row>
    <row r="55" spans="1:8" x14ac:dyDescent="0.2">
      <c r="A55" s="16">
        <f>DATE(2016,11,4)</f>
        <v>42678</v>
      </c>
      <c r="B55" s="2">
        <v>-0.10494746649694076</v>
      </c>
      <c r="C55" s="2">
        <v>4.1104688503531772</v>
      </c>
      <c r="D55" s="2">
        <v>3.0251491989467194</v>
      </c>
      <c r="E55" s="2">
        <v>1.2136221460724128</v>
      </c>
      <c r="F55" s="2">
        <v>1.3748386174926575</v>
      </c>
      <c r="G55" s="2">
        <v>1.3809418207392232</v>
      </c>
      <c r="H55" s="2">
        <v>1.5189125151213956</v>
      </c>
    </row>
    <row r="56" spans="1:8" x14ac:dyDescent="0.2">
      <c r="A56" s="16">
        <f>DATE(2016,11,7)</f>
        <v>42681</v>
      </c>
      <c r="B56" s="2">
        <v>1.5334174140521295</v>
      </c>
      <c r="C56" s="2">
        <v>8.2564310583780554</v>
      </c>
      <c r="D56" s="2">
        <v>3.0823707821507007</v>
      </c>
      <c r="E56" s="2">
        <v>1.2329178831120613</v>
      </c>
      <c r="F56" s="2">
        <v>1.3972099570034979</v>
      </c>
      <c r="G56" s="2">
        <v>1.4034296908244093</v>
      </c>
      <c r="H56" s="2">
        <v>1.5440365917352983</v>
      </c>
    </row>
    <row r="57" spans="1:8" x14ac:dyDescent="0.2">
      <c r="A57" s="16">
        <f>DATE(2016,11,8)</f>
        <v>42682</v>
      </c>
      <c r="B57" s="2">
        <v>1.2820477589291945</v>
      </c>
      <c r="C57" s="2">
        <v>8.4355880066253608</v>
      </c>
      <c r="D57" s="2">
        <v>3.1396241470081021</v>
      </c>
      <c r="E57" s="2">
        <v>1.2522172987619706</v>
      </c>
      <c r="F57" s="2">
        <v>1.4195862334083209</v>
      </c>
      <c r="G57" s="2">
        <v>1.4259225490690142</v>
      </c>
      <c r="H57" s="2">
        <v>1.5691668860992714</v>
      </c>
    </row>
    <row r="58" spans="1:8" x14ac:dyDescent="0.2">
      <c r="A58" s="16">
        <f>DATE(2016,11,9)</f>
        <v>42683</v>
      </c>
      <c r="B58" s="2">
        <v>-0.38910805233409729</v>
      </c>
      <c r="C58" s="2">
        <v>6.9161342663015324</v>
      </c>
      <c r="D58" s="2">
        <v>3.196909311170848</v>
      </c>
      <c r="E58" s="2">
        <v>1.2715203937234243</v>
      </c>
      <c r="F58" s="2">
        <v>1.4419674477966105</v>
      </c>
      <c r="G58" s="2">
        <v>1.4484203965795084</v>
      </c>
      <c r="H58" s="2">
        <v>1.5943033997521061</v>
      </c>
    </row>
    <row r="59" spans="1:8" x14ac:dyDescent="0.2">
      <c r="A59" s="16">
        <f>DATE(2016,11,10)</f>
        <v>42684</v>
      </c>
      <c r="B59" s="2">
        <v>-3.4488048588560694</v>
      </c>
      <c r="C59" s="2">
        <v>3.4377852144812371</v>
      </c>
      <c r="D59" s="2">
        <v>3.2542262923007659</v>
      </c>
      <c r="E59" s="2">
        <v>1.2908271686978834</v>
      </c>
      <c r="F59" s="2">
        <v>1.4643536012580727</v>
      </c>
      <c r="G59" s="2">
        <v>1.4709232344625844</v>
      </c>
      <c r="H59" s="2">
        <v>1.6194461342329489</v>
      </c>
    </row>
    <row r="60" spans="1:8" x14ac:dyDescent="0.2">
      <c r="A60" s="16">
        <f>DATE(2016,11,11)</f>
        <v>42685</v>
      </c>
      <c r="B60" s="2">
        <v>-4.8180409064284113</v>
      </c>
      <c r="C60" s="2">
        <v>2.8732718115076494E-2</v>
      </c>
      <c r="D60" s="2">
        <v>3.3115751080694089</v>
      </c>
      <c r="E60" s="2">
        <v>1.3101376243868978</v>
      </c>
      <c r="F60" s="2">
        <v>1.4867446948826579</v>
      </c>
      <c r="G60" s="2">
        <v>1.4934310638251791</v>
      </c>
      <c r="H60" s="2">
        <v>1.6445950910813467</v>
      </c>
    </row>
    <row r="61" spans="1:8" x14ac:dyDescent="0.2">
      <c r="A61" s="16">
        <f>DATE(2016,11,14)</f>
        <v>42688</v>
      </c>
      <c r="B61" s="2">
        <v>-4.4551765908066638</v>
      </c>
      <c r="C61" s="2">
        <v>0.82986850556057146</v>
      </c>
      <c r="D61" s="2">
        <v>3.3689557761581672</v>
      </c>
      <c r="E61" s="2">
        <v>1.329451761492173</v>
      </c>
      <c r="F61" s="2">
        <v>1.5091407297605608</v>
      </c>
      <c r="G61" s="2">
        <v>1.5159438857744734</v>
      </c>
      <c r="H61" s="2">
        <v>1.6697502718372226</v>
      </c>
    </row>
    <row r="62" spans="1:8" x14ac:dyDescent="0.2">
      <c r="A62" s="16">
        <f>DATE(2016,11,16)</f>
        <v>42690</v>
      </c>
      <c r="B62" s="2">
        <v>-3.5851486281739064</v>
      </c>
      <c r="C62" s="2">
        <v>2.6924247033768944</v>
      </c>
      <c r="D62" s="2">
        <v>3.4263683142582662</v>
      </c>
      <c r="E62" s="2">
        <v>1.3487695807155697</v>
      </c>
      <c r="F62" s="2">
        <v>1.5315417069822201</v>
      </c>
      <c r="G62" s="2">
        <v>1.5384617014179147</v>
      </c>
      <c r="H62" s="2">
        <v>1.6949116780408779</v>
      </c>
    </row>
    <row r="63" spans="1:8" x14ac:dyDescent="0.2">
      <c r="A63" s="16">
        <f>DATE(2016,11,17)</f>
        <v>42691</v>
      </c>
      <c r="B63" s="2">
        <v>-3.9856129362110804</v>
      </c>
      <c r="C63" s="2">
        <v>1.0208565730317698</v>
      </c>
      <c r="D63" s="2">
        <v>3.4838127400707242</v>
      </c>
      <c r="E63" s="2">
        <v>1.3680910827590376</v>
      </c>
      <c r="F63" s="2">
        <v>1.5539476276382969</v>
      </c>
      <c r="G63" s="2">
        <v>1.5609845118631727</v>
      </c>
      <c r="H63" s="2">
        <v>1.7200793112329915</v>
      </c>
    </row>
    <row r="64" spans="1:8" x14ac:dyDescent="0.2">
      <c r="A64" s="16">
        <f>DATE(2016,11,18)</f>
        <v>42692</v>
      </c>
      <c r="B64" s="2">
        <v>-4.8806205393376096</v>
      </c>
      <c r="C64" s="2">
        <v>1.3436771118547464</v>
      </c>
      <c r="D64" s="2">
        <v>3.5412890713064642</v>
      </c>
      <c r="E64" s="2">
        <v>1.3874162683246816</v>
      </c>
      <c r="F64" s="2">
        <v>1.5763584928196961</v>
      </c>
      <c r="G64" s="2">
        <v>1.5835123182181829</v>
      </c>
      <c r="H64" s="2">
        <v>1.7452531729546417</v>
      </c>
    </row>
    <row r="65" spans="1:8" x14ac:dyDescent="0.2">
      <c r="A65" s="16">
        <f>DATE(2016,11,21)</f>
        <v>42695</v>
      </c>
      <c r="B65" s="2">
        <v>-3.5763823957013829</v>
      </c>
      <c r="C65" s="2">
        <v>3.21806442889494</v>
      </c>
      <c r="D65" s="2">
        <v>3.5987973256861761</v>
      </c>
      <c r="E65" s="2">
        <v>1.4067451381147622</v>
      </c>
      <c r="F65" s="2">
        <v>1.5987743036175894</v>
      </c>
      <c r="G65" s="2">
        <v>1.6060451215911042</v>
      </c>
      <c r="H65" s="2">
        <v>1.7704332647472842</v>
      </c>
    </row>
    <row r="66" spans="1:8" x14ac:dyDescent="0.2">
      <c r="A66" s="16">
        <f>DATE(2016,11,22)</f>
        <v>42696</v>
      </c>
      <c r="B66" s="2">
        <v>-2.7123451499307061</v>
      </c>
      <c r="C66" s="2">
        <v>4.7121657708818931</v>
      </c>
      <c r="D66" s="2">
        <v>3.6563375209404114</v>
      </c>
      <c r="E66" s="2">
        <v>1.4260776928316288</v>
      </c>
      <c r="F66" s="2">
        <v>1.6211950611233705</v>
      </c>
      <c r="G66" s="2">
        <v>1.6285829230903603</v>
      </c>
      <c r="H66" s="2">
        <v>1.7956195881527304</v>
      </c>
    </row>
    <row r="67" spans="1:8" x14ac:dyDescent="0.2">
      <c r="A67" s="16">
        <f>DATE(2016,11,23)</f>
        <v>42697</v>
      </c>
      <c r="B67" s="2">
        <v>-3.846528001723537</v>
      </c>
      <c r="C67" s="2">
        <v>4.7645607274447777</v>
      </c>
      <c r="D67" s="2">
        <v>3.7139096748095568</v>
      </c>
      <c r="E67" s="2">
        <v>1.4454139331778082</v>
      </c>
      <c r="F67" s="2">
        <v>1.6436207664286773</v>
      </c>
      <c r="G67" s="2">
        <v>1.6511257238246202</v>
      </c>
      <c r="H67" s="2">
        <v>1.8208121447131911</v>
      </c>
    </row>
    <row r="68" spans="1:8" x14ac:dyDescent="0.2">
      <c r="A68" s="16">
        <f>DATE(2016,11,24)</f>
        <v>42698</v>
      </c>
      <c r="B68" s="2">
        <v>-4.10385402326785</v>
      </c>
      <c r="C68" s="2">
        <v>3.7673663928607271</v>
      </c>
      <c r="D68" s="2">
        <v>3.7715138050438801</v>
      </c>
      <c r="E68" s="2">
        <v>1.4647538598559384</v>
      </c>
      <c r="F68" s="2">
        <v>1.6660514206253918</v>
      </c>
      <c r="G68" s="2">
        <v>1.6736735249027745</v>
      </c>
      <c r="H68" s="2">
        <v>1.846010935971254</v>
      </c>
    </row>
    <row r="69" spans="1:8" x14ac:dyDescent="0.2">
      <c r="A69" s="16">
        <f>DATE(2016,11,25)</f>
        <v>42699</v>
      </c>
      <c r="B69" s="2">
        <v>-4.2672521996991337</v>
      </c>
      <c r="C69" s="2">
        <v>4.0445526146773103</v>
      </c>
      <c r="D69" s="2">
        <v>3.8291499294035081</v>
      </c>
      <c r="E69" s="2">
        <v>1.4840974735687906</v>
      </c>
      <c r="F69" s="2">
        <v>1.6884870248056183</v>
      </c>
      <c r="G69" s="2">
        <v>1.6962263274339806</v>
      </c>
      <c r="H69" s="2">
        <v>1.8712159634699077</v>
      </c>
    </row>
    <row r="70" spans="1:8" x14ac:dyDescent="0.2">
      <c r="A70" s="16">
        <f>DATE(2016,11,28)</f>
        <v>42702</v>
      </c>
      <c r="B70" s="2">
        <v>-3.9853450027734105</v>
      </c>
      <c r="C70" s="2">
        <v>6.2349998309839894</v>
      </c>
      <c r="D70" s="2">
        <v>3.8868180656583822</v>
      </c>
      <c r="E70" s="2">
        <v>1.5034447750192914</v>
      </c>
      <c r="F70" s="2">
        <v>1.7109275800617274</v>
      </c>
      <c r="G70" s="2">
        <v>1.7187841325276401</v>
      </c>
      <c r="H70" s="2">
        <v>1.8964272287524953</v>
      </c>
    </row>
    <row r="71" spans="1:8" x14ac:dyDescent="0.2">
      <c r="A71" s="16">
        <f>DATE(2016,11,29)</f>
        <v>42703</v>
      </c>
      <c r="B71" s="2">
        <v>-6.0887461498308042</v>
      </c>
      <c r="C71" s="2">
        <v>3.0760909982084028</v>
      </c>
      <c r="D71" s="2">
        <v>3.9445182315883676</v>
      </c>
      <c r="E71" s="2">
        <v>1.5227957649104562</v>
      </c>
      <c r="F71" s="2">
        <v>1.7333730874863118</v>
      </c>
      <c r="G71" s="2">
        <v>1.741346941293398</v>
      </c>
      <c r="H71" s="2">
        <v>1.9216447333627595</v>
      </c>
    </row>
    <row r="72" spans="1:8" x14ac:dyDescent="0.2">
      <c r="A72" s="16">
        <f>DATE(2016,11,30)</f>
        <v>42704</v>
      </c>
      <c r="B72" s="2">
        <v>-4.883451015653173</v>
      </c>
      <c r="C72" s="2">
        <v>4.6310380962038655</v>
      </c>
      <c r="D72" s="2">
        <v>4.0022504449831908</v>
      </c>
      <c r="E72" s="2">
        <v>1.5421504439454781</v>
      </c>
      <c r="F72" s="2">
        <v>1.7558235481722306</v>
      </c>
      <c r="G72" s="2">
        <v>1.7639147548411671</v>
      </c>
      <c r="H72" s="2">
        <v>1.9468684788448209</v>
      </c>
    </row>
    <row r="73" spans="1:8" x14ac:dyDescent="0.2">
      <c r="A73" s="16">
        <f>DATE(2016,12,1)</f>
        <v>42705</v>
      </c>
      <c r="B73" s="2">
        <v>-8.0768328673810128</v>
      </c>
      <c r="C73" s="2">
        <v>0.57465436230264011</v>
      </c>
      <c r="D73" s="2">
        <v>4.0600147236424133</v>
      </c>
      <c r="E73" s="2">
        <v>1.5644139303371274</v>
      </c>
      <c r="F73" s="2">
        <v>1.7811902813265945</v>
      </c>
      <c r="G73" s="2">
        <v>1.7893991271984211</v>
      </c>
      <c r="H73" s="2">
        <v>1.9750153289697761</v>
      </c>
    </row>
    <row r="74" spans="1:8" x14ac:dyDescent="0.2">
      <c r="A74" s="16">
        <f>DATE(2016,12,2)</f>
        <v>42706</v>
      </c>
      <c r="B74" s="2">
        <v>-8.1837589192636493</v>
      </c>
      <c r="C74" s="2">
        <v>1.943683872494284</v>
      </c>
      <c r="D74" s="2">
        <v>4.1169030719219402</v>
      </c>
      <c r="E74" s="2">
        <v>1.5866822980792783</v>
      </c>
      <c r="F74" s="2">
        <v>1.8065633381598281</v>
      </c>
      <c r="G74" s="2">
        <v>1.8148898815157022</v>
      </c>
      <c r="H74" s="2">
        <v>2.003169950252226</v>
      </c>
    </row>
    <row r="75" spans="1:8" x14ac:dyDescent="0.2">
      <c r="A75" s="16">
        <f>DATE(2016,12,5)</f>
        <v>42709</v>
      </c>
      <c r="B75" s="2">
        <v>-8.9984758022441991</v>
      </c>
      <c r="C75" s="2">
        <v>1.1239563262684049</v>
      </c>
      <c r="D75" s="2">
        <v>4.1738225203716395</v>
      </c>
      <c r="E75" s="2">
        <v>1.6089555482421636</v>
      </c>
      <c r="F75" s="2">
        <v>1.8319427202483585</v>
      </c>
      <c r="G75" s="2">
        <v>1.8403870193911986</v>
      </c>
      <c r="H75" s="2">
        <v>2.0313323448377441</v>
      </c>
    </row>
    <row r="76" spans="1:8" x14ac:dyDescent="0.2">
      <c r="A76" s="16">
        <f>DATE(2016,12,6)</f>
        <v>42710</v>
      </c>
      <c r="B76" s="2">
        <v>-6.8923197498408033</v>
      </c>
      <c r="C76" s="2">
        <v>3.2484873068991504</v>
      </c>
      <c r="D76" s="2">
        <v>4.2307730859936443</v>
      </c>
      <c r="E76" s="2">
        <v>1.6312336818963047</v>
      </c>
      <c r="F76" s="2">
        <v>1.857328429169014</v>
      </c>
      <c r="G76" s="2">
        <v>1.8658905424235206</v>
      </c>
      <c r="H76" s="2">
        <v>2.0595025148724799</v>
      </c>
    </row>
    <row r="77" spans="1:8" x14ac:dyDescent="0.2">
      <c r="A77" s="16">
        <f>DATE(2016,12,7)</f>
        <v>42711</v>
      </c>
      <c r="B77" s="2">
        <v>-6.6205459329283682</v>
      </c>
      <c r="C77" s="2">
        <v>3.7994794307540714</v>
      </c>
      <c r="D77" s="2">
        <v>4.2877547857993248</v>
      </c>
      <c r="E77" s="2">
        <v>1.6535167001124007</v>
      </c>
      <c r="F77" s="2">
        <v>1.8827204664989994</v>
      </c>
      <c r="G77" s="2">
        <v>1.8914004522117001</v>
      </c>
      <c r="H77" s="2">
        <v>2.0876804625032053</v>
      </c>
    </row>
    <row r="78" spans="1:8" x14ac:dyDescent="0.2">
      <c r="A78" s="16">
        <f>DATE(2016,12,8)</f>
        <v>42712</v>
      </c>
      <c r="B78" s="2">
        <v>-6.538668222420962</v>
      </c>
      <c r="C78" s="2">
        <v>2.5521414325794467</v>
      </c>
      <c r="D78" s="2">
        <v>4.3447676368093546</v>
      </c>
      <c r="E78" s="2">
        <v>1.6758046039614169</v>
      </c>
      <c r="F78" s="2">
        <v>1.9081188338159416</v>
      </c>
      <c r="G78" s="2">
        <v>1.9169167503551243</v>
      </c>
      <c r="H78" s="2">
        <v>2.1158661898772468</v>
      </c>
    </row>
    <row r="79" spans="1:8" x14ac:dyDescent="0.2">
      <c r="A79" s="16">
        <f>DATE(2016,12,9)</f>
        <v>42713</v>
      </c>
      <c r="B79" s="2">
        <v>-6.6350212086490394</v>
      </c>
      <c r="C79" s="2">
        <v>2.2546732920933454</v>
      </c>
      <c r="D79" s="2">
        <v>4.4018116560537335</v>
      </c>
      <c r="E79" s="2">
        <v>1.6980973945145417</v>
      </c>
      <c r="F79" s="2">
        <v>1.933523532697845</v>
      </c>
      <c r="G79" s="2">
        <v>1.9424394384536248</v>
      </c>
      <c r="H79" s="2">
        <v>2.1440596991425309</v>
      </c>
    </row>
    <row r="80" spans="1:8" x14ac:dyDescent="0.2">
      <c r="A80" s="16">
        <f>DATE(2016,12,12)</f>
        <v>42716</v>
      </c>
      <c r="B80" s="2">
        <v>-8.2532636010225975</v>
      </c>
      <c r="C80" s="2">
        <v>2.0281918669429189E-2</v>
      </c>
      <c r="D80" s="2">
        <v>4.4588868605717646</v>
      </c>
      <c r="E80" s="2">
        <v>1.720395072843206</v>
      </c>
      <c r="F80" s="2">
        <v>1.9589345647230916</v>
      </c>
      <c r="G80" s="2">
        <v>1.9679685181074102</v>
      </c>
      <c r="H80" s="2">
        <v>2.1722609924476055</v>
      </c>
    </row>
    <row r="81" spans="1:8" x14ac:dyDescent="0.2">
      <c r="A81" s="16">
        <f>DATE(2016,12,13)</f>
        <v>42717</v>
      </c>
      <c r="B81" s="2">
        <v>-7.048786007334173</v>
      </c>
      <c r="C81" s="2">
        <v>0.19267822736022122</v>
      </c>
      <c r="D81" s="2">
        <v>4.5159932674120329</v>
      </c>
      <c r="E81" s="2">
        <v>1.7426976400190863</v>
      </c>
      <c r="F81" s="2">
        <v>1.9843519314705069</v>
      </c>
      <c r="G81" s="2">
        <v>1.9935039909171115</v>
      </c>
      <c r="H81" s="2">
        <v>2.2004700719415959</v>
      </c>
    </row>
    <row r="82" spans="1:8" x14ac:dyDescent="0.2">
      <c r="A82" s="16">
        <f>DATE(2016,12,14)</f>
        <v>42718</v>
      </c>
      <c r="B82" s="2">
        <v>-8.7157029742122365</v>
      </c>
      <c r="C82" s="2">
        <v>-1.6124125342258155</v>
      </c>
      <c r="D82" s="2">
        <v>4.5731308936325155</v>
      </c>
      <c r="E82" s="2">
        <v>1.7650050971140585</v>
      </c>
      <c r="F82" s="2">
        <v>2.0097756345192286</v>
      </c>
      <c r="G82" s="2">
        <v>2.0190458584837145</v>
      </c>
      <c r="H82" s="2">
        <v>2.2286869397741826</v>
      </c>
    </row>
    <row r="83" spans="1:8" x14ac:dyDescent="0.2">
      <c r="A83" s="16">
        <f>DATE(2016,12,15)</f>
        <v>42719</v>
      </c>
      <c r="B83" s="2">
        <v>-9.462955591612765</v>
      </c>
      <c r="C83" s="2">
        <v>-1.3014231146267208</v>
      </c>
      <c r="D83" s="2">
        <v>4.6302997563004045</v>
      </c>
      <c r="E83" s="2">
        <v>1.7873174452002427</v>
      </c>
      <c r="F83" s="2">
        <v>2.035205675448859</v>
      </c>
      <c r="G83" s="2">
        <v>2.0445941224086495</v>
      </c>
      <c r="H83" s="2">
        <v>2.25691159809569</v>
      </c>
    </row>
    <row r="84" spans="1:8" x14ac:dyDescent="0.2">
      <c r="A84" s="16">
        <f>DATE(2016,12,16)</f>
        <v>42720</v>
      </c>
      <c r="B84" s="2">
        <v>-9.2067287841715792</v>
      </c>
      <c r="C84" s="2">
        <v>-1.3132542338506026</v>
      </c>
      <c r="D84" s="2">
        <v>4.6874998724923289</v>
      </c>
      <c r="E84" s="2">
        <v>1.8096346853500256</v>
      </c>
      <c r="F84" s="2">
        <v>2.0606420558393568</v>
      </c>
      <c r="G84" s="2">
        <v>2.0701487842937238</v>
      </c>
      <c r="H84" s="2">
        <v>2.2851440490570418</v>
      </c>
    </row>
    <row r="85" spans="1:8" x14ac:dyDescent="0.2">
      <c r="A85" s="16">
        <f>DATE(2016,12,19)</f>
        <v>42723</v>
      </c>
      <c r="B85" s="2">
        <v>-10.072133177483023</v>
      </c>
      <c r="C85" s="2">
        <v>-3.4749687320421385</v>
      </c>
      <c r="D85" s="2">
        <v>4.7447312592941993</v>
      </c>
      <c r="E85" s="2">
        <v>1.8319568186360158</v>
      </c>
      <c r="F85" s="2">
        <v>2.0860847772711022</v>
      </c>
      <c r="G85" s="2">
        <v>2.0957098457411671</v>
      </c>
      <c r="H85" s="2">
        <v>2.3133842948097172</v>
      </c>
    </row>
    <row r="86" spans="1:8" x14ac:dyDescent="0.2">
      <c r="A86" s="16">
        <f>DATE(2016,12,20)</f>
        <v>42724</v>
      </c>
      <c r="B86" s="2">
        <v>-10.358169297383647</v>
      </c>
      <c r="C86" s="2">
        <v>-2.6772132643749003</v>
      </c>
      <c r="D86" s="2">
        <v>4.801993933801274</v>
      </c>
      <c r="E86" s="2">
        <v>1.854283846131044</v>
      </c>
      <c r="F86" s="2">
        <v>2.111533841324853</v>
      </c>
      <c r="G86" s="2">
        <v>2.1212773083535863</v>
      </c>
      <c r="H86" s="2">
        <v>2.3416323375057946</v>
      </c>
    </row>
    <row r="87" spans="1:8" x14ac:dyDescent="0.2">
      <c r="A87" s="16">
        <f>DATE(2016,12,21)</f>
        <v>42725</v>
      </c>
      <c r="B87" s="2">
        <v>-9.6430618224117257</v>
      </c>
      <c r="C87" s="2">
        <v>-2.5690430314708745</v>
      </c>
      <c r="D87" s="2">
        <v>4.8592879131181599</v>
      </c>
      <c r="E87" s="2">
        <v>1.8766157689081853</v>
      </c>
      <c r="F87" s="2">
        <v>2.1369892495817444</v>
      </c>
      <c r="G87" s="2">
        <v>2.1468511737340101</v>
      </c>
      <c r="H87" s="2">
        <v>2.3698881792979742</v>
      </c>
    </row>
    <row r="88" spans="1:8" x14ac:dyDescent="0.2">
      <c r="A88" s="16">
        <f>DATE(2016,12,22)</f>
        <v>42726</v>
      </c>
      <c r="B88" s="2">
        <v>-9.3529860906820588</v>
      </c>
      <c r="C88" s="2">
        <v>-3.229895548118944</v>
      </c>
      <c r="D88" s="2">
        <v>4.9166132143588337</v>
      </c>
      <c r="E88" s="2">
        <v>1.8989525880407587</v>
      </c>
      <c r="F88" s="2">
        <v>2.1624510036233557</v>
      </c>
      <c r="G88" s="2">
        <v>2.1724314434858671</v>
      </c>
      <c r="H88" s="2">
        <v>2.3981518223395337</v>
      </c>
    </row>
    <row r="89" spans="1:8" x14ac:dyDescent="0.2">
      <c r="A89" s="16">
        <f>DATE(2016,12,23)</f>
        <v>42727</v>
      </c>
      <c r="B89" s="2">
        <v>-9.0142563947123175</v>
      </c>
      <c r="C89" s="2">
        <v>-2.0772065037353515</v>
      </c>
      <c r="D89" s="2">
        <v>4.9739698546465982</v>
      </c>
      <c r="E89" s="2">
        <v>1.9212943046022835</v>
      </c>
      <c r="F89" s="2">
        <v>2.1879191050315994</v>
      </c>
      <c r="G89" s="2">
        <v>2.1980181192129633</v>
      </c>
      <c r="H89" s="2">
        <v>2.4264232687843279</v>
      </c>
    </row>
    <row r="90" spans="1:8" x14ac:dyDescent="0.2">
      <c r="A90" s="16">
        <f>DATE(2016,12,26)</f>
        <v>42730</v>
      </c>
      <c r="B90" s="2">
        <v>-8.6640399113647852</v>
      </c>
      <c r="C90" s="2">
        <v>-0.92282729946263631</v>
      </c>
      <c r="D90" s="2">
        <v>5.0313578511141488</v>
      </c>
      <c r="E90" s="2">
        <v>1.9436409196665669</v>
      </c>
      <c r="F90" s="2">
        <v>2.2133935553888318</v>
      </c>
      <c r="G90" s="2">
        <v>2.2236112025195487</v>
      </c>
      <c r="H90" s="2">
        <v>2.4547025207868556</v>
      </c>
    </row>
    <row r="91" spans="1:8" x14ac:dyDescent="0.2">
      <c r="A91" s="16">
        <f>DATE(2016,12,27)</f>
        <v>42731</v>
      </c>
      <c r="B91" s="2">
        <v>-8.4141541952810766</v>
      </c>
      <c r="C91" s="2">
        <v>-0.79437514788910368</v>
      </c>
      <c r="D91" s="2">
        <v>5.0887772209035065</v>
      </c>
      <c r="E91" s="2">
        <v>1.9659924343075952</v>
      </c>
      <c r="F91" s="2">
        <v>2.2388743562777869</v>
      </c>
      <c r="G91" s="2">
        <v>2.2492106950102286</v>
      </c>
      <c r="H91" s="2">
        <v>2.4829895805021485</v>
      </c>
    </row>
    <row r="92" spans="1:8" x14ac:dyDescent="0.2">
      <c r="A92" s="16">
        <f>DATE(2016,12,28)</f>
        <v>42732</v>
      </c>
      <c r="B92" s="2">
        <v>-7.7532379755937963</v>
      </c>
      <c r="C92" s="2">
        <v>1.0394483318120873</v>
      </c>
      <c r="D92" s="2">
        <v>5.1462279811661071</v>
      </c>
      <c r="E92" s="2">
        <v>1.9883488495996415</v>
      </c>
      <c r="F92" s="2">
        <v>2.2643615092815761</v>
      </c>
      <c r="G92" s="2">
        <v>2.2748165982900526</v>
      </c>
      <c r="H92" s="2">
        <v>2.5112844500858822</v>
      </c>
    </row>
    <row r="93" spans="1:8" x14ac:dyDescent="0.2">
      <c r="A93" s="16">
        <f>DATE(2016,12,29)</f>
        <v>42733</v>
      </c>
      <c r="B93" s="2">
        <v>-6.5715896848098856</v>
      </c>
      <c r="C93" s="2">
        <v>1.7932596423620772</v>
      </c>
      <c r="D93" s="2">
        <v>5.2037101490627125</v>
      </c>
      <c r="E93" s="2">
        <v>2.0107101666171801</v>
      </c>
      <c r="F93" s="2">
        <v>2.2898550159837106</v>
      </c>
      <c r="G93" s="2">
        <v>2.3004289139644252</v>
      </c>
      <c r="H93" s="2">
        <v>2.5395871316943097</v>
      </c>
    </row>
    <row r="94" spans="1:8" x14ac:dyDescent="0.2">
      <c r="A94" s="16">
        <f>DATE(2016,12,30)</f>
        <v>42734</v>
      </c>
      <c r="B94" s="2">
        <v>-6.5785903046292402</v>
      </c>
      <c r="C94" s="2">
        <v>1.7932596423620772</v>
      </c>
      <c r="D94" s="2">
        <v>5.261223741763521</v>
      </c>
      <c r="E94" s="2">
        <v>2.0330763864349288</v>
      </c>
      <c r="F94" s="2">
        <v>2.3153548779681232</v>
      </c>
      <c r="G94" s="2">
        <v>2.3260476436391953</v>
      </c>
      <c r="H94" s="2">
        <v>2.5678976274842613</v>
      </c>
    </row>
    <row r="95" spans="1:8" x14ac:dyDescent="0.2">
      <c r="A95" s="16">
        <f>DATE(2017,1,2)</f>
        <v>42737</v>
      </c>
      <c r="B95" s="2">
        <v>-7.5156428472007759</v>
      </c>
      <c r="C95" s="2">
        <v>0.71324747321086512</v>
      </c>
      <c r="D95" s="2">
        <v>5.3187687764480795</v>
      </c>
      <c r="E95" s="2">
        <v>2.0684009483699972</v>
      </c>
      <c r="F95" s="2">
        <v>2.3538507613221737</v>
      </c>
      <c r="G95" s="2">
        <v>2.3646638257030173</v>
      </c>
      <c r="H95" s="2">
        <v>2.6092380151561789</v>
      </c>
    </row>
    <row r="96" spans="1:8" x14ac:dyDescent="0.2">
      <c r="A96" s="16">
        <f>DATE(2017,1,3)</f>
        <v>42738</v>
      </c>
      <c r="B96" s="2">
        <v>-5.1909699011819406</v>
      </c>
      <c r="C96" s="2">
        <v>4.4738532265151232</v>
      </c>
      <c r="D96" s="2">
        <v>5.3763452703053494</v>
      </c>
      <c r="E96" s="2">
        <v>2.1037377399145241</v>
      </c>
      <c r="F96" s="2">
        <v>2.3923611286511548</v>
      </c>
      <c r="G96" s="2">
        <v>2.403294580884352</v>
      </c>
      <c r="H96" s="2">
        <v>2.6505950652311761</v>
      </c>
    </row>
    <row r="97" spans="1:8" x14ac:dyDescent="0.2">
      <c r="A97" s="16">
        <f>DATE(2017,1,4)</f>
        <v>42739</v>
      </c>
      <c r="B97" s="2">
        <v>-4.7481446296451457</v>
      </c>
      <c r="C97" s="2">
        <v>4.0952574113509943</v>
      </c>
      <c r="D97" s="2">
        <v>5.4339532405336621</v>
      </c>
      <c r="E97" s="2">
        <v>2.1390867653024781</v>
      </c>
      <c r="F97" s="2">
        <v>2.4308859854046183</v>
      </c>
      <c r="G97" s="2">
        <v>2.4419399146828669</v>
      </c>
      <c r="H97" s="2">
        <v>2.6919687844251028</v>
      </c>
    </row>
    <row r="98" spans="1:8" x14ac:dyDescent="0.2">
      <c r="A98" s="16">
        <f>DATE(2017,1,5)</f>
        <v>42740</v>
      </c>
      <c r="B98" s="2">
        <v>-4.5717757267968446</v>
      </c>
      <c r="C98" s="2">
        <v>4.9082243180203822</v>
      </c>
      <c r="D98" s="2">
        <v>5.4915927043407864</v>
      </c>
      <c r="E98" s="2">
        <v>2.1744480287693158</v>
      </c>
      <c r="F98" s="2">
        <v>2.4694253370341812</v>
      </c>
      <c r="G98" s="2">
        <v>2.4805998326002721</v>
      </c>
      <c r="H98" s="2">
        <v>2.733359179456496</v>
      </c>
    </row>
    <row r="99" spans="1:8" x14ac:dyDescent="0.2">
      <c r="A99" s="16">
        <f>DATE(2017,1,6)</f>
        <v>42741</v>
      </c>
      <c r="B99" s="2">
        <v>-5.0401852065841579</v>
      </c>
      <c r="C99" s="2">
        <v>4.2237095629245491</v>
      </c>
      <c r="D99" s="2">
        <v>5.549263678943861</v>
      </c>
      <c r="E99" s="2">
        <v>2.2098215345519368</v>
      </c>
      <c r="F99" s="2">
        <v>2.5079791889935033</v>
      </c>
      <c r="G99" s="2">
        <v>2.5192743401403872</v>
      </c>
      <c r="H99" s="2">
        <v>2.7747662570466236</v>
      </c>
    </row>
    <row r="100" spans="1:8" x14ac:dyDescent="0.2">
      <c r="A100" s="16">
        <f>DATE(2017,1,9)</f>
        <v>42744</v>
      </c>
      <c r="B100" s="2">
        <v>-4.9356499453758529</v>
      </c>
      <c r="C100" s="2">
        <v>4.282865159043947</v>
      </c>
      <c r="D100" s="2">
        <v>5.606966181569506</v>
      </c>
      <c r="E100" s="2">
        <v>2.2452072868887063</v>
      </c>
      <c r="F100" s="2">
        <v>2.546547546738287</v>
      </c>
      <c r="G100" s="2">
        <v>2.5579634428091191</v>
      </c>
      <c r="H100" s="2">
        <v>2.8161900239194626</v>
      </c>
    </row>
    <row r="101" spans="1:8" x14ac:dyDescent="0.2">
      <c r="A101" s="16">
        <f>DATE(2017,1,10)</f>
        <v>42745</v>
      </c>
      <c r="B101" s="2">
        <v>-5.3687128216591722</v>
      </c>
      <c r="C101" s="2">
        <v>5.0113240712570395</v>
      </c>
      <c r="D101" s="2">
        <v>5.6647002294536453</v>
      </c>
      <c r="E101" s="2">
        <v>2.2806052900194773</v>
      </c>
      <c r="F101" s="2">
        <v>2.5851304157263</v>
      </c>
      <c r="G101" s="2">
        <v>2.5966671461143953</v>
      </c>
      <c r="H101" s="2">
        <v>2.8576304868016766</v>
      </c>
    </row>
    <row r="102" spans="1:8" x14ac:dyDescent="0.2">
      <c r="A102" s="16">
        <f>DATE(2017,1,11)</f>
        <v>42746</v>
      </c>
      <c r="B102" s="2">
        <v>-5.3272106191776025</v>
      </c>
      <c r="C102" s="2">
        <v>5.5437244363315763</v>
      </c>
      <c r="D102" s="2">
        <v>5.7224658398417061</v>
      </c>
      <c r="E102" s="2">
        <v>2.3160155481855904</v>
      </c>
      <c r="F102" s="2">
        <v>2.623727801417397</v>
      </c>
      <c r="G102" s="2">
        <v>2.6353854555663192</v>
      </c>
      <c r="H102" s="2">
        <v>2.8990876524227049</v>
      </c>
    </row>
    <row r="103" spans="1:8" x14ac:dyDescent="0.2">
      <c r="A103" s="16">
        <f>DATE(2017,1,12)</f>
        <v>42747</v>
      </c>
      <c r="B103" s="2">
        <v>-3.6489373965965082</v>
      </c>
      <c r="C103" s="2">
        <v>8.0907953892437092</v>
      </c>
      <c r="D103" s="2">
        <v>5.7802630299885305</v>
      </c>
      <c r="E103" s="2">
        <v>2.3514380656297407</v>
      </c>
      <c r="F103" s="2">
        <v>2.6623397092733647</v>
      </c>
      <c r="G103" s="2">
        <v>2.6741183766769261</v>
      </c>
      <c r="H103" s="2">
        <v>2.9405615275145625</v>
      </c>
    </row>
    <row r="104" spans="1:8" x14ac:dyDescent="0.2">
      <c r="A104" s="16">
        <f>DATE(2017,1,13)</f>
        <v>42748</v>
      </c>
      <c r="B104" s="2">
        <v>-3.0225983305410153</v>
      </c>
      <c r="C104" s="2">
        <v>7.580367102727803</v>
      </c>
      <c r="D104" s="2">
        <v>5.8353105595253973</v>
      </c>
      <c r="E104" s="2">
        <v>2.3868728465962441</v>
      </c>
      <c r="F104" s="2">
        <v>2.7009661447581879</v>
      </c>
      <c r="G104" s="2">
        <v>2.7128659149604717</v>
      </c>
      <c r="H104" s="2">
        <v>2.9820521188121285</v>
      </c>
    </row>
    <row r="105" spans="1:8" x14ac:dyDescent="0.2">
      <c r="A105" s="16">
        <f>DATE(2017,1,16)</f>
        <v>42751</v>
      </c>
      <c r="B105" s="2">
        <v>-2.9676719758248815</v>
      </c>
      <c r="C105" s="2">
        <v>7.8845958827703946</v>
      </c>
      <c r="D105" s="2">
        <v>5.8903867355264206</v>
      </c>
      <c r="E105" s="2">
        <v>2.4223198953308156</v>
      </c>
      <c r="F105" s="2">
        <v>2.7396071133378497</v>
      </c>
      <c r="G105" s="2">
        <v>2.7516280759332323</v>
      </c>
      <c r="H105" s="2">
        <v>3.0235594330529247</v>
      </c>
    </row>
    <row r="106" spans="1:8" x14ac:dyDescent="0.2">
      <c r="A106" s="16">
        <f>DATE(2017,1,17)</f>
        <v>42752</v>
      </c>
      <c r="B106" s="2">
        <v>-2.0793764488156175</v>
      </c>
      <c r="C106" s="2">
        <v>8.7685495047830297</v>
      </c>
      <c r="D106" s="2">
        <v>5.9454915728990088</v>
      </c>
      <c r="E106" s="2">
        <v>2.4577792160806133</v>
      </c>
      <c r="F106" s="2">
        <v>2.7782626204803762</v>
      </c>
      <c r="G106" s="2">
        <v>2.7904048651135716</v>
      </c>
      <c r="H106" s="2">
        <v>3.065083476977204</v>
      </c>
    </row>
    <row r="107" spans="1:8" x14ac:dyDescent="0.2">
      <c r="A107" s="16">
        <f>DATE(2017,1,18)</f>
        <v>42753</v>
      </c>
      <c r="B107" s="2">
        <v>-2.8121812708480465</v>
      </c>
      <c r="C107" s="2">
        <v>8.4220667275122896</v>
      </c>
      <c r="D107" s="2">
        <v>6.0006250865584088</v>
      </c>
      <c r="E107" s="2">
        <v>2.4932508130943054</v>
      </c>
      <c r="F107" s="2">
        <v>2.8169326716558585</v>
      </c>
      <c r="G107" s="2">
        <v>2.8291962880219179</v>
      </c>
      <c r="H107" s="2">
        <v>3.1066242573279057</v>
      </c>
    </row>
    <row r="108" spans="1:8" x14ac:dyDescent="0.2">
      <c r="A108" s="16">
        <f>DATE(2017,1,19)</f>
        <v>42754</v>
      </c>
      <c r="B108" s="2">
        <v>-3.2344649788324848</v>
      </c>
      <c r="C108" s="2">
        <v>8.0857249095763084</v>
      </c>
      <c r="D108" s="2">
        <v>6.0557872914276389</v>
      </c>
      <c r="E108" s="2">
        <v>2.5287346906220254</v>
      </c>
      <c r="F108" s="2">
        <v>2.8556172723364526</v>
      </c>
      <c r="G108" s="2">
        <v>2.8680023501808316</v>
      </c>
      <c r="H108" s="2">
        <v>3.1481817808507451</v>
      </c>
    </row>
    <row r="109" spans="1:8" x14ac:dyDescent="0.2">
      <c r="A109" s="16">
        <f>DATE(2017,1,20)</f>
        <v>42755</v>
      </c>
      <c r="B109" s="2">
        <v>-2.614783028189116</v>
      </c>
      <c r="C109" s="2">
        <v>9.0508062062669694</v>
      </c>
      <c r="D109" s="2">
        <v>6.1109782024374448</v>
      </c>
      <c r="E109" s="2">
        <v>2.5642308529153723</v>
      </c>
      <c r="F109" s="2">
        <v>2.8943164279963796</v>
      </c>
      <c r="G109" s="2">
        <v>2.9068230571149156</v>
      </c>
      <c r="H109" s="2">
        <v>3.1897560542941021</v>
      </c>
    </row>
    <row r="110" spans="1:8" x14ac:dyDescent="0.2">
      <c r="A110" s="16">
        <f>DATE(2017,1,23)</f>
        <v>42758</v>
      </c>
      <c r="B110" s="2">
        <v>-3.1010135166235187</v>
      </c>
      <c r="C110" s="2">
        <v>11.124632390223965</v>
      </c>
      <c r="D110" s="2">
        <v>6.1661978345263879</v>
      </c>
      <c r="E110" s="2">
        <v>2.5997393042274108</v>
      </c>
      <c r="F110" s="2">
        <v>2.9330301441119255</v>
      </c>
      <c r="G110" s="2">
        <v>2.9456584143508602</v>
      </c>
      <c r="H110" s="2">
        <v>3.2313470844090864</v>
      </c>
    </row>
    <row r="111" spans="1:8" x14ac:dyDescent="0.2">
      <c r="A111" s="16">
        <f>DATE(2017,1,24)</f>
        <v>42759</v>
      </c>
      <c r="B111" s="2">
        <v>-1.1750598762531372</v>
      </c>
      <c r="C111" s="2">
        <v>11.280127100023506</v>
      </c>
      <c r="D111" s="2">
        <v>6.2214462026407569</v>
      </c>
      <c r="E111" s="2">
        <v>2.6352600488126932</v>
      </c>
      <c r="F111" s="2">
        <v>2.9717584261613972</v>
      </c>
      <c r="G111" s="2">
        <v>2.9845084274174649</v>
      </c>
      <c r="H111" s="2">
        <v>3.2729548779495632</v>
      </c>
    </row>
    <row r="112" spans="1:8" x14ac:dyDescent="0.2">
      <c r="A112" s="16">
        <f>DATE(2017,1,25)</f>
        <v>42760</v>
      </c>
      <c r="B112" s="2">
        <v>-1.1825345321544778</v>
      </c>
      <c r="C112" s="2">
        <v>11.280127100023506</v>
      </c>
      <c r="D112" s="2">
        <v>6.2767233217346119</v>
      </c>
      <c r="E112" s="2">
        <v>2.6707930909272148</v>
      </c>
      <c r="F112" s="2">
        <v>3.0105012796251884</v>
      </c>
      <c r="G112" s="2">
        <v>3.0233731018455501</v>
      </c>
      <c r="H112" s="2">
        <v>3.3145794416720609</v>
      </c>
    </row>
    <row r="113" spans="1:8" x14ac:dyDescent="0.2">
      <c r="A113" s="16">
        <f>DATE(2017,1,26)</f>
        <v>42761</v>
      </c>
      <c r="B113" s="2">
        <v>-0.44682366283688157</v>
      </c>
      <c r="C113" s="2">
        <v>11.87168306121742</v>
      </c>
      <c r="D113" s="2">
        <v>6.3320292067698958</v>
      </c>
      <c r="E113" s="2">
        <v>2.7063384348285258</v>
      </c>
      <c r="F113" s="2">
        <v>3.0492587099858026</v>
      </c>
      <c r="G113" s="2">
        <v>3.0622524431681786</v>
      </c>
      <c r="H113" s="2">
        <v>3.356220782335928</v>
      </c>
    </row>
    <row r="114" spans="1:8" x14ac:dyDescent="0.2">
      <c r="A114" s="16">
        <f>DATE(2017,1,27)</f>
        <v>42762</v>
      </c>
      <c r="B114" s="2">
        <v>-0.82499453484479179</v>
      </c>
      <c r="C114" s="2">
        <v>11.606327958624707</v>
      </c>
      <c r="D114" s="2">
        <v>6.3873638727161897</v>
      </c>
      <c r="E114" s="2">
        <v>2.7418960847755303</v>
      </c>
      <c r="F114" s="2">
        <v>3.0880307227276971</v>
      </c>
      <c r="G114" s="2">
        <v>3.1011464569203007</v>
      </c>
      <c r="H114" s="2">
        <v>3.3978789067031112</v>
      </c>
    </row>
    <row r="115" spans="1:8" x14ac:dyDescent="0.2">
      <c r="A115" s="16">
        <f>DATE(2017,1,30)</f>
        <v>42765</v>
      </c>
      <c r="B115" s="2">
        <v>-2.5429631267254282</v>
      </c>
      <c r="C115" s="2">
        <v>8.6789710306593104</v>
      </c>
      <c r="D115" s="2">
        <v>6.4427273345509803</v>
      </c>
      <c r="E115" s="2">
        <v>2.777466045028687</v>
      </c>
      <c r="F115" s="2">
        <v>3.126817323337483</v>
      </c>
      <c r="G115" s="2">
        <v>3.1400551486390871</v>
      </c>
      <c r="H115" s="2">
        <v>3.439553821538377</v>
      </c>
    </row>
    <row r="116" spans="1:8" x14ac:dyDescent="0.2">
      <c r="A116" s="16">
        <f>DATE(2017,1,31)</f>
        <v>42766</v>
      </c>
      <c r="B116" s="2">
        <v>-2.3096618034227911</v>
      </c>
      <c r="C116" s="2">
        <v>9.3026400297466338</v>
      </c>
      <c r="D116" s="2">
        <v>6.4981196072594782</v>
      </c>
      <c r="E116" s="2">
        <v>2.8130483198499201</v>
      </c>
      <c r="F116" s="2">
        <v>3.1656185173037921</v>
      </c>
      <c r="G116" s="2">
        <v>3.1789785238637736</v>
      </c>
      <c r="H116" s="2">
        <v>3.4812455336091785</v>
      </c>
    </row>
    <row r="117" spans="1:8" x14ac:dyDescent="0.2">
      <c r="A117" s="16">
        <f>DATE(2017,2,1)</f>
        <v>42767</v>
      </c>
      <c r="B117" s="2">
        <v>-3.1462049564387695</v>
      </c>
      <c r="C117" s="2">
        <v>9.5832065713414636</v>
      </c>
      <c r="D117" s="2">
        <v>6.5535407058347603</v>
      </c>
      <c r="E117" s="2">
        <v>2.84274618238467</v>
      </c>
      <c r="F117" s="2">
        <v>3.1985171800312129</v>
      </c>
      <c r="G117" s="2">
        <v>3.2119986850556614</v>
      </c>
      <c r="H117" s="2">
        <v>3.5170186575670614</v>
      </c>
    </row>
    <row r="118" spans="1:8" x14ac:dyDescent="0.2">
      <c r="A118" s="16">
        <f>DATE(2017,2,2)</f>
        <v>42768</v>
      </c>
      <c r="B118" s="2">
        <v>-2.5695709781094811</v>
      </c>
      <c r="C118" s="2">
        <v>9.1471453199470911</v>
      </c>
      <c r="D118" s="2">
        <v>6.6089906452776237</v>
      </c>
      <c r="E118" s="2">
        <v>2.8724526232375869</v>
      </c>
      <c r="F118" s="2">
        <v>3.2314263338701692</v>
      </c>
      <c r="G118" s="2">
        <v>3.2450294136233904</v>
      </c>
      <c r="H118" s="2">
        <v>3.552804148175448</v>
      </c>
    </row>
    <row r="119" spans="1:8" x14ac:dyDescent="0.2">
      <c r="A119" s="16">
        <f>DATE(2017,2,3)</f>
        <v>42769</v>
      </c>
      <c r="B119" s="2">
        <v>-2.4523810145388181</v>
      </c>
      <c r="C119" s="2">
        <v>9.7809552783691522</v>
      </c>
      <c r="D119" s="2">
        <v>6.6644694405967098</v>
      </c>
      <c r="E119" s="2">
        <v>2.902167644886533</v>
      </c>
      <c r="F119" s="2">
        <v>3.2643459821661609</v>
      </c>
      <c r="G119" s="2">
        <v>3.2780707129488329</v>
      </c>
      <c r="H119" s="2">
        <v>3.5886020097094522</v>
      </c>
    </row>
    <row r="120" spans="1:8" x14ac:dyDescent="0.2">
      <c r="A120" s="16">
        <f>DATE(2017,2,6)</f>
        <v>42772</v>
      </c>
      <c r="B120" s="2">
        <v>-3.4224649409096086</v>
      </c>
      <c r="C120" s="2">
        <v>8.1567116249195326</v>
      </c>
      <c r="D120" s="2">
        <v>6.719977106808539</v>
      </c>
      <c r="E120" s="2">
        <v>2.9318912498101035</v>
      </c>
      <c r="F120" s="2">
        <v>3.2972761282658025</v>
      </c>
      <c r="G120" s="2">
        <v>3.3111225864149052</v>
      </c>
      <c r="H120" s="2">
        <v>3.6244122464456741</v>
      </c>
    </row>
    <row r="121" spans="1:8" x14ac:dyDescent="0.2">
      <c r="A121" s="16">
        <f>DATE(2017,2,7)</f>
        <v>42773</v>
      </c>
      <c r="B121" s="2">
        <v>-2.9784030535067729</v>
      </c>
      <c r="C121" s="2">
        <v>8.5048845620793845</v>
      </c>
      <c r="D121" s="2">
        <v>6.7755136589373377</v>
      </c>
      <c r="E121" s="2">
        <v>2.9616234404875597</v>
      </c>
      <c r="F121" s="2">
        <v>3.3302167755167256</v>
      </c>
      <c r="G121" s="2">
        <v>3.3441850374056115</v>
      </c>
      <c r="H121" s="2">
        <v>3.6602348626621368</v>
      </c>
    </row>
    <row r="122" spans="1:8" x14ac:dyDescent="0.2">
      <c r="A122" s="16">
        <f>DATE(2017,2,8)</f>
        <v>42774</v>
      </c>
      <c r="B122" s="2">
        <v>-1.6400824025851635</v>
      </c>
      <c r="C122" s="2">
        <v>9.5815164114523288</v>
      </c>
      <c r="D122" s="2">
        <v>6.8310791120151926</v>
      </c>
      <c r="E122" s="2">
        <v>2.9913642193990064</v>
      </c>
      <c r="F122" s="2">
        <v>3.3631679272677406</v>
      </c>
      <c r="G122" s="2">
        <v>3.3772580693061331</v>
      </c>
      <c r="H122" s="2">
        <v>3.6960698626384625</v>
      </c>
    </row>
    <row r="123" spans="1:8" x14ac:dyDescent="0.2">
      <c r="A123" s="16">
        <f>DATE(2017,2,9)</f>
        <v>42775</v>
      </c>
      <c r="B123" s="2">
        <v>-1.3762229272153315</v>
      </c>
      <c r="C123" s="2">
        <v>9.7995470371495141</v>
      </c>
      <c r="D123" s="2">
        <v>6.8866734810820276</v>
      </c>
      <c r="E123" s="2">
        <v>3.0211135890251262</v>
      </c>
      <c r="F123" s="2">
        <v>3.3961295868685681</v>
      </c>
      <c r="G123" s="2">
        <v>3.4103416855025825</v>
      </c>
      <c r="H123" s="2">
        <v>3.7319172506556031</v>
      </c>
    </row>
    <row r="124" spans="1:8" x14ac:dyDescent="0.2">
      <c r="A124" s="16">
        <f>DATE(2017,2,10)</f>
        <v>42776</v>
      </c>
      <c r="B124" s="2">
        <v>-0.95596589523354603</v>
      </c>
      <c r="C124" s="2">
        <v>11.760132508535094</v>
      </c>
      <c r="D124" s="2">
        <v>6.9422967811855862</v>
      </c>
      <c r="E124" s="2">
        <v>3.0508715518473561</v>
      </c>
      <c r="F124" s="2">
        <v>3.4291017576700829</v>
      </c>
      <c r="G124" s="2">
        <v>3.4434358893822292</v>
      </c>
      <c r="H124" s="2">
        <v>3.767777030996089</v>
      </c>
    </row>
    <row r="125" spans="1:8" x14ac:dyDescent="0.2">
      <c r="A125" s="16">
        <f>DATE(2017,2,13)</f>
        <v>42779</v>
      </c>
      <c r="B125" s="2">
        <v>-0.23103419421482974</v>
      </c>
      <c r="C125" s="2">
        <v>13.18493729506789</v>
      </c>
      <c r="D125" s="2">
        <v>6.9979490273814449</v>
      </c>
      <c r="E125" s="2">
        <v>3.080638110347933</v>
      </c>
      <c r="F125" s="2">
        <v>3.4620844430242936</v>
      </c>
      <c r="G125" s="2">
        <v>3.4765406843334956</v>
      </c>
      <c r="H125" s="2">
        <v>3.8036492079439381</v>
      </c>
    </row>
    <row r="126" spans="1:8" x14ac:dyDescent="0.2">
      <c r="A126" s="16">
        <f>DATE(2017,2,14)</f>
        <v>42780</v>
      </c>
      <c r="B126" s="2">
        <v>0.16348748757724074</v>
      </c>
      <c r="C126" s="2">
        <v>12.753946523340876</v>
      </c>
      <c r="D126" s="2">
        <v>7.0536302347329549</v>
      </c>
      <c r="E126" s="2">
        <v>3.1104132670096929</v>
      </c>
      <c r="F126" s="2">
        <v>3.4950776462841171</v>
      </c>
      <c r="G126" s="2">
        <v>3.5096560737457594</v>
      </c>
      <c r="H126" s="2">
        <v>3.8395337857845662</v>
      </c>
    </row>
    <row r="127" spans="1:8" x14ac:dyDescent="0.2">
      <c r="A127" s="16">
        <f>DATE(2017,2,15)</f>
        <v>42781</v>
      </c>
      <c r="B127" s="2">
        <v>1.5966359651588435</v>
      </c>
      <c r="C127" s="2">
        <v>14.888618463306379</v>
      </c>
      <c r="D127" s="2">
        <v>7.109340418311394</v>
      </c>
      <c r="E127" s="2">
        <v>3.1401970243162491</v>
      </c>
      <c r="F127" s="2">
        <v>3.5280813708036711</v>
      </c>
      <c r="G127" s="2">
        <v>3.5427820610095528</v>
      </c>
      <c r="H127" s="2">
        <v>3.8754307688049439</v>
      </c>
    </row>
    <row r="128" spans="1:8" x14ac:dyDescent="0.2">
      <c r="A128" s="16">
        <f>DATE(2017,2,16)</f>
        <v>42782</v>
      </c>
      <c r="B128" s="2">
        <v>0.73461165521453431</v>
      </c>
      <c r="C128" s="2">
        <v>14.616502721157175</v>
      </c>
      <c r="D128" s="2">
        <v>7.1650795931958564</v>
      </c>
      <c r="E128" s="2">
        <v>3.1699893847519256</v>
      </c>
      <c r="F128" s="2">
        <v>3.5610956199380706</v>
      </c>
      <c r="G128" s="2">
        <v>3.5759186495164959</v>
      </c>
      <c r="H128" s="2">
        <v>3.9113401612935084</v>
      </c>
    </row>
    <row r="129" spans="1:8" x14ac:dyDescent="0.2">
      <c r="A129" s="16">
        <f>DATE(2017,2,17)</f>
        <v>42783</v>
      </c>
      <c r="B129" s="2">
        <v>-8.7937128242510099E-4</v>
      </c>
      <c r="C129" s="2">
        <v>14.504952168474894</v>
      </c>
      <c r="D129" s="2">
        <v>7.2208477744732944</v>
      </c>
      <c r="E129" s="2">
        <v>3.1997903508017345</v>
      </c>
      <c r="F129" s="2">
        <v>3.5941203970435209</v>
      </c>
      <c r="G129" s="2">
        <v>3.6090658426592541</v>
      </c>
      <c r="H129" s="2">
        <v>3.9472619675401388</v>
      </c>
    </row>
    <row r="130" spans="1:8" x14ac:dyDescent="0.2">
      <c r="A130" s="16">
        <f>DATE(2017,2,20)</f>
        <v>42786</v>
      </c>
      <c r="B130" s="2">
        <v>0.72855910755913467</v>
      </c>
      <c r="C130" s="2">
        <v>15.830037521549301</v>
      </c>
      <c r="D130" s="2">
        <v>7.2766449772384112</v>
      </c>
      <c r="E130" s="2">
        <v>3.2295999249515095</v>
      </c>
      <c r="F130" s="2">
        <v>3.6271557054773584</v>
      </c>
      <c r="G130" s="2">
        <v>3.6422236438316662</v>
      </c>
      <c r="H130" s="2">
        <v>3.9831961918362691</v>
      </c>
    </row>
    <row r="131" spans="1:8" x14ac:dyDescent="0.2">
      <c r="A131" s="16">
        <f>DATE(2017,2,21)</f>
        <v>42787</v>
      </c>
      <c r="B131" s="2">
        <v>1.2381822461259073</v>
      </c>
      <c r="C131" s="2">
        <v>16.708920663894556</v>
      </c>
      <c r="D131" s="2">
        <v>7.3324712165939276</v>
      </c>
      <c r="E131" s="2">
        <v>3.2594181096876622</v>
      </c>
      <c r="F131" s="2">
        <v>3.6602015485978971</v>
      </c>
      <c r="G131" s="2">
        <v>3.6753920564285725</v>
      </c>
      <c r="H131" s="2">
        <v>4.0191428384747541</v>
      </c>
    </row>
    <row r="132" spans="1:8" x14ac:dyDescent="0.2">
      <c r="A132" s="16">
        <f>DATE(2017,2,22)</f>
        <v>42788</v>
      </c>
      <c r="B132" s="2">
        <v>0.17119572647545933</v>
      </c>
      <c r="C132" s="2">
        <v>15.926376635229444</v>
      </c>
      <c r="D132" s="2">
        <v>7.3883265076503113</v>
      </c>
      <c r="E132" s="2">
        <v>3.2892449074974239</v>
      </c>
      <c r="F132" s="2">
        <v>3.6932579297645818</v>
      </c>
      <c r="G132" s="2">
        <v>3.7085710838459018</v>
      </c>
      <c r="H132" s="2">
        <v>4.0551019117499587</v>
      </c>
    </row>
    <row r="133" spans="1:8" x14ac:dyDescent="0.2">
      <c r="A133" s="16">
        <f>DATE(2017,2,23)</f>
        <v>42789</v>
      </c>
      <c r="B133" s="2">
        <v>0.82987229742759183</v>
      </c>
      <c r="C133" s="2">
        <v>14.019876280295884</v>
      </c>
      <c r="D133" s="2">
        <v>7.4442108655259798</v>
      </c>
      <c r="E133" s="2">
        <v>3.3190803208686726</v>
      </c>
      <c r="F133" s="2">
        <v>3.7263248523378811</v>
      </c>
      <c r="G133" s="2">
        <v>3.7417607294807138</v>
      </c>
      <c r="H133" s="2">
        <v>4.0910734159577355</v>
      </c>
    </row>
    <row r="134" spans="1:8" x14ac:dyDescent="0.2">
      <c r="A134" s="16">
        <f>DATE(2017,2,24)</f>
        <v>42790</v>
      </c>
      <c r="B134" s="2">
        <v>-0.34886994607113975</v>
      </c>
      <c r="C134" s="2">
        <v>12.669438528884601</v>
      </c>
      <c r="D134" s="2">
        <v>7.4972805401882781</v>
      </c>
      <c r="E134" s="2">
        <v>3.3489243522900614</v>
      </c>
      <c r="F134" s="2">
        <v>3.7594023196793946</v>
      </c>
      <c r="G134" s="2">
        <v>3.7749609967311359</v>
      </c>
      <c r="H134" s="2">
        <v>4.1270573553954248</v>
      </c>
    </row>
    <row r="135" spans="1:8" x14ac:dyDescent="0.2">
      <c r="A135" s="16">
        <f>DATE(2017,3,1)</f>
        <v>42795</v>
      </c>
      <c r="B135" s="2">
        <v>-1.0210256299629905</v>
      </c>
      <c r="C135" s="2">
        <v>13.2204306527395</v>
      </c>
      <c r="D135" s="2">
        <v>7.5503764274342577</v>
      </c>
      <c r="E135" s="2">
        <v>3.3793698533579164</v>
      </c>
      <c r="F135" s="2">
        <v>3.7930855567919202</v>
      </c>
      <c r="G135" s="2">
        <v>3.8087672005659989</v>
      </c>
      <c r="H135" s="2">
        <v>4.1636510810820981</v>
      </c>
    </row>
    <row r="136" spans="1:8" x14ac:dyDescent="0.2">
      <c r="A136" s="16">
        <f>DATE(2017,3,2)</f>
        <v>42796</v>
      </c>
      <c r="B136" s="2">
        <v>-0.67432663174551433</v>
      </c>
      <c r="C136" s="2">
        <v>11.303789338471182</v>
      </c>
      <c r="D136" s="2">
        <v>7.6034985402110511</v>
      </c>
      <c r="E136" s="2">
        <v>3.4098243233486869</v>
      </c>
      <c r="F136" s="2">
        <v>3.8267797284360361</v>
      </c>
      <c r="G136" s="2">
        <v>3.8425844172637724</v>
      </c>
      <c r="H136" s="2">
        <v>4.2002576670261638</v>
      </c>
    </row>
    <row r="137" spans="1:8" x14ac:dyDescent="0.2">
      <c r="A137" s="16">
        <f>DATE(2017,3,3)</f>
        <v>42797</v>
      </c>
      <c r="B137" s="2">
        <v>-0.49242730794081258</v>
      </c>
      <c r="C137" s="2">
        <v>12.87732819524703</v>
      </c>
      <c r="D137" s="2">
        <v>7.656646891472163</v>
      </c>
      <c r="E137" s="2">
        <v>3.440287764904526</v>
      </c>
      <c r="F137" s="2">
        <v>3.8604848381613932</v>
      </c>
      <c r="G137" s="2">
        <v>3.8764126504120311</v>
      </c>
      <c r="H137" s="2">
        <v>4.236877117747162</v>
      </c>
    </row>
    <row r="138" spans="1:8" x14ac:dyDescent="0.2">
      <c r="A138" s="16">
        <f>DATE(2017,3,6)</f>
        <v>42800</v>
      </c>
      <c r="B138" s="2">
        <v>-0.22946094402976899</v>
      </c>
      <c r="C138" s="2">
        <v>12.126897204475307</v>
      </c>
      <c r="D138" s="2">
        <v>7.7098214941775156</v>
      </c>
      <c r="E138" s="2">
        <v>3.4707601806683419</v>
      </c>
      <c r="F138" s="2">
        <v>3.8942008895188174</v>
      </c>
      <c r="G138" s="2">
        <v>3.9102519035995709</v>
      </c>
      <c r="H138" s="2">
        <v>4.2735094377661875</v>
      </c>
    </row>
    <row r="139" spans="1:8" x14ac:dyDescent="0.2">
      <c r="A139" s="16">
        <f>DATE(2017,3,7)</f>
        <v>42801</v>
      </c>
      <c r="B139" s="2">
        <v>0.1430352351707187</v>
      </c>
      <c r="C139" s="2">
        <v>11.11449143088914</v>
      </c>
      <c r="D139" s="2">
        <v>7.7630223612934257</v>
      </c>
      <c r="E139" s="2">
        <v>3.5012415732838864</v>
      </c>
      <c r="F139" s="2">
        <v>3.9279278860602895</v>
      </c>
      <c r="G139" s="2">
        <v>3.9441021804163419</v>
      </c>
      <c r="H139" s="2">
        <v>4.310154631605978</v>
      </c>
    </row>
    <row r="140" spans="1:8" x14ac:dyDescent="0.2">
      <c r="A140" s="16">
        <f>DATE(2017,3,8)</f>
        <v>42802</v>
      </c>
      <c r="B140" s="2">
        <v>-0.60089912965596293</v>
      </c>
      <c r="C140" s="2">
        <v>9.3837677044246171</v>
      </c>
      <c r="D140" s="2">
        <v>7.8162495057926051</v>
      </c>
      <c r="E140" s="2">
        <v>3.5317319453955776</v>
      </c>
      <c r="F140" s="2">
        <v>3.9616658313388564</v>
      </c>
      <c r="G140" s="2">
        <v>3.977963484453384</v>
      </c>
      <c r="H140" s="2">
        <v>4.3468127037907589</v>
      </c>
    </row>
    <row r="141" spans="1:8" x14ac:dyDescent="0.2">
      <c r="A141" s="16">
        <f>DATE(2017,3,9)</f>
        <v>42803</v>
      </c>
      <c r="B141" s="2">
        <v>-1.6169027251852874</v>
      </c>
      <c r="C141" s="2">
        <v>9.1589764391709174</v>
      </c>
      <c r="D141" s="2">
        <v>7.8695029406542272</v>
      </c>
      <c r="E141" s="2">
        <v>3.5622312996487215</v>
      </c>
      <c r="F141" s="2">
        <v>3.9954147289088304</v>
      </c>
      <c r="G141" s="2">
        <v>4.0118358193030224</v>
      </c>
      <c r="H141" s="2">
        <v>4.3834836588464432</v>
      </c>
    </row>
    <row r="142" spans="1:8" x14ac:dyDescent="0.2">
      <c r="A142" s="16">
        <f>DATE(2017,3,10)</f>
        <v>42804</v>
      </c>
      <c r="B142" s="2">
        <v>-0.39295530169505272</v>
      </c>
      <c r="C142" s="2">
        <v>9.3110908291922154</v>
      </c>
      <c r="D142" s="2">
        <v>7.9227826788637268</v>
      </c>
      <c r="E142" s="2">
        <v>3.5927396386893569</v>
      </c>
      <c r="F142" s="2">
        <v>4.0291745823256564</v>
      </c>
      <c r="G142" s="2">
        <v>4.0457191885586941</v>
      </c>
      <c r="H142" s="2">
        <v>4.4201675013004982</v>
      </c>
    </row>
    <row r="143" spans="1:8" x14ac:dyDescent="0.2">
      <c r="A143" s="16">
        <f>DATE(2017,3,13)</f>
        <v>42807</v>
      </c>
      <c r="B143" s="2">
        <v>0.65950098152953718</v>
      </c>
      <c r="C143" s="2">
        <v>10.762938173951042</v>
      </c>
      <c r="D143" s="2">
        <v>7.9760887334131558</v>
      </c>
      <c r="E143" s="2">
        <v>3.623256965164301</v>
      </c>
      <c r="F143" s="2">
        <v>4.0629453951458894</v>
      </c>
      <c r="G143" s="2">
        <v>4.0796135958150348</v>
      </c>
      <c r="H143" s="2">
        <v>4.4568642356820121</v>
      </c>
    </row>
    <row r="144" spans="1:8" x14ac:dyDescent="0.2">
      <c r="A144" s="16">
        <f>DATE(2017,3,14)</f>
        <v>42808</v>
      </c>
      <c r="B144" s="2">
        <v>8.892642094380232E-2</v>
      </c>
      <c r="C144" s="2">
        <v>9.3516546665312497</v>
      </c>
      <c r="D144" s="2">
        <v>8.0294211173008723</v>
      </c>
      <c r="E144" s="2">
        <v>3.6537832817211462</v>
      </c>
      <c r="F144" s="2">
        <v>4.0967271709272612</v>
      </c>
      <c r="G144" s="2">
        <v>4.1135190446678127</v>
      </c>
      <c r="H144" s="2">
        <v>4.4935738665216052</v>
      </c>
    </row>
    <row r="145" spans="1:8" x14ac:dyDescent="0.2">
      <c r="A145" s="16">
        <f>DATE(2017,3,15)</f>
        <v>42809</v>
      </c>
      <c r="B145" s="2">
        <v>1.9936652291236534</v>
      </c>
      <c r="C145" s="2">
        <v>11.94605009633889</v>
      </c>
      <c r="D145" s="2">
        <v>8.0827798435315845</v>
      </c>
      <c r="E145" s="2">
        <v>3.6843185910082838</v>
      </c>
      <c r="F145" s="2">
        <v>4.1305199132286363</v>
      </c>
      <c r="G145" s="2">
        <v>4.1474355387139727</v>
      </c>
      <c r="H145" s="2">
        <v>4.5302963983515188</v>
      </c>
    </row>
    <row r="146" spans="1:8" x14ac:dyDescent="0.2">
      <c r="A146" s="16">
        <f>DATE(2017,3,16)</f>
        <v>42810</v>
      </c>
      <c r="B146" s="2">
        <v>2.397722593260454</v>
      </c>
      <c r="C146" s="2">
        <v>11.182097826454163</v>
      </c>
      <c r="D146" s="2">
        <v>8.1361649251165957</v>
      </c>
      <c r="E146" s="2">
        <v>3.7148628956749312</v>
      </c>
      <c r="F146" s="2">
        <v>4.1643236256101224</v>
      </c>
      <c r="G146" s="2">
        <v>4.1813630815517255</v>
      </c>
      <c r="H146" s="2">
        <v>4.5670318357056594</v>
      </c>
    </row>
    <row r="147" spans="1:8" x14ac:dyDescent="0.2">
      <c r="A147" s="16">
        <f>DATE(2017,3,17)</f>
        <v>42811</v>
      </c>
      <c r="B147" s="2">
        <v>1.3861639447606766</v>
      </c>
      <c r="C147" s="2">
        <v>8.5234763208597464</v>
      </c>
      <c r="D147" s="2">
        <v>8.1895763750735142</v>
      </c>
      <c r="E147" s="2">
        <v>3.7454161983709211</v>
      </c>
      <c r="F147" s="2">
        <v>4.1981383116328264</v>
      </c>
      <c r="G147" s="2">
        <v>4.2153016767802809</v>
      </c>
      <c r="H147" s="2">
        <v>4.6037801831193548</v>
      </c>
    </row>
    <row r="148" spans="1:8" x14ac:dyDescent="0.2">
      <c r="A148" s="16">
        <f>DATE(2017,3,20)</f>
        <v>42814</v>
      </c>
      <c r="B148" s="2">
        <v>2.0067802273917135</v>
      </c>
      <c r="C148" s="2">
        <v>9.6643342460194468</v>
      </c>
      <c r="D148" s="2">
        <v>8.2430142064264125</v>
      </c>
      <c r="E148" s="2">
        <v>3.7759785017470682</v>
      </c>
      <c r="F148" s="2">
        <v>4.2319639748591875</v>
      </c>
      <c r="G148" s="2">
        <v>4.2492513280001809</v>
      </c>
      <c r="H148" s="2">
        <v>4.6405414451297089</v>
      </c>
    </row>
    <row r="149" spans="1:8" x14ac:dyDescent="0.2">
      <c r="A149" s="16">
        <f>DATE(2017,3,21)</f>
        <v>42815</v>
      </c>
      <c r="B149" s="2">
        <v>0.32760015317552238</v>
      </c>
      <c r="C149" s="2">
        <v>6.4462698171244837</v>
      </c>
      <c r="D149" s="2">
        <v>8.2964784322058236</v>
      </c>
      <c r="E149" s="2">
        <v>3.806549808454851</v>
      </c>
      <c r="F149" s="2">
        <v>4.2658006188526887</v>
      </c>
      <c r="G149" s="2">
        <v>4.2832120388130557</v>
      </c>
      <c r="H149" s="2">
        <v>4.6773156262753357</v>
      </c>
    </row>
    <row r="150" spans="1:8" x14ac:dyDescent="0.2">
      <c r="A150" s="16">
        <f>DATE(2017,3,22)</f>
        <v>42816</v>
      </c>
      <c r="B150" s="2">
        <v>0.23842640905853421</v>
      </c>
      <c r="C150" s="2">
        <v>7.3606463171413949</v>
      </c>
      <c r="D150" s="2">
        <v>8.3499690654486045</v>
      </c>
      <c r="E150" s="2">
        <v>3.8371301211465259</v>
      </c>
      <c r="F150" s="2">
        <v>4.2996482471779673</v>
      </c>
      <c r="G150" s="2">
        <v>4.3171838128216899</v>
      </c>
      <c r="H150" s="2">
        <v>4.7141027310964034</v>
      </c>
    </row>
    <row r="151" spans="1:8" x14ac:dyDescent="0.2">
      <c r="A151" s="16">
        <f>DATE(2017,3,23)</f>
        <v>42817</v>
      </c>
      <c r="B151" s="2">
        <v>1.1144382184652413</v>
      </c>
      <c r="C151" s="2">
        <v>7.3758577561435326</v>
      </c>
      <c r="D151" s="2">
        <v>8.4034861191982344</v>
      </c>
      <c r="E151" s="2">
        <v>3.867719442475237</v>
      </c>
      <c r="F151" s="2">
        <v>4.3335068634009266</v>
      </c>
      <c r="G151" s="2">
        <v>4.3511666536301785</v>
      </c>
      <c r="H151" s="2">
        <v>4.7509027641348123</v>
      </c>
    </row>
    <row r="152" spans="1:8" x14ac:dyDescent="0.2">
      <c r="A152" s="16">
        <f>DATE(2017,3,24)</f>
        <v>42818</v>
      </c>
      <c r="B152" s="2">
        <v>0.39513311963694792</v>
      </c>
      <c r="C152" s="2">
        <v>7.9217794003310527</v>
      </c>
      <c r="D152" s="2">
        <v>8.4570296065044506</v>
      </c>
      <c r="E152" s="2">
        <v>3.8983177750947728</v>
      </c>
      <c r="F152" s="2">
        <v>4.3673764710884688</v>
      </c>
      <c r="G152" s="2">
        <v>4.3851605648435932</v>
      </c>
      <c r="H152" s="2">
        <v>4.7877157299338835</v>
      </c>
    </row>
    <row r="153" spans="1:8" x14ac:dyDescent="0.2">
      <c r="A153" s="16">
        <f>DATE(2017,3,27)</f>
        <v>42821</v>
      </c>
      <c r="B153" s="2">
        <v>0.59098559246335558</v>
      </c>
      <c r="C153" s="2">
        <v>8.6908021498831598</v>
      </c>
      <c r="D153" s="2">
        <v>8.5105995404235681</v>
      </c>
      <c r="E153" s="2">
        <v>3.9289251216597876</v>
      </c>
      <c r="F153" s="2">
        <v>4.401257073808762</v>
      </c>
      <c r="G153" s="2">
        <v>4.4191655500683158</v>
      </c>
      <c r="H153" s="2">
        <v>4.8245416330386481</v>
      </c>
    </row>
    <row r="154" spans="1:8" x14ac:dyDescent="0.2">
      <c r="A154" s="16">
        <f>DATE(2017,3,28)</f>
        <v>42822</v>
      </c>
      <c r="B154" s="2">
        <v>1.3608751503003447</v>
      </c>
      <c r="C154" s="2">
        <v>9.2519352330728388</v>
      </c>
      <c r="D154" s="2">
        <v>8.5641959340183149</v>
      </c>
      <c r="E154" s="2">
        <v>3.9595414848256678</v>
      </c>
      <c r="F154" s="2">
        <v>4.4351486751311064</v>
      </c>
      <c r="G154" s="2">
        <v>4.4531816129118829</v>
      </c>
      <c r="H154" s="2">
        <v>4.8613804779957137</v>
      </c>
    </row>
    <row r="155" spans="1:8" x14ac:dyDescent="0.2">
      <c r="A155" s="16">
        <f>DATE(2017,3,29)</f>
        <v>42823</v>
      </c>
      <c r="B155" s="2">
        <v>1.9431975616133634</v>
      </c>
      <c r="C155" s="2">
        <v>10.752797214616304</v>
      </c>
      <c r="D155" s="2">
        <v>8.6178188003577905</v>
      </c>
      <c r="E155" s="2">
        <v>3.9901668672486235</v>
      </c>
      <c r="F155" s="2">
        <v>4.4690512786259573</v>
      </c>
      <c r="G155" s="2">
        <v>4.4872087569829633</v>
      </c>
      <c r="H155" s="2">
        <v>4.8982322693532643</v>
      </c>
    </row>
    <row r="156" spans="1:8" x14ac:dyDescent="0.2">
      <c r="A156" s="16">
        <f>DATE(2017,3,30)</f>
        <v>42824</v>
      </c>
      <c r="B156" s="2">
        <v>1.7922892054289763</v>
      </c>
      <c r="C156" s="2">
        <v>10.308285163776286</v>
      </c>
      <c r="D156" s="2">
        <v>8.6714681525176474</v>
      </c>
      <c r="E156" s="2">
        <v>4.0208012715856389</v>
      </c>
      <c r="F156" s="2">
        <v>4.5029648878649242</v>
      </c>
      <c r="G156" s="2">
        <v>4.5212469858914472</v>
      </c>
      <c r="H156" s="2">
        <v>4.9350970116611048</v>
      </c>
    </row>
    <row r="157" spans="1:8" x14ac:dyDescent="0.2">
      <c r="A157" s="16">
        <f>DATE(2017,3,31)</f>
        <v>42825</v>
      </c>
      <c r="B157" s="2">
        <v>1.6297016993987556</v>
      </c>
      <c r="C157" s="2">
        <v>9.8333502349320145</v>
      </c>
      <c r="D157" s="2">
        <v>8.7251440035799774</v>
      </c>
      <c r="E157" s="2">
        <v>4.0514447004944776</v>
      </c>
      <c r="F157" s="2">
        <v>4.5368895064207937</v>
      </c>
      <c r="G157" s="2">
        <v>4.5552963032483573</v>
      </c>
      <c r="H157" s="2">
        <v>4.971974709470639</v>
      </c>
    </row>
    <row r="158" spans="1:8" x14ac:dyDescent="0.2">
      <c r="A158" s="16">
        <f>DATE(2017,4,3)</f>
        <v>42828</v>
      </c>
      <c r="B158" s="2">
        <v>1.6617025699763091</v>
      </c>
      <c r="C158" s="2">
        <v>10.217016529763502</v>
      </c>
      <c r="D158" s="2">
        <v>8.7788463666333527</v>
      </c>
      <c r="E158" s="2">
        <v>4.0722637756397617</v>
      </c>
      <c r="F158" s="2">
        <v>4.5609455832416934</v>
      </c>
      <c r="G158" s="2">
        <v>4.5794754072295607</v>
      </c>
      <c r="H158" s="2">
        <v>4.9989444279120221</v>
      </c>
    </row>
    <row r="159" spans="1:8" x14ac:dyDescent="0.2">
      <c r="A159" s="16">
        <f>DATE(2017,4,4)</f>
        <v>42829</v>
      </c>
      <c r="B159" s="2">
        <v>2.0918250485337353</v>
      </c>
      <c r="C159" s="2">
        <v>11.158435588006421</v>
      </c>
      <c r="D159" s="2">
        <v>8.832575254772701</v>
      </c>
      <c r="E159" s="2">
        <v>4.0930870163580657</v>
      </c>
      <c r="F159" s="2">
        <v>4.585007195857993</v>
      </c>
      <c r="G159" s="2">
        <v>4.6036601027885204</v>
      </c>
      <c r="H159" s="2">
        <v>5.0259210754953543</v>
      </c>
    </row>
    <row r="160" spans="1:8" x14ac:dyDescent="0.2">
      <c r="A160" s="16">
        <f>DATE(2017,4,5)</f>
        <v>42830</v>
      </c>
      <c r="B160" s="2">
        <v>2.7942503407907271</v>
      </c>
      <c r="C160" s="2">
        <v>9.4784166582156715</v>
      </c>
      <c r="D160" s="2">
        <v>8.8863306810996079</v>
      </c>
      <c r="E160" s="2">
        <v>4.1139144234828562</v>
      </c>
      <c r="F160" s="2">
        <v>4.6090743455435845</v>
      </c>
      <c r="G160" s="2">
        <v>4.6278503912183355</v>
      </c>
      <c r="H160" s="2">
        <v>5.0529046540008782</v>
      </c>
    </row>
    <row r="161" spans="1:8" x14ac:dyDescent="0.2">
      <c r="A161" s="16">
        <f>DATE(2017,4,6)</f>
        <v>42831</v>
      </c>
      <c r="B161" s="2">
        <v>2.6737352545580739</v>
      </c>
      <c r="C161" s="2">
        <v>8.5454483994183974</v>
      </c>
      <c r="D161" s="2">
        <v>8.9401126587219437</v>
      </c>
      <c r="E161" s="2">
        <v>4.1347459978477552</v>
      </c>
      <c r="F161" s="2">
        <v>4.633147033572671</v>
      </c>
      <c r="G161" s="2">
        <v>4.6520462738123936</v>
      </c>
      <c r="H161" s="2">
        <v>5.0798951652093249</v>
      </c>
    </row>
    <row r="162" spans="1:8" x14ac:dyDescent="0.2">
      <c r="A162" s="16">
        <f>DATE(2017,4,7)</f>
        <v>42832</v>
      </c>
      <c r="B162" s="2">
        <v>3.5066510010336671</v>
      </c>
      <c r="C162" s="2">
        <v>9.1724977182839673</v>
      </c>
      <c r="D162" s="2">
        <v>8.9939212007541283</v>
      </c>
      <c r="E162" s="2">
        <v>4.1555817402865625</v>
      </c>
      <c r="F162" s="2">
        <v>4.657225261219744</v>
      </c>
      <c r="G162" s="2">
        <v>4.6762477518643708</v>
      </c>
      <c r="H162" s="2">
        <v>5.1068926109018475</v>
      </c>
    </row>
    <row r="163" spans="1:8" x14ac:dyDescent="0.2">
      <c r="A163" s="16">
        <f>DATE(2017,4,10)</f>
        <v>42835</v>
      </c>
      <c r="B163" s="2">
        <v>3.25470425850658</v>
      </c>
      <c r="C163" s="2">
        <v>9.2671466720750004</v>
      </c>
      <c r="D163" s="2">
        <v>9.0477563203170916</v>
      </c>
      <c r="E163" s="2">
        <v>4.1764216516332553</v>
      </c>
      <c r="F163" s="2">
        <v>4.6813090297595616</v>
      </c>
      <c r="G163" s="2">
        <v>4.7004548266682544</v>
      </c>
      <c r="H163" s="2">
        <v>5.1338969928600875</v>
      </c>
    </row>
    <row r="164" spans="1:8" x14ac:dyDescent="0.2">
      <c r="A164" s="16">
        <f>DATE(2017,4,11)</f>
        <v>42836</v>
      </c>
      <c r="B164" s="2">
        <v>3.1845263081094366</v>
      </c>
      <c r="C164" s="2">
        <v>8.7770003042286096</v>
      </c>
      <c r="D164" s="2">
        <v>9.1016180305381944</v>
      </c>
      <c r="E164" s="2">
        <v>4.1972657327219443</v>
      </c>
      <c r="F164" s="2">
        <v>4.7053983404672151</v>
      </c>
      <c r="G164" s="2">
        <v>4.7246674995183424</v>
      </c>
      <c r="H164" s="2">
        <v>5.1609083128661304</v>
      </c>
    </row>
    <row r="165" spans="1:8" x14ac:dyDescent="0.2">
      <c r="A165" s="16">
        <f>DATE(2017,4,12)</f>
        <v>42837</v>
      </c>
      <c r="B165" s="2">
        <v>3.3135122130244055</v>
      </c>
      <c r="C165" s="2">
        <v>7.9860054761178736</v>
      </c>
      <c r="D165" s="2">
        <v>9.1555063445512896</v>
      </c>
      <c r="E165" s="2">
        <v>4.2181139843869619</v>
      </c>
      <c r="F165" s="2">
        <v>4.7294931946180618</v>
      </c>
      <c r="G165" s="2">
        <v>4.7488857717091992</v>
      </c>
      <c r="H165" s="2">
        <v>5.1879265727025059</v>
      </c>
    </row>
    <row r="166" spans="1:8" x14ac:dyDescent="0.2">
      <c r="A166" s="16">
        <f>DATE(2017,4,13)</f>
        <v>42838</v>
      </c>
      <c r="B166" s="2">
        <v>3.1011509183865194</v>
      </c>
      <c r="C166" s="2">
        <v>6.185985194199195</v>
      </c>
      <c r="D166" s="2">
        <v>9.2094212754967533</v>
      </c>
      <c r="E166" s="2">
        <v>4.238966407462752</v>
      </c>
      <c r="F166" s="2">
        <v>4.7535935934877704</v>
      </c>
      <c r="G166" s="2">
        <v>4.7731096445357224</v>
      </c>
      <c r="H166" s="2">
        <v>5.2149517741522322</v>
      </c>
    </row>
    <row r="167" spans="1:8" x14ac:dyDescent="0.2">
      <c r="A167" s="16">
        <f>DATE(2017,4,17)</f>
        <v>42842</v>
      </c>
      <c r="B167" s="2">
        <v>5.5984485692148311</v>
      </c>
      <c r="C167" s="2">
        <v>8.7347463070004405</v>
      </c>
      <c r="D167" s="2">
        <v>9.2594787554845848</v>
      </c>
      <c r="E167" s="2">
        <v>4.2598230027839579</v>
      </c>
      <c r="F167" s="2">
        <v>4.7776995383522758</v>
      </c>
      <c r="G167" s="2">
        <v>4.7973391192930981</v>
      </c>
      <c r="H167" s="2">
        <v>5.2419839189987716</v>
      </c>
    </row>
    <row r="168" spans="1:8" x14ac:dyDescent="0.2">
      <c r="A168" s="16">
        <f>DATE(2017,4,18)</f>
        <v>42843</v>
      </c>
      <c r="B168" s="2">
        <v>5.6295838086861671</v>
      </c>
      <c r="C168" s="2">
        <v>8.4372781665143606</v>
      </c>
      <c r="D168" s="2">
        <v>9.309559179933391</v>
      </c>
      <c r="E168" s="2">
        <v>4.2806837711853785</v>
      </c>
      <c r="F168" s="2">
        <v>4.8018110304878459</v>
      </c>
      <c r="G168" s="2">
        <v>4.8215741972768011</v>
      </c>
      <c r="H168" s="2">
        <v>5.2690230090260304</v>
      </c>
    </row>
    <row r="169" spans="1:8" x14ac:dyDescent="0.2">
      <c r="A169" s="16">
        <f>DATE(2017,4,19)</f>
        <v>42844</v>
      </c>
      <c r="B169" s="2">
        <v>4.9638585272976599</v>
      </c>
      <c r="C169" s="2">
        <v>7.1662779298919732</v>
      </c>
      <c r="D169" s="2">
        <v>9.3596625593600269</v>
      </c>
      <c r="E169" s="2">
        <v>4.3015487135019903</v>
      </c>
      <c r="F169" s="2">
        <v>4.8259280711710151</v>
      </c>
      <c r="G169" s="2">
        <v>4.8458148797826395</v>
      </c>
      <c r="H169" s="2">
        <v>5.2960690460183812</v>
      </c>
    </row>
    <row r="170" spans="1:8" x14ac:dyDescent="0.2">
      <c r="A170" s="16">
        <f>DATE(2017,4,20)</f>
        <v>42845</v>
      </c>
      <c r="B170" s="2">
        <v>5.0797569142971621</v>
      </c>
      <c r="C170" s="2">
        <v>7.7645945306423991</v>
      </c>
      <c r="D170" s="2">
        <v>9.4097889042861862</v>
      </c>
      <c r="E170" s="2">
        <v>4.3224178305689032</v>
      </c>
      <c r="F170" s="2">
        <v>4.8500506616786065</v>
      </c>
      <c r="G170" s="2">
        <v>4.8700611681066652</v>
      </c>
      <c r="H170" s="2">
        <v>5.3231220317606853</v>
      </c>
    </row>
    <row r="171" spans="1:8" x14ac:dyDescent="0.2">
      <c r="A171" s="16">
        <f>DATE(2017,4,24)</f>
        <v>42849</v>
      </c>
      <c r="B171" s="2">
        <v>5.7075936595681886</v>
      </c>
      <c r="C171" s="2">
        <v>8.8277051009023388</v>
      </c>
      <c r="D171" s="2">
        <v>9.4599382252383624</v>
      </c>
      <c r="E171" s="2">
        <v>4.3432911232214488</v>
      </c>
      <c r="F171" s="2">
        <v>4.8741788032877764</v>
      </c>
      <c r="G171" s="2">
        <v>4.8943130635452858</v>
      </c>
      <c r="H171" s="2">
        <v>5.3501819680382035</v>
      </c>
    </row>
    <row r="172" spans="1:8" x14ac:dyDescent="0.2">
      <c r="A172" s="16">
        <f>DATE(2017,4,25)</f>
        <v>42850</v>
      </c>
      <c r="B172" s="2">
        <v>7.0351969729842034</v>
      </c>
      <c r="C172" s="2">
        <v>10.110536456748598</v>
      </c>
      <c r="D172" s="2">
        <v>9.5101105327479942</v>
      </c>
      <c r="E172" s="2">
        <v>4.3641685922950924</v>
      </c>
      <c r="F172" s="2">
        <v>4.8983124972759251</v>
      </c>
      <c r="G172" s="2">
        <v>4.918570567395153</v>
      </c>
      <c r="H172" s="2">
        <v>5.3772488566367072</v>
      </c>
    </row>
    <row r="173" spans="1:8" x14ac:dyDescent="0.2">
      <c r="A173" s="16">
        <f>DATE(2017,4,26)</f>
        <v>42851</v>
      </c>
      <c r="B173" s="2">
        <v>6.9392218416040929</v>
      </c>
      <c r="C173" s="2">
        <v>9.6254605685695882</v>
      </c>
      <c r="D173" s="2">
        <v>9.5603058373511676</v>
      </c>
      <c r="E173" s="2">
        <v>4.3850502386254542</v>
      </c>
      <c r="F173" s="2">
        <v>4.9224517449207639</v>
      </c>
      <c r="G173" s="2">
        <v>4.9428336809532736</v>
      </c>
      <c r="H173" s="2">
        <v>5.4043226993424121</v>
      </c>
    </row>
    <row r="174" spans="1:8" x14ac:dyDescent="0.2">
      <c r="A174" s="16">
        <f>DATE(2017,4,27)</f>
        <v>42852</v>
      </c>
      <c r="B174" s="2">
        <v>7.6008388102821289</v>
      </c>
      <c r="C174" s="2">
        <v>9.3127809890813698</v>
      </c>
      <c r="D174" s="2">
        <v>9.6105241495888727</v>
      </c>
      <c r="E174" s="2">
        <v>4.4059360630483546</v>
      </c>
      <c r="F174" s="2">
        <v>4.9465965475003149</v>
      </c>
      <c r="G174" s="2">
        <v>4.9671024055169211</v>
      </c>
      <c r="H174" s="2">
        <v>5.4314034979419779</v>
      </c>
    </row>
    <row r="175" spans="1:8" x14ac:dyDescent="0.2">
      <c r="A175" s="16">
        <f>DATE(2017,4,28)</f>
        <v>42853</v>
      </c>
      <c r="B175" s="2">
        <v>10.682554249307552</v>
      </c>
      <c r="C175" s="2">
        <v>10.54152722847561</v>
      </c>
      <c r="D175" s="2">
        <v>9.6607654800070275</v>
      </c>
      <c r="E175" s="2">
        <v>4.426826066399725</v>
      </c>
      <c r="F175" s="2">
        <v>4.9707469062928444</v>
      </c>
      <c r="G175" s="2">
        <v>4.9913767423836575</v>
      </c>
      <c r="H175" s="2">
        <v>5.4584912542225084</v>
      </c>
    </row>
    <row r="176" spans="1:8" x14ac:dyDescent="0.2">
      <c r="A176" s="16">
        <f>DATE(2017,5,2)</f>
        <v>42857</v>
      </c>
      <c r="B176" s="2">
        <v>13.010998873717794</v>
      </c>
      <c r="C176" s="2">
        <v>12.769157962343035</v>
      </c>
      <c r="D176" s="2">
        <v>9.7110298391562164</v>
      </c>
      <c r="E176" s="2">
        <v>4.460141477166979</v>
      </c>
      <c r="F176" s="2">
        <v>5.0073891227763845</v>
      </c>
      <c r="G176" s="2">
        <v>5.028145461161615</v>
      </c>
      <c r="H176" s="2">
        <v>5.4981306236426164</v>
      </c>
    </row>
    <row r="177" spans="1:8" x14ac:dyDescent="0.2">
      <c r="A177" s="16">
        <f>DATE(2017,5,3)</f>
        <v>42858</v>
      </c>
      <c r="B177" s="2">
        <v>13.43036279424077</v>
      </c>
      <c r="C177" s="2">
        <v>11.707737551972208</v>
      </c>
      <c r="D177" s="2">
        <v>9.761317237591971</v>
      </c>
      <c r="E177" s="2">
        <v>4.4934675165881677</v>
      </c>
      <c r="F177" s="2">
        <v>5.0440441299856031</v>
      </c>
      <c r="G177" s="2">
        <v>5.064927056603552</v>
      </c>
      <c r="H177" s="2">
        <v>5.5377848925704853</v>
      </c>
    </row>
    <row r="178" spans="1:8" x14ac:dyDescent="0.2">
      <c r="A178" s="16">
        <f>DATE(2017,5,4)</f>
        <v>42859</v>
      </c>
      <c r="B178" s="2">
        <v>13.151712019095575</v>
      </c>
      <c r="C178" s="2">
        <v>9.6271507284587212</v>
      </c>
      <c r="D178" s="2">
        <v>9.8116276858746243</v>
      </c>
      <c r="E178" s="2">
        <v>4.5268041880541565</v>
      </c>
      <c r="F178" s="2">
        <v>5.0807119323853733</v>
      </c>
      <c r="G178" s="2">
        <v>5.1017215332189947</v>
      </c>
      <c r="H178" s="2">
        <v>5.5774540666064798</v>
      </c>
    </row>
    <row r="179" spans="1:8" x14ac:dyDescent="0.2">
      <c r="A179" s="16">
        <f>DATE(2017,5,5)</f>
        <v>42860</v>
      </c>
      <c r="B179" s="2">
        <v>14.677221961693231</v>
      </c>
      <c r="C179" s="2">
        <v>11.058716154548032</v>
      </c>
      <c r="D179" s="2">
        <v>9.8619611945693908</v>
      </c>
      <c r="E179" s="2">
        <v>4.5601514949568767</v>
      </c>
      <c r="F179" s="2">
        <v>5.1173925344421223</v>
      </c>
      <c r="G179" s="2">
        <v>5.1385288955190012</v>
      </c>
      <c r="H179" s="2">
        <v>5.6171381513530738</v>
      </c>
    </row>
    <row r="180" spans="1:8" x14ac:dyDescent="0.2">
      <c r="A180" s="16">
        <f>DATE(2017,5,8)</f>
        <v>42863</v>
      </c>
      <c r="B180" s="2">
        <v>14.478442831317251</v>
      </c>
      <c r="C180" s="2">
        <v>10.74941689483806</v>
      </c>
      <c r="D180" s="2">
        <v>9.9123177742462154</v>
      </c>
      <c r="E180" s="2">
        <v>4.5935094406893917</v>
      </c>
      <c r="F180" s="2">
        <v>5.1540859406238537</v>
      </c>
      <c r="G180" s="2">
        <v>5.1753491480162284</v>
      </c>
      <c r="H180" s="2">
        <v>5.6568371524148731</v>
      </c>
    </row>
    <row r="181" spans="1:8" x14ac:dyDescent="0.2">
      <c r="A181" s="16">
        <f>DATE(2017,5,9)</f>
        <v>42864</v>
      </c>
      <c r="B181" s="2">
        <v>15.821977879140613</v>
      </c>
      <c r="C181" s="2">
        <v>12.018726971571313</v>
      </c>
      <c r="D181" s="2">
        <v>9.9626974354800382</v>
      </c>
      <c r="E181" s="2">
        <v>4.6268780286458089</v>
      </c>
      <c r="F181" s="2">
        <v>5.1907921554000813</v>
      </c>
      <c r="G181" s="2">
        <v>5.2121822952249319</v>
      </c>
      <c r="H181" s="2">
        <v>5.6965510753985482</v>
      </c>
    </row>
    <row r="182" spans="1:8" x14ac:dyDescent="0.2">
      <c r="A182" s="16">
        <f>DATE(2017,5,10)</f>
        <v>42865</v>
      </c>
      <c r="B182" s="2">
        <v>17.391635008155525</v>
      </c>
      <c r="C182" s="2">
        <v>13.830578372713864</v>
      </c>
      <c r="D182" s="2">
        <v>10.013100188850554</v>
      </c>
      <c r="E182" s="2">
        <v>4.6602572622213234</v>
      </c>
      <c r="F182" s="2">
        <v>5.2275111832419396</v>
      </c>
      <c r="G182" s="2">
        <v>5.2490283416609218</v>
      </c>
      <c r="H182" s="2">
        <v>5.7362799259129016</v>
      </c>
    </row>
    <row r="183" spans="1:8" x14ac:dyDescent="0.2">
      <c r="A183" s="16">
        <f>DATE(2017,5,11)</f>
        <v>42866</v>
      </c>
      <c r="B183" s="2">
        <v>16.51991700383919</v>
      </c>
      <c r="C183" s="2">
        <v>14.14832843186946</v>
      </c>
      <c r="D183" s="2">
        <v>10.063526044942318</v>
      </c>
      <c r="E183" s="2">
        <v>4.6936471448122186</v>
      </c>
      <c r="F183" s="2">
        <v>5.2642430286220732</v>
      </c>
      <c r="G183" s="2">
        <v>5.2858872918415845</v>
      </c>
      <c r="H183" s="2">
        <v>5.7760237095688671</v>
      </c>
    </row>
    <row r="184" spans="1:8" x14ac:dyDescent="0.2">
      <c r="A184" s="16">
        <f>DATE(2017,5,12)</f>
        <v>42867</v>
      </c>
      <c r="B184" s="2">
        <v>17.298291120534781</v>
      </c>
      <c r="C184" s="2">
        <v>15.304397796031299</v>
      </c>
      <c r="D184" s="2">
        <v>10.113975014344767</v>
      </c>
      <c r="E184" s="2">
        <v>4.7270476798158878</v>
      </c>
      <c r="F184" s="2">
        <v>5.3009876960147251</v>
      </c>
      <c r="G184" s="2">
        <v>5.3227591502859051</v>
      </c>
      <c r="H184" s="2">
        <v>5.8157824319794438</v>
      </c>
    </row>
    <row r="185" spans="1:8" x14ac:dyDescent="0.2">
      <c r="A185" s="16">
        <f>DATE(2017,5,15)</f>
        <v>42870</v>
      </c>
      <c r="B185" s="2">
        <v>17.187194925148376</v>
      </c>
      <c r="C185" s="2">
        <v>15.732008247980046</v>
      </c>
      <c r="D185" s="2">
        <v>10.164447107652141</v>
      </c>
      <c r="E185" s="2">
        <v>4.760458870630746</v>
      </c>
      <c r="F185" s="2">
        <v>5.3377451898956707</v>
      </c>
      <c r="G185" s="2">
        <v>5.3596439215144676</v>
      </c>
      <c r="H185" s="2">
        <v>5.8555560987597399</v>
      </c>
    </row>
    <row r="186" spans="1:8" x14ac:dyDescent="0.2">
      <c r="A186" s="16">
        <f>DATE(2017,5,16)</f>
        <v>42871</v>
      </c>
      <c r="B186" s="2">
        <v>17.896332293522633</v>
      </c>
      <c r="C186" s="2">
        <v>16.08694182469641</v>
      </c>
      <c r="D186" s="2">
        <v>10.214942335463585</v>
      </c>
      <c r="E186" s="2">
        <v>4.7938807206563627</v>
      </c>
      <c r="F186" s="2">
        <v>5.3745155147422841</v>
      </c>
      <c r="G186" s="2">
        <v>5.3965416100494101</v>
      </c>
      <c r="H186" s="2">
        <v>5.8953447155270178</v>
      </c>
    </row>
    <row r="187" spans="1:8" x14ac:dyDescent="0.2">
      <c r="A187" s="16">
        <f>DATE(2017,5,17)</f>
        <v>42872</v>
      </c>
      <c r="B187" s="2">
        <v>16.680209900429109</v>
      </c>
      <c r="C187" s="2">
        <v>14.15339891153684</v>
      </c>
      <c r="D187" s="2">
        <v>10.265460708383078</v>
      </c>
      <c r="E187" s="2">
        <v>4.8273132332933288</v>
      </c>
      <c r="F187" s="2">
        <v>5.4112986750334491</v>
      </c>
      <c r="G187" s="2">
        <v>5.4334522204144697</v>
      </c>
      <c r="H187" s="2">
        <v>5.9351482879006268</v>
      </c>
    </row>
    <row r="188" spans="1:8" x14ac:dyDescent="0.2">
      <c r="A188" s="16">
        <f>DATE(2017,5,18)</f>
        <v>42873</v>
      </c>
      <c r="B188" s="2">
        <v>10.071343117346498</v>
      </c>
      <c r="C188" s="2">
        <v>4.1087786904639545</v>
      </c>
      <c r="D188" s="2">
        <v>10.316002237019495</v>
      </c>
      <c r="E188" s="2">
        <v>4.8607564119433677</v>
      </c>
      <c r="F188" s="2">
        <v>5.4480946752496706</v>
      </c>
      <c r="G188" s="2">
        <v>5.4703757571349376</v>
      </c>
      <c r="H188" s="2">
        <v>5.9749668215020257</v>
      </c>
    </row>
    <row r="189" spans="1:8" x14ac:dyDescent="0.2">
      <c r="A189" s="16">
        <f>DATE(2017,5,19)</f>
        <v>42874</v>
      </c>
      <c r="B189" s="2">
        <v>11.090197799455837</v>
      </c>
      <c r="C189" s="2">
        <v>5.8699252949327319</v>
      </c>
      <c r="D189" s="2">
        <v>10.366566931986476</v>
      </c>
      <c r="E189" s="2">
        <v>4.8942102600092685</v>
      </c>
      <c r="F189" s="2">
        <v>5.4849035198729856</v>
      </c>
      <c r="G189" s="2">
        <v>5.5073122247377482</v>
      </c>
      <c r="H189" s="2">
        <v>6.014800321954783</v>
      </c>
    </row>
    <row r="190" spans="1:8" x14ac:dyDescent="0.2">
      <c r="A190" s="16">
        <f>DATE(2017,5,22)</f>
        <v>42877</v>
      </c>
      <c r="B190" s="2">
        <v>8.7040925252479298</v>
      </c>
      <c r="C190" s="2">
        <v>4.2372308420374871</v>
      </c>
      <c r="D190" s="2">
        <v>10.417154803902662</v>
      </c>
      <c r="E190" s="2">
        <v>4.9276747808949084</v>
      </c>
      <c r="F190" s="2">
        <v>5.5217252133869854</v>
      </c>
      <c r="G190" s="2">
        <v>5.5442616277513679</v>
      </c>
      <c r="H190" s="2">
        <v>6.0546487948845762</v>
      </c>
    </row>
    <row r="191" spans="1:8" x14ac:dyDescent="0.2">
      <c r="A191" s="16">
        <f>DATE(2017,5,23)</f>
        <v>42878</v>
      </c>
      <c r="B191" s="2">
        <v>11.057805333854009</v>
      </c>
      <c r="C191" s="2">
        <v>5.9087989723826118</v>
      </c>
      <c r="D191" s="2">
        <v>10.467765863391486</v>
      </c>
      <c r="E191" s="2">
        <v>4.9611499780052304</v>
      </c>
      <c r="F191" s="2">
        <v>5.5585597602768599</v>
      </c>
      <c r="G191" s="2">
        <v>5.581223970705862</v>
      </c>
      <c r="H191" s="2">
        <v>6.0945122459192147</v>
      </c>
    </row>
    <row r="192" spans="1:8" x14ac:dyDescent="0.2">
      <c r="A192" s="16">
        <f>DATE(2017,5,24)</f>
        <v>42879</v>
      </c>
      <c r="B192" s="2">
        <v>11.858995013277829</v>
      </c>
      <c r="C192" s="2">
        <v>6.9144441064122866</v>
      </c>
      <c r="D192" s="2">
        <v>10.518400121081205</v>
      </c>
      <c r="E192" s="2">
        <v>4.9946358547463099</v>
      </c>
      <c r="F192" s="2">
        <v>5.5954071650293313</v>
      </c>
      <c r="G192" s="2">
        <v>5.6181992581328943</v>
      </c>
      <c r="H192" s="2">
        <v>6.1343906806886173</v>
      </c>
    </row>
    <row r="193" spans="1:8" x14ac:dyDescent="0.2">
      <c r="A193" s="16">
        <f>DATE(2017,5,25)</f>
        <v>42880</v>
      </c>
      <c r="B193" s="2">
        <v>11.706169902501108</v>
      </c>
      <c r="C193" s="2">
        <v>6.862049149849403</v>
      </c>
      <c r="D193" s="2">
        <v>10.569057587605023</v>
      </c>
      <c r="E193" s="2">
        <v>5.0281324145252659</v>
      </c>
      <c r="F193" s="2">
        <v>5.6322674321327204</v>
      </c>
      <c r="G193" s="2">
        <v>5.6551874945657277</v>
      </c>
      <c r="H193" s="2">
        <v>6.1742841048248343</v>
      </c>
    </row>
    <row r="194" spans="1:8" x14ac:dyDescent="0.2">
      <c r="A194" s="16">
        <f>DATE(2017,5,26)</f>
        <v>42881</v>
      </c>
      <c r="B194" s="2">
        <v>13.924727467038345</v>
      </c>
      <c r="C194" s="2">
        <v>8.3138964946082083</v>
      </c>
      <c r="D194" s="2">
        <v>10.619738273601032</v>
      </c>
      <c r="E194" s="2">
        <v>5.0616396607503278</v>
      </c>
      <c r="F194" s="2">
        <v>5.6691405660768801</v>
      </c>
      <c r="G194" s="2">
        <v>5.6921886845391789</v>
      </c>
      <c r="H194" s="2">
        <v>6.2141925239620033</v>
      </c>
    </row>
    <row r="195" spans="1:8" x14ac:dyDescent="0.2">
      <c r="A195" s="16">
        <f>DATE(2017,5,29)</f>
        <v>42884</v>
      </c>
      <c r="B195" s="2">
        <v>13.624923690495928</v>
      </c>
      <c r="C195" s="2">
        <v>7.7645945306424213</v>
      </c>
      <c r="D195" s="2">
        <v>10.67044218971207</v>
      </c>
      <c r="E195" s="2">
        <v>5.0951575968307905</v>
      </c>
      <c r="F195" s="2">
        <v>5.7060265713532621</v>
      </c>
      <c r="G195" s="2">
        <v>5.7292028325896638</v>
      </c>
      <c r="H195" s="2">
        <v>6.2541159437363936</v>
      </c>
    </row>
    <row r="196" spans="1:8" x14ac:dyDescent="0.2">
      <c r="A196" s="16">
        <f>DATE(2017,5,30)</f>
        <v>42885</v>
      </c>
      <c r="B196" s="2">
        <v>13.81600145206181</v>
      </c>
      <c r="C196" s="2">
        <v>8.1060068282457607</v>
      </c>
      <c r="D196" s="2">
        <v>10.721169346586068</v>
      </c>
      <c r="E196" s="2">
        <v>5.1286862261770594</v>
      </c>
      <c r="F196" s="2">
        <v>5.7429254524548501</v>
      </c>
      <c r="G196" s="2">
        <v>5.7662299432551967</v>
      </c>
      <c r="H196" s="2">
        <v>6.2940543697863838</v>
      </c>
    </row>
    <row r="197" spans="1:8" x14ac:dyDescent="0.2">
      <c r="A197" s="16">
        <f>DATE(2017,5,31)</f>
        <v>42886</v>
      </c>
      <c r="B197" s="2">
        <v>12.831703313319842</v>
      </c>
      <c r="C197" s="2">
        <v>5.9916168069497511</v>
      </c>
      <c r="D197" s="2">
        <v>10.771919754875592</v>
      </c>
      <c r="E197" s="2">
        <v>5.1622255522006277</v>
      </c>
      <c r="F197" s="2">
        <v>5.7798372138762488</v>
      </c>
      <c r="G197" s="2">
        <v>5.8032700210753907</v>
      </c>
      <c r="H197" s="2">
        <v>6.3340078077524842</v>
      </c>
    </row>
    <row r="198" spans="1:8" x14ac:dyDescent="0.2">
      <c r="A198" s="16">
        <f>DATE(2017,6,1)</f>
        <v>42887</v>
      </c>
      <c r="B198" s="2">
        <v>13.073420494599629</v>
      </c>
      <c r="C198" s="2">
        <v>5.2766791738496632</v>
      </c>
      <c r="D198" s="2">
        <v>10.822693425238294</v>
      </c>
      <c r="E198" s="2">
        <v>5.1635470177245235</v>
      </c>
      <c r="F198" s="2">
        <v>5.7843430495458925</v>
      </c>
      <c r="G198" s="2">
        <v>5.8078970416359343</v>
      </c>
      <c r="H198" s="2">
        <v>6.3413867403587343</v>
      </c>
    </row>
    <row r="199" spans="1:8" x14ac:dyDescent="0.2">
      <c r="A199" s="16">
        <f>DATE(2017,6,2)</f>
        <v>42888</v>
      </c>
      <c r="B199" s="2">
        <v>13.630529682421955</v>
      </c>
      <c r="C199" s="2">
        <v>5.6518946692355243</v>
      </c>
      <c r="D199" s="2">
        <v>10.869553371911689</v>
      </c>
      <c r="E199" s="2">
        <v>5.1648684998539141</v>
      </c>
      <c r="F199" s="2">
        <v>5.7888490771477175</v>
      </c>
      <c r="G199" s="2">
        <v>5.8125242645467479</v>
      </c>
      <c r="H199" s="2">
        <v>6.3487661850179622</v>
      </c>
    </row>
    <row r="200" spans="1:8" x14ac:dyDescent="0.2">
      <c r="A200" s="16">
        <f>DATE(2017,6,5)</f>
        <v>42891</v>
      </c>
      <c r="B200" s="2">
        <v>12.884183916656511</v>
      </c>
      <c r="C200" s="2">
        <v>5.5504850758880009</v>
      </c>
      <c r="D200" s="2">
        <v>10.91643313270918</v>
      </c>
      <c r="E200" s="2">
        <v>5.1661899985889992</v>
      </c>
      <c r="F200" s="2">
        <v>5.7933552966898949</v>
      </c>
      <c r="G200" s="2">
        <v>5.8171516898166686</v>
      </c>
      <c r="H200" s="2">
        <v>6.3561461417657172</v>
      </c>
    </row>
    <row r="201" spans="1:8" x14ac:dyDescent="0.2">
      <c r="A201" s="16">
        <f>DATE(2017,6,6)</f>
        <v>42892</v>
      </c>
      <c r="B201" s="2">
        <v>14.752847891989052</v>
      </c>
      <c r="C201" s="2">
        <v>6.4023256600072687</v>
      </c>
      <c r="D201" s="2">
        <v>10.96333271600891</v>
      </c>
      <c r="E201" s="2">
        <v>5.167511513930001</v>
      </c>
      <c r="F201" s="2">
        <v>5.7978617081805739</v>
      </c>
      <c r="G201" s="2">
        <v>5.8217793174545562</v>
      </c>
      <c r="H201" s="2">
        <v>6.3635266106375266</v>
      </c>
    </row>
    <row r="202" spans="1:8" x14ac:dyDescent="0.2">
      <c r="A202" s="16">
        <f>DATE(2017,6,7)</f>
        <v>42893</v>
      </c>
      <c r="B202" s="2">
        <v>15.79699823864682</v>
      </c>
      <c r="C202" s="2">
        <v>6.7674001960583707</v>
      </c>
      <c r="D202" s="2">
        <v>11.010252130192644</v>
      </c>
      <c r="E202" s="2">
        <v>5.1688330458771636</v>
      </c>
      <c r="F202" s="2">
        <v>5.8023683116279923</v>
      </c>
      <c r="G202" s="2">
        <v>5.8264071474692702</v>
      </c>
      <c r="H202" s="2">
        <v>6.3709075916689617</v>
      </c>
    </row>
    <row r="203" spans="1:8" x14ac:dyDescent="0.2">
      <c r="A203" s="16">
        <f>DATE(2017,6,8)</f>
        <v>42894</v>
      </c>
      <c r="B203" s="2">
        <v>15.640264047715814</v>
      </c>
      <c r="C203" s="2">
        <v>6.0659838420712875</v>
      </c>
      <c r="D203" s="2">
        <v>11.057191383645515</v>
      </c>
      <c r="E203" s="2">
        <v>5.1701545944306204</v>
      </c>
      <c r="F203" s="2">
        <v>5.8068751070402991</v>
      </c>
      <c r="G203" s="2">
        <v>5.8310351798696258</v>
      </c>
      <c r="H203" s="2">
        <v>6.3782890848955054</v>
      </c>
    </row>
    <row r="204" spans="1:8" x14ac:dyDescent="0.2">
      <c r="A204" s="16">
        <f>DATE(2017,6,9)</f>
        <v>42895</v>
      </c>
      <c r="B204" s="2">
        <v>15.804397323578566</v>
      </c>
      <c r="C204" s="2">
        <v>5.144846702497885</v>
      </c>
      <c r="D204" s="2">
        <v>11.104150484756392</v>
      </c>
      <c r="E204" s="2">
        <v>5.1714761595906378</v>
      </c>
      <c r="F204" s="2">
        <v>5.8113820944256434</v>
      </c>
      <c r="G204" s="2">
        <v>5.8356634146644826</v>
      </c>
      <c r="H204" s="2">
        <v>6.3856710903527292</v>
      </c>
    </row>
    <row r="205" spans="1:8" x14ac:dyDescent="0.2">
      <c r="A205" s="16">
        <f>DATE(2017,6,12)</f>
        <v>42898</v>
      </c>
      <c r="B205" s="2">
        <v>14.619904816302798</v>
      </c>
      <c r="C205" s="2">
        <v>4.2828651590438804</v>
      </c>
      <c r="D205" s="2">
        <v>11.151129441917519</v>
      </c>
      <c r="E205" s="2">
        <v>5.1727977413574155</v>
      </c>
      <c r="F205" s="2">
        <v>5.8158892737922629</v>
      </c>
      <c r="G205" s="2">
        <v>5.8402918518627223</v>
      </c>
      <c r="H205" s="2">
        <v>6.3930536080762046</v>
      </c>
    </row>
    <row r="206" spans="1:8" x14ac:dyDescent="0.2">
      <c r="A206" s="16">
        <f>DATE(2017,6,13)</f>
        <v>42899</v>
      </c>
      <c r="B206" s="2">
        <v>14.78363962705318</v>
      </c>
      <c r="C206" s="2">
        <v>4.4992056248519319</v>
      </c>
      <c r="D206" s="2">
        <v>11.198128263524865</v>
      </c>
      <c r="E206" s="2">
        <v>5.1741193397311314</v>
      </c>
      <c r="F206" s="2">
        <v>5.8203966451483069</v>
      </c>
      <c r="G206" s="2">
        <v>5.8449204914731601</v>
      </c>
      <c r="H206" s="2">
        <v>6.4004366381014144</v>
      </c>
    </row>
    <row r="207" spans="1:8" x14ac:dyDescent="0.2">
      <c r="A207" s="16">
        <f>DATE(2017,6,14)</f>
        <v>42900</v>
      </c>
      <c r="B207" s="2">
        <v>14.35091338508896</v>
      </c>
      <c r="C207" s="2">
        <v>4.6580806544297193</v>
      </c>
      <c r="D207" s="2">
        <v>11.245146957977759</v>
      </c>
      <c r="E207" s="2">
        <v>5.1754409547120073</v>
      </c>
      <c r="F207" s="2">
        <v>5.8249042085019465</v>
      </c>
      <c r="G207" s="2">
        <v>5.8495493335046556</v>
      </c>
      <c r="H207" s="2">
        <v>6.4078201804639523</v>
      </c>
    </row>
    <row r="208" spans="1:8" x14ac:dyDescent="0.2">
      <c r="A208" s="16">
        <f>DATE(2017,6,16)</f>
        <v>42902</v>
      </c>
      <c r="B208" s="2">
        <v>15.10000031602412</v>
      </c>
      <c r="C208" s="2">
        <v>4.1577933272485712</v>
      </c>
      <c r="D208" s="2">
        <v>11.292185533679232</v>
      </c>
      <c r="E208" s="2">
        <v>5.1767625863002875</v>
      </c>
      <c r="F208" s="2">
        <v>5.8294119638613751</v>
      </c>
      <c r="G208" s="2">
        <v>5.8541783779660905</v>
      </c>
      <c r="H208" s="2">
        <v>6.4152042351993899</v>
      </c>
    </row>
    <row r="209" spans="1:8" x14ac:dyDescent="0.2">
      <c r="A209" s="16">
        <f>DATE(2017,6,19)</f>
        <v>42905</v>
      </c>
      <c r="B209" s="2">
        <v>15.802384387752211</v>
      </c>
      <c r="C209" s="2">
        <v>4.8135753642292611</v>
      </c>
      <c r="D209" s="2">
        <v>11.339243999035808</v>
      </c>
      <c r="E209" s="2">
        <v>5.1780842344961053</v>
      </c>
      <c r="F209" s="2">
        <v>5.8339199112347195</v>
      </c>
      <c r="G209" s="2">
        <v>5.8588076248662579</v>
      </c>
      <c r="H209" s="2">
        <v>6.4225888023432098</v>
      </c>
    </row>
    <row r="210" spans="1:8" x14ac:dyDescent="0.2">
      <c r="A210" s="16">
        <f>DATE(2017,6,20)</f>
        <v>42906</v>
      </c>
      <c r="B210" s="2">
        <v>14.296406105749648</v>
      </c>
      <c r="C210" s="2">
        <v>2.7042558226006319</v>
      </c>
      <c r="D210" s="2">
        <v>11.386322362457557</v>
      </c>
      <c r="E210" s="2">
        <v>5.1794058992997716</v>
      </c>
      <c r="F210" s="2">
        <v>5.8384280506302177</v>
      </c>
      <c r="G210" s="2">
        <v>5.863437074214084</v>
      </c>
      <c r="H210" s="2">
        <v>6.4299738819310734</v>
      </c>
    </row>
    <row r="211" spans="1:8" x14ac:dyDescent="0.2">
      <c r="A211" s="16">
        <f>DATE(2017,6,21)</f>
        <v>42907</v>
      </c>
      <c r="B211" s="2">
        <v>12.812920492332536</v>
      </c>
      <c r="C211" s="2">
        <v>2.6958050231550068</v>
      </c>
      <c r="D211" s="2">
        <v>11.433420632358127</v>
      </c>
      <c r="E211" s="2">
        <v>5.1807275807114195</v>
      </c>
      <c r="F211" s="2">
        <v>5.8429363820560187</v>
      </c>
      <c r="G211" s="2">
        <v>5.8680667260183839</v>
      </c>
      <c r="H211" s="2">
        <v>6.4373594739984608</v>
      </c>
    </row>
    <row r="212" spans="1:8" x14ac:dyDescent="0.2">
      <c r="A212" s="16">
        <f>DATE(2017,6,22)</f>
        <v>42908</v>
      </c>
      <c r="B212" s="2">
        <v>13.718432460232188</v>
      </c>
      <c r="C212" s="2">
        <v>3.5594767264981448</v>
      </c>
      <c r="D212" s="2">
        <v>11.480538817154674</v>
      </c>
      <c r="E212" s="2">
        <v>5.1820492787312711</v>
      </c>
      <c r="F212" s="2">
        <v>5.8474449055203159</v>
      </c>
      <c r="G212" s="2">
        <v>5.8726965802879949</v>
      </c>
      <c r="H212" s="2">
        <v>6.4447455785809682</v>
      </c>
    </row>
    <row r="213" spans="1:8" x14ac:dyDescent="0.2">
      <c r="A213" s="16">
        <f>DATE(2017,6,23)</f>
        <v>42909</v>
      </c>
      <c r="B213" s="2">
        <v>13.924961050035289</v>
      </c>
      <c r="C213" s="2">
        <v>3.2467971470099282</v>
      </c>
      <c r="D213" s="2">
        <v>11.527676925268038</v>
      </c>
      <c r="E213" s="2">
        <v>5.1833709933595484</v>
      </c>
      <c r="F213" s="2">
        <v>5.8519536210313028</v>
      </c>
      <c r="G213" s="2">
        <v>5.8773266370317989</v>
      </c>
      <c r="H213" s="2">
        <v>6.4521321957141442</v>
      </c>
    </row>
    <row r="214" spans="1:8" x14ac:dyDescent="0.2">
      <c r="A214" s="16">
        <f>DATE(2017,6,26)</f>
        <v>42912</v>
      </c>
      <c r="B214" s="2">
        <v>15.097197320061072</v>
      </c>
      <c r="C214" s="2">
        <v>5.1076631849371168</v>
      </c>
      <c r="D214" s="2">
        <v>11.574834965122482</v>
      </c>
      <c r="E214" s="2">
        <v>5.1846927245964514</v>
      </c>
      <c r="F214" s="2">
        <v>5.8564625285971061</v>
      </c>
      <c r="G214" s="2">
        <v>5.8819568962586555</v>
      </c>
      <c r="H214" s="2">
        <v>6.4595193254335834</v>
      </c>
    </row>
    <row r="215" spans="1:8" x14ac:dyDescent="0.2">
      <c r="A215" s="16">
        <f>DATE(2017,6,27)</f>
        <v>42913</v>
      </c>
      <c r="B215" s="2">
        <v>14.247868933008</v>
      </c>
      <c r="C215" s="2">
        <v>4.2406111618157327</v>
      </c>
      <c r="D215" s="2">
        <v>11.62201294514591</v>
      </c>
      <c r="E215" s="2">
        <v>5.1860144724422019</v>
      </c>
      <c r="F215" s="2">
        <v>5.8609716282259861</v>
      </c>
      <c r="G215" s="2">
        <v>5.8865873579774242</v>
      </c>
      <c r="H215" s="2">
        <v>6.4669069677748547</v>
      </c>
    </row>
    <row r="216" spans="1:8" x14ac:dyDescent="0.2">
      <c r="A216" s="16">
        <f>DATE(2017,6,28)</f>
        <v>42914</v>
      </c>
      <c r="B216" s="2">
        <v>14.113304516519619</v>
      </c>
      <c r="C216" s="2">
        <v>4.8186458438966628</v>
      </c>
      <c r="D216" s="2">
        <v>11.669210873769709</v>
      </c>
      <c r="E216" s="2">
        <v>5.1873362368969778</v>
      </c>
      <c r="F216" s="2">
        <v>5.8654809199260693</v>
      </c>
      <c r="G216" s="2">
        <v>5.8912180221969201</v>
      </c>
      <c r="H216" s="2">
        <v>6.474295122773488</v>
      </c>
    </row>
    <row r="217" spans="1:8" x14ac:dyDescent="0.2">
      <c r="A217" s="16">
        <f>DATE(2017,6,29)</f>
        <v>42915</v>
      </c>
      <c r="B217" s="2">
        <v>14.429514063551352</v>
      </c>
      <c r="C217" s="2">
        <v>5.1921711793934122</v>
      </c>
      <c r="D217" s="2">
        <v>11.716428759428975</v>
      </c>
      <c r="E217" s="2">
        <v>5.1886580179610231</v>
      </c>
      <c r="F217" s="2">
        <v>5.8699904037055273</v>
      </c>
      <c r="G217" s="2">
        <v>5.8958488889260252</v>
      </c>
      <c r="H217" s="2">
        <v>6.4816837904650981</v>
      </c>
    </row>
    <row r="218" spans="1:8" x14ac:dyDescent="0.2">
      <c r="A218" s="16">
        <f>DATE(2017,6,30)</f>
        <v>42916</v>
      </c>
      <c r="B218" s="2">
        <v>16.295759767857</v>
      </c>
      <c r="C218" s="2">
        <v>6.3093668661053703</v>
      </c>
      <c r="D218" s="2">
        <v>11.76366661056225</v>
      </c>
      <c r="E218" s="2">
        <v>5.1899798156345378</v>
      </c>
      <c r="F218" s="2">
        <v>5.8745000795725755</v>
      </c>
      <c r="G218" s="2">
        <v>5.9004799581735989</v>
      </c>
      <c r="H218" s="2">
        <v>6.489072970885279</v>
      </c>
    </row>
    <row r="219" spans="1:8" x14ac:dyDescent="0.2">
      <c r="A219" s="16">
        <f>DATE(2017,7,3)</f>
        <v>42919</v>
      </c>
      <c r="B219" s="2">
        <v>15.991696536664946</v>
      </c>
      <c r="C219" s="2">
        <v>6.9516276239730779</v>
      </c>
      <c r="D219" s="2">
        <v>11.810924435611625</v>
      </c>
      <c r="E219" s="2">
        <v>5.2148624394387832</v>
      </c>
      <c r="F219" s="2">
        <v>5.9027247903693292</v>
      </c>
      <c r="G219" s="2">
        <v>5.9288319189629846</v>
      </c>
      <c r="H219" s="2">
        <v>6.5203158043255938</v>
      </c>
    </row>
    <row r="220" spans="1:8" x14ac:dyDescent="0.2">
      <c r="A220" s="16">
        <f>DATE(2017,7,4)</f>
        <v>42920</v>
      </c>
      <c r="B220" s="2">
        <v>15.610557786578561</v>
      </c>
      <c r="C220" s="2">
        <v>6.8704999492950503</v>
      </c>
      <c r="D220" s="2">
        <v>11.858202243022896</v>
      </c>
      <c r="E220" s="2">
        <v>5.2397509492120964</v>
      </c>
      <c r="F220" s="2">
        <v>5.9309570254925337</v>
      </c>
      <c r="G220" s="2">
        <v>5.9571914702154283</v>
      </c>
      <c r="H220" s="2">
        <v>6.5515678041020866</v>
      </c>
    </row>
    <row r="221" spans="1:8" x14ac:dyDescent="0.2">
      <c r="A221" s="16">
        <f>DATE(2017,7,5)</f>
        <v>42921</v>
      </c>
      <c r="B221" s="2">
        <v>16.03015529009846</v>
      </c>
      <c r="C221" s="2">
        <v>6.7403576378323837</v>
      </c>
      <c r="D221" s="2">
        <v>11.905500041245265</v>
      </c>
      <c r="E221" s="2">
        <v>5.2646453463467857</v>
      </c>
      <c r="F221" s="2">
        <v>5.9591967869480511</v>
      </c>
      <c r="G221" s="2">
        <v>5.9855586139630823</v>
      </c>
      <c r="H221" s="2">
        <v>6.5828289729040534</v>
      </c>
    </row>
    <row r="222" spans="1:8" x14ac:dyDescent="0.2">
      <c r="A222" s="16">
        <f>DATE(2017,7,6)</f>
        <v>42922</v>
      </c>
      <c r="B222" s="2">
        <v>15.652369143026634</v>
      </c>
      <c r="C222" s="2">
        <v>5.5842882736705457</v>
      </c>
      <c r="D222" s="2">
        <v>11.952817838731654</v>
      </c>
      <c r="E222" s="2">
        <v>5.2895456322355372</v>
      </c>
      <c r="F222" s="2">
        <v>5.9874440767423209</v>
      </c>
      <c r="G222" s="2">
        <v>6.0139333522386318</v>
      </c>
      <c r="H222" s="2">
        <v>6.6140993134216286</v>
      </c>
    </row>
    <row r="223" spans="1:8" x14ac:dyDescent="0.2">
      <c r="A223" s="16">
        <f>DATE(2017,7,7)</f>
        <v>42923</v>
      </c>
      <c r="B223" s="2">
        <v>15.568876961805245</v>
      </c>
      <c r="C223" s="2">
        <v>5.3341446100799716</v>
      </c>
      <c r="D223" s="2">
        <v>12.000155643938436</v>
      </c>
      <c r="E223" s="2">
        <v>5.3144518082712811</v>
      </c>
      <c r="F223" s="2">
        <v>6.0156988968822267</v>
      </c>
      <c r="G223" s="2">
        <v>6.0423156870752281</v>
      </c>
      <c r="H223" s="2">
        <v>6.6453788283456383</v>
      </c>
    </row>
    <row r="224" spans="1:8" x14ac:dyDescent="0.2">
      <c r="A224" s="16">
        <f>DATE(2017,7,10)</f>
        <v>42926</v>
      </c>
      <c r="B224" s="2">
        <v>15.760641732185587</v>
      </c>
      <c r="C224" s="2">
        <v>6.5223270121352197</v>
      </c>
      <c r="D224" s="2">
        <v>12.047513465325688</v>
      </c>
      <c r="E224" s="2">
        <v>5.3393638758473472</v>
      </c>
      <c r="F224" s="2">
        <v>6.0439612493753181</v>
      </c>
      <c r="G224" s="2">
        <v>6.0707056205067111</v>
      </c>
      <c r="H224" s="2">
        <v>6.6766675203677961</v>
      </c>
    </row>
    <row r="225" spans="1:8" x14ac:dyDescent="0.2">
      <c r="A225" s="16">
        <f>DATE(2017,7,11)</f>
        <v>42927</v>
      </c>
      <c r="B225" s="2">
        <v>16.077277224682284</v>
      </c>
      <c r="C225" s="2">
        <v>7.8862860426595072</v>
      </c>
      <c r="D225" s="2">
        <v>12.094891311356969</v>
      </c>
      <c r="E225" s="2">
        <v>5.3642818363574429</v>
      </c>
      <c r="F225" s="2">
        <v>6.0722311362296555</v>
      </c>
      <c r="G225" s="2">
        <v>6.0991031545674312</v>
      </c>
      <c r="H225" s="2">
        <v>6.7079653921806148</v>
      </c>
    </row>
    <row r="226" spans="1:8" x14ac:dyDescent="0.2">
      <c r="A226" s="16">
        <f>DATE(2017,7,12)</f>
        <v>42928</v>
      </c>
      <c r="B226" s="2">
        <v>17.221772078780173</v>
      </c>
      <c r="C226" s="2">
        <v>9.5815164114523945</v>
      </c>
      <c r="D226" s="2">
        <v>12.142289190499378</v>
      </c>
      <c r="E226" s="2">
        <v>5.3892056911954533</v>
      </c>
      <c r="F226" s="2">
        <v>6.1005085594537212</v>
      </c>
      <c r="G226" s="2">
        <v>6.127508291292183</v>
      </c>
      <c r="H226" s="2">
        <v>6.7392724464772957</v>
      </c>
    </row>
    <row r="227" spans="1:8" x14ac:dyDescent="0.2">
      <c r="A227" s="16">
        <f>DATE(2017,7,13)</f>
        <v>42929</v>
      </c>
      <c r="B227" s="2">
        <v>18.675572041324461</v>
      </c>
      <c r="C227" s="2">
        <v>10.161241253422437</v>
      </c>
      <c r="D227" s="2">
        <v>12.189707111223735</v>
      </c>
      <c r="E227" s="2">
        <v>5.4141354417557075</v>
      </c>
      <c r="F227" s="2">
        <v>6.1287935210566413</v>
      </c>
      <c r="G227" s="2">
        <v>6.1559210327163827</v>
      </c>
      <c r="H227" s="2">
        <v>6.770588685951906</v>
      </c>
    </row>
    <row r="228" spans="1:8" x14ac:dyDescent="0.2">
      <c r="A228" s="16">
        <f>DATE(2017,7,14)</f>
        <v>42930</v>
      </c>
      <c r="B228" s="2">
        <v>19.00883314713111</v>
      </c>
      <c r="C228" s="2">
        <v>10.597302504816808</v>
      </c>
      <c r="D228" s="2">
        <v>12.237145082004353</v>
      </c>
      <c r="E228" s="2">
        <v>5.4390710894328453</v>
      </c>
      <c r="F228" s="2">
        <v>6.1570860230480751</v>
      </c>
      <c r="G228" s="2">
        <v>6.1843413808760239</v>
      </c>
      <c r="H228" s="2">
        <v>6.8019141132993122</v>
      </c>
    </row>
    <row r="229" spans="1:8" x14ac:dyDescent="0.2">
      <c r="A229" s="16">
        <f>DATE(2017,7,17)</f>
        <v>42933</v>
      </c>
      <c r="B229" s="2">
        <v>18.312584064116134</v>
      </c>
      <c r="C229" s="2">
        <v>10.2187066896527</v>
      </c>
      <c r="D229" s="2">
        <v>12.284603111319091</v>
      </c>
      <c r="E229" s="2">
        <v>5.4640126356217955</v>
      </c>
      <c r="F229" s="2">
        <v>6.1853860674381256</v>
      </c>
      <c r="G229" s="2">
        <v>6.2127693378075444</v>
      </c>
      <c r="H229" s="2">
        <v>6.8332487312150914</v>
      </c>
    </row>
    <row r="230" spans="1:8" x14ac:dyDescent="0.2">
      <c r="A230" s="16">
        <f>DATE(2017,7,18)</f>
        <v>42934</v>
      </c>
      <c r="B230" s="2">
        <v>18.131756474061977</v>
      </c>
      <c r="C230" s="2">
        <v>10.429976675793394</v>
      </c>
      <c r="D230" s="2">
        <v>12.332081207649527</v>
      </c>
      <c r="E230" s="2">
        <v>5.4889600817178419</v>
      </c>
      <c r="F230" s="2">
        <v>6.2136936562375178</v>
      </c>
      <c r="G230" s="2">
        <v>6.2412049055479812</v>
      </c>
      <c r="H230" s="2">
        <v>6.8645925423956866</v>
      </c>
    </row>
    <row r="231" spans="1:8" x14ac:dyDescent="0.2">
      <c r="A231" s="16">
        <f>DATE(2017,7,19)</f>
        <v>42935</v>
      </c>
      <c r="B231" s="2">
        <v>17.972336078666419</v>
      </c>
      <c r="C231" s="2">
        <v>10.16293141331157</v>
      </c>
      <c r="D231" s="2">
        <v>12.379579379480665</v>
      </c>
      <c r="E231" s="2">
        <v>5.513913429116668</v>
      </c>
      <c r="F231" s="2">
        <v>6.2420087914575317</v>
      </c>
      <c r="G231" s="2">
        <v>6.2696480861349926</v>
      </c>
      <c r="H231" s="2">
        <v>6.8959455495383626</v>
      </c>
    </row>
    <row r="232" spans="1:8" x14ac:dyDescent="0.2">
      <c r="A232" s="16">
        <f>DATE(2017,7,20)</f>
        <v>42936</v>
      </c>
      <c r="B232" s="2">
        <v>18.536830611244159</v>
      </c>
      <c r="C232" s="2">
        <v>9.7556028800323205</v>
      </c>
      <c r="D232" s="2">
        <v>12.427097635301187</v>
      </c>
      <c r="E232" s="2">
        <v>5.5388726792141574</v>
      </c>
      <c r="F232" s="2">
        <v>6.2703314751098702</v>
      </c>
      <c r="G232" s="2">
        <v>6.2980988816066397</v>
      </c>
      <c r="H232" s="2">
        <v>6.9273077553410278</v>
      </c>
    </row>
    <row r="233" spans="1:8" x14ac:dyDescent="0.2">
      <c r="A233" s="16">
        <f>DATE(2017,7,21)</f>
        <v>42937</v>
      </c>
      <c r="B233" s="2">
        <v>19.138980096942483</v>
      </c>
      <c r="C233" s="2">
        <v>9.3263022681944427</v>
      </c>
      <c r="D233" s="2">
        <v>12.474635983603388</v>
      </c>
      <c r="E233" s="2">
        <v>5.5638378334066374</v>
      </c>
      <c r="F233" s="2">
        <v>6.2986617092068986</v>
      </c>
      <c r="G233" s="2">
        <v>6.3265572940016446</v>
      </c>
      <c r="H233" s="2">
        <v>6.9586791625025457</v>
      </c>
    </row>
    <row r="234" spans="1:8" x14ac:dyDescent="0.2">
      <c r="A234" s="16">
        <f>DATE(2017,7,24)</f>
        <v>42940</v>
      </c>
      <c r="B234" s="2">
        <v>19.468476394445887</v>
      </c>
      <c r="C234" s="2">
        <v>10.027718622181547</v>
      </c>
      <c r="D234" s="2">
        <v>12.522194432883026</v>
      </c>
      <c r="E234" s="2">
        <v>5.5888088930906799</v>
      </c>
      <c r="F234" s="2">
        <v>6.3269994957614539</v>
      </c>
      <c r="G234" s="2">
        <v>6.3550233253592214</v>
      </c>
      <c r="H234" s="2">
        <v>6.9900597737224901</v>
      </c>
    </row>
    <row r="235" spans="1:8" x14ac:dyDescent="0.2">
      <c r="A235" s="16">
        <f>DATE(2017,7,25)</f>
        <v>42941</v>
      </c>
      <c r="B235" s="2">
        <v>19.390445933299461</v>
      </c>
      <c r="C235" s="2">
        <v>10.987729439204831</v>
      </c>
      <c r="D235" s="2">
        <v>12.569772991639615</v>
      </c>
      <c r="E235" s="2">
        <v>5.6137858596632562</v>
      </c>
      <c r="F235" s="2">
        <v>6.3553448367869034</v>
      </c>
      <c r="G235" s="2">
        <v>6.3834969777191164</v>
      </c>
      <c r="H235" s="2">
        <v>7.0214495917012343</v>
      </c>
    </row>
    <row r="236" spans="1:8" x14ac:dyDescent="0.2">
      <c r="A236" s="16">
        <f>DATE(2017,7,26)</f>
        <v>42942</v>
      </c>
      <c r="B236" s="2">
        <v>19.048933851631155</v>
      </c>
      <c r="C236" s="2">
        <v>9.8772943920493859</v>
      </c>
      <c r="D236" s="2">
        <v>12.617371668376176</v>
      </c>
      <c r="E236" s="2">
        <v>5.6387687345216264</v>
      </c>
      <c r="F236" s="2">
        <v>6.383697734297189</v>
      </c>
      <c r="G236" s="2">
        <v>6.4119782531216751</v>
      </c>
      <c r="H236" s="2">
        <v>7.0528486191399287</v>
      </c>
    </row>
    <row r="237" spans="1:8" x14ac:dyDescent="0.2">
      <c r="A237" s="16">
        <f>DATE(2017,7,27)</f>
        <v>42943</v>
      </c>
      <c r="B237" s="2">
        <v>19.614479507695016</v>
      </c>
      <c r="C237" s="2">
        <v>10.328567082445893</v>
      </c>
      <c r="D237" s="2">
        <v>12.664990471599348</v>
      </c>
      <c r="E237" s="2">
        <v>5.6637575190633838</v>
      </c>
      <c r="F237" s="2">
        <v>6.4120581903067464</v>
      </c>
      <c r="G237" s="2">
        <v>6.4404671536077318</v>
      </c>
      <c r="H237" s="2">
        <v>7.0842568587405674</v>
      </c>
    </row>
    <row r="238" spans="1:8" x14ac:dyDescent="0.2">
      <c r="A238" s="16">
        <f>DATE(2017,7,28)</f>
        <v>42944</v>
      </c>
      <c r="B238" s="2">
        <v>19.291901388953224</v>
      </c>
      <c r="C238" s="2">
        <v>10.70040225805351</v>
      </c>
      <c r="D238" s="2">
        <v>12.708549992221464</v>
      </c>
      <c r="E238" s="2">
        <v>5.6887522146864544</v>
      </c>
      <c r="F238" s="2">
        <v>6.4404262068305851</v>
      </c>
      <c r="G238" s="2">
        <v>6.4689636812187201</v>
      </c>
      <c r="H238" s="2">
        <v>7.1156743132058997</v>
      </c>
    </row>
    <row r="239" spans="1:8" x14ac:dyDescent="0.2">
      <c r="A239" s="16">
        <f>DATE(2017,7,31)</f>
        <v>42947</v>
      </c>
      <c r="B239" s="2">
        <v>20.07656163630114</v>
      </c>
      <c r="C239" s="2">
        <v>11.41533989115362</v>
      </c>
      <c r="D239" s="2">
        <v>12.752126354205084</v>
      </c>
      <c r="E239" s="2">
        <v>5.7137528227891199</v>
      </c>
      <c r="F239" s="2">
        <v>6.4688017858842262</v>
      </c>
      <c r="G239" s="2">
        <v>6.4974678379965622</v>
      </c>
      <c r="H239" s="2">
        <v>7.147100985239474</v>
      </c>
    </row>
    <row r="240" spans="1:8" x14ac:dyDescent="0.2">
      <c r="A240" s="16">
        <f>DATE(2017,8,1)</f>
        <v>42948</v>
      </c>
      <c r="B240" s="2">
        <v>19.91542371886943</v>
      </c>
      <c r="C240" s="2">
        <v>12.422675185072428</v>
      </c>
      <c r="D240" s="2">
        <v>12.795719564061603</v>
      </c>
      <c r="E240" s="2">
        <v>5.7288278663445213</v>
      </c>
      <c r="F240" s="2">
        <v>6.4871822161830304</v>
      </c>
      <c r="G240" s="2">
        <v>6.5159742081506211</v>
      </c>
      <c r="H240" s="2">
        <v>7.1684701684858076</v>
      </c>
    </row>
    <row r="241" spans="1:8" x14ac:dyDescent="0.2">
      <c r="A241" s="16">
        <f>DATE(2017,8,2)</f>
        <v>42949</v>
      </c>
      <c r="B241" s="2">
        <v>19.742352458330537</v>
      </c>
      <c r="C241" s="2">
        <v>13.468884156441121</v>
      </c>
      <c r="D241" s="2">
        <v>12.839329628304895</v>
      </c>
      <c r="E241" s="2">
        <v>5.7439050596385322</v>
      </c>
      <c r="F241" s="2">
        <v>6.505565819619985</v>
      </c>
      <c r="G241" s="2">
        <v>6.5344837942096454</v>
      </c>
      <c r="H241" s="2">
        <v>7.1898436135552579</v>
      </c>
    </row>
    <row r="242" spans="1:8" x14ac:dyDescent="0.2">
      <c r="A242" s="16">
        <f>DATE(2017,8,3)</f>
        <v>42950</v>
      </c>
      <c r="B242" s="2">
        <v>19.666424244156367</v>
      </c>
      <c r="C242" s="2">
        <v>12.86380691613418</v>
      </c>
      <c r="D242" s="2">
        <v>12.882956553451375</v>
      </c>
      <c r="E242" s="2">
        <v>5.7589844029777293</v>
      </c>
      <c r="F242" s="2">
        <v>6.5239525967428769</v>
      </c>
      <c r="G242" s="2">
        <v>6.5529965967324744</v>
      </c>
      <c r="H242" s="2">
        <v>7.2112213212977903</v>
      </c>
    </row>
    <row r="243" spans="1:8" x14ac:dyDescent="0.2">
      <c r="A243" s="16">
        <f>DATE(2017,8,4)</f>
        <v>42951</v>
      </c>
      <c r="B243" s="2">
        <v>19.460912427398672</v>
      </c>
      <c r="C243" s="2">
        <v>13.066626102829249</v>
      </c>
      <c r="D243" s="2">
        <v>12.926600346019891</v>
      </c>
      <c r="E243" s="2">
        <v>5.7740658966687342</v>
      </c>
      <c r="F243" s="2">
        <v>6.5423425480996444</v>
      </c>
      <c r="G243" s="2">
        <v>6.5715126162780626</v>
      </c>
      <c r="H243" s="2">
        <v>7.2326032925635886</v>
      </c>
    </row>
    <row r="244" spans="1:8" x14ac:dyDescent="0.2">
      <c r="A244" s="16">
        <f>DATE(2017,8,7)</f>
        <v>42954</v>
      </c>
      <c r="B244" s="2">
        <v>20.421769825391255</v>
      </c>
      <c r="C244" s="2">
        <v>14.827772707298026</v>
      </c>
      <c r="D244" s="2">
        <v>12.970261012531893</v>
      </c>
      <c r="E244" s="2">
        <v>5.7891495410181681</v>
      </c>
      <c r="F244" s="2">
        <v>6.5607356742382938</v>
      </c>
      <c r="G244" s="2">
        <v>6.5900318534054314</v>
      </c>
      <c r="H244" s="2">
        <v>7.2539895282029088</v>
      </c>
    </row>
    <row r="245" spans="1:8" x14ac:dyDescent="0.2">
      <c r="A245" s="16">
        <f>DATE(2017,8,8)</f>
        <v>42955</v>
      </c>
      <c r="B245" s="2">
        <v>19.905104846476231</v>
      </c>
      <c r="C245" s="2">
        <v>14.758476151843871</v>
      </c>
      <c r="D245" s="2">
        <v>13.01393855951134</v>
      </c>
      <c r="E245" s="2">
        <v>5.8042353363326971</v>
      </c>
      <c r="F245" s="2">
        <v>6.5791319757068312</v>
      </c>
      <c r="G245" s="2">
        <v>6.6085543086736642</v>
      </c>
      <c r="H245" s="2">
        <v>7.2753800290662252</v>
      </c>
    </row>
    <row r="246" spans="1:8" x14ac:dyDescent="0.2">
      <c r="A246" s="16">
        <f>DATE(2017,8,9)</f>
        <v>42956</v>
      </c>
      <c r="B246" s="2">
        <v>20.812677840819259</v>
      </c>
      <c r="C246" s="2">
        <v>14.374809857012384</v>
      </c>
      <c r="D246" s="2">
        <v>13.057632993484679</v>
      </c>
      <c r="E246" s="2">
        <v>5.8193232829190977</v>
      </c>
      <c r="F246" s="2">
        <v>6.5975314530534854</v>
      </c>
      <c r="G246" s="2">
        <v>6.6270799826420257</v>
      </c>
      <c r="H246" s="2">
        <v>7.2967747960042129</v>
      </c>
    </row>
    <row r="247" spans="1:8" x14ac:dyDescent="0.2">
      <c r="A247" s="16">
        <f>DATE(2017,8,10)</f>
        <v>42957</v>
      </c>
      <c r="B247" s="2">
        <v>20.451338684765609</v>
      </c>
      <c r="C247" s="2">
        <v>13.227191292296148</v>
      </c>
      <c r="D247" s="2">
        <v>13.101344320980957</v>
      </c>
      <c r="E247" s="2">
        <v>5.834413381084147</v>
      </c>
      <c r="F247" s="2">
        <v>6.6159341068265256</v>
      </c>
      <c r="G247" s="2">
        <v>6.6456088758698684</v>
      </c>
      <c r="H247" s="2">
        <v>7.3181738298677024</v>
      </c>
    </row>
    <row r="248" spans="1:8" x14ac:dyDescent="0.2">
      <c r="A248" s="16">
        <f>DATE(2017,8,11)</f>
        <v>42958</v>
      </c>
      <c r="B248" s="2">
        <v>21.958313129549122</v>
      </c>
      <c r="C248" s="2">
        <v>13.845789811716092</v>
      </c>
      <c r="D248" s="2">
        <v>13.145072548531633</v>
      </c>
      <c r="E248" s="2">
        <v>5.8495056311346438</v>
      </c>
      <c r="F248" s="2">
        <v>6.6343399375743184</v>
      </c>
      <c r="G248" s="2">
        <v>6.664140988916567</v>
      </c>
      <c r="H248" s="2">
        <v>7.3395771315076352</v>
      </c>
    </row>
    <row r="249" spans="1:8" x14ac:dyDescent="0.2">
      <c r="A249" s="16">
        <f>DATE(2017,8,14)</f>
        <v>42961</v>
      </c>
      <c r="B249" s="2">
        <v>22.927016168202851</v>
      </c>
      <c r="C249" s="2">
        <v>15.410877869046313</v>
      </c>
      <c r="D249" s="2">
        <v>13.188817682670839</v>
      </c>
      <c r="E249" s="2">
        <v>5.8646000333774539</v>
      </c>
      <c r="F249" s="2">
        <v>6.6527489458453326</v>
      </c>
      <c r="G249" s="2">
        <v>6.6826763223416519</v>
      </c>
      <c r="H249" s="2">
        <v>7.3609847017751751</v>
      </c>
    </row>
    <row r="250" spans="1:8" x14ac:dyDescent="0.2">
      <c r="A250" s="16">
        <f>DATE(2017,8,15)</f>
        <v>42962</v>
      </c>
      <c r="B250" s="2">
        <v>23.177849956450515</v>
      </c>
      <c r="C250" s="2">
        <v>15.530879221174242</v>
      </c>
      <c r="D250" s="2">
        <v>13.232579729935035</v>
      </c>
      <c r="E250" s="2">
        <v>5.8796965881194874</v>
      </c>
      <c r="F250" s="2">
        <v>6.6711611321880859</v>
      </c>
      <c r="G250" s="2">
        <v>6.7012148767047419</v>
      </c>
      <c r="H250" s="2">
        <v>7.382396541521663</v>
      </c>
    </row>
    <row r="251" spans="1:8" x14ac:dyDescent="0.2">
      <c r="A251" s="16">
        <f>DATE(2017,8,16)</f>
        <v>42963</v>
      </c>
      <c r="B251" s="2">
        <v>24.072816339048185</v>
      </c>
      <c r="C251" s="2">
        <v>15.934827434675226</v>
      </c>
      <c r="D251" s="2">
        <v>13.27635869686341</v>
      </c>
      <c r="E251" s="2">
        <v>5.8947952956677208</v>
      </c>
      <c r="F251" s="2">
        <v>6.689576497151295</v>
      </c>
      <c r="G251" s="2">
        <v>6.7197566525655672</v>
      </c>
      <c r="H251" s="2">
        <v>7.403812651598618</v>
      </c>
    </row>
    <row r="252" spans="1:8" x14ac:dyDescent="0.2">
      <c r="A252" s="16">
        <f>DATE(2017,8,17)</f>
        <v>42964</v>
      </c>
      <c r="B252" s="2">
        <v>23.706757432439218</v>
      </c>
      <c r="C252" s="2">
        <v>14.890308623195647</v>
      </c>
      <c r="D252" s="2">
        <v>13.32015458999758</v>
      </c>
      <c r="E252" s="2">
        <v>5.9098961563291086</v>
      </c>
      <c r="F252" s="2">
        <v>6.7079950412836542</v>
      </c>
      <c r="G252" s="2">
        <v>6.73830165048388</v>
      </c>
      <c r="H252" s="2">
        <v>7.4252330328576699</v>
      </c>
    </row>
    <row r="253" spans="1:8" x14ac:dyDescent="0.2">
      <c r="A253" s="16">
        <f>DATE(2017,8,18)</f>
        <v>42965</v>
      </c>
      <c r="B253" s="2">
        <v>24.056156375297522</v>
      </c>
      <c r="C253" s="2">
        <v>16.137646621370273</v>
      </c>
      <c r="D253" s="2">
        <v>13.36396741588166</v>
      </c>
      <c r="E253" s="2">
        <v>5.9249991704107163</v>
      </c>
      <c r="F253" s="2">
        <v>6.7264167651340356</v>
      </c>
      <c r="G253" s="2">
        <v>6.7568498710196323</v>
      </c>
      <c r="H253" s="2">
        <v>7.4466576861506484</v>
      </c>
    </row>
    <row r="254" spans="1:8" x14ac:dyDescent="0.2">
      <c r="A254" s="16">
        <f>DATE(2017,8,21)</f>
        <v>42968</v>
      </c>
      <c r="B254" s="2">
        <v>24.474675274978708</v>
      </c>
      <c r="C254" s="2">
        <v>16.002433830240225</v>
      </c>
      <c r="D254" s="2">
        <v>13.407797181062374</v>
      </c>
      <c r="E254" s="2">
        <v>5.9401043382196095</v>
      </c>
      <c r="F254" s="2">
        <v>6.7448416692513344</v>
      </c>
      <c r="G254" s="2">
        <v>6.7754013147328207</v>
      </c>
      <c r="H254" s="2">
        <v>7.468086612329583</v>
      </c>
    </row>
    <row r="255" spans="1:8" x14ac:dyDescent="0.2">
      <c r="A255" s="16">
        <f>DATE(2017,8,22)</f>
        <v>42969</v>
      </c>
      <c r="B255" s="2">
        <v>25.924387535076953</v>
      </c>
      <c r="C255" s="2">
        <v>18.329783997566039</v>
      </c>
      <c r="D255" s="2">
        <v>13.451643892088928</v>
      </c>
      <c r="E255" s="2">
        <v>5.9552116600629201</v>
      </c>
      <c r="F255" s="2">
        <v>6.763269754184642</v>
      </c>
      <c r="G255" s="2">
        <v>6.7939559821835296</v>
      </c>
      <c r="H255" s="2">
        <v>7.4895198122466367</v>
      </c>
    </row>
    <row r="256" spans="1:8" x14ac:dyDescent="0.2">
      <c r="A256" s="16">
        <f>DATE(2017,8,23)</f>
        <v>42970</v>
      </c>
      <c r="B256" s="2">
        <v>26.676991951142124</v>
      </c>
      <c r="C256" s="2">
        <v>19.117398505898532</v>
      </c>
      <c r="D256" s="2">
        <v>13.495507555513075</v>
      </c>
      <c r="E256" s="2">
        <v>5.9703211362478248</v>
      </c>
      <c r="F256" s="2">
        <v>6.7817010204830552</v>
      </c>
      <c r="G256" s="2">
        <v>6.8125138739319802</v>
      </c>
      <c r="H256" s="2">
        <v>7.5109572867541718</v>
      </c>
    </row>
    <row r="257" spans="1:8" x14ac:dyDescent="0.2">
      <c r="A257" s="16">
        <f>DATE(2017,8,24)</f>
        <v>42971</v>
      </c>
      <c r="B257" s="2">
        <v>28.243536930227521</v>
      </c>
      <c r="C257" s="2">
        <v>20.224453233275753</v>
      </c>
      <c r="D257" s="2">
        <v>13.539388177889091</v>
      </c>
      <c r="E257" s="2">
        <v>5.9854327670815444</v>
      </c>
      <c r="F257" s="2">
        <v>6.8001354686958004</v>
      </c>
      <c r="G257" s="2">
        <v>6.8310749905384549</v>
      </c>
      <c r="H257" s="2">
        <v>7.5323990367046836</v>
      </c>
    </row>
    <row r="258" spans="1:8" x14ac:dyDescent="0.2">
      <c r="A258" s="16">
        <f>DATE(2017,8,25)</f>
        <v>42972</v>
      </c>
      <c r="B258" s="2">
        <v>28.190685342131069</v>
      </c>
      <c r="C258" s="2">
        <v>20.124733799817339</v>
      </c>
      <c r="D258" s="2">
        <v>13.583285765773766</v>
      </c>
      <c r="E258" s="2">
        <v>6.0005465528713442</v>
      </c>
      <c r="F258" s="2">
        <v>6.8185730993721716</v>
      </c>
      <c r="G258" s="2">
        <v>6.8496393325633509</v>
      </c>
      <c r="H258" s="2">
        <v>7.5538450629508702</v>
      </c>
    </row>
    <row r="259" spans="1:8" x14ac:dyDescent="0.2">
      <c r="A259" s="16">
        <f>DATE(2017,8,28)</f>
        <v>42975</v>
      </c>
      <c r="B259" s="2">
        <v>28.454613518382342</v>
      </c>
      <c r="C259" s="2">
        <v>20.028394686137197</v>
      </c>
      <c r="D259" s="2">
        <v>13.62720032572653</v>
      </c>
      <c r="E259" s="2">
        <v>6.0156624939245118</v>
      </c>
      <c r="F259" s="2">
        <v>6.8370139130615959</v>
      </c>
      <c r="G259" s="2">
        <v>6.8682069005671531</v>
      </c>
      <c r="H259" s="2">
        <v>7.5752953663455802</v>
      </c>
    </row>
    <row r="260" spans="1:8" x14ac:dyDescent="0.2">
      <c r="A260" s="16">
        <f>DATE(2017,8,29)</f>
        <v>42976</v>
      </c>
      <c r="B260" s="2">
        <v>29.021739294719495</v>
      </c>
      <c r="C260" s="2">
        <v>20.557414731433489</v>
      </c>
      <c r="D260" s="2">
        <v>13.671131864309215</v>
      </c>
      <c r="E260" s="2">
        <v>6.0307805905483791</v>
      </c>
      <c r="F260" s="2">
        <v>6.8554579103135449</v>
      </c>
      <c r="G260" s="2">
        <v>6.8867776951104576</v>
      </c>
      <c r="H260" s="2">
        <v>7.5967499477418432</v>
      </c>
    </row>
    <row r="261" spans="1:8" x14ac:dyDescent="0.2">
      <c r="A261" s="16">
        <f>DATE(2017,8,30)</f>
        <v>42977</v>
      </c>
      <c r="B261" s="2">
        <v>29.944165419631165</v>
      </c>
      <c r="C261" s="2">
        <v>19.808673900550875</v>
      </c>
      <c r="D261" s="2">
        <v>13.715080388086266</v>
      </c>
      <c r="E261" s="2">
        <v>6.0459008430503669</v>
      </c>
      <c r="F261" s="2">
        <v>6.87390509167769</v>
      </c>
      <c r="G261" s="2">
        <v>6.9053517167539269</v>
      </c>
      <c r="H261" s="2">
        <v>7.6182088079928434</v>
      </c>
    </row>
    <row r="262" spans="1:8" x14ac:dyDescent="0.2">
      <c r="A262" s="16">
        <f>DATE(2017,8,31)</f>
        <v>42978</v>
      </c>
      <c r="B262" s="2">
        <v>30.961199528382188</v>
      </c>
      <c r="C262" s="2">
        <v>19.722560254199941</v>
      </c>
      <c r="D262" s="2">
        <v>13.759045903624646</v>
      </c>
      <c r="E262" s="2">
        <v>6.0610232517378959</v>
      </c>
      <c r="F262" s="2">
        <v>6.8923554577036583</v>
      </c>
      <c r="G262" s="2">
        <v>6.9239289660583792</v>
      </c>
      <c r="H262" s="2">
        <v>7.6396719479519426</v>
      </c>
    </row>
    <row r="263" spans="1:8" x14ac:dyDescent="0.2">
      <c r="A263" s="16">
        <f>DATE(2017,9,1)</f>
        <v>42979</v>
      </c>
      <c r="B263" s="2">
        <v>31.833577061160408</v>
      </c>
      <c r="C263" s="2">
        <v>21.561555623161819</v>
      </c>
      <c r="D263" s="2">
        <v>13.803028417493858</v>
      </c>
      <c r="E263" s="2">
        <v>6.0764707593514267</v>
      </c>
      <c r="F263" s="2">
        <v>6.9111344924499107</v>
      </c>
      <c r="G263" s="2">
        <v>6.9428350236033776</v>
      </c>
      <c r="H263" s="2">
        <v>7.6614671363168574</v>
      </c>
    </row>
    <row r="264" spans="1:8" x14ac:dyDescent="0.2">
      <c r="A264" s="16">
        <f>DATE(2017,9,4)</f>
        <v>42982</v>
      </c>
      <c r="B264" s="2">
        <v>31.640218430330489</v>
      </c>
      <c r="C264" s="2">
        <v>21.909255315552723</v>
      </c>
      <c r="D264" s="2">
        <v>13.847027936265931</v>
      </c>
      <c r="E264" s="2">
        <v>6.0919205168535884</v>
      </c>
      <c r="F264" s="2">
        <v>6.9299168263295963</v>
      </c>
      <c r="G264" s="2">
        <v>6.9617444240765103</v>
      </c>
      <c r="H264" s="2">
        <v>7.6832667378337938</v>
      </c>
    </row>
    <row r="265" spans="1:8" x14ac:dyDescent="0.2">
      <c r="A265" s="16">
        <f>DATE(2017,9,5)</f>
        <v>42983</v>
      </c>
      <c r="B265" s="2">
        <v>32.114515575657741</v>
      </c>
      <c r="C265" s="2">
        <v>21.946523341107959</v>
      </c>
      <c r="D265" s="2">
        <v>13.891044466515456</v>
      </c>
      <c r="E265" s="2">
        <v>6.1073725245720745</v>
      </c>
      <c r="F265" s="2">
        <v>6.9487024599223401</v>
      </c>
      <c r="G265" s="2">
        <v>6.9806571680688601</v>
      </c>
      <c r="H265" s="2">
        <v>7.7050707533963259</v>
      </c>
    </row>
    <row r="266" spans="1:8" x14ac:dyDescent="0.2">
      <c r="A266" s="16">
        <f>DATE(2017,9,6)</f>
        <v>42984</v>
      </c>
      <c r="B266" s="2">
        <v>33.010663613416291</v>
      </c>
      <c r="C266" s="2">
        <v>24.078710746036446</v>
      </c>
      <c r="D266" s="2">
        <v>13.935078014819569</v>
      </c>
      <c r="E266" s="2">
        <v>6.122826782834645</v>
      </c>
      <c r="F266" s="2">
        <v>6.9674913938078342</v>
      </c>
      <c r="G266" s="2">
        <v>6.999573256171665</v>
      </c>
      <c r="H266" s="2">
        <v>7.7268791838982498</v>
      </c>
    </row>
    <row r="267" spans="1:8" x14ac:dyDescent="0.2">
      <c r="A267" s="16">
        <f>DATE(2017,9,8)</f>
        <v>42986</v>
      </c>
      <c r="B267" s="2">
        <v>34.597063147239581</v>
      </c>
      <c r="C267" s="2">
        <v>23.514941013419733</v>
      </c>
      <c r="D267" s="2">
        <v>13.979128587757939</v>
      </c>
      <c r="E267" s="2">
        <v>6.13828329196906</v>
      </c>
      <c r="F267" s="2">
        <v>6.9862836285658814</v>
      </c>
      <c r="G267" s="2">
        <v>7.0184926889762078</v>
      </c>
      <c r="H267" s="2">
        <v>7.748692030233495</v>
      </c>
    </row>
    <row r="268" spans="1:8" x14ac:dyDescent="0.2">
      <c r="A268" s="16">
        <f>DATE(2017,9,11)</f>
        <v>42989</v>
      </c>
      <c r="B268" s="2">
        <v>35.963963364842733</v>
      </c>
      <c r="C268" s="2">
        <v>25.611364635094347</v>
      </c>
      <c r="D268" s="2">
        <v>14.019031354543101</v>
      </c>
      <c r="E268" s="2">
        <v>6.1537420523031683</v>
      </c>
      <c r="F268" s="2">
        <v>7.0050791647763946</v>
      </c>
      <c r="G268" s="2">
        <v>7.037415467073882</v>
      </c>
      <c r="H268" s="2">
        <v>7.7705092932962128</v>
      </c>
    </row>
    <row r="269" spans="1:8" x14ac:dyDescent="0.2">
      <c r="A269" s="16">
        <f>DATE(2017,9,12)</f>
        <v>42990</v>
      </c>
      <c r="B269" s="2">
        <v>36.530237250249932</v>
      </c>
      <c r="C269" s="2">
        <v>25.982067403576249</v>
      </c>
      <c r="D269" s="2">
        <v>14.058948090822666</v>
      </c>
      <c r="E269" s="2">
        <v>6.1692030641648854</v>
      </c>
      <c r="F269" s="2">
        <v>7.0238780030193793</v>
      </c>
      <c r="G269" s="2">
        <v>7.0563415910562144</v>
      </c>
      <c r="H269" s="2">
        <v>7.7923309739807101</v>
      </c>
    </row>
    <row r="270" spans="1:8" x14ac:dyDescent="0.2">
      <c r="A270" s="16">
        <f>DATE(2017,9,13)</f>
        <v>42991</v>
      </c>
      <c r="B270" s="2">
        <v>36.558246599615487</v>
      </c>
      <c r="C270" s="2">
        <v>26.402951019166299</v>
      </c>
      <c r="D270" s="2">
        <v>14.09887880148719</v>
      </c>
      <c r="E270" s="2">
        <v>6.184666327882038</v>
      </c>
      <c r="F270" s="2">
        <v>7.0426801438749242</v>
      </c>
      <c r="G270" s="2">
        <v>7.075271061514754</v>
      </c>
      <c r="H270" s="2">
        <v>7.8141570731814269</v>
      </c>
    </row>
    <row r="271" spans="1:8" x14ac:dyDescent="0.2">
      <c r="A271" s="16">
        <f>DATE(2017,9,14)</f>
        <v>42992</v>
      </c>
      <c r="B271" s="2">
        <v>37.759433421082633</v>
      </c>
      <c r="C271" s="2">
        <v>26.181725991278636</v>
      </c>
      <c r="D271" s="2">
        <v>14.138823491428919</v>
      </c>
      <c r="E271" s="2">
        <v>6.2001318437826969</v>
      </c>
      <c r="F271" s="2">
        <v>7.061485587923233</v>
      </c>
      <c r="G271" s="2">
        <v>7.0942038790412942</v>
      </c>
      <c r="H271" s="2">
        <v>7.8359875917931143</v>
      </c>
    </row>
    <row r="272" spans="1:8" x14ac:dyDescent="0.2">
      <c r="A272" s="16">
        <f>DATE(2017,9,15)</f>
        <v>42993</v>
      </c>
      <c r="B272" s="2">
        <v>37.597945129155576</v>
      </c>
      <c r="C272" s="2">
        <v>28.040631443734455</v>
      </c>
      <c r="D272" s="2">
        <v>14.178782165541849</v>
      </c>
      <c r="E272" s="2">
        <v>6.2155996121948665</v>
      </c>
      <c r="F272" s="2">
        <v>7.0802943357446413</v>
      </c>
      <c r="G272" s="2">
        <v>7.113140044227606</v>
      </c>
      <c r="H272" s="2">
        <v>7.8578225307105898</v>
      </c>
    </row>
    <row r="273" spans="1:8" x14ac:dyDescent="0.2">
      <c r="A273" s="16">
        <f>DATE(2017,9,18)</f>
        <v>42996</v>
      </c>
      <c r="B273" s="2">
        <v>37.17658888307065</v>
      </c>
      <c r="C273" s="2">
        <v>28.435942940202018</v>
      </c>
      <c r="D273" s="2">
        <v>14.218754828721636</v>
      </c>
      <c r="E273" s="2">
        <v>6.2310696334465954</v>
      </c>
      <c r="F273" s="2">
        <v>7.0991063879195524</v>
      </c>
      <c r="G273" s="2">
        <v>7.1320795576656382</v>
      </c>
      <c r="H273" s="2">
        <v>7.8796618908288929</v>
      </c>
    </row>
    <row r="274" spans="1:8" x14ac:dyDescent="0.2">
      <c r="A274" s="16">
        <f>DATE(2017,9,19)</f>
        <v>42997</v>
      </c>
      <c r="B274" s="2">
        <v>36.773479591097797</v>
      </c>
      <c r="C274" s="2">
        <v>28.408511645201507</v>
      </c>
      <c r="D274" s="2">
        <v>14.258741485865791</v>
      </c>
      <c r="E274" s="2">
        <v>6.2465419078660211</v>
      </c>
      <c r="F274" s="2">
        <v>7.1179217450284993</v>
      </c>
      <c r="G274" s="2">
        <v>7.1510224199474282</v>
      </c>
      <c r="H274" s="2">
        <v>7.9015056730432409</v>
      </c>
    </row>
    <row r="275" spans="1:8" x14ac:dyDescent="0.2">
      <c r="A275" s="16">
        <f>DATE(2017,9,20)</f>
        <v>42998</v>
      </c>
      <c r="B275" s="2">
        <v>36.906917313130471</v>
      </c>
      <c r="C275" s="2">
        <v>28.459165737078607</v>
      </c>
      <c r="D275" s="2">
        <v>14.298742141873344</v>
      </c>
      <c r="E275" s="2">
        <v>6.2620164357813257</v>
      </c>
      <c r="F275" s="2">
        <v>7.1367404076520646</v>
      </c>
      <c r="G275" s="2">
        <v>7.1699686316651254</v>
      </c>
      <c r="H275" s="2">
        <v>7.9233538782490509</v>
      </c>
    </row>
    <row r="276" spans="1:8" x14ac:dyDescent="0.2">
      <c r="A276" s="16">
        <f>DATE(2017,9,21)</f>
        <v>42999</v>
      </c>
      <c r="B276" s="2">
        <v>36.846817782041462</v>
      </c>
      <c r="C276" s="2">
        <v>27.783422911807353</v>
      </c>
      <c r="D276" s="2">
        <v>14.338756801645157</v>
      </c>
      <c r="E276" s="2">
        <v>6.2774932175206466</v>
      </c>
      <c r="F276" s="2">
        <v>7.1555623763709386</v>
      </c>
      <c r="G276" s="2">
        <v>7.1889181934108759</v>
      </c>
      <c r="H276" s="2">
        <v>7.9452065073418066</v>
      </c>
    </row>
    <row r="277" spans="1:8" x14ac:dyDescent="0.2">
      <c r="A277" s="16">
        <f>DATE(2017,9,22)</f>
        <v>43000</v>
      </c>
      <c r="B277" s="2">
        <v>36.373626720905513</v>
      </c>
      <c r="C277" s="2">
        <v>27.420731501199924</v>
      </c>
      <c r="D277" s="2">
        <v>14.3787854700838</v>
      </c>
      <c r="E277" s="2">
        <v>6.2929722534123664</v>
      </c>
      <c r="F277" s="2">
        <v>7.1743876517660343</v>
      </c>
      <c r="G277" s="2">
        <v>7.2078711057771638</v>
      </c>
      <c r="H277" s="2">
        <v>7.9670635612174134</v>
      </c>
    </row>
    <row r="278" spans="1:8" x14ac:dyDescent="0.2">
      <c r="A278" s="16">
        <f>DATE(2017,9,25)</f>
        <v>43003</v>
      </c>
      <c r="B278" s="2">
        <v>34.349843025355952</v>
      </c>
      <c r="C278" s="2">
        <v>25.821367001318229</v>
      </c>
      <c r="D278" s="2">
        <v>14.41882815209352</v>
      </c>
      <c r="E278" s="2">
        <v>6.3084535437847089</v>
      </c>
      <c r="F278" s="2">
        <v>7.1932162344182196</v>
      </c>
      <c r="G278" s="2">
        <v>7.2268273693563367</v>
      </c>
      <c r="H278" s="2">
        <v>7.9889250407717327</v>
      </c>
    </row>
    <row r="279" spans="1:8" x14ac:dyDescent="0.2">
      <c r="A279" s="16">
        <f>DATE(2017,9,26)</f>
        <v>43004</v>
      </c>
      <c r="B279" s="2">
        <v>34.818012052058208</v>
      </c>
      <c r="C279" s="2">
        <v>25.610519555149814</v>
      </c>
      <c r="D279" s="2">
        <v>14.458884852580335</v>
      </c>
      <c r="E279" s="2">
        <v>6.3239370889660798</v>
      </c>
      <c r="F279" s="2">
        <v>7.2120481249084989</v>
      </c>
      <c r="G279" s="2">
        <v>7.2457869847409873</v>
      </c>
      <c r="H279" s="2">
        <v>8.0107909469009133</v>
      </c>
    </row>
    <row r="280" spans="1:8" x14ac:dyDescent="0.2">
      <c r="A280" s="16">
        <f>DATE(2017,9,27)</f>
        <v>43005</v>
      </c>
      <c r="B280" s="2">
        <v>32.675286520461079</v>
      </c>
      <c r="C280" s="2">
        <v>24.728239191427416</v>
      </c>
      <c r="D280" s="2">
        <v>14.498955576451934</v>
      </c>
      <c r="E280" s="2">
        <v>6.3394228892848634</v>
      </c>
      <c r="F280" s="2">
        <v>7.230883323818027</v>
      </c>
      <c r="G280" s="2">
        <v>7.2647499525237524</v>
      </c>
      <c r="H280" s="2">
        <v>8.032661280501241</v>
      </c>
    </row>
    <row r="281" spans="1:8" x14ac:dyDescent="0.2">
      <c r="A281" s="16">
        <f>DATE(2017,9,28)</f>
        <v>43006</v>
      </c>
      <c r="B281" s="2">
        <v>33.518486788889177</v>
      </c>
      <c r="C281" s="2">
        <v>24.340415103268676</v>
      </c>
      <c r="D281" s="2">
        <v>14.539040328617704</v>
      </c>
      <c r="E281" s="2">
        <v>6.3549109450695251</v>
      </c>
      <c r="F281" s="2">
        <v>7.249721831728051</v>
      </c>
      <c r="G281" s="2">
        <v>7.2837162732974248</v>
      </c>
      <c r="H281" s="2">
        <v>8.0545360424692181</v>
      </c>
    </row>
    <row r="282" spans="1:8" x14ac:dyDescent="0.2">
      <c r="A282" s="16">
        <f>DATE(2017,9,29)</f>
        <v>43007</v>
      </c>
      <c r="B282" s="2">
        <v>35.184338892104819</v>
      </c>
      <c r="C282" s="2">
        <v>25.567910624344961</v>
      </c>
      <c r="D282" s="2">
        <v>14.579139113988893</v>
      </c>
      <c r="E282" s="2">
        <v>6.3704012566485613</v>
      </c>
      <c r="F282" s="2">
        <v>7.2685636492198391</v>
      </c>
      <c r="G282" s="2">
        <v>7.3026859476548633</v>
      </c>
      <c r="H282" s="2">
        <v>8.0764152337015052</v>
      </c>
    </row>
    <row r="283" spans="1:8" x14ac:dyDescent="0.2">
      <c r="A283" s="16">
        <f>DATE(2017,10,2)</f>
        <v>43010</v>
      </c>
      <c r="B283" s="2">
        <v>34.655280274176953</v>
      </c>
      <c r="C283" s="2">
        <v>25.680002028191783</v>
      </c>
      <c r="D283" s="2">
        <v>14.619251937478261</v>
      </c>
      <c r="E283" s="2">
        <v>6.4056692172784757</v>
      </c>
      <c r="F283" s="2">
        <v>7.3073517466476279</v>
      </c>
      <c r="G283" s="2">
        <v>7.3416083125121379</v>
      </c>
      <c r="H283" s="2">
        <v>8.1183925560345926</v>
      </c>
    </row>
    <row r="284" spans="1:8" x14ac:dyDescent="0.2">
      <c r="A284" s="16">
        <f>DATE(2017,10,3)</f>
        <v>43011</v>
      </c>
      <c r="B284" s="2">
        <v>37.701216294145247</v>
      </c>
      <c r="C284" s="2">
        <v>29.741591454551511</v>
      </c>
      <c r="D284" s="2">
        <v>14.659378804000434</v>
      </c>
      <c r="E284" s="2">
        <v>6.4409488712839469</v>
      </c>
      <c r="F284" s="2">
        <v>7.3461538697736639</v>
      </c>
      <c r="G284" s="2">
        <v>7.3805447958462667</v>
      </c>
      <c r="H284" s="2">
        <v>8.1603861825316084</v>
      </c>
    </row>
    <row r="285" spans="1:8" x14ac:dyDescent="0.2">
      <c r="A285" s="16">
        <f>DATE(2017,10,4)</f>
        <v>43012</v>
      </c>
      <c r="B285" s="2">
        <v>38.638509289801839</v>
      </c>
      <c r="C285" s="2">
        <v>29.45177973836315</v>
      </c>
      <c r="D285" s="2">
        <v>14.699519718471675</v>
      </c>
      <c r="E285" s="2">
        <v>6.4762402225419624</v>
      </c>
      <c r="F285" s="2">
        <v>7.384970023669557</v>
      </c>
      <c r="G285" s="2">
        <v>7.4194954027784643</v>
      </c>
      <c r="H285" s="2">
        <v>8.2023961195251349</v>
      </c>
    </row>
    <row r="286" spans="1:8" x14ac:dyDescent="0.2">
      <c r="A286" s="16">
        <f>DATE(2017,10,5)</f>
        <v>43013</v>
      </c>
      <c r="B286" s="2">
        <v>38.981848814916638</v>
      </c>
      <c r="C286" s="2">
        <v>29.495876009870425</v>
      </c>
      <c r="D286" s="2">
        <v>14.739674685810057</v>
      </c>
      <c r="E286" s="2">
        <v>6.5115432749308422</v>
      </c>
      <c r="F286" s="2">
        <v>7.4238002134088266</v>
      </c>
      <c r="G286" s="2">
        <v>7.458460138431855</v>
      </c>
      <c r="H286" s="2">
        <v>8.2444223733502575</v>
      </c>
    </row>
    <row r="287" spans="1:8" x14ac:dyDescent="0.2">
      <c r="A287" s="16">
        <f>DATE(2017,10,6)</f>
        <v>43014</v>
      </c>
      <c r="B287" s="2">
        <v>38.420645054560154</v>
      </c>
      <c r="C287" s="2">
        <v>28.544637122671698</v>
      </c>
      <c r="D287" s="2">
        <v>14.779843710935303</v>
      </c>
      <c r="E287" s="2">
        <v>6.5468580323302161</v>
      </c>
      <c r="F287" s="2">
        <v>7.4626444440668127</v>
      </c>
      <c r="G287" s="2">
        <v>7.4974390079314279</v>
      </c>
      <c r="H287" s="2">
        <v>8.2864649503444845</v>
      </c>
    </row>
    <row r="288" spans="1:8" x14ac:dyDescent="0.2">
      <c r="A288" s="16">
        <f>DATE(2017,10,9)</f>
        <v>43017</v>
      </c>
      <c r="B288" s="2">
        <v>37.975999209665012</v>
      </c>
      <c r="C288" s="2">
        <v>27.990416793428551</v>
      </c>
      <c r="D288" s="2">
        <v>14.820026798768925</v>
      </c>
      <c r="E288" s="2">
        <v>6.5821844986209799</v>
      </c>
      <c r="F288" s="2">
        <v>7.5015027207206986</v>
      </c>
      <c r="G288" s="2">
        <v>7.5364320164040377</v>
      </c>
      <c r="H288" s="2">
        <v>8.3285238568478572</v>
      </c>
    </row>
    <row r="289" spans="1:8" x14ac:dyDescent="0.2">
      <c r="A289" s="16">
        <f>DATE(2017,10,10)</f>
        <v>43018</v>
      </c>
      <c r="B289" s="2">
        <v>39.340962062411378</v>
      </c>
      <c r="C289" s="2">
        <v>29.968579927661064</v>
      </c>
      <c r="D289" s="2">
        <v>14.86022395423403</v>
      </c>
      <c r="E289" s="2">
        <v>6.6175226776852503</v>
      </c>
      <c r="F289" s="2">
        <v>7.5403750484494214</v>
      </c>
      <c r="G289" s="2">
        <v>7.5754391689782929</v>
      </c>
      <c r="H289" s="2">
        <v>8.3705990992027246</v>
      </c>
    </row>
    <row r="290" spans="1:8" x14ac:dyDescent="0.2">
      <c r="A290" s="16">
        <f>DATE(2017,10,11)</f>
        <v>43019</v>
      </c>
      <c r="B290" s="2">
        <v>38.218128596233434</v>
      </c>
      <c r="C290" s="2">
        <v>29.567319068383771</v>
      </c>
      <c r="D290" s="2">
        <v>14.90043518225559</v>
      </c>
      <c r="E290" s="2">
        <v>6.6528725734065652</v>
      </c>
      <c r="F290" s="2">
        <v>7.5792614323338947</v>
      </c>
      <c r="G290" s="2">
        <v>7.6144604707848229</v>
      </c>
      <c r="H290" s="2">
        <v>8.4126906837540751</v>
      </c>
    </row>
    <row r="291" spans="1:8" x14ac:dyDescent="0.2">
      <c r="A291" s="16">
        <f>DATE(2017,10,13)</f>
        <v>43021</v>
      </c>
      <c r="B291" s="2">
        <v>38.409714744322045</v>
      </c>
      <c r="C291" s="2">
        <v>30.12505493019626</v>
      </c>
      <c r="D291" s="2">
        <v>14.940660487760193</v>
      </c>
      <c r="E291" s="2">
        <v>6.6882341896696396</v>
      </c>
      <c r="F291" s="2">
        <v>7.6181618774567639</v>
      </c>
      <c r="G291" s="2">
        <v>7.6534959269560332</v>
      </c>
      <c r="H291" s="2">
        <v>8.4547986168492564</v>
      </c>
    </row>
    <row r="292" spans="1:8" x14ac:dyDescent="0.2">
      <c r="A292" s="16">
        <f>DATE(2017,10,16)</f>
        <v>43024</v>
      </c>
      <c r="B292" s="2">
        <v>37.921773603939627</v>
      </c>
      <c r="C292" s="2">
        <v>29.959503769056429</v>
      </c>
      <c r="D292" s="2">
        <v>14.980899875676281</v>
      </c>
      <c r="E292" s="2">
        <v>6.7236075303605203</v>
      </c>
      <c r="F292" s="2">
        <v>7.6570763889025617</v>
      </c>
      <c r="G292" s="2">
        <v>7.6925455426261724</v>
      </c>
      <c r="H292" s="2">
        <v>8.4969229048381223</v>
      </c>
    </row>
    <row r="293" spans="1:8" x14ac:dyDescent="0.2">
      <c r="A293" s="16">
        <f>DATE(2017,10,17)</f>
        <v>43025</v>
      </c>
      <c r="B293" s="2">
        <v>36.439524606388552</v>
      </c>
      <c r="C293" s="2">
        <v>28.792296251225235</v>
      </c>
      <c r="D293" s="2">
        <v>15.021153350933879</v>
      </c>
      <c r="E293" s="2">
        <v>6.7589925993665201</v>
      </c>
      <c r="F293" s="2">
        <v>7.6960049717576418</v>
      </c>
      <c r="G293" s="2">
        <v>7.7316093229313756</v>
      </c>
      <c r="H293" s="2">
        <v>8.5390635540729676</v>
      </c>
    </row>
    <row r="294" spans="1:8" x14ac:dyDescent="0.2">
      <c r="A294" s="16">
        <f>DATE(2017,10,18)</f>
        <v>43026</v>
      </c>
      <c r="B294" s="2">
        <v>38.570474806905828</v>
      </c>
      <c r="C294" s="2">
        <v>29.451188182401911</v>
      </c>
      <c r="D294" s="2">
        <v>15.06142091846483</v>
      </c>
      <c r="E294" s="2">
        <v>6.7943894005762839</v>
      </c>
      <c r="F294" s="2">
        <v>7.7349476311101784</v>
      </c>
      <c r="G294" s="2">
        <v>7.7706872730096466</v>
      </c>
      <c r="H294" s="2">
        <v>8.5812205709085756</v>
      </c>
    </row>
    <row r="295" spans="1:8" x14ac:dyDescent="0.2">
      <c r="A295" s="16">
        <f>DATE(2017,10,19)</f>
        <v>43027</v>
      </c>
      <c r="B295" s="2">
        <v>38.115249026268017</v>
      </c>
      <c r="C295" s="2">
        <v>28.930737247743512</v>
      </c>
      <c r="D295" s="2">
        <v>15.101702583202647</v>
      </c>
      <c r="E295" s="2">
        <v>6.8297979378797002</v>
      </c>
      <c r="F295" s="2">
        <v>7.773904372050211</v>
      </c>
      <c r="G295" s="2">
        <v>7.809779398000849</v>
      </c>
      <c r="H295" s="2">
        <v>8.6233939617021971</v>
      </c>
    </row>
    <row r="296" spans="1:8" x14ac:dyDescent="0.2">
      <c r="A296" s="16">
        <f>DATE(2017,10,20)</f>
        <v>43028</v>
      </c>
      <c r="B296" s="2">
        <v>38.067055357933619</v>
      </c>
      <c r="C296" s="2">
        <v>29.112175911841121</v>
      </c>
      <c r="D296" s="2">
        <v>15.141998350082607</v>
      </c>
      <c r="E296" s="2">
        <v>6.8652182151679897</v>
      </c>
      <c r="F296" s="2">
        <v>7.8128751996696444</v>
      </c>
      <c r="G296" s="2">
        <v>7.8488857030467374</v>
      </c>
      <c r="H296" s="2">
        <v>8.6655837328135643</v>
      </c>
    </row>
    <row r="297" spans="1:8" x14ac:dyDescent="0.2">
      <c r="A297" s="16">
        <f>DATE(2017,10,23)</f>
        <v>43031</v>
      </c>
      <c r="B297" s="2">
        <v>36.051027991899304</v>
      </c>
      <c r="C297" s="2">
        <v>27.460247439407649</v>
      </c>
      <c r="D297" s="2">
        <v>15.182308224041764</v>
      </c>
      <c r="E297" s="2">
        <v>6.900650236333572</v>
      </c>
      <c r="F297" s="2">
        <v>7.8518601190621151</v>
      </c>
      <c r="G297" s="2">
        <v>7.8880061932908418</v>
      </c>
      <c r="H297" s="2">
        <v>8.7077898906047668</v>
      </c>
    </row>
    <row r="298" spans="1:8" x14ac:dyDescent="0.2">
      <c r="A298" s="16">
        <f>DATE(2017,10,24)</f>
        <v>43032</v>
      </c>
      <c r="B298" s="2">
        <v>36.591106231211135</v>
      </c>
      <c r="C298" s="2">
        <v>29.044028665111576</v>
      </c>
      <c r="D298" s="2">
        <v>15.222632210018737</v>
      </c>
      <c r="E298" s="2">
        <v>6.9360940052703324</v>
      </c>
      <c r="F298" s="2">
        <v>7.8908591353232804</v>
      </c>
      <c r="G298" s="2">
        <v>7.9271408738786908</v>
      </c>
      <c r="H298" s="2">
        <v>8.75001244144058</v>
      </c>
    </row>
    <row r="299" spans="1:8" x14ac:dyDescent="0.2">
      <c r="A299" s="16">
        <f>DATE(2017,10,25)</f>
        <v>43033</v>
      </c>
      <c r="B299" s="2">
        <v>36.877774399221067</v>
      </c>
      <c r="C299" s="2">
        <v>29.58646857992753</v>
      </c>
      <c r="D299" s="2">
        <v>15.262970312954094</v>
      </c>
      <c r="E299" s="2">
        <v>6.9715495258732219</v>
      </c>
      <c r="F299" s="2">
        <v>7.9298722535504398</v>
      </c>
      <c r="G299" s="2">
        <v>7.9662897499575447</v>
      </c>
      <c r="H299" s="2">
        <v>8.7922513916880227</v>
      </c>
    </row>
    <row r="300" spans="1:8" x14ac:dyDescent="0.2">
      <c r="A300" s="16">
        <f>DATE(2017,10,26)</f>
        <v>43034</v>
      </c>
      <c r="B300" s="2">
        <v>35.967721303057829</v>
      </c>
      <c r="C300" s="2">
        <v>28.276966501030866</v>
      </c>
      <c r="D300" s="2">
        <v>15.303322537789921</v>
      </c>
      <c r="E300" s="2">
        <v>7.0070168020386792</v>
      </c>
      <c r="F300" s="2">
        <v>7.9688994788429168</v>
      </c>
      <c r="G300" s="2">
        <v>8.00545282667664</v>
      </c>
      <c r="H300" s="2">
        <v>8.8345067477167536</v>
      </c>
    </row>
    <row r="301" spans="1:8" x14ac:dyDescent="0.2">
      <c r="A301" s="16">
        <f>DATE(2017,10,27)</f>
        <v>43035</v>
      </c>
      <c r="B301" s="2">
        <v>36.898212911451253</v>
      </c>
      <c r="C301" s="2">
        <v>28.411097589831869</v>
      </c>
      <c r="D301" s="2">
        <v>15.340503426345187</v>
      </c>
      <c r="E301" s="2">
        <v>7.0424958376643199</v>
      </c>
      <c r="F301" s="2">
        <v>8.0079408163017831</v>
      </c>
      <c r="G301" s="2">
        <v>8.0446301091870112</v>
      </c>
      <c r="H301" s="2">
        <v>8.8767785158988524</v>
      </c>
    </row>
    <row r="302" spans="1:8" x14ac:dyDescent="0.2">
      <c r="A302" s="16">
        <f>DATE(2017,10,30)</f>
        <v>43038</v>
      </c>
      <c r="B302" s="2">
        <v>35.037490758013881</v>
      </c>
      <c r="C302" s="2">
        <v>26.424517459351502</v>
      </c>
      <c r="D302" s="2">
        <v>15.377696304307541</v>
      </c>
      <c r="E302" s="2">
        <v>7.077986636649114</v>
      </c>
      <c r="F302" s="2">
        <v>8.0469962710299381</v>
      </c>
      <c r="G302" s="2">
        <v>8.0838216026416045</v>
      </c>
      <c r="H302" s="2">
        <v>8.9190667026088466</v>
      </c>
    </row>
    <row r="303" spans="1:8" x14ac:dyDescent="0.2">
      <c r="A303" s="16">
        <f>DATE(2017,10,31)</f>
        <v>43039</v>
      </c>
      <c r="B303" s="2">
        <v>34.956609210287425</v>
      </c>
      <c r="C303" s="2">
        <v>25.593229219484016</v>
      </c>
      <c r="D303" s="2">
        <v>15.41490117554314</v>
      </c>
      <c r="E303" s="2">
        <v>7.113489202893275</v>
      </c>
      <c r="F303" s="2">
        <v>8.0860658481321845</v>
      </c>
      <c r="G303" s="2">
        <v>8.1230273121952088</v>
      </c>
      <c r="H303" s="2">
        <v>8.961371314223765</v>
      </c>
    </row>
    <row r="304" spans="1:8" x14ac:dyDescent="0.2">
      <c r="A304" s="16">
        <f>DATE(2017,11,1)</f>
        <v>43040</v>
      </c>
      <c r="B304" s="2">
        <v>35.238220993422956</v>
      </c>
      <c r="C304" s="2">
        <v>24.773924213230416</v>
      </c>
      <c r="D304" s="2">
        <v>15.452118043919304</v>
      </c>
      <c r="E304" s="2">
        <v>7.1397948832834457</v>
      </c>
      <c r="F304" s="2">
        <v>8.1158570032371582</v>
      </c>
      <c r="G304" s="2">
        <v>8.1529515052569668</v>
      </c>
      <c r="H304" s="2">
        <v>8.9943243034491971</v>
      </c>
    </row>
    <row r="305" spans="1:8" x14ac:dyDescent="0.2">
      <c r="A305" s="16">
        <f>DATE(2017,11,3)</f>
        <v>43042</v>
      </c>
      <c r="B305" s="2">
        <v>34.729339824375757</v>
      </c>
      <c r="C305" s="2">
        <v>24.928894973464288</v>
      </c>
      <c r="D305" s="2">
        <v>15.489346913304658</v>
      </c>
      <c r="E305" s="2">
        <v>7.1661070240067071</v>
      </c>
      <c r="F305" s="2">
        <v>8.1456563695108333</v>
      </c>
      <c r="G305" s="2">
        <v>8.1828839801560758</v>
      </c>
      <c r="H305" s="2">
        <v>9.0272872585871475</v>
      </c>
    </row>
    <row r="306" spans="1:8" x14ac:dyDescent="0.2">
      <c r="A306" s="16">
        <f>DATE(2017,11,6)</f>
        <v>43045</v>
      </c>
      <c r="B306" s="2">
        <v>34.404934262187517</v>
      </c>
      <c r="C306" s="2">
        <v>25.597116587228964</v>
      </c>
      <c r="D306" s="2">
        <v>15.526587787569103</v>
      </c>
      <c r="E306" s="2">
        <v>7.1924256266496567</v>
      </c>
      <c r="F306" s="2">
        <v>8.1754639492164216</v>
      </c>
      <c r="G306" s="2">
        <v>8.2128247391846756</v>
      </c>
      <c r="H306" s="2">
        <v>9.0602601826516249</v>
      </c>
    </row>
    <row r="307" spans="1:8" x14ac:dyDescent="0.2">
      <c r="A307" s="16">
        <f>DATE(2017,11,7)</f>
        <v>43046</v>
      </c>
      <c r="B307" s="2">
        <v>34.24646193895591</v>
      </c>
      <c r="C307" s="2">
        <v>22.392725551837025</v>
      </c>
      <c r="D307" s="2">
        <v>15.56384067058374</v>
      </c>
      <c r="E307" s="2">
        <v>7.2187506927992473</v>
      </c>
      <c r="F307" s="2">
        <v>8.2052797446177337</v>
      </c>
      <c r="G307" s="2">
        <v>8.2427737846354709</v>
      </c>
      <c r="H307" s="2">
        <v>9.0932430786575313</v>
      </c>
    </row>
    <row r="308" spans="1:8" x14ac:dyDescent="0.2">
      <c r="A308" s="16">
        <f>DATE(2017,11,8)</f>
        <v>43047</v>
      </c>
      <c r="B308" s="2">
        <v>36.300817526748986</v>
      </c>
      <c r="C308" s="2">
        <v>25.6855795558258</v>
      </c>
      <c r="D308" s="2">
        <v>15.601105566220919</v>
      </c>
      <c r="E308" s="2">
        <v>7.2450822240428314</v>
      </c>
      <c r="F308" s="2">
        <v>8.235103757979223</v>
      </c>
      <c r="G308" s="2">
        <v>8.2727311188018238</v>
      </c>
      <c r="H308" s="2">
        <v>9.1262359496206535</v>
      </c>
    </row>
    <row r="309" spans="1:8" x14ac:dyDescent="0.2">
      <c r="A309" s="16">
        <f>DATE(2017,11,9)</f>
        <v>43048</v>
      </c>
      <c r="B309" s="2">
        <v>32.510699818780765</v>
      </c>
      <c r="C309" s="2">
        <v>23.264526924246852</v>
      </c>
      <c r="D309" s="2">
        <v>15.638382478354229</v>
      </c>
      <c r="E309" s="2">
        <v>7.2714202219681612</v>
      </c>
      <c r="F309" s="2">
        <v>8.2649359915659684</v>
      </c>
      <c r="G309" s="2">
        <v>8.3026967439777213</v>
      </c>
      <c r="H309" s="2">
        <v>9.1592387985576895</v>
      </c>
    </row>
    <row r="310" spans="1:8" x14ac:dyDescent="0.2">
      <c r="A310" s="16">
        <f>DATE(2017,11,10)</f>
        <v>43049</v>
      </c>
      <c r="B310" s="2">
        <v>30.15344204469206</v>
      </c>
      <c r="C310" s="2">
        <v>21.97147010107139</v>
      </c>
      <c r="D310" s="2">
        <v>15.675671410858572</v>
      </c>
      <c r="E310" s="2">
        <v>7.2977646881633662</v>
      </c>
      <c r="F310" s="2">
        <v>8.2947764476436703</v>
      </c>
      <c r="G310" s="2">
        <v>8.3326706624577742</v>
      </c>
      <c r="H310" s="2">
        <v>9.1922516284862699</v>
      </c>
    </row>
    <row r="311" spans="1:8" x14ac:dyDescent="0.2">
      <c r="A311" s="16">
        <f>DATE(2017,11,13)</f>
        <v>43052</v>
      </c>
      <c r="B311" s="2">
        <v>30.878724120206137</v>
      </c>
      <c r="C311" s="2">
        <v>22.494625291552417</v>
      </c>
      <c r="D311" s="2">
        <v>15.712972367610067</v>
      </c>
      <c r="E311" s="2">
        <v>7.3241156242169758</v>
      </c>
      <c r="F311" s="2">
        <v>8.3246251284786243</v>
      </c>
      <c r="G311" s="2">
        <v>8.3626528765372576</v>
      </c>
      <c r="H311" s="2">
        <v>9.2252744424249364</v>
      </c>
    </row>
    <row r="312" spans="1:8" x14ac:dyDescent="0.2">
      <c r="A312" s="16">
        <f>DATE(2017,11,14)</f>
        <v>43053</v>
      </c>
      <c r="B312" s="2">
        <v>29.891664206030018</v>
      </c>
      <c r="C312" s="2">
        <v>19.708261501537883</v>
      </c>
      <c r="D312" s="2">
        <v>15.750285352485992</v>
      </c>
      <c r="E312" s="2">
        <v>7.3504730317178968</v>
      </c>
      <c r="F312" s="2">
        <v>8.3544820363377958</v>
      </c>
      <c r="G312" s="2">
        <v>8.3926433885120666</v>
      </c>
      <c r="H312" s="2">
        <v>9.2583072433931157</v>
      </c>
    </row>
    <row r="313" spans="1:8" x14ac:dyDescent="0.2">
      <c r="A313" s="16">
        <f>DATE(2017,11,16)</f>
        <v>43055</v>
      </c>
      <c r="B313" s="2">
        <v>33.249433526881965</v>
      </c>
      <c r="C313" s="2">
        <v>22.556518946692194</v>
      </c>
      <c r="D313" s="2">
        <v>15.787610369365002</v>
      </c>
      <c r="E313" s="2">
        <v>7.3768369122554356</v>
      </c>
      <c r="F313" s="2">
        <v>8.3843471734887487</v>
      </c>
      <c r="G313" s="2">
        <v>8.4226422006787196</v>
      </c>
      <c r="H313" s="2">
        <v>9.2913500344111721</v>
      </c>
    </row>
    <row r="314" spans="1:8" x14ac:dyDescent="0.2">
      <c r="A314" s="16">
        <f>DATE(2017,11,17)</f>
        <v>43056</v>
      </c>
      <c r="B314" s="2">
        <v>34.778859419722053</v>
      </c>
      <c r="C314" s="2">
        <v>24.120745022478985</v>
      </c>
      <c r="D314" s="2">
        <v>15.824947422126966</v>
      </c>
      <c r="E314" s="2">
        <v>7.4032072674192761</v>
      </c>
      <c r="F314" s="2">
        <v>8.4142205421996685</v>
      </c>
      <c r="G314" s="2">
        <v>8.4526493153344031</v>
      </c>
      <c r="H314" s="2">
        <v>9.3244028185003778</v>
      </c>
    </row>
    <row r="315" spans="1:8" x14ac:dyDescent="0.2">
      <c r="A315" s="16">
        <f>DATE(2017,11,20)</f>
        <v>43059</v>
      </c>
      <c r="B315" s="2">
        <v>34.774524394102798</v>
      </c>
      <c r="C315" s="2">
        <v>24.120745022478985</v>
      </c>
      <c r="D315" s="2">
        <v>15.862296514652986</v>
      </c>
      <c r="E315" s="2">
        <v>7.4295840987995243</v>
      </c>
      <c r="F315" s="2">
        <v>8.4441021447393858</v>
      </c>
      <c r="G315" s="2">
        <v>8.4826647347769004</v>
      </c>
      <c r="H315" s="2">
        <v>9.3574655986829356</v>
      </c>
    </row>
    <row r="316" spans="1:8" x14ac:dyDescent="0.2">
      <c r="A316" s="16">
        <f>DATE(2017,11,21)</f>
        <v>43060</v>
      </c>
      <c r="B316" s="2">
        <v>36.860406816391446</v>
      </c>
      <c r="C316" s="2">
        <v>26.076817766960598</v>
      </c>
      <c r="D316" s="2">
        <v>15.899657650825416</v>
      </c>
      <c r="E316" s="2">
        <v>7.4559674079866411</v>
      </c>
      <c r="F316" s="2">
        <v>8.4739919833773278</v>
      </c>
      <c r="G316" s="2">
        <v>8.5126884613046627</v>
      </c>
      <c r="H316" s="2">
        <v>9.3905383779819154</v>
      </c>
    </row>
    <row r="317" spans="1:8" x14ac:dyDescent="0.2">
      <c r="A317" s="16">
        <f>DATE(2017,11,22)</f>
        <v>43061</v>
      </c>
      <c r="B317" s="2">
        <v>36.218877985448252</v>
      </c>
      <c r="C317" s="2">
        <v>25.948669844167078</v>
      </c>
      <c r="D317" s="2">
        <v>15.937030834527866</v>
      </c>
      <c r="E317" s="2">
        <v>7.4823571965714866</v>
      </c>
      <c r="F317" s="2">
        <v>8.5038900603835685</v>
      </c>
      <c r="G317" s="2">
        <v>8.5427204972167381</v>
      </c>
      <c r="H317" s="2">
        <v>9.4236211594213461</v>
      </c>
    </row>
    <row r="318" spans="1:8" x14ac:dyDescent="0.2">
      <c r="A318" s="16">
        <f>DATE(2017,11,23)</f>
        <v>43062</v>
      </c>
      <c r="B318" s="2">
        <v>36.486591580267216</v>
      </c>
      <c r="C318" s="2">
        <v>25.894229794138358</v>
      </c>
      <c r="D318" s="2">
        <v>15.974416069645203</v>
      </c>
      <c r="E318" s="2">
        <v>7.5087534661453237</v>
      </c>
      <c r="F318" s="2">
        <v>8.5337963780288248</v>
      </c>
      <c r="G318" s="2">
        <v>8.5727608448128656</v>
      </c>
      <c r="H318" s="2">
        <v>9.4567139460261629</v>
      </c>
    </row>
    <row r="319" spans="1:8" x14ac:dyDescent="0.2">
      <c r="A319" s="16">
        <f>DATE(2017,11,24)</f>
        <v>43063</v>
      </c>
      <c r="B319" s="2">
        <v>36.524555687354308</v>
      </c>
      <c r="C319" s="2">
        <v>25.337812257039349</v>
      </c>
      <c r="D319" s="2">
        <v>16.011813360063567</v>
      </c>
      <c r="E319" s="2">
        <v>7.5351562182997656</v>
      </c>
      <c r="F319" s="2">
        <v>8.5637109385843679</v>
      </c>
      <c r="G319" s="2">
        <v>8.6028095063933616</v>
      </c>
      <c r="H319" s="2">
        <v>9.4898167408221887</v>
      </c>
    </row>
    <row r="320" spans="1:8" x14ac:dyDescent="0.2">
      <c r="A320" s="16">
        <f>DATE(2017,11,27)</f>
        <v>43066</v>
      </c>
      <c r="B320" s="2">
        <v>36.29297188608782</v>
      </c>
      <c r="C320" s="2">
        <v>25.171416015954939</v>
      </c>
      <c r="D320" s="2">
        <v>16.049222709670286</v>
      </c>
      <c r="E320" s="2">
        <v>7.5615654546268951</v>
      </c>
      <c r="F320" s="2">
        <v>8.5936337443222044</v>
      </c>
      <c r="G320" s="2">
        <v>8.6328664842592495</v>
      </c>
      <c r="H320" s="2">
        <v>9.5229295468362238</v>
      </c>
    </row>
    <row r="321" spans="1:8" x14ac:dyDescent="0.2">
      <c r="A321" s="16">
        <f>DATE(2017,11,28)</f>
        <v>43067</v>
      </c>
      <c r="B321" s="2">
        <v>36.156030419101405</v>
      </c>
      <c r="C321" s="2">
        <v>25.307980934996291</v>
      </c>
      <c r="D321" s="2">
        <v>16.086644122354055</v>
      </c>
      <c r="E321" s="2">
        <v>7.5879811767191496</v>
      </c>
      <c r="F321" s="2">
        <v>8.6235647975149146</v>
      </c>
      <c r="G321" s="2">
        <v>8.6629317807121584</v>
      </c>
      <c r="H321" s="2">
        <v>9.5560523670959352</v>
      </c>
    </row>
    <row r="322" spans="1:8" x14ac:dyDescent="0.2">
      <c r="A322" s="16">
        <f>DATE(2017,11,29)</f>
        <v>43068</v>
      </c>
      <c r="B322" s="2">
        <v>34.53190723127608</v>
      </c>
      <c r="C322" s="2">
        <v>22.875384511374609</v>
      </c>
      <c r="D322" s="2">
        <v>16.124077602004672</v>
      </c>
      <c r="E322" s="2">
        <v>7.6144033861693003</v>
      </c>
      <c r="F322" s="2">
        <v>8.6535041004356383</v>
      </c>
      <c r="G322" s="2">
        <v>8.6930053980542876</v>
      </c>
      <c r="H322" s="2">
        <v>9.5891852046298798</v>
      </c>
    </row>
    <row r="323" spans="1:8" x14ac:dyDescent="0.2">
      <c r="A323" s="16">
        <f>DATE(2017,11,30)</f>
        <v>43069</v>
      </c>
      <c r="B323" s="2">
        <v>33.070103616043319</v>
      </c>
      <c r="C323" s="2">
        <v>21.642480478653113</v>
      </c>
      <c r="D323" s="2">
        <v>16.161523152513315</v>
      </c>
      <c r="E323" s="2">
        <v>7.6408320845705813</v>
      </c>
      <c r="F323" s="2">
        <v>8.6834516553582208</v>
      </c>
      <c r="G323" s="2">
        <v>8.7230873385885523</v>
      </c>
      <c r="H323" s="2">
        <v>9.6223280624675898</v>
      </c>
    </row>
    <row r="324" spans="1:8" x14ac:dyDescent="0.2">
      <c r="A324" s="16">
        <f>DATE(2017,12,1)</f>
        <v>43070</v>
      </c>
      <c r="B324" s="2">
        <v>33.472622080435727</v>
      </c>
      <c r="C324" s="2">
        <v>22.138474799715869</v>
      </c>
      <c r="D324" s="2">
        <v>16.198980777772356</v>
      </c>
      <c r="E324" s="2">
        <v>7.6715645962720513</v>
      </c>
      <c r="F324" s="2">
        <v>8.7177465418974531</v>
      </c>
      <c r="G324" s="2">
        <v>8.7575182693040645</v>
      </c>
      <c r="H324" s="2">
        <v>9.6598576219508079</v>
      </c>
    </row>
    <row r="325" spans="1:8" x14ac:dyDescent="0.2">
      <c r="A325" s="16">
        <f>DATE(2017,12,4)</f>
        <v>43073</v>
      </c>
      <c r="B325" s="2">
        <v>33.787972866449373</v>
      </c>
      <c r="C325" s="2">
        <v>23.534073623364591</v>
      </c>
      <c r="D325" s="2">
        <v>16.236450481675458</v>
      </c>
      <c r="E325" s="2">
        <v>7.7023058824065904</v>
      </c>
      <c r="F325" s="2">
        <v>8.7520522501323796</v>
      </c>
      <c r="G325" s="2">
        <v>8.7919601037661508</v>
      </c>
      <c r="H325" s="2">
        <v>9.6974000298004182</v>
      </c>
    </row>
    <row r="326" spans="1:8" x14ac:dyDescent="0.2">
      <c r="A326" s="16">
        <f>DATE(2017,12,5)</f>
        <v>43074</v>
      </c>
      <c r="B326" s="2">
        <v>33.46959924165207</v>
      </c>
      <c r="C326" s="2">
        <v>22.614626643680324</v>
      </c>
      <c r="D326" s="2">
        <v>16.273932268117463</v>
      </c>
      <c r="E326" s="2">
        <v>7.7330559454793724</v>
      </c>
      <c r="F326" s="2">
        <v>8.7863687834778048</v>
      </c>
      <c r="G326" s="2">
        <v>8.8264128454278445</v>
      </c>
      <c r="H326" s="2">
        <v>9.7349552904151047</v>
      </c>
    </row>
    <row r="327" spans="1:8" x14ac:dyDescent="0.2">
      <c r="A327" s="16">
        <f>DATE(2017,12,6)</f>
        <v>43075</v>
      </c>
      <c r="B327" s="2">
        <v>34.305634008145326</v>
      </c>
      <c r="C327" s="2">
        <v>23.835226312408999</v>
      </c>
      <c r="D327" s="2">
        <v>16.311426140994591</v>
      </c>
      <c r="E327" s="2">
        <v>7.7638147879963038</v>
      </c>
      <c r="F327" s="2">
        <v>8.8206961453495492</v>
      </c>
      <c r="G327" s="2">
        <v>8.8608764977432966</v>
      </c>
      <c r="H327" s="2">
        <v>9.772523408195033</v>
      </c>
    </row>
    <row r="328" spans="1:8" x14ac:dyDescent="0.2">
      <c r="A328" s="16">
        <f>DATE(2017,12,7)</f>
        <v>43076</v>
      </c>
      <c r="B328" s="2">
        <v>32.929940077717056</v>
      </c>
      <c r="C328" s="2">
        <v>22.515397356589784</v>
      </c>
      <c r="D328" s="2">
        <v>16.348932104204227</v>
      </c>
      <c r="E328" s="2">
        <v>7.7945824124640017</v>
      </c>
      <c r="F328" s="2">
        <v>8.855034339164547</v>
      </c>
      <c r="G328" s="2">
        <v>8.8953510641677447</v>
      </c>
      <c r="H328" s="2">
        <v>9.8101043875419069</v>
      </c>
    </row>
    <row r="329" spans="1:8" x14ac:dyDescent="0.2">
      <c r="A329" s="16">
        <f>DATE(2017,12,8)</f>
        <v>43077</v>
      </c>
      <c r="B329" s="2">
        <v>33.035121127210942</v>
      </c>
      <c r="C329" s="2">
        <v>22.928438630294234</v>
      </c>
      <c r="D329" s="2">
        <v>16.384294815581811</v>
      </c>
      <c r="E329" s="2">
        <v>7.8253588213897718</v>
      </c>
      <c r="F329" s="2">
        <v>8.8893833683407752</v>
      </c>
      <c r="G329" s="2">
        <v>8.9298365481574873</v>
      </c>
      <c r="H329" s="2">
        <v>9.8476982328588925</v>
      </c>
    </row>
    <row r="330" spans="1:8" x14ac:dyDescent="0.2">
      <c r="A330" s="16">
        <f>DATE(2017,12,11)</f>
        <v>43080</v>
      </c>
      <c r="B330" s="2">
        <v>32.177844048174563</v>
      </c>
      <c r="C330" s="2">
        <v>23.043707534732594</v>
      </c>
      <c r="D330" s="2">
        <v>16.419668274985487</v>
      </c>
      <c r="E330" s="2">
        <v>7.8561440172817187</v>
      </c>
      <c r="F330" s="2">
        <v>8.9237432362973657</v>
      </c>
      <c r="G330" s="2">
        <v>8.9643329531699845</v>
      </c>
      <c r="H330" s="2">
        <v>9.8853049485507558</v>
      </c>
    </row>
    <row r="331" spans="1:8" x14ac:dyDescent="0.2">
      <c r="A331" s="16">
        <f>DATE(2017,12,12)</f>
        <v>43081</v>
      </c>
      <c r="B331" s="2">
        <v>33.05841759610928</v>
      </c>
      <c r="C331" s="2">
        <v>24.756667680762412</v>
      </c>
      <c r="D331" s="2">
        <v>16.455052485681929</v>
      </c>
      <c r="E331" s="2">
        <v>7.8869380026485914</v>
      </c>
      <c r="F331" s="2">
        <v>8.9581139464544712</v>
      </c>
      <c r="G331" s="2">
        <v>8.9988402826637781</v>
      </c>
      <c r="H331" s="2">
        <v>9.9229245390237022</v>
      </c>
    </row>
    <row r="332" spans="1:8" x14ac:dyDescent="0.2">
      <c r="A332" s="16">
        <f>DATE(2017,12,13)</f>
        <v>43082</v>
      </c>
      <c r="B332" s="2">
        <v>33.302566788592245</v>
      </c>
      <c r="C332" s="2">
        <v>23.236875908460775</v>
      </c>
      <c r="D332" s="2">
        <v>16.490447450938927</v>
      </c>
      <c r="E332" s="2">
        <v>7.9177407799998267</v>
      </c>
      <c r="F332" s="2">
        <v>8.9924955022332664</v>
      </c>
      <c r="G332" s="2">
        <v>9.0333585400984351</v>
      </c>
      <c r="H332" s="2">
        <v>9.9605570086854112</v>
      </c>
    </row>
    <row r="333" spans="1:8" x14ac:dyDescent="0.2">
      <c r="A333" s="16">
        <f>DATE(2017,12,14)</f>
        <v>43083</v>
      </c>
      <c r="B333" s="2">
        <v>33.03141127961284</v>
      </c>
      <c r="C333" s="2">
        <v>22.416472298279231</v>
      </c>
      <c r="D333" s="2">
        <v>16.525853174025084</v>
      </c>
      <c r="E333" s="2">
        <v>7.9485523518456613</v>
      </c>
      <c r="F333" s="2">
        <v>9.0268879070561248</v>
      </c>
      <c r="G333" s="2">
        <v>9.0678877289346769</v>
      </c>
      <c r="H333" s="2">
        <v>9.9982023619451521</v>
      </c>
    </row>
    <row r="334" spans="1:8" x14ac:dyDescent="0.2">
      <c r="A334" s="16">
        <f>DATE(2017,12,15)</f>
        <v>43084</v>
      </c>
      <c r="B334" s="2">
        <v>34.125342284966422</v>
      </c>
      <c r="C334" s="2">
        <v>22.718622181658208</v>
      </c>
      <c r="D334" s="2">
        <v>16.561269658210211</v>
      </c>
      <c r="E334" s="2">
        <v>7.9793727206969978</v>
      </c>
      <c r="F334" s="2">
        <v>9.0612911643464198</v>
      </c>
      <c r="G334" s="2">
        <v>9.1024278526343316</v>
      </c>
      <c r="H334" s="2">
        <v>10.035860603213642</v>
      </c>
    </row>
    <row r="335" spans="1:8" x14ac:dyDescent="0.2">
      <c r="A335" s="16">
        <f>DATE(2017,12,18)</f>
        <v>43087</v>
      </c>
      <c r="B335" s="2">
        <v>34.188196721401411</v>
      </c>
      <c r="C335" s="2">
        <v>23.57680086536169</v>
      </c>
      <c r="D335" s="2">
        <v>16.596696906764908</v>
      </c>
      <c r="E335" s="2">
        <v>8.0102018890654705</v>
      </c>
      <c r="F335" s="2">
        <v>9.0957052775286549</v>
      </c>
      <c r="G335" s="2">
        <v>9.1369789146602756</v>
      </c>
      <c r="H335" s="2">
        <v>10.073531736903153</v>
      </c>
    </row>
    <row r="336" spans="1:8" x14ac:dyDescent="0.2">
      <c r="A336" s="16">
        <f>DATE(2017,12,19)</f>
        <v>43088</v>
      </c>
      <c r="B336" s="2">
        <v>33.841408412038042</v>
      </c>
      <c r="C336" s="2">
        <v>22.841446100800965</v>
      </c>
      <c r="D336" s="2">
        <v>16.632134922960894</v>
      </c>
      <c r="E336" s="2">
        <v>8.041039859463428</v>
      </c>
      <c r="F336" s="2">
        <v>9.1301302500283565</v>
      </c>
      <c r="G336" s="2">
        <v>9.1715409184765395</v>
      </c>
      <c r="H336" s="2">
        <v>10.11121576742744</v>
      </c>
    </row>
    <row r="337" spans="1:8" x14ac:dyDescent="0.2">
      <c r="A337" s="16">
        <f>DATE(2017,12,20)</f>
        <v>43089</v>
      </c>
      <c r="B337" s="2">
        <v>34.888877011269663</v>
      </c>
      <c r="C337" s="2">
        <v>24.002011290267887</v>
      </c>
      <c r="D337" s="2">
        <v>16.667583710070865</v>
      </c>
      <c r="E337" s="2">
        <v>8.0718866344039242</v>
      </c>
      <c r="F337" s="2">
        <v>9.1645660852721864</v>
      </c>
      <c r="G337" s="2">
        <v>9.2061138675481935</v>
      </c>
      <c r="H337" s="2">
        <v>10.148912699201773</v>
      </c>
    </row>
    <row r="338" spans="1:8" x14ac:dyDescent="0.2">
      <c r="A338" s="16">
        <f>DATE(2017,12,21)</f>
        <v>43090</v>
      </c>
      <c r="B338" s="2">
        <v>36.624412418536046</v>
      </c>
      <c r="C338" s="2">
        <v>26.987509718419165</v>
      </c>
      <c r="D338" s="2">
        <v>16.703043271368468</v>
      </c>
      <c r="E338" s="2">
        <v>8.102742216400749</v>
      </c>
      <c r="F338" s="2">
        <v>9.1990127866878666</v>
      </c>
      <c r="G338" s="2">
        <v>9.2406977653414426</v>
      </c>
      <c r="H338" s="2">
        <v>10.186622536642931</v>
      </c>
    </row>
    <row r="339" spans="1:8" x14ac:dyDescent="0.2">
      <c r="A339" s="16">
        <f>DATE(2017,12,22)</f>
        <v>43091</v>
      </c>
      <c r="B339" s="2">
        <v>36.353641634492753</v>
      </c>
      <c r="C339" s="2">
        <v>27.077257208531734</v>
      </c>
      <c r="D339" s="2">
        <v>16.738513610128368</v>
      </c>
      <c r="E339" s="2">
        <v>8.1336066079684244</v>
      </c>
      <c r="F339" s="2">
        <v>9.2334703577042099</v>
      </c>
      <c r="G339" s="2">
        <v>9.2752926153235826</v>
      </c>
      <c r="H339" s="2">
        <v>10.224345284169223</v>
      </c>
    </row>
    <row r="340" spans="1:8" x14ac:dyDescent="0.2">
      <c r="A340" s="16">
        <f>DATE(2017,12,26)</f>
        <v>43095</v>
      </c>
      <c r="B340" s="2">
        <v>36.864157884518335</v>
      </c>
      <c r="C340" s="2">
        <v>27.958168542743955</v>
      </c>
      <c r="D340" s="2">
        <v>16.773994729626306</v>
      </c>
      <c r="E340" s="2">
        <v>8.1644798116221384</v>
      </c>
      <c r="F340" s="2">
        <v>9.2679388017510735</v>
      </c>
      <c r="G340" s="2">
        <v>9.3098984209629911</v>
      </c>
      <c r="H340" s="2">
        <v>10.262080946200447</v>
      </c>
    </row>
    <row r="341" spans="1:8" x14ac:dyDescent="0.2">
      <c r="A341" s="16">
        <f>DATE(2017,12,27)</f>
        <v>43096</v>
      </c>
      <c r="B341" s="2">
        <v>39.037455308358936</v>
      </c>
      <c r="C341" s="2">
        <v>28.57475577189583</v>
      </c>
      <c r="D341" s="2">
        <v>16.809486633138881</v>
      </c>
      <c r="E341" s="2">
        <v>8.1953618298778341</v>
      </c>
      <c r="F341" s="2">
        <v>9.3024181222594482</v>
      </c>
      <c r="G341" s="2">
        <v>9.3445151857291631</v>
      </c>
      <c r="H341" s="2">
        <v>10.299829527157932</v>
      </c>
    </row>
    <row r="342" spans="1:8" x14ac:dyDescent="0.2">
      <c r="A342" s="16">
        <f>DATE(2017,12,28)</f>
        <v>43097</v>
      </c>
      <c r="B342" s="2">
        <v>40.092632146488796</v>
      </c>
      <c r="C342" s="2">
        <v>29.131731061758281</v>
      </c>
      <c r="D342" s="2">
        <v>16.844989323943761</v>
      </c>
      <c r="E342" s="2">
        <v>8.2262526652522094</v>
      </c>
      <c r="F342" s="2">
        <v>9.3369083226613867</v>
      </c>
      <c r="G342" s="2">
        <v>9.3791429130927195</v>
      </c>
      <c r="H342" s="2">
        <v>10.337591031464544</v>
      </c>
    </row>
    <row r="343" spans="1:8" x14ac:dyDescent="0.2">
      <c r="A343" s="16">
        <f>DATE(2017,12,29)</f>
        <v>43098</v>
      </c>
      <c r="B343" s="2">
        <v>40.0869162331525</v>
      </c>
      <c r="C343" s="2">
        <v>29.131731061758281</v>
      </c>
      <c r="D343" s="2">
        <v>16.880502805319587</v>
      </c>
      <c r="E343" s="2">
        <v>8.2571523202625627</v>
      </c>
      <c r="F343" s="2">
        <v>9.3714094063899633</v>
      </c>
      <c r="G343" s="2">
        <v>9.4137816065252622</v>
      </c>
      <c r="H343" s="2">
        <v>10.375365463544561</v>
      </c>
    </row>
    <row r="344" spans="1:8" x14ac:dyDescent="0.2">
      <c r="A344" s="16">
        <f>DATE(2018,1,2)</f>
        <v>43102</v>
      </c>
      <c r="B344" s="2">
        <v>42.003911278582343</v>
      </c>
      <c r="C344" s="2">
        <v>31.648311530270568</v>
      </c>
      <c r="D344" s="2">
        <v>16.916027080546026</v>
      </c>
      <c r="E344" s="2">
        <v>8.2853096787817169</v>
      </c>
      <c r="F344" s="2">
        <v>9.4031418583619732</v>
      </c>
      <c r="G344" s="2">
        <v>9.4456506709946328</v>
      </c>
      <c r="H344" s="2">
        <v>10.410347720029044</v>
      </c>
    </row>
    <row r="345" spans="1:8" x14ac:dyDescent="0.2">
      <c r="A345" s="16">
        <f>DATE(2018,1,3)</f>
        <v>43103</v>
      </c>
      <c r="B345" s="2">
        <v>41.498451413431162</v>
      </c>
      <c r="C345" s="2">
        <v>31.824290977926339</v>
      </c>
      <c r="D345" s="2">
        <v>16.951562152903719</v>
      </c>
      <c r="E345" s="2">
        <v>8.3134743609448272</v>
      </c>
      <c r="F345" s="2">
        <v>9.4348835170225733</v>
      </c>
      <c r="G345" s="2">
        <v>9.4775290179991192</v>
      </c>
      <c r="H345" s="2">
        <v>10.445341063754453</v>
      </c>
    </row>
    <row r="346" spans="1:8" x14ac:dyDescent="0.2">
      <c r="A346" s="16">
        <f>DATE(2018,1,4)</f>
        <v>43104</v>
      </c>
      <c r="B346" s="2">
        <v>41.624146546124877</v>
      </c>
      <c r="C346" s="2">
        <v>32.926714667207357</v>
      </c>
      <c r="D346" s="2">
        <v>16.98710802567436</v>
      </c>
      <c r="E346" s="2">
        <v>8.3416463686567308</v>
      </c>
      <c r="F346" s="2">
        <v>9.4666343850429602</v>
      </c>
      <c r="G346" s="2">
        <v>9.5094166502424535</v>
      </c>
      <c r="H346" s="2">
        <v>10.480345498234778</v>
      </c>
    </row>
    <row r="347" spans="1:8" x14ac:dyDescent="0.2">
      <c r="A347" s="16">
        <f>DATE(2018,1,5)</f>
        <v>43105</v>
      </c>
      <c r="B347" s="2">
        <v>42.025387174122365</v>
      </c>
      <c r="C347" s="2">
        <v>33.643426968191029</v>
      </c>
      <c r="D347" s="2">
        <v>17.02266470214051</v>
      </c>
      <c r="E347" s="2">
        <v>8.3698257038228085</v>
      </c>
      <c r="F347" s="2">
        <v>9.4983944650950836</v>
      </c>
      <c r="G347" s="2">
        <v>9.5413135704291552</v>
      </c>
      <c r="H347" s="2">
        <v>10.515361026985094</v>
      </c>
    </row>
    <row r="348" spans="1:8" x14ac:dyDescent="0.2">
      <c r="A348" s="16">
        <f>DATE(2018,1,8)</f>
        <v>43108</v>
      </c>
      <c r="B348" s="2">
        <v>40.327334967772941</v>
      </c>
      <c r="C348" s="2">
        <v>34.162424365344783</v>
      </c>
      <c r="D348" s="2">
        <v>17.058232185585819</v>
      </c>
      <c r="E348" s="2">
        <v>8.3980123683488959</v>
      </c>
      <c r="F348" s="2">
        <v>9.5301637598516731</v>
      </c>
      <c r="G348" s="2">
        <v>9.5732197812645303</v>
      </c>
      <c r="H348" s="2">
        <v>10.550387653521609</v>
      </c>
    </row>
    <row r="349" spans="1:8" x14ac:dyDescent="0.2">
      <c r="A349" s="16">
        <f>DATE(2018,1,9)</f>
        <v>43109</v>
      </c>
      <c r="B349" s="2">
        <v>39.375278152693596</v>
      </c>
      <c r="C349" s="2">
        <v>33.291992022445129</v>
      </c>
      <c r="D349" s="2">
        <v>17.093810479294969</v>
      </c>
      <c r="E349" s="2">
        <v>8.426206364141331</v>
      </c>
      <c r="F349" s="2">
        <v>9.5619422719862346</v>
      </c>
      <c r="G349" s="2">
        <v>9.6051352854547023</v>
      </c>
      <c r="H349" s="2">
        <v>10.585425381361645</v>
      </c>
    </row>
    <row r="350" spans="1:8" x14ac:dyDescent="0.2">
      <c r="A350" s="16">
        <f>DATE(2018,1,10)</f>
        <v>43110</v>
      </c>
      <c r="B350" s="2">
        <v>39.389073289687971</v>
      </c>
      <c r="C350" s="2">
        <v>32.171466720751617</v>
      </c>
      <c r="D350" s="2">
        <v>17.129399586553596</v>
      </c>
      <c r="E350" s="2">
        <v>8.4544076931069689</v>
      </c>
      <c r="F350" s="2">
        <v>9.5937300041730502</v>
      </c>
      <c r="G350" s="2">
        <v>9.6370600857065281</v>
      </c>
      <c r="H350" s="2">
        <v>10.620474214023634</v>
      </c>
    </row>
    <row r="351" spans="1:8" x14ac:dyDescent="0.2">
      <c r="A351" s="16">
        <f>DATE(2018,1,11)</f>
        <v>43111</v>
      </c>
      <c r="B351" s="2">
        <v>39.58988596615476</v>
      </c>
      <c r="C351" s="2">
        <v>34.140283270797234</v>
      </c>
      <c r="D351" s="2">
        <v>17.164999510648315</v>
      </c>
      <c r="E351" s="2">
        <v>8.4826163571531286</v>
      </c>
      <c r="F351" s="2">
        <v>9.6255269590871837</v>
      </c>
      <c r="G351" s="2">
        <v>9.6689941847276852</v>
      </c>
      <c r="H351" s="2">
        <v>10.655534155027135</v>
      </c>
    </row>
    <row r="352" spans="1:8" x14ac:dyDescent="0.2">
      <c r="A352" s="16">
        <f>DATE(2018,1,12)</f>
        <v>43112</v>
      </c>
      <c r="B352" s="2">
        <v>38.241514376277586</v>
      </c>
      <c r="C352" s="2">
        <v>34.112699861406682</v>
      </c>
      <c r="D352" s="2">
        <v>17.200610254866746</v>
      </c>
      <c r="E352" s="2">
        <v>8.5108323581876366</v>
      </c>
      <c r="F352" s="2">
        <v>9.6573331394044448</v>
      </c>
      <c r="G352" s="2">
        <v>9.70093758522661</v>
      </c>
      <c r="H352" s="2">
        <v>10.690605207892778</v>
      </c>
    </row>
    <row r="353" spans="1:8" x14ac:dyDescent="0.2">
      <c r="A353" s="16">
        <f>DATE(2018,1,15)</f>
        <v>43115</v>
      </c>
      <c r="B353" s="2">
        <v>39.095088477804012</v>
      </c>
      <c r="C353" s="2">
        <v>34.794256836696547</v>
      </c>
      <c r="D353" s="2">
        <v>17.23623182249754</v>
      </c>
      <c r="E353" s="2">
        <v>8.5390556981188581</v>
      </c>
      <c r="F353" s="2">
        <v>9.6891485478014747</v>
      </c>
      <c r="G353" s="2">
        <v>9.7328902899126213</v>
      </c>
      <c r="H353" s="2">
        <v>10.725687376142412</v>
      </c>
    </row>
    <row r="354" spans="1:8" x14ac:dyDescent="0.2">
      <c r="A354" s="16">
        <f>DATE(2018,1,16)</f>
        <v>43116</v>
      </c>
      <c r="B354" s="2">
        <v>39.018074789702986</v>
      </c>
      <c r="C354" s="2">
        <v>34.928438630294224</v>
      </c>
      <c r="D354" s="2">
        <v>17.271864216830334</v>
      </c>
      <c r="E354" s="2">
        <v>8.5672863788555986</v>
      </c>
      <c r="F354" s="2">
        <v>9.7209731869556606</v>
      </c>
      <c r="G354" s="2">
        <v>9.7648523014957291</v>
      </c>
      <c r="H354" s="2">
        <v>10.760780663298886</v>
      </c>
    </row>
    <row r="355" spans="1:8" x14ac:dyDescent="0.2">
      <c r="A355" s="16">
        <f>DATE(2018,1,17)</f>
        <v>43117</v>
      </c>
      <c r="B355" s="2">
        <v>40.76467103888217</v>
      </c>
      <c r="C355" s="2">
        <v>37.222661663793197</v>
      </c>
      <c r="D355" s="2">
        <v>17.307507441155746</v>
      </c>
      <c r="E355" s="2">
        <v>8.5955244023071966</v>
      </c>
      <c r="F355" s="2">
        <v>9.7528070595451766</v>
      </c>
      <c r="G355" s="2">
        <v>9.7968236226867678</v>
      </c>
      <c r="H355" s="2">
        <v>10.79588507288627</v>
      </c>
    </row>
    <row r="356" spans="1:8" x14ac:dyDescent="0.2">
      <c r="A356" s="16">
        <f>DATE(2018,1,18)</f>
        <v>43118</v>
      </c>
      <c r="B356" s="2">
        <v>40.147263087414672</v>
      </c>
      <c r="C356" s="2">
        <v>36.839823547307368</v>
      </c>
      <c r="D356" s="2">
        <v>17.343161498765404</v>
      </c>
      <c r="E356" s="2">
        <v>8.6237697703834169</v>
      </c>
      <c r="F356" s="2">
        <v>9.7846501682488984</v>
      </c>
      <c r="G356" s="2">
        <v>9.8288042561972997</v>
      </c>
      <c r="H356" s="2">
        <v>10.831000608429608</v>
      </c>
    </row>
    <row r="357" spans="1:8" x14ac:dyDescent="0.2">
      <c r="A357" s="16">
        <f>DATE(2018,1,19)</f>
        <v>43119</v>
      </c>
      <c r="B357" s="2">
        <v>41.102638155067851</v>
      </c>
      <c r="C357" s="2">
        <v>37.273941114829242</v>
      </c>
      <c r="D357" s="2">
        <v>17.378826392951964</v>
      </c>
      <c r="E357" s="2">
        <v>8.6520224849946157</v>
      </c>
      <c r="F357" s="2">
        <v>9.8165025157466168</v>
      </c>
      <c r="G357" s="2">
        <v>9.8607942047397987</v>
      </c>
      <c r="H357" s="2">
        <v>10.866127273455216</v>
      </c>
    </row>
    <row r="358" spans="1:8" x14ac:dyDescent="0.2">
      <c r="A358" s="16">
        <f>DATE(2018,1,22)</f>
        <v>43122</v>
      </c>
      <c r="B358" s="2">
        <v>40.564806434579317</v>
      </c>
      <c r="C358" s="2">
        <v>38.044518811479342</v>
      </c>
      <c r="D358" s="2">
        <v>17.414502127009037</v>
      </c>
      <c r="E358" s="2">
        <v>8.6802825480515988</v>
      </c>
      <c r="F358" s="2">
        <v>9.8483641047187884</v>
      </c>
      <c r="G358" s="2">
        <v>9.8927934710274492</v>
      </c>
      <c r="H358" s="2">
        <v>10.901265071490451</v>
      </c>
    </row>
    <row r="359" spans="1:8" x14ac:dyDescent="0.2">
      <c r="A359" s="16">
        <f>DATE(2018,1,23)</f>
        <v>43123</v>
      </c>
      <c r="B359" s="2">
        <v>38.468529568927856</v>
      </c>
      <c r="C359" s="2">
        <v>36.359311090828996</v>
      </c>
      <c r="D359" s="2">
        <v>17.450188704231294</v>
      </c>
      <c r="E359" s="2">
        <v>8.7085499614656836</v>
      </c>
      <c r="F359" s="2">
        <v>9.8802349378467103</v>
      </c>
      <c r="G359" s="2">
        <v>9.9248020577742402</v>
      </c>
      <c r="H359" s="2">
        <v>10.936414006063776</v>
      </c>
    </row>
    <row r="360" spans="1:8" x14ac:dyDescent="0.2">
      <c r="A360" s="16">
        <f>DATE(2018,1,24)</f>
        <v>43124</v>
      </c>
      <c r="B360" s="2">
        <v>42.630490797722807</v>
      </c>
      <c r="C360" s="2">
        <v>41.432579522022571</v>
      </c>
      <c r="D360" s="2">
        <v>17.485886127914331</v>
      </c>
      <c r="E360" s="2">
        <v>8.7368247271486723</v>
      </c>
      <c r="F360" s="2">
        <v>9.9121150178124164</v>
      </c>
      <c r="G360" s="2">
        <v>9.9568199676949298</v>
      </c>
      <c r="H360" s="2">
        <v>10.971574080704816</v>
      </c>
    </row>
    <row r="361" spans="1:8" x14ac:dyDescent="0.2">
      <c r="A361" s="16">
        <f>DATE(2018,1,25)</f>
        <v>43125</v>
      </c>
      <c r="B361" s="2">
        <v>42.625420672672099</v>
      </c>
      <c r="C361" s="2">
        <v>41.432579522022571</v>
      </c>
      <c r="D361" s="2">
        <v>17.52159440135479</v>
      </c>
      <c r="E361" s="2">
        <v>8.7651068470128592</v>
      </c>
      <c r="F361" s="2">
        <v>9.9440043472987405</v>
      </c>
      <c r="G361" s="2">
        <v>9.9888472035051254</v>
      </c>
      <c r="H361" s="2">
        <v>11.006745298944276</v>
      </c>
    </row>
    <row r="362" spans="1:8" x14ac:dyDescent="0.2">
      <c r="A362" s="16">
        <f>DATE(2018,1,26)</f>
        <v>43126</v>
      </c>
      <c r="B362" s="2">
        <v>44.094032545256148</v>
      </c>
      <c r="C362" s="2">
        <v>44.56079505121162</v>
      </c>
      <c r="D362" s="2">
        <v>17.557313527850326</v>
      </c>
      <c r="E362" s="2">
        <v>8.7933963229710486</v>
      </c>
      <c r="F362" s="2">
        <v>9.9759029289892887</v>
      </c>
      <c r="G362" s="2">
        <v>10.020883767921163</v>
      </c>
      <c r="H362" s="2">
        <v>11.041927664314022</v>
      </c>
    </row>
    <row r="363" spans="1:8" x14ac:dyDescent="0.2">
      <c r="A363" s="16">
        <f>DATE(2018,1,29)</f>
        <v>43129</v>
      </c>
      <c r="B363" s="2">
        <v>43.181842851679967</v>
      </c>
      <c r="C363" s="2">
        <v>43.153179190751231</v>
      </c>
      <c r="D363" s="2">
        <v>17.59304351069957</v>
      </c>
      <c r="E363" s="2">
        <v>8.8216931569365276</v>
      </c>
      <c r="F363" s="2">
        <v>10.007810765568449</v>
      </c>
      <c r="G363" s="2">
        <v>10.052929663660205</v>
      </c>
      <c r="H363" s="2">
        <v>11.077121180346984</v>
      </c>
    </row>
    <row r="364" spans="1:8" x14ac:dyDescent="0.2">
      <c r="A364" s="16">
        <f>DATE(2018,1,30)</f>
        <v>43130</v>
      </c>
      <c r="B364" s="2">
        <v>43.37393051620311</v>
      </c>
      <c r="C364" s="2">
        <v>42.788865226650266</v>
      </c>
      <c r="D364" s="2">
        <v>17.628784353202164</v>
      </c>
      <c r="E364" s="2">
        <v>8.8499973508231022</v>
      </c>
      <c r="F364" s="2">
        <v>10.039727859721381</v>
      </c>
      <c r="G364" s="2">
        <v>10.084984893440184</v>
      </c>
      <c r="H364" s="2">
        <v>11.112325850577266</v>
      </c>
    </row>
    <row r="365" spans="1:8" x14ac:dyDescent="0.2">
      <c r="A365" s="16">
        <f>DATE(2018,1,31)</f>
        <v>43131</v>
      </c>
      <c r="B365" s="2">
        <v>46.17573795395289</v>
      </c>
      <c r="C365" s="2">
        <v>43.516039617347623</v>
      </c>
      <c r="D365" s="2">
        <v>17.664536058658765</v>
      </c>
      <c r="E365" s="2">
        <v>8.8783089065450636</v>
      </c>
      <c r="F365" s="2">
        <v>10.071654214134051</v>
      </c>
      <c r="G365" s="2">
        <v>10.117049459979842</v>
      </c>
      <c r="H365" s="2">
        <v>11.147541678540041</v>
      </c>
    </row>
    <row r="366" spans="1:8" x14ac:dyDescent="0.2">
      <c r="A366" s="16">
        <f>DATE(2018,2,1)</f>
        <v>43132</v>
      </c>
      <c r="B366" s="2">
        <v>46.343031470362185</v>
      </c>
      <c r="C366" s="2">
        <v>44.500625359158818</v>
      </c>
      <c r="D366" s="2">
        <v>17.700298630371012</v>
      </c>
      <c r="E366" s="2">
        <v>8.9061360806550915</v>
      </c>
      <c r="F366" s="2">
        <v>10.103092681496607</v>
      </c>
      <c r="G366" s="2">
        <v>10.148626010404849</v>
      </c>
      <c r="H366" s="2">
        <v>11.182266644966177</v>
      </c>
    </row>
    <row r="367" spans="1:8" x14ac:dyDescent="0.2">
      <c r="A367" s="16">
        <f>DATE(2018,2,2)</f>
        <v>43133</v>
      </c>
      <c r="B367" s="2">
        <v>44.458250268242416</v>
      </c>
      <c r="C367" s="2">
        <v>42.043301896359232</v>
      </c>
      <c r="D367" s="2">
        <v>17.736072071641583</v>
      </c>
      <c r="E367" s="2">
        <v>8.9339703668485768</v>
      </c>
      <c r="F367" s="2">
        <v>10.134540128257497</v>
      </c>
      <c r="G367" s="2">
        <v>10.180211615545209</v>
      </c>
      <c r="H367" s="2">
        <v>11.217002460244885</v>
      </c>
    </row>
    <row r="368" spans="1:8" x14ac:dyDescent="0.2">
      <c r="A368" s="16">
        <f>DATE(2018,2,5)</f>
        <v>43136</v>
      </c>
      <c r="B368" s="2">
        <v>41.704093761863589</v>
      </c>
      <c r="C368" s="2">
        <v>38.358330798093341</v>
      </c>
      <c r="D368" s="2">
        <v>17.771856385774122</v>
      </c>
      <c r="E368" s="2">
        <v>8.9618117669432173</v>
      </c>
      <c r="F368" s="2">
        <v>10.165996556981426</v>
      </c>
      <c r="G368" s="2">
        <v>10.211806277997383</v>
      </c>
      <c r="H368" s="2">
        <v>11.251749127765587</v>
      </c>
    </row>
    <row r="369" spans="1:8" x14ac:dyDescent="0.2">
      <c r="A369" s="16">
        <f>DATE(2018,2,6)</f>
        <v>43137</v>
      </c>
      <c r="B369" s="2">
        <v>41.820287562653299</v>
      </c>
      <c r="C369" s="2">
        <v>41.79434134469102</v>
      </c>
      <c r="D369" s="2">
        <v>17.807651576073269</v>
      </c>
      <c r="E369" s="2">
        <v>8.9896602827572067</v>
      </c>
      <c r="F369" s="2">
        <v>10.197461970233791</v>
      </c>
      <c r="G369" s="2">
        <v>10.243410000358599</v>
      </c>
      <c r="H369" s="2">
        <v>11.286506650918747</v>
      </c>
    </row>
    <row r="370" spans="1:8" x14ac:dyDescent="0.2">
      <c r="A370" s="16">
        <f>DATE(2018,2,7)</f>
        <v>43138</v>
      </c>
      <c r="B370" s="2">
        <v>41.143872424111791</v>
      </c>
      <c r="C370" s="2">
        <v>39.889007200080947</v>
      </c>
      <c r="D370" s="2">
        <v>17.843457645844719</v>
      </c>
      <c r="E370" s="2">
        <v>9.0175159161091756</v>
      </c>
      <c r="F370" s="2">
        <v>10.228936370580731</v>
      </c>
      <c r="G370" s="2">
        <v>10.275022785226827</v>
      </c>
      <c r="H370" s="2">
        <v>11.321275033095946</v>
      </c>
    </row>
    <row r="371" spans="1:8" x14ac:dyDescent="0.2">
      <c r="A371" s="16">
        <f>DATE(2018,2,8)</f>
        <v>43139</v>
      </c>
      <c r="B371" s="2">
        <v>40.830665105599252</v>
      </c>
      <c r="C371" s="2">
        <v>37.803011864922254</v>
      </c>
      <c r="D371" s="2">
        <v>17.879274598395135</v>
      </c>
      <c r="E371" s="2">
        <v>9.0453786688182056</v>
      </c>
      <c r="F371" s="2">
        <v>10.260419760589135</v>
      </c>
      <c r="G371" s="2">
        <v>10.306644635200769</v>
      </c>
      <c r="H371" s="2">
        <v>11.356054277689752</v>
      </c>
    </row>
    <row r="372" spans="1:8" x14ac:dyDescent="0.2">
      <c r="A372" s="16">
        <f>DATE(2018,2,9)</f>
        <v>43140</v>
      </c>
      <c r="B372" s="2">
        <v>39.855909519290122</v>
      </c>
      <c r="C372" s="2">
        <v>36.731737822397825</v>
      </c>
      <c r="D372" s="2">
        <v>17.914006771053103</v>
      </c>
      <c r="E372" s="2">
        <v>9.0732485427038601</v>
      </c>
      <c r="F372" s="2">
        <v>10.291912142826588</v>
      </c>
      <c r="G372" s="2">
        <v>10.338275552879873</v>
      </c>
      <c r="H372" s="2">
        <v>11.390844388093813</v>
      </c>
    </row>
    <row r="373" spans="1:8" x14ac:dyDescent="0.2">
      <c r="A373" s="16">
        <f>DATE(2018,2,14)</f>
        <v>43145</v>
      </c>
      <c r="B373" s="2">
        <v>43.250584953654858</v>
      </c>
      <c r="C373" s="2">
        <v>41.200757191630167</v>
      </c>
      <c r="D373" s="2">
        <v>17.948749177264165</v>
      </c>
      <c r="E373" s="2">
        <v>9.1011255395862634</v>
      </c>
      <c r="F373" s="2">
        <v>10.323413519861523</v>
      </c>
      <c r="G373" s="2">
        <v>10.369915540864415</v>
      </c>
      <c r="H373" s="2">
        <v>11.425645367702918</v>
      </c>
    </row>
    <row r="374" spans="1:8" x14ac:dyDescent="0.2">
      <c r="A374" s="16">
        <f>DATE(2018,2,15)</f>
        <v>43146</v>
      </c>
      <c r="B374" s="2">
        <v>43.004470915962536</v>
      </c>
      <c r="C374" s="2">
        <v>42.464540445525991</v>
      </c>
      <c r="D374" s="2">
        <v>17.983501820043578</v>
      </c>
      <c r="E374" s="2">
        <v>9.1290096612858029</v>
      </c>
      <c r="F374" s="2">
        <v>10.354923894262914</v>
      </c>
      <c r="G374" s="2">
        <v>10.401564601755275</v>
      </c>
      <c r="H374" s="2">
        <v>11.460457219912779</v>
      </c>
    </row>
    <row r="375" spans="1:8" x14ac:dyDescent="0.2">
      <c r="A375" s="16">
        <f>DATE(2018,2,16)</f>
        <v>43147</v>
      </c>
      <c r="B375" s="2">
        <v>42.445300701696851</v>
      </c>
      <c r="C375" s="2">
        <v>42.860054761180244</v>
      </c>
      <c r="D375" s="2">
        <v>18.01826470240746</v>
      </c>
      <c r="E375" s="2">
        <v>9.1569009096234666</v>
      </c>
      <c r="F375" s="2">
        <v>10.386443268600587</v>
      </c>
      <c r="G375" s="2">
        <v>10.433222738154146</v>
      </c>
      <c r="H375" s="2">
        <v>11.495279948120253</v>
      </c>
    </row>
    <row r="376" spans="1:8" x14ac:dyDescent="0.2">
      <c r="A376" s="16">
        <f>DATE(2018,2,19)</f>
        <v>43150</v>
      </c>
      <c r="B376" s="2">
        <v>42.05219425806257</v>
      </c>
      <c r="C376" s="2">
        <v>43.313237332251497</v>
      </c>
      <c r="D376" s="2">
        <v>18.053037827372798</v>
      </c>
      <c r="E376" s="2">
        <v>9.1847992864207537</v>
      </c>
      <c r="F376" s="2">
        <v>10.41797164544518</v>
      </c>
      <c r="G376" s="2">
        <v>10.464889952663547</v>
      </c>
      <c r="H376" s="2">
        <v>11.530113555723288</v>
      </c>
    </row>
    <row r="377" spans="1:8" x14ac:dyDescent="0.2">
      <c r="A377" s="16">
        <f>DATE(2018,2,20)</f>
        <v>43151</v>
      </c>
      <c r="B377" s="2">
        <v>43.94727372231111</v>
      </c>
      <c r="C377" s="2">
        <v>45.022411520129687</v>
      </c>
      <c r="D377" s="2">
        <v>18.087821197957577</v>
      </c>
      <c r="E377" s="2">
        <v>9.2127047934994923</v>
      </c>
      <c r="F377" s="2">
        <v>10.449509027367876</v>
      </c>
      <c r="G377" s="2">
        <v>10.496566247886575</v>
      </c>
      <c r="H377" s="2">
        <v>11.564958046120788</v>
      </c>
    </row>
    <row r="378" spans="1:8" x14ac:dyDescent="0.2">
      <c r="A378" s="16">
        <f>DATE(2018,2,21)</f>
        <v>43152</v>
      </c>
      <c r="B378" s="2">
        <v>43.113293112173089</v>
      </c>
      <c r="C378" s="2">
        <v>45.441334550248349</v>
      </c>
      <c r="D378" s="2">
        <v>18.12261481718047</v>
      </c>
      <c r="E378" s="2">
        <v>9.2406174326820736</v>
      </c>
      <c r="F378" s="2">
        <v>10.481055416940711</v>
      </c>
      <c r="G378" s="2">
        <v>10.52825162642721</v>
      </c>
      <c r="H378" s="2">
        <v>11.599813422712812</v>
      </c>
    </row>
    <row r="379" spans="1:8" x14ac:dyDescent="0.2">
      <c r="A379" s="16">
        <f>DATE(2018,2,22)</f>
        <v>43153</v>
      </c>
      <c r="B379" s="2">
        <v>43.919023919860464</v>
      </c>
      <c r="C379" s="2">
        <v>46.513960720684054</v>
      </c>
      <c r="D379" s="2">
        <v>18.15741868806122</v>
      </c>
      <c r="E379" s="2">
        <v>9.2685372057913042</v>
      </c>
      <c r="F379" s="2">
        <v>10.512610816736444</v>
      </c>
      <c r="G379" s="2">
        <v>10.559946090890127</v>
      </c>
      <c r="H379" s="2">
        <v>11.634679688900462</v>
      </c>
    </row>
    <row r="380" spans="1:8" x14ac:dyDescent="0.2">
      <c r="A380" s="16">
        <f>DATE(2018,2,23)</f>
        <v>43154</v>
      </c>
      <c r="B380" s="2">
        <v>43.843336158771358</v>
      </c>
      <c r="C380" s="2">
        <v>47.53953283980654</v>
      </c>
      <c r="D380" s="2">
        <v>18.192232813620414</v>
      </c>
      <c r="E380" s="2">
        <v>9.2964641146504814</v>
      </c>
      <c r="F380" s="2">
        <v>10.544175229328555</v>
      </c>
      <c r="G380" s="2">
        <v>10.591649643880752</v>
      </c>
      <c r="H380" s="2">
        <v>11.669556848085859</v>
      </c>
    </row>
    <row r="381" spans="1:8" x14ac:dyDescent="0.2">
      <c r="A381" s="16">
        <f>DATE(2018,2,26)</f>
        <v>43157</v>
      </c>
      <c r="B381" s="2">
        <v>42.157842473550282</v>
      </c>
      <c r="C381" s="2">
        <v>48.146976303958255</v>
      </c>
      <c r="D381" s="2">
        <v>18.227057196879446</v>
      </c>
      <c r="E381" s="2">
        <v>9.3243981610833693</v>
      </c>
      <c r="F381" s="2">
        <v>10.575748657291273</v>
      </c>
      <c r="G381" s="2">
        <v>10.623362288005268</v>
      </c>
      <c r="H381" s="2">
        <v>11.70444490367224</v>
      </c>
    </row>
    <row r="382" spans="1:8" x14ac:dyDescent="0.2">
      <c r="A382" s="16">
        <f>DATE(2018,2,27)</f>
        <v>43158</v>
      </c>
      <c r="B382" s="2">
        <v>40.880638126763081</v>
      </c>
      <c r="C382" s="2">
        <v>46.934793631477433</v>
      </c>
      <c r="D382" s="2">
        <v>18.261891840860709</v>
      </c>
      <c r="E382" s="2">
        <v>9.3523393469141958</v>
      </c>
      <c r="F382" s="2">
        <v>10.607331103199535</v>
      </c>
      <c r="G382" s="2">
        <v>10.655084025870586</v>
      </c>
      <c r="H382" s="2">
        <v>11.739343859063878</v>
      </c>
    </row>
    <row r="383" spans="1:8" x14ac:dyDescent="0.2">
      <c r="A383" s="16">
        <f>DATE(2018,2,28)</f>
        <v>43159</v>
      </c>
      <c r="B383" s="2">
        <v>40.491275881167567</v>
      </c>
      <c r="C383" s="2">
        <v>44.261231112463143</v>
      </c>
      <c r="D383" s="2">
        <v>18.296736748587428</v>
      </c>
      <c r="E383" s="2">
        <v>9.3802876739676364</v>
      </c>
      <c r="F383" s="2">
        <v>10.638922569629038</v>
      </c>
      <c r="G383" s="2">
        <v>10.686814860084382</v>
      </c>
      <c r="H383" s="2">
        <v>11.774253717666117</v>
      </c>
    </row>
    <row r="384" spans="1:8" x14ac:dyDescent="0.2">
      <c r="A384" s="16">
        <f>DATE(2018,3,1)</f>
        <v>43160</v>
      </c>
      <c r="B384" s="2">
        <v>40.517622669202133</v>
      </c>
      <c r="C384" s="2">
        <v>44.302116080181065</v>
      </c>
      <c r="D384" s="2">
        <v>18.331591923083735</v>
      </c>
      <c r="E384" s="2">
        <v>9.4009580628539258</v>
      </c>
      <c r="F384" s="2">
        <v>10.663153927494683</v>
      </c>
      <c r="G384" s="2">
        <v>10.711182463341995</v>
      </c>
      <c r="H384" s="2">
        <v>11.801729532730999</v>
      </c>
    </row>
    <row r="385" spans="1:8" x14ac:dyDescent="0.2">
      <c r="A385" s="16">
        <f>DATE(2018,3,2)</f>
        <v>43161</v>
      </c>
      <c r="B385" s="2">
        <v>41.119435520581369</v>
      </c>
      <c r="C385" s="2">
        <v>44.950376905655155</v>
      </c>
      <c r="D385" s="2">
        <v>18.366457367374679</v>
      </c>
      <c r="E385" s="2">
        <v>9.4216323579740191</v>
      </c>
      <c r="F385" s="2">
        <v>10.687390592341718</v>
      </c>
      <c r="G385" s="2">
        <v>10.73555543110567</v>
      </c>
      <c r="H385" s="2">
        <v>11.82921210176997</v>
      </c>
    </row>
    <row r="386" spans="1:8" x14ac:dyDescent="0.2">
      <c r="A386" s="16">
        <f>DATE(2018,3,5)</f>
        <v>43164</v>
      </c>
      <c r="B386" s="2">
        <v>41.47410382104659</v>
      </c>
      <c r="C386" s="2">
        <v>45.392336815062585</v>
      </c>
      <c r="D386" s="2">
        <v>18.401333084486083</v>
      </c>
      <c r="E386" s="2">
        <v>9.4423105600660797</v>
      </c>
      <c r="F386" s="2">
        <v>10.71163256533243</v>
      </c>
      <c r="G386" s="2">
        <v>10.759933764556372</v>
      </c>
      <c r="H386" s="2">
        <v>11.856701426443239</v>
      </c>
    </row>
    <row r="387" spans="1:8" x14ac:dyDescent="0.2">
      <c r="A387" s="16">
        <f>DATE(2018,3,6)</f>
        <v>43165</v>
      </c>
      <c r="B387" s="2">
        <v>41.187153979422767</v>
      </c>
      <c r="C387" s="2">
        <v>44.767298786465084</v>
      </c>
      <c r="D387" s="2">
        <v>18.436219077444839</v>
      </c>
      <c r="E387" s="2">
        <v>9.4629926698684965</v>
      </c>
      <c r="F387" s="2">
        <v>10.735879847629448</v>
      </c>
      <c r="G387" s="2">
        <v>10.784317464875427</v>
      </c>
      <c r="H387" s="2">
        <v>11.884197508411519</v>
      </c>
    </row>
    <row r="388" spans="1:8" x14ac:dyDescent="0.2">
      <c r="A388" s="16">
        <f>DATE(2018,3,7)</f>
        <v>43166</v>
      </c>
      <c r="B388" s="2">
        <v>41.881369516346957</v>
      </c>
      <c r="C388" s="2">
        <v>44.480867390054968</v>
      </c>
      <c r="D388" s="2">
        <v>18.471115349278588</v>
      </c>
      <c r="E388" s="2">
        <v>9.4836786881196797</v>
      </c>
      <c r="F388" s="2">
        <v>10.760132440395488</v>
      </c>
      <c r="G388" s="2">
        <v>10.80870653324426</v>
      </c>
      <c r="H388" s="2">
        <v>11.911700349335774</v>
      </c>
    </row>
    <row r="389" spans="1:8" x14ac:dyDescent="0.2">
      <c r="A389" s="16">
        <f>DATE(2018,3,8)</f>
        <v>43167</v>
      </c>
      <c r="B389" s="2">
        <v>42.726225476017852</v>
      </c>
      <c r="C389" s="2">
        <v>43.637579014974669</v>
      </c>
      <c r="D389" s="2">
        <v>18.506021903015998</v>
      </c>
      <c r="E389" s="2">
        <v>9.5043686155582563</v>
      </c>
      <c r="F389" s="2">
        <v>10.784390344793637</v>
      </c>
      <c r="G389" s="2">
        <v>10.833100970844667</v>
      </c>
      <c r="H389" s="2">
        <v>11.939209950877473</v>
      </c>
    </row>
    <row r="390" spans="1:8" x14ac:dyDescent="0.2">
      <c r="A390" s="16">
        <f>DATE(2018,3,9)</f>
        <v>43168</v>
      </c>
      <c r="B390" s="2">
        <v>44.974303809312488</v>
      </c>
      <c r="C390" s="2">
        <v>45.981492749213949</v>
      </c>
      <c r="D390" s="2">
        <v>18.540938741686428</v>
      </c>
      <c r="E390" s="2">
        <v>9.5250624529229722</v>
      </c>
      <c r="F390" s="2">
        <v>10.808653561987237</v>
      </c>
      <c r="G390" s="2">
        <v>10.857500778858675</v>
      </c>
      <c r="H390" s="2">
        <v>11.966726314698507</v>
      </c>
    </row>
    <row r="391" spans="1:8" x14ac:dyDescent="0.2">
      <c r="A391" s="16">
        <f>DATE(2018,3,12)</f>
        <v>43171</v>
      </c>
      <c r="B391" s="2">
        <v>45.392465464410158</v>
      </c>
      <c r="C391" s="2">
        <v>46.87562113375909</v>
      </c>
      <c r="D391" s="2">
        <v>18.575865868320363</v>
      </c>
      <c r="E391" s="2">
        <v>9.5457602009527243</v>
      </c>
      <c r="F391" s="2">
        <v>10.832922093139841</v>
      </c>
      <c r="G391" s="2">
        <v>10.881905958468584</v>
      </c>
      <c r="H391" s="2">
        <v>11.994249442461125</v>
      </c>
    </row>
    <row r="392" spans="1:8" x14ac:dyDescent="0.2">
      <c r="A392" s="16">
        <f>DATE(2018,3,13)</f>
        <v>43172</v>
      </c>
      <c r="B392" s="2">
        <v>44.470238572054676</v>
      </c>
      <c r="C392" s="2">
        <v>46.002518338234658</v>
      </c>
      <c r="D392" s="2">
        <v>18.610803285948997</v>
      </c>
      <c r="E392" s="2">
        <v>9.5664618603865215</v>
      </c>
      <c r="F392" s="2">
        <v>10.857195939415254</v>
      </c>
      <c r="G392" s="2">
        <v>10.906316510856962</v>
      </c>
      <c r="H392" s="2">
        <v>12.02177933582802</v>
      </c>
    </row>
    <row r="393" spans="1:8" x14ac:dyDescent="0.2">
      <c r="A393" s="16">
        <f>DATE(2018,3,14)</f>
        <v>43173</v>
      </c>
      <c r="B393" s="2">
        <v>42.956394039126543</v>
      </c>
      <c r="C393" s="2">
        <v>45.439881012743655</v>
      </c>
      <c r="D393" s="2">
        <v>18.645750997604527</v>
      </c>
      <c r="E393" s="2">
        <v>9.5871674319635503</v>
      </c>
      <c r="F393" s="2">
        <v>10.881475101977589</v>
      </c>
      <c r="G393" s="2">
        <v>10.930732437206615</v>
      </c>
      <c r="H393" s="2">
        <v>12.049315996462262</v>
      </c>
    </row>
    <row r="394" spans="1:8" x14ac:dyDescent="0.2">
      <c r="A394" s="16">
        <f>DATE(2018,3,15)</f>
        <v>43174</v>
      </c>
      <c r="B394" s="2">
        <v>41.417933980376297</v>
      </c>
      <c r="C394" s="2">
        <v>43.542237095629098</v>
      </c>
      <c r="D394" s="2">
        <v>18.680709006319972</v>
      </c>
      <c r="E394" s="2">
        <v>9.6078769164231073</v>
      </c>
      <c r="F394" s="2">
        <v>10.90575958199118</v>
      </c>
      <c r="G394" s="2">
        <v>10.955153738700597</v>
      </c>
      <c r="H394" s="2">
        <v>12.076859426027363</v>
      </c>
    </row>
    <row r="395" spans="1:8" x14ac:dyDescent="0.2">
      <c r="A395" s="16">
        <f>DATE(2018,3,16)</f>
        <v>43175</v>
      </c>
      <c r="B395" s="2">
        <v>40.69950138274239</v>
      </c>
      <c r="C395" s="2">
        <v>43.471740526653683</v>
      </c>
      <c r="D395" s="2">
        <v>18.715677315129309</v>
      </c>
      <c r="E395" s="2">
        <v>9.6285903145046259</v>
      </c>
      <c r="F395" s="2">
        <v>10.930049380620609</v>
      </c>
      <c r="G395" s="2">
        <v>10.97958041652225</v>
      </c>
      <c r="H395" s="2">
        <v>12.104409626187239</v>
      </c>
    </row>
    <row r="396" spans="1:8" x14ac:dyDescent="0.2">
      <c r="A396" s="16">
        <f>DATE(2018,3,19)</f>
        <v>43178</v>
      </c>
      <c r="B396" s="2">
        <v>40.334026433625688</v>
      </c>
      <c r="C396" s="2">
        <v>41.826488185782232</v>
      </c>
      <c r="D396" s="2">
        <v>18.750655927067349</v>
      </c>
      <c r="E396" s="2">
        <v>9.6493076269477118</v>
      </c>
      <c r="F396" s="2">
        <v>10.954344499030721</v>
      </c>
      <c r="G396" s="2">
        <v>11.004012471855185</v>
      </c>
      <c r="H396" s="2">
        <v>12.131966598606203</v>
      </c>
    </row>
    <row r="397" spans="1:8" x14ac:dyDescent="0.2">
      <c r="A397" s="16">
        <f>DATE(2018,3,20)</f>
        <v>43179</v>
      </c>
      <c r="B397" s="2">
        <v>39.960568442084977</v>
      </c>
      <c r="C397" s="2">
        <v>42.25027887638155</v>
      </c>
      <c r="D397" s="2">
        <v>18.785644845169848</v>
      </c>
      <c r="E397" s="2">
        <v>9.6700288544921076</v>
      </c>
      <c r="F397" s="2">
        <v>10.978644938386628</v>
      </c>
      <c r="G397" s="2">
        <v>11.028449905883253</v>
      </c>
      <c r="H397" s="2">
        <v>12.159530344948989</v>
      </c>
    </row>
    <row r="398" spans="1:8" x14ac:dyDescent="0.2">
      <c r="A398" s="16">
        <f>DATE(2018,3,21)</f>
        <v>43180</v>
      </c>
      <c r="B398" s="2">
        <v>40.594533305980974</v>
      </c>
      <c r="C398" s="2">
        <v>43.624023932663867</v>
      </c>
      <c r="D398" s="2">
        <v>18.820644072473414</v>
      </c>
      <c r="E398" s="2">
        <v>9.6907539978776214</v>
      </c>
      <c r="F398" s="2">
        <v>11.002950699853663</v>
      </c>
      <c r="G398" s="2">
        <v>11.052892719790529</v>
      </c>
      <c r="H398" s="2">
        <v>12.187100866880686</v>
      </c>
    </row>
    <row r="399" spans="1:8" x14ac:dyDescent="0.2">
      <c r="A399" s="16">
        <f>DATE(2018,3,22)</f>
        <v>43181</v>
      </c>
      <c r="B399" s="2">
        <v>41.733415298064713</v>
      </c>
      <c r="C399" s="2">
        <v>43.271270662204486</v>
      </c>
      <c r="D399" s="2">
        <v>18.855653612015576</v>
      </c>
      <c r="E399" s="2">
        <v>9.7114830578442835</v>
      </c>
      <c r="F399" s="2">
        <v>11.027261784597409</v>
      </c>
      <c r="G399" s="2">
        <v>11.077340914761402</v>
      </c>
      <c r="H399" s="2">
        <v>12.214678166066829</v>
      </c>
    </row>
    <row r="400" spans="1:8" x14ac:dyDescent="0.2">
      <c r="A400" s="16">
        <f>DATE(2018,3,23)</f>
        <v>43182</v>
      </c>
      <c r="B400" s="2">
        <v>39.901671176421296</v>
      </c>
      <c r="C400" s="2">
        <v>42.610942095122041</v>
      </c>
      <c r="D400" s="2">
        <v>18.889566142968928</v>
      </c>
      <c r="E400" s="2">
        <v>9.7322160351322573</v>
      </c>
      <c r="F400" s="2">
        <v>11.051578193783795</v>
      </c>
      <c r="G400" s="2">
        <v>11.101794491980543</v>
      </c>
      <c r="H400" s="2">
        <v>12.242262244173441</v>
      </c>
    </row>
    <row r="401" spans="1:8" x14ac:dyDescent="0.2">
      <c r="A401" s="16">
        <f>DATE(2018,3,26)</f>
        <v>43185</v>
      </c>
      <c r="B401" s="2">
        <v>40.528353746883994</v>
      </c>
      <c r="C401" s="2">
        <v>43.812088023526847</v>
      </c>
      <c r="D401" s="2">
        <v>18.923488350027107</v>
      </c>
      <c r="E401" s="2">
        <v>9.7529529304817952</v>
      </c>
      <c r="F401" s="2">
        <v>11.075899928578915</v>
      </c>
      <c r="G401" s="2">
        <v>11.126253452632806</v>
      </c>
      <c r="H401" s="2">
        <v>12.269853102866811</v>
      </c>
    </row>
    <row r="402" spans="1:8" x14ac:dyDescent="0.2">
      <c r="A402" s="16">
        <f>DATE(2018,3,27)</f>
        <v>43186</v>
      </c>
      <c r="B402" s="2">
        <v>39.383824542345437</v>
      </c>
      <c r="C402" s="2">
        <v>41.649021397424015</v>
      </c>
      <c r="D402" s="2">
        <v>18.95742023595086</v>
      </c>
      <c r="E402" s="2">
        <v>9.7736937446333947</v>
      </c>
      <c r="F402" s="2">
        <v>11.100226990149187</v>
      </c>
      <c r="G402" s="2">
        <v>11.15071779790342</v>
      </c>
      <c r="H402" s="2">
        <v>12.297450743813808</v>
      </c>
    </row>
    <row r="403" spans="1:8" x14ac:dyDescent="0.2">
      <c r="A403" s="16">
        <f>DATE(2018,3,28)</f>
        <v>43187</v>
      </c>
      <c r="B403" s="2">
        <v>39.363935637166797</v>
      </c>
      <c r="C403" s="2">
        <v>41.76070716289744</v>
      </c>
      <c r="D403" s="2">
        <v>18.991361803501828</v>
      </c>
      <c r="E403" s="2">
        <v>9.7944384783275495</v>
      </c>
      <c r="F403" s="2">
        <v>11.124559379661193</v>
      </c>
      <c r="G403" s="2">
        <v>11.175187528977727</v>
      </c>
      <c r="H403" s="2">
        <v>12.325055168681519</v>
      </c>
    </row>
    <row r="404" spans="1:8" x14ac:dyDescent="0.2">
      <c r="A404" s="16">
        <f>DATE(2018,3,29)</f>
        <v>43188</v>
      </c>
      <c r="B404" s="2">
        <v>41.344554568903803</v>
      </c>
      <c r="C404" s="2">
        <v>44.281445424737022</v>
      </c>
      <c r="D404" s="2">
        <v>19.025313055442417</v>
      </c>
      <c r="E404" s="2">
        <v>9.8151871323049811</v>
      </c>
      <c r="F404" s="2">
        <v>11.148897098281839</v>
      </c>
      <c r="G404" s="2">
        <v>11.199662647041443</v>
      </c>
      <c r="H404" s="2">
        <v>12.352666379137567</v>
      </c>
    </row>
    <row r="405" spans="1:8" x14ac:dyDescent="0.2">
      <c r="A405" s="16">
        <f>DATE(2018,4,2)</f>
        <v>43192</v>
      </c>
      <c r="B405" s="2">
        <v>39.74403013385519</v>
      </c>
      <c r="C405" s="2">
        <v>43.099820843051596</v>
      </c>
      <c r="D405" s="2">
        <v>19.059273994535886</v>
      </c>
      <c r="E405" s="2">
        <v>9.8432521108588364</v>
      </c>
      <c r="F405" s="2">
        <v>11.180641582431061</v>
      </c>
      <c r="G405" s="2">
        <v>11.231547977436064</v>
      </c>
      <c r="H405" s="2">
        <v>12.387766171906067</v>
      </c>
    </row>
    <row r="406" spans="1:8" x14ac:dyDescent="0.2">
      <c r="A406" s="16">
        <f>DATE(2018,4,3)</f>
        <v>43193</v>
      </c>
      <c r="B406" s="2">
        <v>38.683226693534877</v>
      </c>
      <c r="C406" s="2">
        <v>43.027177771016987</v>
      </c>
      <c r="D406" s="2">
        <v>19.09324462354618</v>
      </c>
      <c r="E406" s="2">
        <v>9.8713242618543529</v>
      </c>
      <c r="F406" s="2">
        <v>11.212395132907528</v>
      </c>
      <c r="G406" s="2">
        <v>11.26344245061286</v>
      </c>
      <c r="H406" s="2">
        <v>12.422876930105931</v>
      </c>
    </row>
    <row r="407" spans="1:8" x14ac:dyDescent="0.2">
      <c r="A407" s="16">
        <f>DATE(2018,4,4)</f>
        <v>43194</v>
      </c>
      <c r="B407" s="2">
        <v>38.236238148582459</v>
      </c>
      <c r="C407" s="2">
        <v>42.581364297062343</v>
      </c>
      <c r="D407" s="2">
        <v>19.127224945238066</v>
      </c>
      <c r="E407" s="2">
        <v>9.8994035871245334</v>
      </c>
      <c r="F407" s="2">
        <v>11.244157752300611</v>
      </c>
      <c r="G407" s="2">
        <v>11.295346069193446</v>
      </c>
      <c r="H407" s="2">
        <v>12.45799865716284</v>
      </c>
    </row>
    <row r="408" spans="1:8" x14ac:dyDescent="0.2">
      <c r="A408" s="16">
        <f>DATE(2018,4,5)</f>
        <v>43195</v>
      </c>
      <c r="B408" s="2">
        <v>38.910049523717127</v>
      </c>
      <c r="C408" s="2">
        <v>44.017949498022361</v>
      </c>
      <c r="D408" s="2">
        <v>19.161214962377127</v>
      </c>
      <c r="E408" s="2">
        <v>9.9274900885028874</v>
      </c>
      <c r="F408" s="2">
        <v>11.275929443200416</v>
      </c>
      <c r="G408" s="2">
        <v>11.327258835800169</v>
      </c>
      <c r="H408" s="2">
        <v>12.493131356503563</v>
      </c>
    </row>
    <row r="409" spans="1:8" x14ac:dyDescent="0.2">
      <c r="A409" s="16">
        <f>DATE(2018,4,6)</f>
        <v>43196</v>
      </c>
      <c r="B409" s="2">
        <v>38.490486370637967</v>
      </c>
      <c r="C409" s="2">
        <v>43.360071662779127</v>
      </c>
      <c r="D409" s="2">
        <v>19.195214677729709</v>
      </c>
      <c r="E409" s="2">
        <v>9.9555837678233736</v>
      </c>
      <c r="F409" s="2">
        <v>11.307710208197808</v>
      </c>
      <c r="G409" s="2">
        <v>11.359180753056108</v>
      </c>
      <c r="H409" s="2">
        <v>12.528275031555889</v>
      </c>
    </row>
    <row r="410" spans="1:8" x14ac:dyDescent="0.2">
      <c r="A410" s="16">
        <f>DATE(2018,4,9)</f>
        <v>43199</v>
      </c>
      <c r="B410" s="2">
        <v>37.667594082765341</v>
      </c>
      <c r="C410" s="2">
        <v>40.802538620153285</v>
      </c>
      <c r="D410" s="2">
        <v>19.229224094062982</v>
      </c>
      <c r="E410" s="2">
        <v>9.9836846269204536</v>
      </c>
      <c r="F410" s="2">
        <v>11.339500049884377</v>
      </c>
      <c r="G410" s="2">
        <v>11.391111823585144</v>
      </c>
      <c r="H410" s="2">
        <v>12.563429685748773</v>
      </c>
    </row>
    <row r="411" spans="1:8" x14ac:dyDescent="0.2">
      <c r="A411" s="16">
        <f>DATE(2018,4,10)</f>
        <v>43200</v>
      </c>
      <c r="B411" s="2">
        <v>38.79556637487542</v>
      </c>
      <c r="C411" s="2">
        <v>42.836020687556875</v>
      </c>
      <c r="D411" s="2">
        <v>19.263243214144875</v>
      </c>
      <c r="E411" s="2">
        <v>10.011792667628971</v>
      </c>
      <c r="F411" s="2">
        <v>11.371298970852427</v>
      </c>
      <c r="G411" s="2">
        <v>11.42305205001184</v>
      </c>
      <c r="H411" s="2">
        <v>12.598595322512107</v>
      </c>
    </row>
    <row r="412" spans="1:8" x14ac:dyDescent="0.2">
      <c r="A412" s="16">
        <f>DATE(2018,4,11)</f>
        <v>43201</v>
      </c>
      <c r="B412" s="2">
        <v>39.512604344615987</v>
      </c>
      <c r="C412" s="2">
        <v>44.078676942838626</v>
      </c>
      <c r="D412" s="2">
        <v>19.297272040744097</v>
      </c>
      <c r="E412" s="2">
        <v>10.039907891784351</v>
      </c>
      <c r="F412" s="2">
        <v>11.403106973695065</v>
      </c>
      <c r="G412" s="2">
        <v>11.455001434961588</v>
      </c>
      <c r="H412" s="2">
        <v>12.633771945276949</v>
      </c>
    </row>
    <row r="413" spans="1:8" x14ac:dyDescent="0.2">
      <c r="A413" s="16">
        <f>DATE(2018,4,12)</f>
        <v>43202</v>
      </c>
      <c r="B413" s="2">
        <v>39.8080524852747</v>
      </c>
      <c r="C413" s="2">
        <v>44.413227191292123</v>
      </c>
      <c r="D413" s="2">
        <v>19.331310576630177</v>
      </c>
      <c r="E413" s="2">
        <v>10.068030301222407</v>
      </c>
      <c r="F413" s="2">
        <v>11.434924061006081</v>
      </c>
      <c r="G413" s="2">
        <v>11.486959981060485</v>
      </c>
      <c r="H413" s="2">
        <v>12.668959557475423</v>
      </c>
    </row>
    <row r="414" spans="1:8" x14ac:dyDescent="0.2">
      <c r="A414" s="16">
        <f>DATE(2018,4,13)</f>
        <v>43203</v>
      </c>
      <c r="B414" s="2">
        <v>38.988176166097553</v>
      </c>
      <c r="C414" s="2">
        <v>42.538637055065237</v>
      </c>
      <c r="D414" s="2">
        <v>19.365358824573399</v>
      </c>
      <c r="E414" s="2">
        <v>10.096159897779478</v>
      </c>
      <c r="F414" s="2">
        <v>11.46675023538004</v>
      </c>
      <c r="G414" s="2">
        <v>11.518927690935389</v>
      </c>
      <c r="H414" s="2">
        <v>12.70415816254069</v>
      </c>
    </row>
    <row r="415" spans="1:8" x14ac:dyDescent="0.2">
      <c r="A415" s="16">
        <f>DATE(2018,4,16)</f>
        <v>43206</v>
      </c>
      <c r="B415" s="2">
        <v>36.779181764257608</v>
      </c>
      <c r="C415" s="2">
        <v>40.049318865564508</v>
      </c>
      <c r="D415" s="2">
        <v>19.399416787344894</v>
      </c>
      <c r="E415" s="2">
        <v>10.124296683292311</v>
      </c>
      <c r="F415" s="2">
        <v>11.49858549941225</v>
      </c>
      <c r="G415" s="2">
        <v>11.550904567213927</v>
      </c>
      <c r="H415" s="2">
        <v>12.739367763907007</v>
      </c>
    </row>
    <row r="416" spans="1:8" x14ac:dyDescent="0.2">
      <c r="A416" s="16">
        <f>DATE(2018,4,17)</f>
        <v>43207</v>
      </c>
      <c r="B416" s="2">
        <v>37.869327351043516</v>
      </c>
      <c r="C416" s="2">
        <v>42.11900415779315</v>
      </c>
      <c r="D416" s="2">
        <v>19.433484467716511</v>
      </c>
      <c r="E416" s="2">
        <v>10.152440659598193</v>
      </c>
      <c r="F416" s="2">
        <v>11.530429855698744</v>
      </c>
      <c r="G416" s="2">
        <v>11.582890612524489</v>
      </c>
      <c r="H416" s="2">
        <v>12.77458836500973</v>
      </c>
    </row>
    <row r="417" spans="1:8" x14ac:dyDescent="0.2">
      <c r="A417" s="16">
        <f>DATE(2018,4,18)</f>
        <v>43208</v>
      </c>
      <c r="B417" s="2">
        <v>39.589597422452606</v>
      </c>
      <c r="C417" s="2">
        <v>44.975932123178673</v>
      </c>
      <c r="D417" s="2">
        <v>19.467561868461015</v>
      </c>
      <c r="E417" s="2">
        <v>10.180591828534791</v>
      </c>
      <c r="F417" s="2">
        <v>11.562283306836241</v>
      </c>
      <c r="G417" s="2">
        <v>11.614885829496124</v>
      </c>
      <c r="H417" s="2">
        <v>12.809819969285186</v>
      </c>
    </row>
    <row r="418" spans="1:8" x14ac:dyDescent="0.2">
      <c r="A418" s="16">
        <f>DATE(2018,4,19)</f>
        <v>43209</v>
      </c>
      <c r="B418" s="2">
        <v>39.422949694328892</v>
      </c>
      <c r="C418" s="2">
        <v>45.056721765878869</v>
      </c>
      <c r="D418" s="2">
        <v>19.501648992351761</v>
      </c>
      <c r="E418" s="2">
        <v>10.208750191940341</v>
      </c>
      <c r="F418" s="2">
        <v>11.594145855422333</v>
      </c>
      <c r="G418" s="2">
        <v>11.646890220758777</v>
      </c>
      <c r="H418" s="2">
        <v>12.845062580170907</v>
      </c>
    </row>
    <row r="419" spans="1:8" x14ac:dyDescent="0.2">
      <c r="A419" s="16">
        <f>DATE(2018,4,20)</f>
        <v>43210</v>
      </c>
      <c r="B419" s="2">
        <v>38.643964139788459</v>
      </c>
      <c r="C419" s="2">
        <v>44.593330629077329</v>
      </c>
      <c r="D419" s="2">
        <v>19.535745842163067</v>
      </c>
      <c r="E419" s="2">
        <v>10.236915751653486</v>
      </c>
      <c r="F419" s="2">
        <v>11.626017504055254</v>
      </c>
      <c r="G419" s="2">
        <v>11.678903788943074</v>
      </c>
      <c r="H419" s="2">
        <v>12.880316201105414</v>
      </c>
    </row>
    <row r="420" spans="1:8" x14ac:dyDescent="0.2">
      <c r="A420" s="16">
        <f>DATE(2018,4,23)</f>
        <v>43213</v>
      </c>
      <c r="B420" s="2">
        <v>37.91645615571553</v>
      </c>
      <c r="C420" s="2">
        <v>44.681911908866411</v>
      </c>
      <c r="D420" s="2">
        <v>19.569852420669974</v>
      </c>
      <c r="E420" s="2">
        <v>10.265088509513355</v>
      </c>
      <c r="F420" s="2">
        <v>11.657898255334009</v>
      </c>
      <c r="G420" s="2">
        <v>11.710926536680377</v>
      </c>
      <c r="H420" s="2">
        <v>12.915580835528329</v>
      </c>
    </row>
    <row r="421" spans="1:8" x14ac:dyDescent="0.2">
      <c r="A421" s="16">
        <f>DATE(2018,4,24)</f>
        <v>43214</v>
      </c>
      <c r="B421" s="2">
        <v>37.833712814101929</v>
      </c>
      <c r="C421" s="2">
        <v>44.4564107764593</v>
      </c>
      <c r="D421" s="2">
        <v>19.603968730648337</v>
      </c>
      <c r="E421" s="2">
        <v>10.293268467359541</v>
      </c>
      <c r="F421" s="2">
        <v>11.689788111858324</v>
      </c>
      <c r="G421" s="2">
        <v>11.742958466602849</v>
      </c>
      <c r="H421" s="2">
        <v>12.950856486880371</v>
      </c>
    </row>
    <row r="422" spans="1:8" x14ac:dyDescent="0.2">
      <c r="A422" s="16">
        <f>DATE(2018,4,25)</f>
        <v>43215</v>
      </c>
      <c r="B422" s="2">
        <v>38.610692302904148</v>
      </c>
      <c r="C422" s="2">
        <v>43.738616773146589</v>
      </c>
      <c r="D422" s="2">
        <v>19.638094774874769</v>
      </c>
      <c r="E422" s="2">
        <v>10.321455627032083</v>
      </c>
      <c r="F422" s="2">
        <v>11.721687076228694</v>
      </c>
      <c r="G422" s="2">
        <v>11.774999581343337</v>
      </c>
      <c r="H422" s="2">
        <v>12.986143158603246</v>
      </c>
    </row>
    <row r="423" spans="1:8" x14ac:dyDescent="0.2">
      <c r="A423" s="16">
        <f>DATE(2018,4,26)</f>
        <v>43216</v>
      </c>
      <c r="B423" s="2">
        <v>39.707886600126407</v>
      </c>
      <c r="C423" s="2">
        <v>46.001419734306715</v>
      </c>
      <c r="D423" s="2">
        <v>19.672230556126724</v>
      </c>
      <c r="E423" s="2">
        <v>10.349649990371601</v>
      </c>
      <c r="F423" s="2">
        <v>11.753595151046392</v>
      </c>
      <c r="G423" s="2">
        <v>11.807049883535582</v>
      </c>
      <c r="H423" s="2">
        <v>13.021440854139898</v>
      </c>
    </row>
    <row r="424" spans="1:8" x14ac:dyDescent="0.2">
      <c r="A424" s="16">
        <f>DATE(2018,4,27)</f>
        <v>43217</v>
      </c>
      <c r="B424" s="2">
        <v>39.470909779666407</v>
      </c>
      <c r="C424" s="2">
        <v>46.105296961092378</v>
      </c>
      <c r="D424" s="2">
        <v>19.706376077182398</v>
      </c>
      <c r="E424" s="2">
        <v>10.377851559219019</v>
      </c>
      <c r="F424" s="2">
        <v>11.785512338913318</v>
      </c>
      <c r="G424" s="2">
        <v>11.839109375813871</v>
      </c>
      <c r="H424" s="2">
        <v>13.056749576934124</v>
      </c>
    </row>
    <row r="425" spans="1:8" x14ac:dyDescent="0.2">
      <c r="A425" s="16">
        <f>DATE(2018,4,30)</f>
        <v>43220</v>
      </c>
      <c r="B425" s="2">
        <v>38.549493557711997</v>
      </c>
      <c r="C425" s="2">
        <v>45.548963931987821</v>
      </c>
      <c r="D425" s="2">
        <v>19.740531340820809</v>
      </c>
      <c r="E425" s="2">
        <v>10.406060335415868</v>
      </c>
      <c r="F425" s="2">
        <v>11.817438642432254</v>
      </c>
      <c r="G425" s="2">
        <v>11.87117806081346</v>
      </c>
      <c r="H425" s="2">
        <v>13.092069330431009</v>
      </c>
    </row>
    <row r="426" spans="1:8" x14ac:dyDescent="0.2">
      <c r="A426" s="16">
        <f>DATE(2018,5,2)</f>
        <v>43222</v>
      </c>
      <c r="B426" s="2">
        <v>36.635761804150867</v>
      </c>
      <c r="C426" s="2">
        <v>42.898100260284465</v>
      </c>
      <c r="D426" s="2">
        <v>19.774696349821784</v>
      </c>
      <c r="E426" s="2">
        <v>10.445809329052279</v>
      </c>
      <c r="F426" s="2">
        <v>11.861054855683827</v>
      </c>
      <c r="G426" s="2">
        <v>11.914942359705917</v>
      </c>
      <c r="H426" s="2">
        <v>13.139214377943453</v>
      </c>
    </row>
    <row r="427" spans="1:8" x14ac:dyDescent="0.2">
      <c r="A427" s="16">
        <f>DATE(2018,5,3)</f>
        <v>43223</v>
      </c>
      <c r="B427" s="2">
        <v>33.672314932534817</v>
      </c>
      <c r="C427" s="2">
        <v>40.770273467869899</v>
      </c>
      <c r="D427" s="2">
        <v>19.808871106965896</v>
      </c>
      <c r="E427" s="2">
        <v>10.485572633338824</v>
      </c>
      <c r="F427" s="2">
        <v>11.90468808214986</v>
      </c>
      <c r="G427" s="2">
        <v>11.95872377930718</v>
      </c>
      <c r="H427" s="2">
        <v>13.186379078960542</v>
      </c>
    </row>
    <row r="428" spans="1:8" x14ac:dyDescent="0.2">
      <c r="A428" s="16">
        <f>DATE(2018,5,4)</f>
        <v>43224</v>
      </c>
      <c r="B428" s="2">
        <v>34.573890339927615</v>
      </c>
      <c r="C428" s="2">
        <v>40.482760369130766</v>
      </c>
      <c r="D428" s="2">
        <v>19.843055615034544</v>
      </c>
      <c r="E428" s="2">
        <v>10.5253502534276</v>
      </c>
      <c r="F428" s="2">
        <v>11.948338328466557</v>
      </c>
      <c r="G428" s="2">
        <v>12.002522326314825</v>
      </c>
      <c r="H428" s="2">
        <v>13.233563441675233</v>
      </c>
    </row>
    <row r="429" spans="1:8" x14ac:dyDescent="0.2">
      <c r="A429" s="16">
        <f>DATE(2018,5,7)</f>
        <v>43227</v>
      </c>
      <c r="B429" s="2">
        <v>32.887208129457512</v>
      </c>
      <c r="C429" s="2">
        <v>39.800611837879707</v>
      </c>
      <c r="D429" s="2">
        <v>19.877249876809945</v>
      </c>
      <c r="E429" s="2">
        <v>10.565142194472733</v>
      </c>
      <c r="F429" s="2">
        <v>11.992005601272847</v>
      </c>
      <c r="G429" s="2">
        <v>12.046338007429203</v>
      </c>
      <c r="H429" s="2">
        <v>13.280767474283994</v>
      </c>
    </row>
    <row r="430" spans="1:8" x14ac:dyDescent="0.2">
      <c r="A430" s="16">
        <f>DATE(2018,5,8)</f>
        <v>43228</v>
      </c>
      <c r="B430" s="2">
        <v>33.503393205235277</v>
      </c>
      <c r="C430" s="2">
        <v>40.208988270290249</v>
      </c>
      <c r="D430" s="2">
        <v>19.911453895075002</v>
      </c>
      <c r="E430" s="2">
        <v>10.60494846163007</v>
      </c>
      <c r="F430" s="2">
        <v>12.035689907210134</v>
      </c>
      <c r="G430" s="2">
        <v>12.090170829353175</v>
      </c>
      <c r="H430" s="2">
        <v>13.327991184986644</v>
      </c>
    </row>
    <row r="431" spans="1:8" x14ac:dyDescent="0.2">
      <c r="A431" s="16">
        <f>DATE(2018,5,9)</f>
        <v>43229</v>
      </c>
      <c r="B431" s="2">
        <v>32.998242494050608</v>
      </c>
      <c r="C431" s="2">
        <v>42.422151235506746</v>
      </c>
      <c r="D431" s="2">
        <v>19.945667672613563</v>
      </c>
      <c r="E431" s="2">
        <v>10.644769060057403</v>
      </c>
      <c r="F431" s="2">
        <v>12.079391252922479</v>
      </c>
      <c r="G431" s="2">
        <v>12.134020798792289</v>
      </c>
      <c r="H431" s="2">
        <v>13.375234581986462</v>
      </c>
    </row>
    <row r="432" spans="1:8" x14ac:dyDescent="0.2">
      <c r="A432" s="16">
        <f>DATE(2018,5,10)</f>
        <v>43230</v>
      </c>
      <c r="B432" s="2">
        <v>34.24802144896455</v>
      </c>
      <c r="C432" s="2">
        <v>45.11915627218319</v>
      </c>
      <c r="D432" s="2">
        <v>19.979891212210177</v>
      </c>
      <c r="E432" s="2">
        <v>10.684603994914355</v>
      </c>
      <c r="F432" s="2">
        <v>12.123109645056539</v>
      </c>
      <c r="G432" s="2">
        <v>12.177887922454712</v>
      </c>
      <c r="H432" s="2">
        <v>13.422497673490152</v>
      </c>
    </row>
    <row r="433" spans="1:8" x14ac:dyDescent="0.2">
      <c r="A433" s="16">
        <f>DATE(2018,5,11)</f>
        <v>43231</v>
      </c>
      <c r="B433" s="2">
        <v>31.086681688343166</v>
      </c>
      <c r="C433" s="2">
        <v>44.035831389649324</v>
      </c>
      <c r="D433" s="2">
        <v>20.014124516650192</v>
      </c>
      <c r="E433" s="2">
        <v>10.7244532713624</v>
      </c>
      <c r="F433" s="2">
        <v>12.166845090261559</v>
      </c>
      <c r="G433" s="2">
        <v>12.221772207051208</v>
      </c>
      <c r="H433" s="2">
        <v>13.469780467707816</v>
      </c>
    </row>
    <row r="434" spans="1:8" x14ac:dyDescent="0.2">
      <c r="A434" s="16">
        <f>DATE(2018,5,14)</f>
        <v>43234</v>
      </c>
      <c r="B434" s="2">
        <v>29.094981304428892</v>
      </c>
      <c r="C434" s="2">
        <v>44.056011898725458</v>
      </c>
      <c r="D434" s="2">
        <v>20.048367588719774</v>
      </c>
      <c r="E434" s="2">
        <v>10.764316894564875</v>
      </c>
      <c r="F434" s="2">
        <v>12.210597595189343</v>
      </c>
      <c r="G434" s="2">
        <v>12.265673659295162</v>
      </c>
      <c r="H434" s="2">
        <v>13.517082972852966</v>
      </c>
    </row>
    <row r="435" spans="1:8" x14ac:dyDescent="0.2">
      <c r="A435" s="16">
        <f>DATE(2018,5,15)</f>
        <v>43235</v>
      </c>
      <c r="B435" s="2">
        <v>30.074174967679411</v>
      </c>
      <c r="C435" s="2">
        <v>43.884021228408066</v>
      </c>
      <c r="D435" s="2">
        <v>20.082620431205878</v>
      </c>
      <c r="E435" s="2">
        <v>10.804194869687</v>
      </c>
      <c r="F435" s="2">
        <v>12.25436716649433</v>
      </c>
      <c r="G435" s="2">
        <v>12.309592285902626</v>
      </c>
      <c r="H435" s="2">
        <v>13.564405197142593</v>
      </c>
    </row>
    <row r="436" spans="1:8" x14ac:dyDescent="0.2">
      <c r="A436" s="16">
        <f>DATE(2018,5,16)</f>
        <v>43236</v>
      </c>
      <c r="B436" s="2">
        <v>32.210586888271628</v>
      </c>
      <c r="C436" s="2">
        <v>46.261315620457566</v>
      </c>
      <c r="D436" s="2">
        <v>20.116883046896248</v>
      </c>
      <c r="E436" s="2">
        <v>10.844087201895801</v>
      </c>
      <c r="F436" s="2">
        <v>12.298153810833522</v>
      </c>
      <c r="G436" s="2">
        <v>12.353528093592248</v>
      </c>
      <c r="H436" s="2">
        <v>13.61174714879705</v>
      </c>
    </row>
    <row r="437" spans="1:8" x14ac:dyDescent="0.2">
      <c r="A437" s="16">
        <f>DATE(2018,5,17)</f>
        <v>43237</v>
      </c>
      <c r="B437" s="2">
        <v>28.483055683300758</v>
      </c>
      <c r="C437" s="2">
        <v>41.334465740458917</v>
      </c>
      <c r="D437" s="2">
        <v>20.151155438579437</v>
      </c>
      <c r="E437" s="2">
        <v>10.883993896360233</v>
      </c>
      <c r="F437" s="2">
        <v>12.341957534866577</v>
      </c>
      <c r="G437" s="2">
        <v>12.397481089085337</v>
      </c>
      <c r="H437" s="2">
        <v>13.659108836040179</v>
      </c>
    </row>
    <row r="438" spans="1:8" x14ac:dyDescent="0.2">
      <c r="A438" s="16">
        <f>DATE(2018,5,18)</f>
        <v>43238</v>
      </c>
      <c r="B438" s="2">
        <v>27.095167346415838</v>
      </c>
      <c r="C438" s="2">
        <v>40.421661089138915</v>
      </c>
      <c r="D438" s="2">
        <v>20.185437609044765</v>
      </c>
      <c r="E438" s="2">
        <v>10.923914958251002</v>
      </c>
      <c r="F438" s="2">
        <v>12.385778345255627</v>
      </c>
      <c r="G438" s="2">
        <v>12.441451279105742</v>
      </c>
      <c r="H438" s="2">
        <v>13.706490267099158</v>
      </c>
    </row>
    <row r="439" spans="1:8" x14ac:dyDescent="0.2">
      <c r="A439" s="16">
        <f>DATE(2018,5,21)</f>
        <v>43241</v>
      </c>
      <c r="B439" s="2">
        <v>26.438084635913238</v>
      </c>
      <c r="C439" s="2">
        <v>38.28097217996811</v>
      </c>
      <c r="D439" s="2">
        <v>20.219729561082378</v>
      </c>
      <c r="E439" s="2">
        <v>10.963850392740815</v>
      </c>
      <c r="F439" s="2">
        <v>12.429616248665566</v>
      </c>
      <c r="G439" s="2">
        <v>12.485438670380079</v>
      </c>
      <c r="H439" s="2">
        <v>13.753891450204714</v>
      </c>
    </row>
    <row r="440" spans="1:8" x14ac:dyDescent="0.2">
      <c r="A440" s="16">
        <f>DATE(2018,5,22)</f>
        <v>43242</v>
      </c>
      <c r="B440" s="2">
        <v>30.67016885440017</v>
      </c>
      <c r="C440" s="2">
        <v>39.841936247168853</v>
      </c>
      <c r="D440" s="2">
        <v>20.254031297483198</v>
      </c>
      <c r="E440" s="2">
        <v>11.003800205004154</v>
      </c>
      <c r="F440" s="2">
        <v>12.473471251763767</v>
      </c>
      <c r="G440" s="2">
        <v>12.529443269637497</v>
      </c>
      <c r="H440" s="2">
        <v>13.801312393590925</v>
      </c>
    </row>
    <row r="441" spans="1:8" x14ac:dyDescent="0.2">
      <c r="A441" s="16">
        <f>DATE(2018,5,23)</f>
        <v>43243</v>
      </c>
      <c r="B441" s="2">
        <v>27.926688464998058</v>
      </c>
      <c r="C441" s="2">
        <v>36.678649900280426</v>
      </c>
      <c r="D441" s="2">
        <v>20.288342821038974</v>
      </c>
      <c r="E441" s="2">
        <v>11.043764400217393</v>
      </c>
      <c r="F441" s="2">
        <v>12.517343361220258</v>
      </c>
      <c r="G441" s="2">
        <v>12.573465083609815</v>
      </c>
      <c r="H441" s="2">
        <v>13.848753105495314</v>
      </c>
    </row>
    <row r="442" spans="1:8" x14ac:dyDescent="0.2">
      <c r="A442" s="16">
        <f>DATE(2018,5,24)</f>
        <v>43244</v>
      </c>
      <c r="B442" s="2">
        <v>28.323058200501048</v>
      </c>
      <c r="C442" s="2">
        <v>35.4195145860797</v>
      </c>
      <c r="D442" s="2">
        <v>20.322664134542201</v>
      </c>
      <c r="E442" s="2">
        <v>11.083742983558743</v>
      </c>
      <c r="F442" s="2">
        <v>12.561232583707627</v>
      </c>
      <c r="G442" s="2">
        <v>12.617504119031464</v>
      </c>
      <c r="H442" s="2">
        <v>13.896213594158867</v>
      </c>
    </row>
    <row r="443" spans="1:8" x14ac:dyDescent="0.2">
      <c r="A443" s="16">
        <f>DATE(2018,5,25)</f>
        <v>43245</v>
      </c>
      <c r="B443" s="2">
        <v>26.309524676463237</v>
      </c>
      <c r="C443" s="2">
        <v>33.349660277862171</v>
      </c>
      <c r="D443" s="2">
        <v>20.356995240786222</v>
      </c>
      <c r="E443" s="2">
        <v>11.123735960208302</v>
      </c>
      <c r="F443" s="2">
        <v>12.605138925901116</v>
      </c>
      <c r="G443" s="2">
        <v>12.661560382639504</v>
      </c>
      <c r="H443" s="2">
        <v>13.943693867825967</v>
      </c>
    </row>
    <row r="444" spans="1:8" x14ac:dyDescent="0.2">
      <c r="A444" s="16">
        <f>DATE(2018,5,28)</f>
        <v>43248</v>
      </c>
      <c r="B444" s="2">
        <v>21.700499331746268</v>
      </c>
      <c r="C444" s="2">
        <v>27.363418179359655</v>
      </c>
      <c r="D444" s="2">
        <v>20.391336142565141</v>
      </c>
      <c r="E444" s="2">
        <v>11.163743335348043</v>
      </c>
      <c r="F444" s="2">
        <v>12.649062394478539</v>
      </c>
      <c r="G444" s="2">
        <v>12.705633881173672</v>
      </c>
      <c r="H444" s="2">
        <v>13.991193934744439</v>
      </c>
    </row>
    <row r="445" spans="1:8" x14ac:dyDescent="0.2">
      <c r="A445" s="16">
        <f>DATE(2018,5,29)</f>
        <v>43249</v>
      </c>
      <c r="B445" s="2">
        <v>23.096398191407829</v>
      </c>
      <c r="C445" s="2">
        <v>28.573792380759102</v>
      </c>
      <c r="D445" s="2">
        <v>20.425686842673873</v>
      </c>
      <c r="E445" s="2">
        <v>11.203765114161769</v>
      </c>
      <c r="F445" s="2">
        <v>12.693002996120306</v>
      </c>
      <c r="G445" s="2">
        <v>12.749724621376313</v>
      </c>
      <c r="H445" s="2">
        <v>14.038713803165569</v>
      </c>
    </row>
    <row r="446" spans="1:8" x14ac:dyDescent="0.2">
      <c r="A446" s="16">
        <f>DATE(2018,5,30)</f>
        <v>43250</v>
      </c>
      <c r="B446" s="2">
        <v>25.029015817278477</v>
      </c>
      <c r="C446" s="2">
        <v>29.725872967582621</v>
      </c>
      <c r="D446" s="2">
        <v>20.460047343908141</v>
      </c>
      <c r="E446" s="2">
        <v>11.243801301835177</v>
      </c>
      <c r="F446" s="2">
        <v>12.736960737509451</v>
      </c>
      <c r="G446" s="2">
        <v>12.793832609992405</v>
      </c>
      <c r="H446" s="2">
        <v>14.086253481344089</v>
      </c>
    </row>
    <row r="447" spans="1:8" x14ac:dyDescent="0.2">
      <c r="A447" s="16">
        <f>DATE(2018,6,1)</f>
        <v>43252</v>
      </c>
      <c r="B447" s="2">
        <v>28.275688942743994</v>
      </c>
      <c r="C447" s="2">
        <v>30.547527296082102</v>
      </c>
      <c r="D447" s="2">
        <v>20.494417649064435</v>
      </c>
      <c r="E447" s="2">
        <v>11.336368744006897</v>
      </c>
      <c r="F447" s="2">
        <v>12.834158966372099</v>
      </c>
      <c r="G447" s="2">
        <v>12.8912081046197</v>
      </c>
      <c r="H447" s="2">
        <v>14.187674765602477</v>
      </c>
    </row>
    <row r="448" spans="1:8" x14ac:dyDescent="0.2">
      <c r="A448" s="16">
        <f>DATE(2018,6,4)</f>
        <v>43255</v>
      </c>
      <c r="B448" s="2">
        <v>30.470043186747798</v>
      </c>
      <c r="C448" s="2">
        <v>32.839908055301905</v>
      </c>
      <c r="D448" s="2">
        <v>20.528797760940076</v>
      </c>
      <c r="E448" s="2">
        <v>11.429013212774697</v>
      </c>
      <c r="F448" s="2">
        <v>12.931440996462239</v>
      </c>
      <c r="G448" s="2">
        <v>12.988667664011301</v>
      </c>
      <c r="H448" s="2">
        <v>14.289186212142345</v>
      </c>
    </row>
    <row r="449" spans="1:8" x14ac:dyDescent="0.2">
      <c r="A449" s="16">
        <f>DATE(2018,6,5)</f>
        <v>43256</v>
      </c>
      <c r="B449" s="2">
        <v>26.853051700023656</v>
      </c>
      <c r="C449" s="2">
        <v>29.536760977588351</v>
      </c>
      <c r="D449" s="2">
        <v>20.563187682333162</v>
      </c>
      <c r="E449" s="2">
        <v>11.521734772233438</v>
      </c>
      <c r="F449" s="2">
        <v>13.028806900030633</v>
      </c>
      <c r="G449" s="2">
        <v>13.086211360740752</v>
      </c>
      <c r="H449" s="2">
        <v>14.390787901116875</v>
      </c>
    </row>
    <row r="450" spans="1:8" x14ac:dyDescent="0.2">
      <c r="A450" s="16">
        <f>DATE(2018,6,6)</f>
        <v>43257</v>
      </c>
      <c r="B450" s="2">
        <v>23.974436676817199</v>
      </c>
      <c r="C450" s="2">
        <v>28.650272115742027</v>
      </c>
      <c r="D450" s="2">
        <v>20.597587416042607</v>
      </c>
      <c r="E450" s="2">
        <v>11.61453348653132</v>
      </c>
      <c r="F450" s="2">
        <v>13.12625674939032</v>
      </c>
      <c r="G450" s="2">
        <v>13.183839267444242</v>
      </c>
      <c r="H450" s="2">
        <v>14.49247991275049</v>
      </c>
    </row>
    <row r="451" spans="1:8" x14ac:dyDescent="0.2">
      <c r="A451" s="16">
        <f>DATE(2018,6,7)</f>
        <v>43258</v>
      </c>
      <c r="B451" s="2">
        <v>21.20010272155768</v>
      </c>
      <c r="C451" s="2">
        <v>24.820775445357015</v>
      </c>
      <c r="D451" s="2">
        <v>20.631996964868105</v>
      </c>
      <c r="E451" s="2">
        <v>11.707409419869895</v>
      </c>
      <c r="F451" s="2">
        <v>13.22379061691672</v>
      </c>
      <c r="G451" s="2">
        <v>13.281551456820685</v>
      </c>
      <c r="H451" s="2">
        <v>14.594262327338914</v>
      </c>
    </row>
    <row r="452" spans="1:8" x14ac:dyDescent="0.2">
      <c r="A452" s="16">
        <f>DATE(2018,6,8)</f>
        <v>43259</v>
      </c>
      <c r="B452" s="2">
        <v>23.724125015268527</v>
      </c>
      <c r="C452" s="2">
        <v>23.283760943785168</v>
      </c>
      <c r="D452" s="2">
        <v>20.666416331610169</v>
      </c>
      <c r="E452" s="2">
        <v>11.800362636504147</v>
      </c>
      <c r="F452" s="2">
        <v>13.321408575047622</v>
      </c>
      <c r="G452" s="2">
        <v>13.37934800163174</v>
      </c>
      <c r="H452" s="2">
        <v>14.696135225249286</v>
      </c>
    </row>
    <row r="453" spans="1:8" x14ac:dyDescent="0.2">
      <c r="A453" s="16">
        <f>DATE(2018,6,11)</f>
        <v>43262</v>
      </c>
      <c r="B453" s="2">
        <v>22.175064410511158</v>
      </c>
      <c r="C453" s="2">
        <v>22.211692526112859</v>
      </c>
      <c r="D453" s="2">
        <v>20.7008455190701</v>
      </c>
      <c r="E453" s="2">
        <v>11.893393200742519</v>
      </c>
      <c r="F453" s="2">
        <v>13.419110696283276</v>
      </c>
      <c r="G453" s="2">
        <v>13.477228974701895</v>
      </c>
      <c r="H453" s="2">
        <v>14.798098686920147</v>
      </c>
    </row>
    <row r="454" spans="1:8" x14ac:dyDescent="0.2">
      <c r="A454" s="16">
        <f>DATE(2018,6,12)</f>
        <v>43263</v>
      </c>
      <c r="B454" s="2">
        <v>22.140638398818545</v>
      </c>
      <c r="C454" s="2">
        <v>22.966112294222917</v>
      </c>
      <c r="D454" s="2">
        <v>20.735284530049981</v>
      </c>
      <c r="E454" s="2">
        <v>11.986501176946994</v>
      </c>
      <c r="F454" s="2">
        <v>13.516897053186415</v>
      </c>
      <c r="G454" s="2">
        <v>13.575194448918504</v>
      </c>
      <c r="H454" s="2">
        <v>14.900152792861586</v>
      </c>
    </row>
    <row r="455" spans="1:8" x14ac:dyDescent="0.2">
      <c r="A455" s="16">
        <f>DATE(2018,6,13)</f>
        <v>43264</v>
      </c>
      <c r="B455" s="2">
        <v>22.835808877994811</v>
      </c>
      <c r="C455" s="2">
        <v>21.897948145894475</v>
      </c>
      <c r="D455" s="2">
        <v>20.769733367352728</v>
      </c>
      <c r="E455" s="2">
        <v>12.079686629533093</v>
      </c>
      <c r="F455" s="2">
        <v>13.614767718382392</v>
      </c>
      <c r="G455" s="2">
        <v>13.673244497231819</v>
      </c>
      <c r="H455" s="2">
        <v>15.002297623655259</v>
      </c>
    </row>
    <row r="456" spans="1:8" x14ac:dyDescent="0.2">
      <c r="A456" s="16">
        <f>DATE(2018,6,14)</f>
        <v>43265</v>
      </c>
      <c r="B456" s="2">
        <v>22.502362279808263</v>
      </c>
      <c r="C456" s="2">
        <v>20.713230571611962</v>
      </c>
      <c r="D456" s="2">
        <v>20.804192033782034</v>
      </c>
      <c r="E456" s="2">
        <v>12.172949622969954</v>
      </c>
      <c r="F456" s="2">
        <v>13.712722764559127</v>
      </c>
      <c r="G456" s="2">
        <v>13.771379192655099</v>
      </c>
      <c r="H456" s="2">
        <v>15.104533259954446</v>
      </c>
    </row>
    <row r="457" spans="1:8" x14ac:dyDescent="0.2">
      <c r="A457" s="16">
        <f>DATE(2018,6,15)</f>
        <v>43266</v>
      </c>
      <c r="B457" s="2">
        <v>22.018735554780644</v>
      </c>
      <c r="C457" s="2">
        <v>19.591877091572751</v>
      </c>
      <c r="D457" s="2">
        <v>20.838660532142384</v>
      </c>
      <c r="E457" s="2">
        <v>12.266290221780318</v>
      </c>
      <c r="F457" s="2">
        <v>13.810762264467225</v>
      </c>
      <c r="G457" s="2">
        <v>13.869598608264644</v>
      </c>
      <c r="H457" s="2">
        <v>15.206859782484129</v>
      </c>
    </row>
    <row r="458" spans="1:8" x14ac:dyDescent="0.2">
      <c r="A458" s="16">
        <f>DATE(2018,6,18)</f>
        <v>43269</v>
      </c>
      <c r="B458" s="2">
        <v>21.261576270275583</v>
      </c>
      <c r="C458" s="2">
        <v>17.998073217726308</v>
      </c>
      <c r="D458" s="2">
        <v>20.873138865239095</v>
      </c>
      <c r="E458" s="2">
        <v>12.359708490540665</v>
      </c>
      <c r="F458" s="2">
        <v>13.908886290919996</v>
      </c>
      <c r="G458" s="2">
        <v>13.967902817199818</v>
      </c>
      <c r="H458" s="2">
        <v>15.309277272041054</v>
      </c>
    </row>
    <row r="459" spans="1:8" x14ac:dyDescent="0.2">
      <c r="A459" s="16">
        <f>DATE(2018,6,19)</f>
        <v>43270</v>
      </c>
      <c r="B459" s="2">
        <v>24.033114099660246</v>
      </c>
      <c r="C459" s="2">
        <v>20.667849778588955</v>
      </c>
      <c r="D459" s="2">
        <v>20.907627035878249</v>
      </c>
      <c r="E459" s="2">
        <v>12.453204493881188</v>
      </c>
      <c r="F459" s="2">
        <v>14.007094916793571</v>
      </c>
      <c r="G459" s="2">
        <v>14.066291892663131</v>
      </c>
      <c r="H459" s="2">
        <v>15.411785809493805</v>
      </c>
    </row>
    <row r="460" spans="1:8" x14ac:dyDescent="0.2">
      <c r="A460" s="16">
        <f>DATE(2018,6,20)</f>
        <v>43271</v>
      </c>
      <c r="B460" s="2">
        <v>23.001755857127737</v>
      </c>
      <c r="C460" s="2">
        <v>21.900094648953704</v>
      </c>
      <c r="D460" s="2">
        <v>20.942125046866767</v>
      </c>
      <c r="E460" s="2">
        <v>12.546778296485872</v>
      </c>
      <c r="F460" s="2">
        <v>14.105388215026871</v>
      </c>
      <c r="G460" s="2">
        <v>14.164765907920286</v>
      </c>
      <c r="H460" s="2">
        <v>15.514385475782833</v>
      </c>
    </row>
    <row r="461" spans="1:8" x14ac:dyDescent="0.2">
      <c r="A461" s="16">
        <f>DATE(2018,6,21)</f>
        <v>43272</v>
      </c>
      <c r="B461" s="2">
        <v>19.852225778026924</v>
      </c>
      <c r="C461" s="2">
        <v>18.437785214481185</v>
      </c>
      <c r="D461" s="2">
        <v>20.976632901012351</v>
      </c>
      <c r="E461" s="2">
        <v>12.640429963092492</v>
      </c>
      <c r="F461" s="2">
        <v>14.203766258621719</v>
      </c>
      <c r="G461" s="2">
        <v>14.263324936300249</v>
      </c>
      <c r="H461" s="2">
        <v>15.617076351920579</v>
      </c>
    </row>
    <row r="462" spans="1:8" x14ac:dyDescent="0.2">
      <c r="A462" s="16">
        <f>DATE(2018,6,22)</f>
        <v>43273</v>
      </c>
      <c r="B462" s="2">
        <v>20.65496809737142</v>
      </c>
      <c r="C462" s="2">
        <v>19.393993171753944</v>
      </c>
      <c r="D462" s="2">
        <v>21.011150601123486</v>
      </c>
      <c r="E462" s="2">
        <v>12.734159558492729</v>
      </c>
      <c r="F462" s="2">
        <v>14.302229120642872</v>
      </c>
      <c r="G462" s="2">
        <v>14.361969051195267</v>
      </c>
      <c r="H462" s="2">
        <v>15.719858518991471</v>
      </c>
    </row>
    <row r="463" spans="1:8" x14ac:dyDescent="0.2">
      <c r="A463" s="16">
        <f>DATE(2018,6,25)</f>
        <v>43276</v>
      </c>
      <c r="B463" s="2">
        <v>21.84635130305621</v>
      </c>
      <c r="C463" s="2">
        <v>19.921863908325619</v>
      </c>
      <c r="D463" s="2">
        <v>21.045678150009483</v>
      </c>
      <c r="E463" s="2">
        <v>12.827967147532181</v>
      </c>
      <c r="F463" s="2">
        <v>14.40077687421808</v>
      </c>
      <c r="G463" s="2">
        <v>14.460698326061006</v>
      </c>
      <c r="H463" s="2">
        <v>15.822732058152035</v>
      </c>
    </row>
    <row r="464" spans="1:8" x14ac:dyDescent="0.2">
      <c r="A464" s="16">
        <f>DATE(2018,6,26)</f>
        <v>43277</v>
      </c>
      <c r="B464" s="2">
        <v>23.737288104153563</v>
      </c>
      <c r="C464" s="2">
        <v>20.68517391745246</v>
      </c>
      <c r="D464" s="2">
        <v>21.080215550480453</v>
      </c>
      <c r="E464" s="2">
        <v>12.921852795110379</v>
      </c>
      <c r="F464" s="2">
        <v>14.499409592538148</v>
      </c>
      <c r="G464" s="2">
        <v>14.559512834416477</v>
      </c>
      <c r="H464" s="2">
        <v>15.925697050630937</v>
      </c>
    </row>
    <row r="465" spans="1:8" x14ac:dyDescent="0.2">
      <c r="A465" s="16">
        <f>DATE(2018,6,27)</f>
        <v>43278</v>
      </c>
      <c r="B465" s="2">
        <v>21.404638985798851</v>
      </c>
      <c r="C465" s="2">
        <v>19.340499611263095</v>
      </c>
      <c r="D465" s="2">
        <v>21.114762805347276</v>
      </c>
      <c r="E465" s="2">
        <v>13.015816566180851</v>
      </c>
      <c r="F465" s="2">
        <v>14.598127348856993</v>
      </c>
      <c r="G465" s="2">
        <v>14.6584126498442</v>
      </c>
      <c r="H465" s="2">
        <v>16.028753577729059</v>
      </c>
    </row>
    <row r="466" spans="1:8" x14ac:dyDescent="0.2">
      <c r="A466" s="16">
        <f>DATE(2018,6,28)</f>
        <v>43279</v>
      </c>
      <c r="B466" s="2">
        <v>22.640217468517875</v>
      </c>
      <c r="C466" s="2">
        <v>21.296893486123668</v>
      </c>
      <c r="D466" s="2">
        <v>21.149319917421682</v>
      </c>
      <c r="E466" s="2">
        <v>13.109858525751195</v>
      </c>
      <c r="F466" s="2">
        <v>14.696930216491676</v>
      </c>
      <c r="G466" s="2">
        <v>14.757397845990194</v>
      </c>
      <c r="H466" s="2">
        <v>16.131901720819553</v>
      </c>
    </row>
    <row r="467" spans="1:8" x14ac:dyDescent="0.2">
      <c r="A467" s="16">
        <f>DATE(2018,6,29)</f>
        <v>43280</v>
      </c>
      <c r="B467" s="2">
        <v>23.622200387555115</v>
      </c>
      <c r="C467" s="2">
        <v>22.980275834093767</v>
      </c>
      <c r="D467" s="2">
        <v>21.183886889516199</v>
      </c>
      <c r="E467" s="2">
        <v>13.203978738883126</v>
      </c>
      <c r="F467" s="2">
        <v>14.795818268822458</v>
      </c>
      <c r="G467" s="2">
        <v>14.85646849656408</v>
      </c>
      <c r="H467" s="2">
        <v>16.23514156134793</v>
      </c>
    </row>
    <row r="468" spans="1:8" x14ac:dyDescent="0.2">
      <c r="A468" s="16">
        <f>DATE(2018,7,2)</f>
        <v>43283</v>
      </c>
      <c r="B468" s="2">
        <v>23.270060279527115</v>
      </c>
      <c r="C468" s="2">
        <v>23.110806882330959</v>
      </c>
      <c r="D468" s="2">
        <v>21.218463724444113</v>
      </c>
      <c r="E468" s="2">
        <v>13.234449686800721</v>
      </c>
      <c r="F468" s="2">
        <v>14.830165937067408</v>
      </c>
      <c r="G468" s="2">
        <v>14.890964815915053</v>
      </c>
      <c r="H468" s="2">
        <v>16.27303550135597</v>
      </c>
    </row>
    <row r="469" spans="1:8" x14ac:dyDescent="0.2">
      <c r="A469" s="16">
        <f>DATE(2018,7,3)</f>
        <v>43284</v>
      </c>
      <c r="B469" s="2">
        <v>24.681822172714551</v>
      </c>
      <c r="C469" s="2">
        <v>24.510276172125756</v>
      </c>
      <c r="D469" s="2">
        <v>21.253050425019548</v>
      </c>
      <c r="E469" s="2">
        <v>13.264928836538425</v>
      </c>
      <c r="F469" s="2">
        <v>14.864523882361945</v>
      </c>
      <c r="G469" s="2">
        <v>14.925471495988996</v>
      </c>
      <c r="H469" s="2">
        <v>16.310941795207022</v>
      </c>
    </row>
    <row r="470" spans="1:8" x14ac:dyDescent="0.2">
      <c r="A470" s="16">
        <f>DATE(2018,7,4)</f>
        <v>43285</v>
      </c>
      <c r="B470" s="2">
        <v>24.900792492147541</v>
      </c>
      <c r="C470" s="2">
        <v>26.327806510495755</v>
      </c>
      <c r="D470" s="2">
        <v>21.287646994057429</v>
      </c>
      <c r="E470" s="2">
        <v>13.295416190303856</v>
      </c>
      <c r="F470" s="2">
        <v>14.898892107780991</v>
      </c>
      <c r="G470" s="2">
        <v>14.95998853989764</v>
      </c>
      <c r="H470" s="2">
        <v>16.348860446928537</v>
      </c>
    </row>
    <row r="471" spans="1:8" x14ac:dyDescent="0.2">
      <c r="A471" s="16">
        <f>DATE(2018,7,5)</f>
        <v>43286</v>
      </c>
      <c r="B471" s="2">
        <v>24.009817630761866</v>
      </c>
      <c r="C471" s="2">
        <v>26.006591623567441</v>
      </c>
      <c r="D471" s="2">
        <v>21.322253434373483</v>
      </c>
      <c r="E471" s="2">
        <v>13.325911750305307</v>
      </c>
      <c r="F471" s="2">
        <v>14.93327061640044</v>
      </c>
      <c r="G471" s="2">
        <v>14.994515950753694</v>
      </c>
      <c r="H471" s="2">
        <v>16.386791460549333</v>
      </c>
    </row>
    <row r="472" spans="1:8" x14ac:dyDescent="0.2">
      <c r="A472" s="16">
        <f>DATE(2018,7,6)</f>
        <v>43287</v>
      </c>
      <c r="B472" s="2">
        <v>24.086886279568056</v>
      </c>
      <c r="C472" s="2">
        <v>26.779552445661214</v>
      </c>
      <c r="D472" s="2">
        <v>21.356869748784234</v>
      </c>
      <c r="E472" s="2">
        <v>13.356415518751662</v>
      </c>
      <c r="F472" s="2">
        <v>14.967659411297095</v>
      </c>
      <c r="G472" s="2">
        <v>15.029053731670805</v>
      </c>
      <c r="H472" s="2">
        <v>16.424734840099543</v>
      </c>
    </row>
    <row r="473" spans="1:8" x14ac:dyDescent="0.2">
      <c r="A473" s="16">
        <f>DATE(2018,7,9)</f>
        <v>43290</v>
      </c>
      <c r="B473" s="2">
        <v>24.081644402313707</v>
      </c>
      <c r="C473" s="2">
        <v>26.779552445661214</v>
      </c>
      <c r="D473" s="2">
        <v>21.391495940107006</v>
      </c>
      <c r="E473" s="2">
        <v>13.386927497852351</v>
      </c>
      <c r="F473" s="2">
        <v>15.002058495548676</v>
      </c>
      <c r="G473" s="2">
        <v>15.063601885763545</v>
      </c>
      <c r="H473" s="2">
        <v>16.462690589610585</v>
      </c>
    </row>
    <row r="474" spans="1:8" x14ac:dyDescent="0.2">
      <c r="A474" s="16">
        <f>DATE(2018,7,10)</f>
        <v>43291</v>
      </c>
      <c r="B474" s="2">
        <v>24.499599954767024</v>
      </c>
      <c r="C474" s="2">
        <v>26.529391880471763</v>
      </c>
      <c r="D474" s="2">
        <v>21.426132011159925</v>
      </c>
      <c r="E474" s="2">
        <v>13.417447689817431</v>
      </c>
      <c r="F474" s="2">
        <v>15.036467872233827</v>
      </c>
      <c r="G474" s="2">
        <v>15.098160416147444</v>
      </c>
      <c r="H474" s="2">
        <v>16.50065871311519</v>
      </c>
    </row>
    <row r="475" spans="1:8" x14ac:dyDescent="0.2">
      <c r="A475" s="16">
        <f>DATE(2018,7,11)</f>
        <v>43292</v>
      </c>
      <c r="B475" s="2">
        <v>23.98793640002128</v>
      </c>
      <c r="C475" s="2">
        <v>25.745445019098678</v>
      </c>
      <c r="D475" s="2">
        <v>21.460777964761935</v>
      </c>
      <c r="E475" s="2">
        <v>13.44797609685755</v>
      </c>
      <c r="F475" s="2">
        <v>15.070887544432111</v>
      </c>
      <c r="G475" s="2">
        <v>15.13272932593892</v>
      </c>
      <c r="H475" s="2">
        <v>16.538639214647443</v>
      </c>
    </row>
    <row r="476" spans="1:8" x14ac:dyDescent="0.2">
      <c r="A476" s="16">
        <f>DATE(2018,7,12)</f>
        <v>43293</v>
      </c>
      <c r="B476" s="2">
        <v>25.510018168634787</v>
      </c>
      <c r="C476" s="2">
        <v>28.209140384680254</v>
      </c>
      <c r="D476" s="2">
        <v>21.495433803732777</v>
      </c>
      <c r="E476" s="2">
        <v>13.478512721183945</v>
      </c>
      <c r="F476" s="2">
        <v>15.105317515224016</v>
      </c>
      <c r="G476" s="2">
        <v>15.167308618255371</v>
      </c>
      <c r="H476" s="2">
        <v>16.576632098242694</v>
      </c>
    </row>
    <row r="477" spans="1:8" x14ac:dyDescent="0.2">
      <c r="A477" s="16">
        <f>DATE(2018,7,13)</f>
        <v>43294</v>
      </c>
      <c r="B477" s="2">
        <v>27.131317750232675</v>
      </c>
      <c r="C477" s="2">
        <v>29.456698103640491</v>
      </c>
      <c r="D477" s="2">
        <v>21.530099530893001</v>
      </c>
      <c r="E477" s="2">
        <v>13.509057565008442</v>
      </c>
      <c r="F477" s="2">
        <v>15.139757787690945</v>
      </c>
      <c r="G477" s="2">
        <v>15.2018982962151</v>
      </c>
      <c r="H477" s="2">
        <v>16.614637367937647</v>
      </c>
    </row>
    <row r="478" spans="1:8" x14ac:dyDescent="0.2">
      <c r="A478" s="16">
        <f>DATE(2018,7,16)</f>
        <v>43297</v>
      </c>
      <c r="B478" s="2">
        <v>27.075037988152072</v>
      </c>
      <c r="C478" s="2">
        <v>29.555116113984251</v>
      </c>
      <c r="D478" s="2">
        <v>21.564775149063966</v>
      </c>
      <c r="E478" s="2">
        <v>13.539610630543496</v>
      </c>
      <c r="F478" s="2">
        <v>15.174208364915232</v>
      </c>
      <c r="G478" s="2">
        <v>15.236498362937366</v>
      </c>
      <c r="H478" s="2">
        <v>16.65265502777029</v>
      </c>
    </row>
    <row r="479" spans="1:8" x14ac:dyDescent="0.2">
      <c r="A479" s="16">
        <f>DATE(2018,7,17)</f>
        <v>43298</v>
      </c>
      <c r="B479" s="2">
        <v>29.035074135807861</v>
      </c>
      <c r="C479" s="2">
        <v>32.052699185342789</v>
      </c>
      <c r="D479" s="2">
        <v>21.599460661067816</v>
      </c>
      <c r="E479" s="2">
        <v>13.570171920002116</v>
      </c>
      <c r="F479" s="2">
        <v>15.208669249980145</v>
      </c>
      <c r="G479" s="2">
        <v>15.271108821542366</v>
      </c>
      <c r="H479" s="2">
        <v>16.690685081779979</v>
      </c>
    </row>
    <row r="480" spans="1:8" x14ac:dyDescent="0.2">
      <c r="A480" s="16">
        <f>DATE(2018,7,18)</f>
        <v>43299</v>
      </c>
      <c r="B480" s="2">
        <v>29.020214135151079</v>
      </c>
      <c r="C480" s="2">
        <v>30.755214143257813</v>
      </c>
      <c r="D480" s="2">
        <v>21.634156069727496</v>
      </c>
      <c r="E480" s="2">
        <v>13.60074143559793</v>
      </c>
      <c r="F480" s="2">
        <v>15.243140445969837</v>
      </c>
      <c r="G480" s="2">
        <v>15.305729675151225</v>
      </c>
      <c r="H480" s="2">
        <v>16.728727534007316</v>
      </c>
    </row>
    <row r="481" spans="1:8" x14ac:dyDescent="0.2">
      <c r="A481" s="16">
        <f>DATE(2018,7,19)</f>
        <v>43300</v>
      </c>
      <c r="B481" s="2">
        <v>29.873410381829558</v>
      </c>
      <c r="C481" s="2">
        <v>30.965148903086082</v>
      </c>
      <c r="D481" s="2">
        <v>21.668861377866811</v>
      </c>
      <c r="E481" s="2">
        <v>13.631319179545143</v>
      </c>
      <c r="F481" s="2">
        <v>15.2776219559694</v>
      </c>
      <c r="G481" s="2">
        <v>15.340360926886</v>
      </c>
      <c r="H481" s="2">
        <v>16.766782388494271</v>
      </c>
    </row>
    <row r="482" spans="1:8" x14ac:dyDescent="0.2">
      <c r="A482" s="16">
        <f>DATE(2018,7,20)</f>
        <v>43301</v>
      </c>
      <c r="B482" s="2">
        <v>31.290970629411039</v>
      </c>
      <c r="C482" s="2">
        <v>32.798042794848236</v>
      </c>
      <c r="D482" s="2">
        <v>21.703576588310302</v>
      </c>
      <c r="E482" s="2">
        <v>13.661905154058562</v>
      </c>
      <c r="F482" s="2">
        <v>15.312113783064873</v>
      </c>
      <c r="G482" s="2">
        <v>15.375002579869699</v>
      </c>
      <c r="H482" s="2">
        <v>16.804849649284126</v>
      </c>
    </row>
    <row r="483" spans="1:8" x14ac:dyDescent="0.2">
      <c r="A483" s="16">
        <f>DATE(2018,7,23)</f>
        <v>43304</v>
      </c>
      <c r="B483" s="2">
        <v>29.5771447006816</v>
      </c>
      <c r="C483" s="2">
        <v>31.825913531419925</v>
      </c>
      <c r="D483" s="2">
        <v>21.738301703883355</v>
      </c>
      <c r="E483" s="2">
        <v>13.692499361353615</v>
      </c>
      <c r="F483" s="2">
        <v>15.346615930343187</v>
      </c>
      <c r="G483" s="2">
        <v>15.409654637226256</v>
      </c>
      <c r="H483" s="2">
        <v>16.842929320421462</v>
      </c>
    </row>
    <row r="484" spans="1:8" x14ac:dyDescent="0.2">
      <c r="A484" s="16">
        <f>DATE(2018,7,24)</f>
        <v>43305</v>
      </c>
      <c r="B484" s="2">
        <v>31.117995550106169</v>
      </c>
      <c r="C484" s="2">
        <v>33.784572220531928</v>
      </c>
      <c r="D484" s="2">
        <v>21.773036727412176</v>
      </c>
      <c r="E484" s="2">
        <v>13.72310180364631</v>
      </c>
      <c r="F484" s="2">
        <v>15.381128400892209</v>
      </c>
      <c r="G484" s="2">
        <v>15.444317102080563</v>
      </c>
      <c r="H484" s="2">
        <v>16.8810214059522</v>
      </c>
    </row>
    <row r="485" spans="1:8" x14ac:dyDescent="0.2">
      <c r="A485" s="16">
        <f>DATE(2018,7,25)</f>
        <v>43306</v>
      </c>
      <c r="B485" s="2">
        <v>31.11414143065705</v>
      </c>
      <c r="C485" s="2">
        <v>35.581313592265687</v>
      </c>
      <c r="D485" s="2">
        <v>21.807781661723723</v>
      </c>
      <c r="E485" s="2">
        <v>13.753712483153201</v>
      </c>
      <c r="F485" s="2">
        <v>15.415651197800706</v>
      </c>
      <c r="G485" s="2">
        <v>15.47898997755841</v>
      </c>
      <c r="H485" s="2">
        <v>16.919125909923526</v>
      </c>
    </row>
    <row r="486" spans="1:8" x14ac:dyDescent="0.2">
      <c r="A486" s="16">
        <f>DATE(2018,7,26)</f>
        <v>43307</v>
      </c>
      <c r="B486" s="2">
        <v>29.441055124625141</v>
      </c>
      <c r="C486" s="2">
        <v>34.207720650373382</v>
      </c>
      <c r="D486" s="2">
        <v>21.842536509645829</v>
      </c>
      <c r="E486" s="2">
        <v>13.784331402091587</v>
      </c>
      <c r="F486" s="2">
        <v>15.450184324158478</v>
      </c>
      <c r="G486" s="2">
        <v>15.51367326678661</v>
      </c>
      <c r="H486" s="2">
        <v>16.957242836384069</v>
      </c>
    </row>
    <row r="487" spans="1:8" x14ac:dyDescent="0.2">
      <c r="A487" s="16">
        <f>DATE(2018,7,27)</f>
        <v>43308</v>
      </c>
      <c r="B487" s="2">
        <v>28.788568503091284</v>
      </c>
      <c r="C487" s="2">
        <v>34.986478720886893</v>
      </c>
      <c r="D487" s="2">
        <v>21.877301274007088</v>
      </c>
      <c r="E487" s="2">
        <v>13.814958562679204</v>
      </c>
      <c r="F487" s="2">
        <v>15.484727783056096</v>
      </c>
      <c r="G487" s="2">
        <v>15.548366972892834</v>
      </c>
      <c r="H487" s="2">
        <v>16.995372189383652</v>
      </c>
    </row>
    <row r="488" spans="1:8" x14ac:dyDescent="0.2">
      <c r="A488" s="16">
        <f>DATE(2018,7,30)</f>
        <v>43311</v>
      </c>
      <c r="B488" s="2">
        <v>27.846205382383982</v>
      </c>
      <c r="C488" s="2">
        <v>35.678582293884872</v>
      </c>
      <c r="D488" s="2">
        <v>21.912075957636844</v>
      </c>
      <c r="E488" s="2">
        <v>13.845593967134384</v>
      </c>
      <c r="F488" s="2">
        <v>15.519281577585087</v>
      </c>
      <c r="G488" s="2">
        <v>15.583071099005652</v>
      </c>
      <c r="H488" s="2">
        <v>17.033513972973413</v>
      </c>
    </row>
    <row r="489" spans="1:8" x14ac:dyDescent="0.2">
      <c r="A489" s="16">
        <f>DATE(2018,7,31)</f>
        <v>43312</v>
      </c>
      <c r="B489" s="2">
        <v>27.431492511534895</v>
      </c>
      <c r="C489" s="2">
        <v>33.895193185275211</v>
      </c>
      <c r="D489" s="2">
        <v>21.946860563365409</v>
      </c>
      <c r="E489" s="2">
        <v>13.876237617676225</v>
      </c>
      <c r="F489" s="2">
        <v>15.55384571083802</v>
      </c>
      <c r="G489" s="2">
        <v>15.617785648254712</v>
      </c>
      <c r="H489" s="2">
        <v>17.071668191205958</v>
      </c>
    </row>
    <row r="490" spans="1:8" x14ac:dyDescent="0.2">
      <c r="A490" s="16">
        <f>DATE(2018,8,1)</f>
        <v>43313</v>
      </c>
      <c r="B490" s="2">
        <v>27.766361217967361</v>
      </c>
      <c r="C490" s="2">
        <v>34.03246797146997</v>
      </c>
      <c r="D490" s="2">
        <v>21.981655094023765</v>
      </c>
      <c r="E490" s="2">
        <v>13.89396243843659</v>
      </c>
      <c r="F490" s="2">
        <v>15.575302274075954</v>
      </c>
      <c r="G490" s="2">
        <v>15.63938543843526</v>
      </c>
      <c r="H490" s="2">
        <v>17.096544273821792</v>
      </c>
    </row>
    <row r="491" spans="1:8" x14ac:dyDescent="0.2">
      <c r="A491" s="16">
        <f>DATE(2018,8,2)</f>
        <v>43314</v>
      </c>
      <c r="B491" s="2">
        <v>28.892767129980498</v>
      </c>
      <c r="C491" s="2">
        <v>34.5987391407226</v>
      </c>
      <c r="D491" s="2">
        <v>22.016459552443756</v>
      </c>
      <c r="E491" s="2">
        <v>13.911690018062894</v>
      </c>
      <c r="F491" s="2">
        <v>15.59676282146607</v>
      </c>
      <c r="G491" s="2">
        <v>15.660989263902714</v>
      </c>
      <c r="H491" s="2">
        <v>17.12142564225525</v>
      </c>
    </row>
    <row r="492" spans="1:8" x14ac:dyDescent="0.2">
      <c r="A492" s="16">
        <f>DATE(2018,8,3)</f>
        <v>43315</v>
      </c>
      <c r="B492" s="2">
        <v>30.950770734578349</v>
      </c>
      <c r="C492" s="2">
        <v>37.638136767738104</v>
      </c>
      <c r="D492" s="2">
        <v>22.051273941458028</v>
      </c>
      <c r="E492" s="2">
        <v>13.929420356984522</v>
      </c>
      <c r="F492" s="2">
        <v>15.618227353748161</v>
      </c>
      <c r="G492" s="2">
        <v>15.682597125410934</v>
      </c>
      <c r="H492" s="2">
        <v>17.146312297629485</v>
      </c>
    </row>
    <row r="493" spans="1:8" x14ac:dyDescent="0.2">
      <c r="A493" s="16">
        <f>DATE(2018,8,6)</f>
        <v>43318</v>
      </c>
      <c r="B493" s="2">
        <v>30.710214598195009</v>
      </c>
      <c r="C493" s="2">
        <v>36.988743535138298</v>
      </c>
      <c r="D493" s="2">
        <v>22.086098263900066</v>
      </c>
      <c r="E493" s="2">
        <v>13.947153455630978</v>
      </c>
      <c r="F493" s="2">
        <v>15.639695871662163</v>
      </c>
      <c r="G493" s="2">
        <v>15.704209023713943</v>
      </c>
      <c r="H493" s="2">
        <v>17.171204241067905</v>
      </c>
    </row>
    <row r="494" spans="1:8" x14ac:dyDescent="0.2">
      <c r="A494" s="16">
        <f>DATE(2018,8,7)</f>
        <v>43319</v>
      </c>
      <c r="B494" s="2">
        <v>28.926760326120004</v>
      </c>
      <c r="C494" s="2">
        <v>35.798465334820584</v>
      </c>
      <c r="D494" s="2">
        <v>22.120932522604029</v>
      </c>
      <c r="E494" s="2">
        <v>13.964889314431804</v>
      </c>
      <c r="F494" s="2">
        <v>15.661168375948129</v>
      </c>
      <c r="G494" s="2">
        <v>15.725824959565893</v>
      </c>
      <c r="H494" s="2">
        <v>17.196101473694149</v>
      </c>
    </row>
    <row r="495" spans="1:8" x14ac:dyDescent="0.2">
      <c r="A495" s="16">
        <f>DATE(2018,8,8)</f>
        <v>43320</v>
      </c>
      <c r="B495" s="2">
        <v>28.035922866497231</v>
      </c>
      <c r="C495" s="2">
        <v>33.779028496095641</v>
      </c>
      <c r="D495" s="2">
        <v>22.155776720405076</v>
      </c>
      <c r="E495" s="2">
        <v>13.982627933816616</v>
      </c>
      <c r="F495" s="2">
        <v>15.682644867346296</v>
      </c>
      <c r="G495" s="2">
        <v>15.74744493372109</v>
      </c>
      <c r="H495" s="2">
        <v>17.221003996632088</v>
      </c>
    </row>
    <row r="496" spans="1:8" x14ac:dyDescent="0.2">
      <c r="A496" s="16">
        <f>DATE(2018,8,9)</f>
        <v>43321</v>
      </c>
      <c r="B496" s="2">
        <v>26.293125776061999</v>
      </c>
      <c r="C496" s="2">
        <v>33.130497245039287</v>
      </c>
      <c r="D496" s="2">
        <v>22.190630860139038</v>
      </c>
      <c r="E496" s="2">
        <v>14.00036931421511</v>
      </c>
      <c r="F496" s="2">
        <v>15.704125346596975</v>
      </c>
      <c r="G496" s="2">
        <v>15.769068946933974</v>
      </c>
      <c r="H496" s="2">
        <v>17.245911811005833</v>
      </c>
    </row>
    <row r="497" spans="1:8" x14ac:dyDescent="0.2">
      <c r="A497" s="16">
        <f>DATE(2018,8,10)</f>
        <v>43322</v>
      </c>
      <c r="B497" s="2">
        <v>25.147703460064609</v>
      </c>
      <c r="C497" s="2">
        <v>29.321485312510486</v>
      </c>
      <c r="D497" s="2">
        <v>22.225494944642634</v>
      </c>
      <c r="E497" s="2">
        <v>14.018113456057012</v>
      </c>
      <c r="F497" s="2">
        <v>15.725609814440666</v>
      </c>
      <c r="G497" s="2">
        <v>15.79069699995912</v>
      </c>
      <c r="H497" s="2">
        <v>17.270824917939741</v>
      </c>
    </row>
    <row r="498" spans="1:8" x14ac:dyDescent="0.2">
      <c r="A498" s="16">
        <f>DATE(2018,8,13)</f>
        <v>43325</v>
      </c>
      <c r="B498" s="2">
        <v>25.957233426495986</v>
      </c>
      <c r="C498" s="2">
        <v>30.981391339620632</v>
      </c>
      <c r="D498" s="2">
        <v>22.26036897675332</v>
      </c>
      <c r="E498" s="2">
        <v>14.035860359772157</v>
      </c>
      <c r="F498" s="2">
        <v>15.747098271617999</v>
      </c>
      <c r="G498" s="2">
        <v>15.812329093551257</v>
      </c>
      <c r="H498" s="2">
        <v>17.295743318558433</v>
      </c>
    </row>
    <row r="499" spans="1:8" x14ac:dyDescent="0.2">
      <c r="A499" s="16">
        <f>DATE(2018,8,14)</f>
        <v>43326</v>
      </c>
      <c r="B499" s="2">
        <v>28.241166749817289</v>
      </c>
      <c r="C499" s="2">
        <v>32.850133522631154</v>
      </c>
      <c r="D499" s="2">
        <v>22.29525295930943</v>
      </c>
      <c r="E499" s="2">
        <v>14.053610025790443</v>
      </c>
      <c r="F499" s="2">
        <v>15.768590718869714</v>
      </c>
      <c r="G499" s="2">
        <v>15.83396522846523</v>
      </c>
      <c r="H499" s="2">
        <v>17.320667013986711</v>
      </c>
    </row>
    <row r="500" spans="1:8" x14ac:dyDescent="0.2">
      <c r="A500" s="16">
        <f>DATE(2018,8,15)</f>
        <v>43327</v>
      </c>
      <c r="B500" s="2">
        <v>25.973817819277055</v>
      </c>
      <c r="C500" s="2">
        <v>30.274127032417187</v>
      </c>
      <c r="D500" s="2">
        <v>22.330146895150072</v>
      </c>
      <c r="E500" s="2">
        <v>14.071362454541815</v>
      </c>
      <c r="F500" s="2">
        <v>15.790087156936705</v>
      </c>
      <c r="G500" s="2">
        <v>15.855605405456052</v>
      </c>
      <c r="H500" s="2">
        <v>17.345596005349663</v>
      </c>
    </row>
    <row r="501" spans="1:8" x14ac:dyDescent="0.2">
      <c r="A501" s="16">
        <f>DATE(2018,8,16)</f>
        <v>43328</v>
      </c>
      <c r="B501" s="2">
        <v>25.65074505418885</v>
      </c>
      <c r="C501" s="2">
        <v>29.835919277963612</v>
      </c>
      <c r="D501" s="2">
        <v>22.36505078711517</v>
      </c>
      <c r="E501" s="2">
        <v>14.089117646456284</v>
      </c>
      <c r="F501" s="2">
        <v>15.811587586560027</v>
      </c>
      <c r="G501" s="2">
        <v>15.877249625278855</v>
      </c>
      <c r="H501" s="2">
        <v>17.3705302937726</v>
      </c>
    </row>
    <row r="502" spans="1:8" x14ac:dyDescent="0.2">
      <c r="A502" s="16">
        <f>DATE(2018,8,17)</f>
        <v>43329</v>
      </c>
      <c r="B502" s="2">
        <v>24.284346353020236</v>
      </c>
      <c r="C502" s="2">
        <v>28.500321130378836</v>
      </c>
      <c r="D502" s="2">
        <v>22.399964638045454</v>
      </c>
      <c r="E502" s="2">
        <v>14.10687560196393</v>
      </c>
      <c r="F502" s="2">
        <v>15.833092008480842</v>
      </c>
      <c r="G502" s="2">
        <v>15.898897888688944</v>
      </c>
      <c r="H502" s="2">
        <v>17.395469880381075</v>
      </c>
    </row>
    <row r="503" spans="1:8" x14ac:dyDescent="0.2">
      <c r="A503" s="16">
        <f>DATE(2018,8,20)</f>
        <v>43332</v>
      </c>
      <c r="B503" s="2">
        <v>25.030218082703691</v>
      </c>
      <c r="C503" s="2">
        <v>29.006338099584131</v>
      </c>
      <c r="D503" s="2">
        <v>22.434888450782474</v>
      </c>
      <c r="E503" s="2">
        <v>14.12463632149492</v>
      </c>
      <c r="F503" s="2">
        <v>15.854600423440447</v>
      </c>
      <c r="G503" s="2">
        <v>15.92055019644174</v>
      </c>
      <c r="H503" s="2">
        <v>17.420414766300873</v>
      </c>
    </row>
    <row r="504" spans="1:8" x14ac:dyDescent="0.2">
      <c r="A504" s="16">
        <f>DATE(2018,8,21)</f>
        <v>43333</v>
      </c>
      <c r="B504" s="2">
        <v>22.181542903631414</v>
      </c>
      <c r="C504" s="2">
        <v>27.066896528411476</v>
      </c>
      <c r="D504" s="2">
        <v>22.469822228168582</v>
      </c>
      <c r="E504" s="2">
        <v>14.142399805479466</v>
      </c>
      <c r="F504" s="2">
        <v>15.87611283218029</v>
      </c>
      <c r="G504" s="2">
        <v>15.942206549292791</v>
      </c>
      <c r="H504" s="2">
        <v>17.445364952658004</v>
      </c>
    </row>
    <row r="505" spans="1:8" x14ac:dyDescent="0.2">
      <c r="A505" s="16">
        <f>DATE(2018,8,22)</f>
        <v>43334</v>
      </c>
      <c r="B505" s="2">
        <v>24.295599557401083</v>
      </c>
      <c r="C505" s="2">
        <v>29.977182841496685</v>
      </c>
      <c r="D505" s="2">
        <v>22.504765973046936</v>
      </c>
      <c r="E505" s="2">
        <v>14.160166054347846</v>
      </c>
      <c r="F505" s="2">
        <v>15.897629235441958</v>
      </c>
      <c r="G505" s="2">
        <v>15.963866947997831</v>
      </c>
      <c r="H505" s="2">
        <v>17.470320440578767</v>
      </c>
    </row>
    <row r="506" spans="1:8" x14ac:dyDescent="0.2">
      <c r="A506" s="16">
        <f>DATE(2018,8,23)</f>
        <v>43335</v>
      </c>
      <c r="B506" s="2">
        <v>21.88890462902382</v>
      </c>
      <c r="C506" s="2">
        <v>27.833164317344306</v>
      </c>
      <c r="D506" s="2">
        <v>22.539719688261517</v>
      </c>
      <c r="E506" s="2">
        <v>14.177935068530424</v>
      </c>
      <c r="F506" s="2">
        <v>15.919149633967168</v>
      </c>
      <c r="G506" s="2">
        <v>15.985531393312691</v>
      </c>
      <c r="H506" s="2">
        <v>17.495281231189661</v>
      </c>
    </row>
    <row r="507" spans="1:8" x14ac:dyDescent="0.2">
      <c r="A507" s="16">
        <f>DATE(2018,8,24)</f>
        <v>43336</v>
      </c>
      <c r="B507" s="2">
        <v>23.633755875814288</v>
      </c>
      <c r="C507" s="2">
        <v>28.895362201264096</v>
      </c>
      <c r="D507" s="2">
        <v>22.574683376657134</v>
      </c>
      <c r="E507" s="2">
        <v>14.195706848457634</v>
      </c>
      <c r="F507" s="2">
        <v>15.940674028497771</v>
      </c>
      <c r="G507" s="2">
        <v>16.007199885993352</v>
      </c>
      <c r="H507" s="2">
        <v>17.520247325617433</v>
      </c>
    </row>
    <row r="508" spans="1:8" x14ac:dyDescent="0.2">
      <c r="A508" s="16">
        <f>DATE(2018,8,27)</f>
        <v>43339</v>
      </c>
      <c r="B508" s="2">
        <v>25.890064574706152</v>
      </c>
      <c r="C508" s="2">
        <v>31.713619308386409</v>
      </c>
      <c r="D508" s="2">
        <v>22.609657041079377</v>
      </c>
      <c r="E508" s="2">
        <v>14.213481394559958</v>
      </c>
      <c r="F508" s="2">
        <v>15.962202419775773</v>
      </c>
      <c r="G508" s="2">
        <v>16.02887242679596</v>
      </c>
      <c r="H508" s="2">
        <v>17.545218724989066</v>
      </c>
    </row>
    <row r="509" spans="1:8" x14ac:dyDescent="0.2">
      <c r="A509" s="16">
        <f>DATE(2018,8,28)</f>
        <v>43340</v>
      </c>
      <c r="B509" s="2">
        <v>25.34040943252074</v>
      </c>
      <c r="C509" s="2">
        <v>30.942061319000612</v>
      </c>
      <c r="D509" s="2">
        <v>22.644640684374661</v>
      </c>
      <c r="E509" s="2">
        <v>14.231258707267935</v>
      </c>
      <c r="F509" s="2">
        <v>15.983734808543314</v>
      </c>
      <c r="G509" s="2">
        <v>16.050549016476801</v>
      </c>
      <c r="H509" s="2">
        <v>17.570195430431792</v>
      </c>
    </row>
    <row r="510" spans="1:8" x14ac:dyDescent="0.2">
      <c r="A510" s="16">
        <f>DATE(2018,8,29)</f>
        <v>43341</v>
      </c>
      <c r="B510" s="2">
        <v>24.903018400706323</v>
      </c>
      <c r="C510" s="2">
        <v>32.489656221478391</v>
      </c>
      <c r="D510" s="2">
        <v>22.679634309390195</v>
      </c>
      <c r="E510" s="2">
        <v>14.249038787012203</v>
      </c>
      <c r="F510" s="2">
        <v>16.005271195542669</v>
      </c>
      <c r="G510" s="2">
        <v>16.07222965579227</v>
      </c>
      <c r="H510" s="2">
        <v>17.595177443073062</v>
      </c>
    </row>
    <row r="511" spans="1:8" x14ac:dyDescent="0.2">
      <c r="A511" s="16">
        <f>DATE(2018,8,30)</f>
        <v>43342</v>
      </c>
      <c r="B511" s="2">
        <v>23.150555096251637</v>
      </c>
      <c r="C511" s="2">
        <v>29.135128283135426</v>
      </c>
      <c r="D511" s="2">
        <v>22.714637918974034</v>
      </c>
      <c r="E511" s="2">
        <v>14.266821634223437</v>
      </c>
      <c r="F511" s="2">
        <v>16.026811581516242</v>
      </c>
      <c r="G511" s="2">
        <v>16.093914345498916</v>
      </c>
      <c r="H511" s="2">
        <v>17.620164764040581</v>
      </c>
    </row>
    <row r="512" spans="1:8" x14ac:dyDescent="0.2">
      <c r="A512" s="16">
        <f>DATE(2018,8,31)</f>
        <v>43343</v>
      </c>
      <c r="B512" s="2">
        <v>23.717832014527971</v>
      </c>
      <c r="C512" s="2">
        <v>29.597285603217927</v>
      </c>
      <c r="D512" s="2">
        <v>22.749651515975032</v>
      </c>
      <c r="E512" s="2">
        <v>14.284607249332405</v>
      </c>
      <c r="F512" s="2">
        <v>16.048355967206572</v>
      </c>
      <c r="G512" s="2">
        <v>16.115603086353445</v>
      </c>
      <c r="H512" s="2">
        <v>17.645157394462306</v>
      </c>
    </row>
    <row r="513" spans="1:8" x14ac:dyDescent="0.2">
      <c r="A513" s="16">
        <f>DATE(2018,9,3)</f>
        <v>43346</v>
      </c>
      <c r="B513" s="2">
        <v>22.99171178826025</v>
      </c>
      <c r="C513" s="2">
        <v>28.777896088969879</v>
      </c>
      <c r="D513" s="2">
        <v>22.784675103242847</v>
      </c>
      <c r="E513" s="2">
        <v>14.320417782484475</v>
      </c>
      <c r="F513" s="2">
        <v>16.088205187577987</v>
      </c>
      <c r="G513" s="2">
        <v>16.155607339009869</v>
      </c>
      <c r="H513" s="2">
        <v>17.688708482534341</v>
      </c>
    </row>
    <row r="514" spans="1:8" x14ac:dyDescent="0.2">
      <c r="A514" s="16">
        <f>DATE(2018,9,4)</f>
        <v>43347</v>
      </c>
      <c r="B514" s="2">
        <v>21.125081359018537</v>
      </c>
      <c r="C514" s="2">
        <v>26.274887604367251</v>
      </c>
      <c r="D514" s="2">
        <v>22.819708683627947</v>
      </c>
      <c r="E514" s="2">
        <v>14.356239536695226</v>
      </c>
      <c r="F514" s="2">
        <v>16.128068091558713</v>
      </c>
      <c r="G514" s="2">
        <v>16.195625373967616</v>
      </c>
      <c r="H514" s="2">
        <v>17.732275692793763</v>
      </c>
    </row>
    <row r="515" spans="1:8" x14ac:dyDescent="0.2">
      <c r="A515" s="16">
        <f>DATE(2018,9,5)</f>
        <v>43348</v>
      </c>
      <c r="B515" s="2">
        <v>22.458462416564174</v>
      </c>
      <c r="C515" s="2">
        <v>26.917942737382841</v>
      </c>
      <c r="D515" s="2">
        <v>22.854752259981638</v>
      </c>
      <c r="E515" s="2">
        <v>14.392072515480736</v>
      </c>
      <c r="F515" s="2">
        <v>16.16794468384748</v>
      </c>
      <c r="G515" s="2">
        <v>16.235657195974973</v>
      </c>
      <c r="H515" s="2">
        <v>17.775859031208839</v>
      </c>
    </row>
    <row r="516" spans="1:8" x14ac:dyDescent="0.2">
      <c r="A516" s="16">
        <f>DATE(2018,9,6)</f>
        <v>43349</v>
      </c>
      <c r="B516" s="2">
        <v>24.633078897328531</v>
      </c>
      <c r="C516" s="2">
        <v>29.155274989013822</v>
      </c>
      <c r="D516" s="2">
        <v>22.889805835156007</v>
      </c>
      <c r="E516" s="2">
        <v>14.427916722358146</v>
      </c>
      <c r="F516" s="2">
        <v>16.207834969144663</v>
      </c>
      <c r="G516" s="2">
        <v>16.27570280978188</v>
      </c>
      <c r="H516" s="2">
        <v>17.819458503750063</v>
      </c>
    </row>
    <row r="517" spans="1:8" x14ac:dyDescent="0.2">
      <c r="A517" s="16">
        <f>DATE(2018,9,10)</f>
        <v>43353</v>
      </c>
      <c r="B517" s="2">
        <v>23.847024022087268</v>
      </c>
      <c r="C517" s="2">
        <v>29.189652841158665</v>
      </c>
      <c r="D517" s="2">
        <v>22.924869412003979</v>
      </c>
      <c r="E517" s="2">
        <v>14.463772160845757</v>
      </c>
      <c r="F517" s="2">
        <v>16.247738952152211</v>
      </c>
      <c r="G517" s="2">
        <v>16.315762220139884</v>
      </c>
      <c r="H517" s="2">
        <v>17.86307411639012</v>
      </c>
    </row>
    <row r="518" spans="1:8" x14ac:dyDescent="0.2">
      <c r="A518" s="16">
        <f>DATE(2018,9,11)</f>
        <v>43354</v>
      </c>
      <c r="B518" s="2">
        <v>21.415864709827058</v>
      </c>
      <c r="C518" s="2">
        <v>26.181438664097499</v>
      </c>
      <c r="D518" s="2">
        <v>22.95994299337929</v>
      </c>
      <c r="E518" s="2">
        <v>14.499638834462925</v>
      </c>
      <c r="F518" s="2">
        <v>16.287656637573722</v>
      </c>
      <c r="G518" s="2">
        <v>16.355835431802213</v>
      </c>
      <c r="H518" s="2">
        <v>17.906705875103945</v>
      </c>
    </row>
    <row r="519" spans="1:8" x14ac:dyDescent="0.2">
      <c r="A519" s="16">
        <f>DATE(2018,9,12)</f>
        <v>43355</v>
      </c>
      <c r="B519" s="2">
        <v>20.355933770701132</v>
      </c>
      <c r="C519" s="2">
        <v>26.972940540175006</v>
      </c>
      <c r="D519" s="2">
        <v>22.995026582136457</v>
      </c>
      <c r="E519" s="2">
        <v>14.535516746730126</v>
      </c>
      <c r="F519" s="2">
        <v>16.327588030114381</v>
      </c>
      <c r="G519" s="2">
        <v>16.395922449523681</v>
      </c>
      <c r="H519" s="2">
        <v>17.950353785868622</v>
      </c>
    </row>
    <row r="520" spans="1:8" x14ac:dyDescent="0.2">
      <c r="A520" s="16">
        <f>DATE(2018,9,13)</f>
        <v>43356</v>
      </c>
      <c r="B520" s="2">
        <v>19.158662899476408</v>
      </c>
      <c r="C520" s="2">
        <v>26.232413886353555</v>
      </c>
      <c r="D520" s="2">
        <v>23.030120181130865</v>
      </c>
      <c r="E520" s="2">
        <v>14.571405901168919</v>
      </c>
      <c r="F520" s="2">
        <v>16.367533134481004</v>
      </c>
      <c r="G520" s="2">
        <v>16.436023278060773</v>
      </c>
      <c r="H520" s="2">
        <v>17.9940178546635</v>
      </c>
    </row>
    <row r="521" spans="1:8" x14ac:dyDescent="0.2">
      <c r="A521" s="16">
        <f>DATE(2018,9,14)</f>
        <v>43357</v>
      </c>
      <c r="B521" s="2">
        <v>19.439113637715465</v>
      </c>
      <c r="C521" s="2">
        <v>27.48722239123811</v>
      </c>
      <c r="D521" s="2">
        <v>23.065223793218692</v>
      </c>
      <c r="E521" s="2">
        <v>14.607306301302003</v>
      </c>
      <c r="F521" s="2">
        <v>16.407491955382049</v>
      </c>
      <c r="G521" s="2">
        <v>16.476137922171596</v>
      </c>
      <c r="H521" s="2">
        <v>18.037698087470133</v>
      </c>
    </row>
    <row r="522" spans="1:8" x14ac:dyDescent="0.2">
      <c r="A522" s="16">
        <f>DATE(2018,9,17)</f>
        <v>43360</v>
      </c>
      <c r="B522" s="2">
        <v>21.553238992366563</v>
      </c>
      <c r="C522" s="2">
        <v>29.785434202075422</v>
      </c>
      <c r="D522" s="2">
        <v>23.100337421256921</v>
      </c>
      <c r="E522" s="2">
        <v>14.643217950653153</v>
      </c>
      <c r="F522" s="2">
        <v>16.44746449752752</v>
      </c>
      <c r="G522" s="2">
        <v>16.516266386615921</v>
      </c>
      <c r="H522" s="2">
        <v>18.081394490272263</v>
      </c>
    </row>
    <row r="523" spans="1:8" x14ac:dyDescent="0.2">
      <c r="A523" s="16">
        <f>DATE(2018,9,18)</f>
        <v>43361</v>
      </c>
      <c r="B523" s="2">
        <v>23.490651939762142</v>
      </c>
      <c r="C523" s="2">
        <v>32.363113950579624</v>
      </c>
      <c r="D523" s="2">
        <v>23.135461068103357</v>
      </c>
      <c r="E523" s="2">
        <v>14.679140852747263</v>
      </c>
      <c r="F523" s="2">
        <v>16.48745076562912</v>
      </c>
      <c r="G523" s="2">
        <v>16.556408676155133</v>
      </c>
      <c r="H523" s="2">
        <v>18.125107069055858</v>
      </c>
    </row>
    <row r="524" spans="1:8" x14ac:dyDescent="0.2">
      <c r="A524" s="16">
        <f>DATE(2018,9,19)</f>
        <v>43362</v>
      </c>
      <c r="B524" s="2">
        <v>21.938506665427848</v>
      </c>
      <c r="C524" s="2">
        <v>32.117533718689685</v>
      </c>
      <c r="D524" s="2">
        <v>23.170594736616621</v>
      </c>
      <c r="E524" s="2">
        <v>14.715075011110335</v>
      </c>
      <c r="F524" s="2">
        <v>16.527450764400097</v>
      </c>
      <c r="G524" s="2">
        <v>16.596564795552268</v>
      </c>
      <c r="H524" s="2">
        <v>18.168835829809126</v>
      </c>
    </row>
    <row r="525" spans="1:8" x14ac:dyDescent="0.2">
      <c r="A525" s="16">
        <f>DATE(2018,9,20)</f>
        <v>43363</v>
      </c>
      <c r="B525" s="2">
        <v>21.861857091998505</v>
      </c>
      <c r="C525" s="2">
        <v>32.028546800527224</v>
      </c>
      <c r="D525" s="2">
        <v>23.205738429656144</v>
      </c>
      <c r="E525" s="2">
        <v>14.751020429269458</v>
      </c>
      <c r="F525" s="2">
        <v>16.567464498555374</v>
      </c>
      <c r="G525" s="2">
        <v>16.636734749571989</v>
      </c>
      <c r="H525" s="2">
        <v>18.212580778522479</v>
      </c>
    </row>
    <row r="526" spans="1:8" x14ac:dyDescent="0.2">
      <c r="A526" s="16">
        <f>DATE(2018,9,21)</f>
        <v>43364</v>
      </c>
      <c r="B526" s="2">
        <v>23.664719363082011</v>
      </c>
      <c r="C526" s="2">
        <v>34.273552378054852</v>
      </c>
      <c r="D526" s="2">
        <v>23.240892150082182</v>
      </c>
      <c r="E526" s="2">
        <v>14.786977110752829</v>
      </c>
      <c r="F526" s="2">
        <v>16.607491972811459</v>
      </c>
      <c r="G526" s="2">
        <v>16.676918542980633</v>
      </c>
      <c r="H526" s="2">
        <v>18.256341921188525</v>
      </c>
    </row>
    <row r="527" spans="1:8" x14ac:dyDescent="0.2">
      <c r="A527" s="16">
        <f>DATE(2018,9,24)</f>
        <v>43367</v>
      </c>
      <c r="B527" s="2">
        <v>21.417733373802371</v>
      </c>
      <c r="C527" s="2">
        <v>31.805733022343794</v>
      </c>
      <c r="D527" s="2">
        <v>23.276055900755789</v>
      </c>
      <c r="E527" s="2">
        <v>14.822945059089786</v>
      </c>
      <c r="F527" s="2">
        <v>16.647533191886541</v>
      </c>
      <c r="G527" s="2">
        <v>16.717116180546164</v>
      </c>
      <c r="H527" s="2">
        <v>18.300119263802127</v>
      </c>
    </row>
    <row r="528" spans="1:8" x14ac:dyDescent="0.2">
      <c r="A528" s="16">
        <f>DATE(2018,9,25)</f>
        <v>43368</v>
      </c>
      <c r="B528" s="2">
        <v>20.592175491729648</v>
      </c>
      <c r="C528" s="2">
        <v>32.897508704323329</v>
      </c>
      <c r="D528" s="2">
        <v>23.311229684538869</v>
      </c>
      <c r="E528" s="2">
        <v>14.858924277810702</v>
      </c>
      <c r="F528" s="2">
        <v>16.687588160500312</v>
      </c>
      <c r="G528" s="2">
        <v>16.757327667038147</v>
      </c>
      <c r="H528" s="2">
        <v>18.343912812360319</v>
      </c>
    </row>
    <row r="529" spans="1:8" x14ac:dyDescent="0.2">
      <c r="A529" s="16">
        <f>DATE(2018,9,26)</f>
        <v>43369</v>
      </c>
      <c r="B529" s="2">
        <v>20.964932734279618</v>
      </c>
      <c r="C529" s="2">
        <v>32.941486664638362</v>
      </c>
      <c r="D529" s="2">
        <v>23.346413504294116</v>
      </c>
      <c r="E529" s="2">
        <v>14.894914770447111</v>
      </c>
      <c r="F529" s="2">
        <v>16.727656883374166</v>
      </c>
      <c r="G529" s="2">
        <v>16.797553007227851</v>
      </c>
      <c r="H529" s="2">
        <v>18.387722572862387</v>
      </c>
    </row>
    <row r="530" spans="1:8" x14ac:dyDescent="0.2">
      <c r="A530" s="16">
        <f>DATE(2018,9,27)</f>
        <v>43370</v>
      </c>
      <c r="B530" s="2">
        <v>23.246145502695679</v>
      </c>
      <c r="C530" s="2">
        <v>35.212943244430804</v>
      </c>
      <c r="D530" s="2">
        <v>23.381607362885038</v>
      </c>
      <c r="E530" s="2">
        <v>14.930916540531648</v>
      </c>
      <c r="F530" s="2">
        <v>16.767739365231105</v>
      </c>
      <c r="G530" s="2">
        <v>16.837792205888146</v>
      </c>
      <c r="H530" s="2">
        <v>18.431548551309863</v>
      </c>
    </row>
    <row r="531" spans="1:8" x14ac:dyDescent="0.2">
      <c r="A531" s="16">
        <f>DATE(2018,9,28)</f>
        <v>43371</v>
      </c>
      <c r="B531" s="2">
        <v>22.741558138738903</v>
      </c>
      <c r="C531" s="2">
        <v>34.101375790149625</v>
      </c>
      <c r="D531" s="2">
        <v>23.416811263175983</v>
      </c>
      <c r="E531" s="2">
        <v>14.966929591598044</v>
      </c>
      <c r="F531" s="2">
        <v>16.807835610795774</v>
      </c>
      <c r="G531" s="2">
        <v>16.878045267793574</v>
      </c>
      <c r="H531" s="2">
        <v>18.475390753706431</v>
      </c>
    </row>
    <row r="532" spans="1:8" x14ac:dyDescent="0.2">
      <c r="A532" s="16">
        <f>DATE(2018,10,1)</f>
        <v>43374</v>
      </c>
      <c r="B532" s="2">
        <v>21.18610835200705</v>
      </c>
      <c r="C532" s="2">
        <v>32.886556468241793</v>
      </c>
      <c r="D532" s="2">
        <v>23.45202520803209</v>
      </c>
      <c r="E532" s="2">
        <v>15.005690701702544</v>
      </c>
      <c r="F532" s="2">
        <v>16.850726305372987</v>
      </c>
      <c r="G532" s="2">
        <v>16.921094552842366</v>
      </c>
      <c r="H532" s="2">
        <v>18.522069639362915</v>
      </c>
    </row>
    <row r="533" spans="1:8" x14ac:dyDescent="0.2">
      <c r="A533" s="16">
        <f>DATE(2018,10,2)</f>
        <v>43375</v>
      </c>
      <c r="B533" s="2">
        <v>24.563347502660783</v>
      </c>
      <c r="C533" s="2">
        <v>37.937802116080064</v>
      </c>
      <c r="D533" s="2">
        <v>23.487295257827512</v>
      </c>
      <c r="E533" s="2">
        <v>15.044464880118612</v>
      </c>
      <c r="F533" s="2">
        <v>16.893632748993692</v>
      </c>
      <c r="G533" s="2">
        <v>16.964159694085023</v>
      </c>
      <c r="H533" s="2">
        <v>18.568766916335534</v>
      </c>
    </row>
    <row r="534" spans="1:8" x14ac:dyDescent="0.2">
      <c r="A534" s="16">
        <f>DATE(2018,10,3)</f>
        <v>43376</v>
      </c>
      <c r="B534" s="2">
        <v>25.660857823937722</v>
      </c>
      <c r="C534" s="2">
        <v>40.745360511104217</v>
      </c>
      <c r="D534" s="2">
        <v>23.522575384220801</v>
      </c>
      <c r="E534" s="2">
        <v>15.083252131252234</v>
      </c>
      <c r="F534" s="2">
        <v>16.936554947440751</v>
      </c>
      <c r="G534" s="2">
        <v>17.007240697361791</v>
      </c>
      <c r="H534" s="2">
        <v>18.615482591870403</v>
      </c>
    </row>
    <row r="535" spans="1:8" x14ac:dyDescent="0.2">
      <c r="A535" s="16">
        <f>DATE(2018,10,4)</f>
        <v>43377</v>
      </c>
      <c r="B535" s="2">
        <v>24.640862707196387</v>
      </c>
      <c r="C535" s="2">
        <v>40.203512152249488</v>
      </c>
      <c r="D535" s="2">
        <v>23.55786559009081</v>
      </c>
      <c r="E535" s="2">
        <v>15.122052459510904</v>
      </c>
      <c r="F535" s="2">
        <v>16.979492906499228</v>
      </c>
      <c r="G535" s="2">
        <v>17.050337568515108</v>
      </c>
      <c r="H535" s="2">
        <v>18.662216673216523</v>
      </c>
    </row>
    <row r="536" spans="1:8" x14ac:dyDescent="0.2">
      <c r="A536" s="16">
        <f>DATE(2018,10,5)</f>
        <v>43378</v>
      </c>
      <c r="B536" s="2">
        <v>23.884356081065071</v>
      </c>
      <c r="C536" s="2">
        <v>39.136531115843454</v>
      </c>
      <c r="D536" s="2">
        <v>23.593165878317237</v>
      </c>
      <c r="E536" s="2">
        <v>15.160865869303541</v>
      </c>
      <c r="F536" s="2">
        <v>17.022446631956225</v>
      </c>
      <c r="G536" s="2">
        <v>17.093450313389472</v>
      </c>
      <c r="H536" s="2">
        <v>18.708969167625678</v>
      </c>
    </row>
    <row r="537" spans="1:8" x14ac:dyDescent="0.2">
      <c r="A537" s="16">
        <f>DATE(2018,10,8)</f>
        <v>43381</v>
      </c>
      <c r="B537" s="2">
        <v>26.577602385953814</v>
      </c>
      <c r="C537" s="2">
        <v>45.495571781090383</v>
      </c>
      <c r="D537" s="2">
        <v>23.628476251780594</v>
      </c>
      <c r="E537" s="2">
        <v>15.199692365040596</v>
      </c>
      <c r="F537" s="2">
        <v>17.065416129600997</v>
      </c>
      <c r="G537" s="2">
        <v>17.136578937831626</v>
      </c>
      <c r="H537" s="2">
        <v>18.755740082352546</v>
      </c>
    </row>
    <row r="538" spans="1:8" x14ac:dyDescent="0.2">
      <c r="A538" s="16">
        <f>DATE(2018,10,9)</f>
        <v>43382</v>
      </c>
      <c r="B538" s="2">
        <v>25.911451159100341</v>
      </c>
      <c r="C538" s="2">
        <v>45.501723963086803</v>
      </c>
      <c r="D538" s="2">
        <v>23.663796713362206</v>
      </c>
      <c r="E538" s="2">
        <v>15.238531951133982</v>
      </c>
      <c r="F538" s="2">
        <v>17.10840140522496</v>
      </c>
      <c r="G538" s="2">
        <v>17.179723447690431</v>
      </c>
      <c r="H538" s="2">
        <v>18.802529424654679</v>
      </c>
    </row>
    <row r="539" spans="1:8" x14ac:dyDescent="0.2">
      <c r="A539" s="16">
        <f>DATE(2018,10,10)</f>
        <v>43383</v>
      </c>
      <c r="B539" s="2">
        <v>23.826551159416365</v>
      </c>
      <c r="C539" s="2">
        <v>41.431075279721362</v>
      </c>
      <c r="D539" s="2">
        <v>23.699127265944252</v>
      </c>
      <c r="E539" s="2">
        <v>15.277384631997126</v>
      </c>
      <c r="F539" s="2">
        <v>17.151402464621636</v>
      </c>
      <c r="G539" s="2">
        <v>17.222883848816917</v>
      </c>
      <c r="H539" s="2">
        <v>18.849337201792494</v>
      </c>
    </row>
    <row r="540" spans="1:8" x14ac:dyDescent="0.2">
      <c r="A540" s="16">
        <f>DATE(2018,10,11)</f>
        <v>43384</v>
      </c>
      <c r="B540" s="2">
        <v>23.10783688816851</v>
      </c>
      <c r="C540" s="2">
        <v>40.149883378967566</v>
      </c>
      <c r="D540" s="2">
        <v>23.734467912409695</v>
      </c>
      <c r="E540" s="2">
        <v>15.316250412044941</v>
      </c>
      <c r="F540" s="2">
        <v>17.194419313586675</v>
      </c>
      <c r="G540" s="2">
        <v>17.266060147064266</v>
      </c>
      <c r="H540" s="2">
        <v>18.896163421029222</v>
      </c>
    </row>
    <row r="541" spans="1:8" x14ac:dyDescent="0.2">
      <c r="A541" s="16">
        <f>DATE(2018,10,15)</f>
        <v>43388</v>
      </c>
      <c r="B541" s="2">
        <v>22.410145086643162</v>
      </c>
      <c r="C541" s="2">
        <v>40.891322719129121</v>
      </c>
      <c r="D541" s="2">
        <v>23.769818655642361</v>
      </c>
      <c r="E541" s="2">
        <v>15.355129295693803</v>
      </c>
      <c r="F541" s="2">
        <v>17.237451957917838</v>
      </c>
      <c r="G541" s="2">
        <v>17.309252348287796</v>
      </c>
      <c r="H541" s="2">
        <v>18.943008089631007</v>
      </c>
    </row>
    <row r="542" spans="1:8" x14ac:dyDescent="0.2">
      <c r="A542" s="16">
        <f>DATE(2018,10,16)</f>
        <v>43389</v>
      </c>
      <c r="B542" s="2">
        <v>26.266133199741851</v>
      </c>
      <c r="C542" s="2">
        <v>44.876381705709271</v>
      </c>
      <c r="D542" s="2">
        <v>23.805179498526876</v>
      </c>
      <c r="E542" s="2">
        <v>15.394021287361603</v>
      </c>
      <c r="F542" s="2">
        <v>17.280500403415044</v>
      </c>
      <c r="G542" s="2">
        <v>17.352460458344996</v>
      </c>
      <c r="H542" s="2">
        <v>18.989871214866838</v>
      </c>
    </row>
    <row r="543" spans="1:8" x14ac:dyDescent="0.2">
      <c r="A543" s="16">
        <f>DATE(2018,10,17)</f>
        <v>43390</v>
      </c>
      <c r="B543" s="2">
        <v>28.282064384542128</v>
      </c>
      <c r="C543" s="2">
        <v>44.954788222965789</v>
      </c>
      <c r="D543" s="2">
        <v>23.840550443948683</v>
      </c>
      <c r="E543" s="2">
        <v>15.432926391467715</v>
      </c>
      <c r="F543" s="2">
        <v>17.323564655880318</v>
      </c>
      <c r="G543" s="2">
        <v>17.395684483095518</v>
      </c>
      <c r="H543" s="2">
        <v>19.03675280400854</v>
      </c>
    </row>
    <row r="544" spans="1:8" x14ac:dyDescent="0.2">
      <c r="A544" s="16">
        <f>DATE(2018,10,18)</f>
        <v>43391</v>
      </c>
      <c r="B544" s="2">
        <v>27.98865666006234</v>
      </c>
      <c r="C544" s="2">
        <v>41.715039042693334</v>
      </c>
      <c r="D544" s="2">
        <v>23.875931494794077</v>
      </c>
      <c r="E544" s="2">
        <v>15.471844612432983</v>
      </c>
      <c r="F544" s="2">
        <v>17.36664472111784</v>
      </c>
      <c r="G544" s="2">
        <v>17.43892442840118</v>
      </c>
      <c r="H544" s="2">
        <v>19.083652864330848</v>
      </c>
    </row>
    <row r="545" spans="1:8" x14ac:dyDescent="0.2">
      <c r="A545" s="16">
        <f>DATE(2018,10,19)</f>
        <v>43392</v>
      </c>
      <c r="B545" s="2">
        <v>28.639899795642009</v>
      </c>
      <c r="C545" s="2">
        <v>42.344826420579309</v>
      </c>
      <c r="D545" s="2">
        <v>23.911322653950151</v>
      </c>
      <c r="E545" s="2">
        <v>15.510775954679756</v>
      </c>
      <c r="F545" s="2">
        <v>17.409740604933877</v>
      </c>
      <c r="G545" s="2">
        <v>17.482180300125915</v>
      </c>
      <c r="H545" s="2">
        <v>19.130571403111318</v>
      </c>
    </row>
    <row r="546" spans="1:8" x14ac:dyDescent="0.2">
      <c r="A546" s="16">
        <f>DATE(2018,10,22)</f>
        <v>43395</v>
      </c>
      <c r="B546" s="2">
        <v>30.295117002409832</v>
      </c>
      <c r="C546" s="2">
        <v>44.672092079910676</v>
      </c>
      <c r="D546" s="2">
        <v>23.946723924304838</v>
      </c>
      <c r="E546" s="2">
        <v>15.549720422631896</v>
      </c>
      <c r="F546" s="2">
        <v>17.452852313136869</v>
      </c>
      <c r="G546" s="2">
        <v>17.525452104135876</v>
      </c>
      <c r="H546" s="2">
        <v>19.177508427630421</v>
      </c>
    </row>
    <row r="547" spans="1:8" x14ac:dyDescent="0.2">
      <c r="A547" s="16">
        <f>DATE(2018,10,23)</f>
        <v>43396</v>
      </c>
      <c r="B547" s="2">
        <v>31.808432538550811</v>
      </c>
      <c r="C547" s="2">
        <v>44.170689247202709</v>
      </c>
      <c r="D547" s="2">
        <v>23.982135308746887</v>
      </c>
      <c r="E547" s="2">
        <v>15.588678020714708</v>
      </c>
      <c r="F547" s="2">
        <v>17.495979851537388</v>
      </c>
      <c r="G547" s="2">
        <v>17.568739846299319</v>
      </c>
      <c r="H547" s="2">
        <v>19.224463945171454</v>
      </c>
    </row>
    <row r="548" spans="1:8" x14ac:dyDescent="0.2">
      <c r="A548" s="16">
        <f>DATE(2018,10,24)</f>
        <v>43397</v>
      </c>
      <c r="B548" s="2">
        <v>29.476085704074475</v>
      </c>
      <c r="C548" s="2">
        <v>40.390697359970183</v>
      </c>
      <c r="D548" s="2">
        <v>24.017556810165885</v>
      </c>
      <c r="E548" s="2">
        <v>15.62764875335505</v>
      </c>
      <c r="F548" s="2">
        <v>17.539123225948128</v>
      </c>
      <c r="G548" s="2">
        <v>17.612043532486688</v>
      </c>
      <c r="H548" s="2">
        <v>19.27143796302062</v>
      </c>
    </row>
    <row r="549" spans="1:8" x14ac:dyDescent="0.2">
      <c r="A549" s="16">
        <f>DATE(2018,10,25)</f>
        <v>43398</v>
      </c>
      <c r="B549" s="2">
        <v>31.733789030859704</v>
      </c>
      <c r="C549" s="2">
        <v>42.114575938883746</v>
      </c>
      <c r="D549" s="2">
        <v>24.052988431452228</v>
      </c>
      <c r="E549" s="2">
        <v>15.666632624981203</v>
      </c>
      <c r="F549" s="2">
        <v>17.582282442183892</v>
      </c>
      <c r="G549" s="2">
        <v>17.655363168570616</v>
      </c>
      <c r="H549" s="2">
        <v>19.318430488466976</v>
      </c>
    </row>
    <row r="550" spans="1:8" x14ac:dyDescent="0.2">
      <c r="A550" s="16">
        <f>DATE(2018,10,26)</f>
        <v>43399</v>
      </c>
      <c r="B550" s="2">
        <v>31.936319229362663</v>
      </c>
      <c r="C550" s="2">
        <v>44.880285975053177</v>
      </c>
      <c r="D550" s="2">
        <v>24.088430175497134</v>
      </c>
      <c r="E550" s="2">
        <v>15.705629640023</v>
      </c>
      <c r="F550" s="2">
        <v>17.625457506061661</v>
      </c>
      <c r="G550" s="2">
        <v>17.698698760425845</v>
      </c>
      <c r="H550" s="2">
        <v>19.365441528802439</v>
      </c>
    </row>
    <row r="551" spans="1:8" x14ac:dyDescent="0.2">
      <c r="A551" s="16">
        <f>DATE(2018,10,29)</f>
        <v>43402</v>
      </c>
      <c r="B551" s="2">
        <v>28.858636532078119</v>
      </c>
      <c r="C551" s="2">
        <v>41.629838082682568</v>
      </c>
      <c r="D551" s="2">
        <v>24.123882045192691</v>
      </c>
      <c r="E551" s="2">
        <v>15.744639802911763</v>
      </c>
      <c r="F551" s="2">
        <v>17.668648423400548</v>
      </c>
      <c r="G551" s="2">
        <v>17.742050313929347</v>
      </c>
      <c r="H551" s="2">
        <v>19.412471091321848</v>
      </c>
    </row>
    <row r="552" spans="1:8" x14ac:dyDescent="0.2">
      <c r="A552" s="16">
        <f>DATE(2018,10,30)</f>
        <v>43403</v>
      </c>
      <c r="B552" s="2">
        <v>32.208752574736963</v>
      </c>
      <c r="C552" s="2">
        <v>46.850741980191259</v>
      </c>
      <c r="D552" s="2">
        <v>24.159344043431762</v>
      </c>
      <c r="E552" s="2">
        <v>15.783663118080259</v>
      </c>
      <c r="F552" s="2">
        <v>17.711855200021763</v>
      </c>
      <c r="G552" s="2">
        <v>17.785417834960171</v>
      </c>
      <c r="H552" s="2">
        <v>19.459519183322804</v>
      </c>
    </row>
    <row r="553" spans="1:8" x14ac:dyDescent="0.2">
      <c r="A553" s="16">
        <f>DATE(2018,10,31)</f>
        <v>43404</v>
      </c>
      <c r="B553" s="2">
        <v>32.978257407637869</v>
      </c>
      <c r="C553" s="2">
        <v>47.759777574958527</v>
      </c>
      <c r="D553" s="2">
        <v>24.194816173108059</v>
      </c>
      <c r="E553" s="2">
        <v>15.822699589962784</v>
      </c>
      <c r="F553" s="2">
        <v>17.75507784174868</v>
      </c>
      <c r="G553" s="2">
        <v>17.828801329399614</v>
      </c>
      <c r="H553" s="2">
        <v>19.506585812105893</v>
      </c>
    </row>
    <row r="554" spans="1:8" x14ac:dyDescent="0.2">
      <c r="A554" s="16">
        <f>DATE(2018,11,1)</f>
        <v>43405</v>
      </c>
      <c r="B554" s="2">
        <v>33.268710994215468</v>
      </c>
      <c r="C554" s="2">
        <v>49.442331744582972</v>
      </c>
      <c r="D554" s="2">
        <v>24.230298437116105</v>
      </c>
      <c r="E554" s="2">
        <v>15.82623006323829</v>
      </c>
      <c r="F554" s="2">
        <v>17.762203510903763</v>
      </c>
      <c r="G554" s="2">
        <v>17.836065309240333</v>
      </c>
      <c r="H554" s="2">
        <v>19.517020011139685</v>
      </c>
    </row>
    <row r="555" spans="1:8" x14ac:dyDescent="0.2">
      <c r="A555" s="16">
        <f>DATE(2018,11,5)</f>
        <v>43409</v>
      </c>
      <c r="B555" s="2">
        <v>34.753694286848088</v>
      </c>
      <c r="C555" s="2">
        <v>51.435216171449753</v>
      </c>
      <c r="D555" s="2">
        <v>24.265790838351275</v>
      </c>
      <c r="E555" s="2">
        <v>15.829760644128619</v>
      </c>
      <c r="F555" s="2">
        <v>17.769329611251795</v>
      </c>
      <c r="G555" s="2">
        <v>17.843329736895196</v>
      </c>
      <c r="H555" s="2">
        <v>19.527455121190297</v>
      </c>
    </row>
    <row r="556" spans="1:8" x14ac:dyDescent="0.2">
      <c r="A556" s="16">
        <f>DATE(2018,11,6)</f>
        <v>43410</v>
      </c>
      <c r="B556" s="2">
        <v>33.276020768001288</v>
      </c>
      <c r="C556" s="2">
        <v>49.864651996078749</v>
      </c>
      <c r="D556" s="2">
        <v>24.301293379709765</v>
      </c>
      <c r="E556" s="2">
        <v>15.833291332637067</v>
      </c>
      <c r="F556" s="2">
        <v>17.776456142818866</v>
      </c>
      <c r="G556" s="2">
        <v>17.850594612391799</v>
      </c>
      <c r="H556" s="2">
        <v>19.537891142337237</v>
      </c>
    </row>
    <row r="557" spans="1:8" x14ac:dyDescent="0.2">
      <c r="A557" s="16">
        <f>DATE(2018,11,7)</f>
        <v>43411</v>
      </c>
      <c r="B557" s="2">
        <v>31.336636105308191</v>
      </c>
      <c r="C557" s="2">
        <v>48.251276070716223</v>
      </c>
      <c r="D557" s="2">
        <v>24.336806064088591</v>
      </c>
      <c r="E557" s="2">
        <v>15.836822128766936</v>
      </c>
      <c r="F557" s="2">
        <v>17.783583105631106</v>
      </c>
      <c r="G557" s="2">
        <v>17.857859935757769</v>
      </c>
      <c r="H557" s="2">
        <v>19.548328074660116</v>
      </c>
    </row>
    <row r="558" spans="1:8" x14ac:dyDescent="0.2">
      <c r="A558" s="16">
        <f>DATE(2018,11,8)</f>
        <v>43412</v>
      </c>
      <c r="B558" s="2">
        <v>29.134601102758715</v>
      </c>
      <c r="C558" s="2">
        <v>44.711709427711789</v>
      </c>
      <c r="D558" s="2">
        <v>24.372328894385586</v>
      </c>
      <c r="E558" s="2">
        <v>15.840353032521493</v>
      </c>
      <c r="F558" s="2">
        <v>17.790710499714589</v>
      </c>
      <c r="G558" s="2">
        <v>17.865125707020702</v>
      </c>
      <c r="H558" s="2">
        <v>19.558765918238464</v>
      </c>
    </row>
    <row r="559" spans="1:8" x14ac:dyDescent="0.2">
      <c r="A559" s="16">
        <f>DATE(2018,11,9)</f>
        <v>43413</v>
      </c>
      <c r="B559" s="2">
        <v>28.646206536558761</v>
      </c>
      <c r="C559" s="2">
        <v>44.747337998174537</v>
      </c>
      <c r="D559" s="2">
        <v>24.407861873499439</v>
      </c>
      <c r="E559" s="2">
        <v>15.843884043904</v>
      </c>
      <c r="F559" s="2">
        <v>17.797838325095427</v>
      </c>
      <c r="G559" s="2">
        <v>17.87239192620822</v>
      </c>
      <c r="H559" s="2">
        <v>19.569204673151841</v>
      </c>
    </row>
    <row r="560" spans="1:8" x14ac:dyDescent="0.2">
      <c r="A560" s="16">
        <f>DATE(2018,11,12)</f>
        <v>43416</v>
      </c>
      <c r="B560" s="2">
        <v>29.400885719243597</v>
      </c>
      <c r="C560" s="2">
        <v>44.550417469492508</v>
      </c>
      <c r="D560" s="2">
        <v>24.44340500432962</v>
      </c>
      <c r="E560" s="2">
        <v>15.847415162917766</v>
      </c>
      <c r="F560" s="2">
        <v>17.804966581799707</v>
      </c>
      <c r="G560" s="2">
        <v>17.879658593347926</v>
      </c>
      <c r="H560" s="2">
        <v>19.579644339479806</v>
      </c>
    </row>
    <row r="561" spans="1:8" x14ac:dyDescent="0.2">
      <c r="A561" s="16">
        <f>DATE(2018,11,13)</f>
        <v>43417</v>
      </c>
      <c r="B561" s="2">
        <v>28.652149162803831</v>
      </c>
      <c r="C561" s="2">
        <v>43.518422742791365</v>
      </c>
      <c r="D561" s="2">
        <v>24.478958289776486</v>
      </c>
      <c r="E561" s="2">
        <v>15.850946389566056</v>
      </c>
      <c r="F561" s="2">
        <v>17.812095269853522</v>
      </c>
      <c r="G561" s="2">
        <v>17.886925708467437</v>
      </c>
      <c r="H561" s="2">
        <v>19.59008491730194</v>
      </c>
    </row>
    <row r="562" spans="1:8" x14ac:dyDescent="0.2">
      <c r="A562" s="16">
        <f>DATE(2018,11,14)</f>
        <v>43418</v>
      </c>
      <c r="B562" s="2">
        <v>30.979302210642871</v>
      </c>
      <c r="C562" s="2">
        <v>45.308217557380793</v>
      </c>
      <c r="D562" s="2">
        <v>24.514521732741201</v>
      </c>
      <c r="E562" s="2">
        <v>15.854477723852156</v>
      </c>
      <c r="F562" s="2">
        <v>17.819224389282983</v>
      </c>
      <c r="G562" s="2">
        <v>17.894193271594361</v>
      </c>
      <c r="H562" s="2">
        <v>19.600526406697828</v>
      </c>
    </row>
    <row r="563" spans="1:8" x14ac:dyDescent="0.2">
      <c r="A563" s="16">
        <f>DATE(2018,11,16)</f>
        <v>43420</v>
      </c>
      <c r="B563" s="2">
        <v>34.160517136266598</v>
      </c>
      <c r="C563" s="2">
        <v>49.604958929114559</v>
      </c>
      <c r="D563" s="2">
        <v>24.550095336125732</v>
      </c>
      <c r="E563" s="2">
        <v>15.858009165779331</v>
      </c>
      <c r="F563" s="2">
        <v>17.826353940114203</v>
      </c>
      <c r="G563" s="2">
        <v>17.901461282756337</v>
      </c>
      <c r="H563" s="2">
        <v>19.610968807747064</v>
      </c>
    </row>
    <row r="564" spans="1:8" x14ac:dyDescent="0.2">
      <c r="A564" s="16">
        <f>DATE(2018,11,19)</f>
        <v>43423</v>
      </c>
      <c r="B564" s="2">
        <v>33.988022963131861</v>
      </c>
      <c r="C564" s="2">
        <v>48.566457086840288</v>
      </c>
      <c r="D564" s="2">
        <v>24.585679102832913</v>
      </c>
      <c r="E564" s="2">
        <v>15.861540715350841</v>
      </c>
      <c r="F564" s="2">
        <v>17.833483922373251</v>
      </c>
      <c r="G564" s="2">
        <v>17.908729741980967</v>
      </c>
      <c r="H564" s="2">
        <v>19.621412120529214</v>
      </c>
    </row>
    <row r="565" spans="1:8" x14ac:dyDescent="0.2">
      <c r="A565" s="16">
        <f>DATE(2018,11,20)</f>
        <v>43424</v>
      </c>
      <c r="B565" s="2">
        <v>33.982142167680074</v>
      </c>
      <c r="C565" s="2">
        <v>48.566457086840288</v>
      </c>
      <c r="D565" s="2">
        <v>24.621273035766379</v>
      </c>
      <c r="E565" s="2">
        <v>15.865072372570044</v>
      </c>
      <c r="F565" s="2">
        <v>17.840614336086279</v>
      </c>
      <c r="G565" s="2">
        <v>17.915998649295918</v>
      </c>
      <c r="H565" s="2">
        <v>19.631856345123921</v>
      </c>
    </row>
    <row r="566" spans="1:8" x14ac:dyDescent="0.2">
      <c r="A566" s="16">
        <f>DATE(2018,11,21)</f>
        <v>43425</v>
      </c>
      <c r="B566" s="2">
        <v>34.158009554093802</v>
      </c>
      <c r="C566" s="2">
        <v>47.498225332116291</v>
      </c>
      <c r="D566" s="2">
        <v>24.656877137830602</v>
      </c>
      <c r="E566" s="2">
        <v>15.868604137440133</v>
      </c>
      <c r="F566" s="2">
        <v>17.84774518127934</v>
      </c>
      <c r="G566" s="2">
        <v>17.923268004728719</v>
      </c>
      <c r="H566" s="2">
        <v>19.642301481610769</v>
      </c>
    </row>
    <row r="567" spans="1:8" x14ac:dyDescent="0.2">
      <c r="A567" s="16">
        <f>DATE(2018,11,22)</f>
        <v>43426</v>
      </c>
      <c r="B567" s="2">
        <v>34.708028810950879</v>
      </c>
      <c r="C567" s="2">
        <v>47.850860291383434</v>
      </c>
      <c r="D567" s="2">
        <v>24.692491411930884</v>
      </c>
      <c r="E567" s="2">
        <v>15.872136009964466</v>
      </c>
      <c r="F567" s="2">
        <v>17.854876457978609</v>
      </c>
      <c r="G567" s="2">
        <v>17.93053780830709</v>
      </c>
      <c r="H567" s="2">
        <v>19.652747530069426</v>
      </c>
    </row>
    <row r="568" spans="1:8" x14ac:dyDescent="0.2">
      <c r="A568" s="16">
        <f>DATE(2018,11,23)</f>
        <v>43427</v>
      </c>
      <c r="B568" s="2">
        <v>34.063710724220961</v>
      </c>
      <c r="C568" s="2">
        <v>45.742859074468313</v>
      </c>
      <c r="D568" s="2">
        <v>24.728115860973364</v>
      </c>
      <c r="E568" s="2">
        <v>15.875667990146303</v>
      </c>
      <c r="F568" s="2">
        <v>17.862008166210174</v>
      </c>
      <c r="G568" s="2">
        <v>17.937808060058646</v>
      </c>
      <c r="H568" s="2">
        <v>19.663194490579471</v>
      </c>
    </row>
    <row r="569" spans="1:8" x14ac:dyDescent="0.2">
      <c r="A569" s="16">
        <f>DATE(2018,11,26)</f>
        <v>43430</v>
      </c>
      <c r="B569" s="2">
        <v>33.402093755542928</v>
      </c>
      <c r="C569" s="2">
        <v>44.5872798566743</v>
      </c>
      <c r="D569" s="2">
        <v>24.763750487865011</v>
      </c>
      <c r="E569" s="2">
        <v>15.87920007798891</v>
      </c>
      <c r="F569" s="2">
        <v>17.86914030600013</v>
      </c>
      <c r="G569" s="2">
        <v>17.945078760010968</v>
      </c>
      <c r="H569" s="2">
        <v>19.673642363220555</v>
      </c>
    </row>
    <row r="570" spans="1:8" x14ac:dyDescent="0.2">
      <c r="A570" s="16">
        <f>DATE(2018,11,27)</f>
        <v>43431</v>
      </c>
      <c r="B570" s="2">
        <v>36.967497750389256</v>
      </c>
      <c r="C570" s="2">
        <v>48.550147043910229</v>
      </c>
      <c r="D570" s="2">
        <v>24.799395295513627</v>
      </c>
      <c r="E570" s="2">
        <v>15.88273227349557</v>
      </c>
      <c r="F570" s="2">
        <v>17.87627287737461</v>
      </c>
      <c r="G570" s="2">
        <v>17.952349908191746</v>
      </c>
      <c r="H570" s="2">
        <v>19.684091148072302</v>
      </c>
    </row>
    <row r="571" spans="1:8" x14ac:dyDescent="0.2">
      <c r="A571" s="16">
        <f>DATE(2018,11,28)</f>
        <v>43432</v>
      </c>
      <c r="B571" s="2">
        <v>38.618194439157925</v>
      </c>
      <c r="C571" s="2">
        <v>50.848156035560883</v>
      </c>
      <c r="D571" s="2">
        <v>24.835050286827819</v>
      </c>
      <c r="E571" s="2">
        <v>15.886264576669573</v>
      </c>
      <c r="F571" s="2">
        <v>17.883405880359724</v>
      </c>
      <c r="G571" s="2">
        <v>17.959621504628576</v>
      </c>
      <c r="H571" s="2">
        <v>19.694540845214359</v>
      </c>
    </row>
    <row r="572" spans="1:8" x14ac:dyDescent="0.2">
      <c r="A572" s="16">
        <f>DATE(2018,11,29)</f>
        <v>43433</v>
      </c>
      <c r="B572" s="2">
        <v>37.728950839984691</v>
      </c>
      <c r="C572" s="2">
        <v>51.623499983098299</v>
      </c>
      <c r="D572" s="2">
        <v>24.870715464717065</v>
      </c>
      <c r="E572" s="2">
        <v>15.889796987514204</v>
      </c>
      <c r="F572" s="2">
        <v>17.890539314981591</v>
      </c>
      <c r="G572" s="2">
        <v>17.966893549349106</v>
      </c>
      <c r="H572" s="2">
        <v>19.704991454726397</v>
      </c>
    </row>
    <row r="573" spans="1:8" x14ac:dyDescent="0.2">
      <c r="A573" s="16">
        <f>DATE(2018,11,30)</f>
        <v>43434</v>
      </c>
      <c r="B573" s="2">
        <v>35.972063198764872</v>
      </c>
      <c r="C573" s="2">
        <v>51.27612142108633</v>
      </c>
      <c r="D573" s="2">
        <v>24.906390832091631</v>
      </c>
      <c r="E573" s="2">
        <v>15.893329506032726</v>
      </c>
      <c r="F573" s="2">
        <v>17.897673181266338</v>
      </c>
      <c r="G573" s="2">
        <v>17.974166042380936</v>
      </c>
      <c r="H573" s="2">
        <v>19.71544297668806</v>
      </c>
    </row>
    <row r="574" spans="1:8" x14ac:dyDescent="0.2">
      <c r="A574" s="16">
        <f>DATE(2018,12,3)</f>
        <v>43437</v>
      </c>
      <c r="B574" s="2">
        <v>36.077670193723741</v>
      </c>
      <c r="C574" s="2">
        <v>51.810313355643338</v>
      </c>
      <c r="D574" s="2">
        <v>24.942076391862656</v>
      </c>
      <c r="E574" s="2">
        <v>15.91947669187963</v>
      </c>
      <c r="F574" s="2">
        <v>17.927813842422371</v>
      </c>
      <c r="G574" s="2">
        <v>18.004460299778312</v>
      </c>
      <c r="H574" s="2">
        <v>19.749257117041939</v>
      </c>
    </row>
    <row r="575" spans="1:8" x14ac:dyDescent="0.2">
      <c r="A575" s="16">
        <f>DATE(2018,12,4)</f>
        <v>43438</v>
      </c>
      <c r="B575" s="2">
        <v>34.638070703374368</v>
      </c>
      <c r="C575" s="2">
        <v>49.789490585809325</v>
      </c>
      <c r="D575" s="2">
        <v>24.97777214694208</v>
      </c>
      <c r="E575" s="2">
        <v>15.945629776904079</v>
      </c>
      <c r="F575" s="2">
        <v>17.957962209069358</v>
      </c>
      <c r="G575" s="2">
        <v>18.034762336353637</v>
      </c>
      <c r="H575" s="2">
        <v>19.78308080834481</v>
      </c>
    </row>
    <row r="576" spans="1:8" x14ac:dyDescent="0.2">
      <c r="A576" s="16">
        <f>DATE(2018,12,5)</f>
        <v>43439</v>
      </c>
      <c r="B576" s="2">
        <v>35.678957758163477</v>
      </c>
      <c r="C576" s="2">
        <v>50.491481594158699</v>
      </c>
      <c r="D576" s="2">
        <v>25.013478100242704</v>
      </c>
      <c r="E576" s="2">
        <v>15.971788762437034</v>
      </c>
      <c r="F576" s="2">
        <v>17.988118283177236</v>
      </c>
      <c r="G576" s="2">
        <v>18.065072154104509</v>
      </c>
      <c r="H576" s="2">
        <v>19.816914053294354</v>
      </c>
    </row>
    <row r="577" spans="1:8" x14ac:dyDescent="0.2">
      <c r="A577" s="16">
        <f>DATE(2018,12,6)</f>
        <v>43440</v>
      </c>
      <c r="B577" s="2">
        <v>35.844231468658229</v>
      </c>
      <c r="C577" s="2">
        <v>50.164756785991862</v>
      </c>
      <c r="D577" s="2">
        <v>25.049194254678131</v>
      </c>
      <c r="E577" s="2">
        <v>15.997953649809714</v>
      </c>
      <c r="F577" s="2">
        <v>18.018282066716406</v>
      </c>
      <c r="G577" s="2">
        <v>18.095389755029021</v>
      </c>
      <c r="H577" s="2">
        <v>19.850756854589058</v>
      </c>
    </row>
    <row r="578" spans="1:8" x14ac:dyDescent="0.2">
      <c r="A578" s="16">
        <f>DATE(2018,12,7)</f>
        <v>43441</v>
      </c>
      <c r="B578" s="2">
        <v>35.638733392076816</v>
      </c>
      <c r="C578" s="2">
        <v>48.92855694148659</v>
      </c>
      <c r="D578" s="2">
        <v>25.084920613162812</v>
      </c>
      <c r="E578" s="2">
        <v>16.02412444035366</v>
      </c>
      <c r="F578" s="2">
        <v>18.048453561657784</v>
      </c>
      <c r="G578" s="2">
        <v>18.12571514112582</v>
      </c>
      <c r="H578" s="2">
        <v>19.88460921492814</v>
      </c>
    </row>
    <row r="579" spans="1:8" x14ac:dyDescent="0.2">
      <c r="A579" s="16">
        <f>DATE(2018,12,10)</f>
        <v>43444</v>
      </c>
      <c r="B579" s="2">
        <v>33.743262332804044</v>
      </c>
      <c r="C579" s="2">
        <v>45.209596727850368</v>
      </c>
      <c r="D579" s="2">
        <v>25.120657178612007</v>
      </c>
      <c r="E579" s="2">
        <v>16.050301135400712</v>
      </c>
      <c r="F579" s="2">
        <v>18.078632769972813</v>
      </c>
      <c r="G579" s="2">
        <v>18.156048314394013</v>
      </c>
      <c r="H579" s="2">
        <v>19.918471137011593</v>
      </c>
    </row>
    <row r="580" spans="1:8" x14ac:dyDescent="0.2">
      <c r="A580" s="16">
        <f>DATE(2018,12,11)</f>
        <v>43445</v>
      </c>
      <c r="B580" s="2">
        <v>34.513591576282309</v>
      </c>
      <c r="C580" s="2">
        <v>46.062890849474257</v>
      </c>
      <c r="D580" s="2">
        <v>25.156403953941851</v>
      </c>
      <c r="E580" s="2">
        <v>16.076483736283009</v>
      </c>
      <c r="F580" s="2">
        <v>18.108819693633428</v>
      </c>
      <c r="G580" s="2">
        <v>18.186389276833246</v>
      </c>
      <c r="H580" s="2">
        <v>19.952342623540197</v>
      </c>
    </row>
    <row r="581" spans="1:8" x14ac:dyDescent="0.2">
      <c r="A581" s="16">
        <f>DATE(2018,12,12)</f>
        <v>43446</v>
      </c>
      <c r="B581" s="2">
        <v>36.041897644754805</v>
      </c>
      <c r="C581" s="2">
        <v>47.005814150018502</v>
      </c>
      <c r="D581" s="2">
        <v>25.192160942069311</v>
      </c>
      <c r="E581" s="2">
        <v>16.102672244332993</v>
      </c>
      <c r="F581" s="2">
        <v>18.139014334612071</v>
      </c>
      <c r="G581" s="2">
        <v>18.2167380304437</v>
      </c>
      <c r="H581" s="2">
        <v>19.986223677215452</v>
      </c>
    </row>
    <row r="582" spans="1:8" x14ac:dyDescent="0.2">
      <c r="A582" s="16">
        <f>DATE(2018,12,13)</f>
        <v>43447</v>
      </c>
      <c r="B582" s="2">
        <v>36.74932436118106</v>
      </c>
      <c r="C582" s="2">
        <v>48.459571375452001</v>
      </c>
      <c r="D582" s="2">
        <v>25.227928145912127</v>
      </c>
      <c r="E582" s="2">
        <v>16.1288666608834</v>
      </c>
      <c r="F582" s="2">
        <v>18.169216694881651</v>
      </c>
      <c r="G582" s="2">
        <v>18.247094577226044</v>
      </c>
      <c r="H582" s="2">
        <v>20.020114300739642</v>
      </c>
    </row>
    <row r="583" spans="1:8" x14ac:dyDescent="0.2">
      <c r="A583" s="16">
        <f>DATE(2018,12,14)</f>
        <v>43448</v>
      </c>
      <c r="B583" s="2">
        <v>36.286204849265097</v>
      </c>
      <c r="C583" s="2">
        <v>47.803637224081299</v>
      </c>
      <c r="D583" s="2">
        <v>25.263705568388929</v>
      </c>
      <c r="E583" s="2">
        <v>16.155066987267276</v>
      </c>
      <c r="F583" s="2">
        <v>18.199426776415638</v>
      </c>
      <c r="G583" s="2">
        <v>18.277458919181445</v>
      </c>
      <c r="H583" s="2">
        <v>20.054014496815807</v>
      </c>
    </row>
    <row r="584" spans="1:8" x14ac:dyDescent="0.2">
      <c r="A584" s="16">
        <f>DATE(2018,12,17)</f>
        <v>43451</v>
      </c>
      <c r="B584" s="2">
        <v>34.23167750926843</v>
      </c>
      <c r="C584" s="2">
        <v>46.029273569279553</v>
      </c>
      <c r="D584" s="2">
        <v>25.299493212419179</v>
      </c>
      <c r="E584" s="2">
        <v>16.181273224817971</v>
      </c>
      <c r="F584" s="2">
        <v>18.229644581187987</v>
      </c>
      <c r="G584" s="2">
        <v>18.307831058311621</v>
      </c>
      <c r="H584" s="2">
        <v>20.087924268147759</v>
      </c>
    </row>
    <row r="585" spans="1:8" x14ac:dyDescent="0.2">
      <c r="A585" s="16">
        <f>DATE(2018,12,18)</f>
        <v>43452</v>
      </c>
      <c r="B585" s="2">
        <v>35.898457074383614</v>
      </c>
      <c r="C585" s="2">
        <v>46.385576175506138</v>
      </c>
      <c r="D585" s="2">
        <v>25.335291080923142</v>
      </c>
      <c r="E585" s="2">
        <v>16.207485374869112</v>
      </c>
      <c r="F585" s="2">
        <v>18.259870111173139</v>
      </c>
      <c r="G585" s="2">
        <v>18.338210996618766</v>
      </c>
      <c r="H585" s="2">
        <v>20.121843617440071</v>
      </c>
    </row>
    <row r="586" spans="1:8" x14ac:dyDescent="0.2">
      <c r="A586" s="16">
        <f>DATE(2018,12,19)</f>
        <v>43453</v>
      </c>
      <c r="B586" s="2">
        <v>35.798827056110547</v>
      </c>
      <c r="C586" s="2">
        <v>44.801947064192206</v>
      </c>
      <c r="D586" s="2">
        <v>25.371099176821922</v>
      </c>
      <c r="E586" s="2">
        <v>16.233703438754631</v>
      </c>
      <c r="F586" s="2">
        <v>18.290103368346021</v>
      </c>
      <c r="G586" s="2">
        <v>18.368598736105611</v>
      </c>
      <c r="H586" s="2">
        <v>20.155772547398044</v>
      </c>
    </row>
    <row r="587" spans="1:8" x14ac:dyDescent="0.2">
      <c r="A587" s="16">
        <f>DATE(2018,12,20)</f>
        <v>43454</v>
      </c>
      <c r="B587" s="2">
        <v>36.330523787885951</v>
      </c>
      <c r="C587" s="2">
        <v>44.118733732210977</v>
      </c>
      <c r="D587" s="2">
        <v>25.406917503037494</v>
      </c>
      <c r="E587" s="2">
        <v>16.259927417808797</v>
      </c>
      <c r="F587" s="2">
        <v>18.320344354682128</v>
      </c>
      <c r="G587" s="2">
        <v>18.398994278775405</v>
      </c>
      <c r="H587" s="2">
        <v>20.189711060727824</v>
      </c>
    </row>
    <row r="588" spans="1:8" x14ac:dyDescent="0.2">
      <c r="A588" s="16">
        <f>DATE(2018,12,21)</f>
        <v>43455</v>
      </c>
      <c r="B588" s="2">
        <v>37.870914341404813</v>
      </c>
      <c r="C588" s="2">
        <v>44.841885542372232</v>
      </c>
      <c r="D588" s="2">
        <v>25.442746062492638</v>
      </c>
      <c r="E588" s="2">
        <v>16.2861573133662</v>
      </c>
      <c r="F588" s="2">
        <v>18.350593072157494</v>
      </c>
      <c r="G588" s="2">
        <v>18.42939762663196</v>
      </c>
      <c r="H588" s="2">
        <v>20.223659160136311</v>
      </c>
    </row>
    <row r="589" spans="1:8" x14ac:dyDescent="0.2">
      <c r="A589" s="16">
        <f>DATE(2018,12,24)</f>
        <v>43458</v>
      </c>
      <c r="B589" s="2">
        <v>37.86502667586489</v>
      </c>
      <c r="C589" s="2">
        <v>44.841885542372232</v>
      </c>
      <c r="D589" s="2">
        <v>25.478584858110963</v>
      </c>
      <c r="E589" s="2">
        <v>16.312393126761627</v>
      </c>
      <c r="F589" s="2">
        <v>18.380849522748498</v>
      </c>
      <c r="G589" s="2">
        <v>18.459808781679477</v>
      </c>
      <c r="H589" s="2">
        <v>20.25761684833105</v>
      </c>
    </row>
    <row r="590" spans="1:8" x14ac:dyDescent="0.2">
      <c r="A590" s="16">
        <f>DATE(2018,12,26)</f>
        <v>43460</v>
      </c>
      <c r="B590" s="2">
        <v>37.901905309025153</v>
      </c>
      <c r="C590" s="2">
        <v>43.89362133657837</v>
      </c>
      <c r="D590" s="2">
        <v>25.514433892816935</v>
      </c>
      <c r="E590" s="2">
        <v>16.338634859330249</v>
      </c>
      <c r="F590" s="2">
        <v>18.411113708432158</v>
      </c>
      <c r="G590" s="2">
        <v>18.490227745922773</v>
      </c>
      <c r="H590" s="2">
        <v>20.291584128020482</v>
      </c>
    </row>
    <row r="591" spans="1:8" x14ac:dyDescent="0.2">
      <c r="A591" s="16">
        <f>DATE(2018,12,27)</f>
        <v>43461</v>
      </c>
      <c r="B591" s="2">
        <v>38.264068875656164</v>
      </c>
      <c r="C591" s="2">
        <v>44.441402156643917</v>
      </c>
      <c r="D591" s="2">
        <v>25.550293169535855</v>
      </c>
      <c r="E591" s="2">
        <v>16.364882512407508</v>
      </c>
      <c r="F591" s="2">
        <v>18.441385631185938</v>
      </c>
      <c r="G591" s="2">
        <v>18.520654521367153</v>
      </c>
      <c r="H591" s="2">
        <v>20.325561001913741</v>
      </c>
    </row>
    <row r="592" spans="1:8" x14ac:dyDescent="0.2">
      <c r="A592" s="16">
        <f>DATE(2018,12,28)</f>
        <v>43462</v>
      </c>
      <c r="B592" s="2">
        <v>41.12495220136141</v>
      </c>
      <c r="C592" s="2">
        <v>48.543521617144862</v>
      </c>
      <c r="D592" s="2">
        <v>25.586162691193827</v>
      </c>
      <c r="E592" s="2">
        <v>16.391136087329158</v>
      </c>
      <c r="F592" s="2">
        <v>18.471665292987851</v>
      </c>
      <c r="G592" s="2">
        <v>18.551089110018417</v>
      </c>
      <c r="H592" s="2">
        <v>20.359547472720774</v>
      </c>
    </row>
    <row r="593" spans="1:8" x14ac:dyDescent="0.2">
      <c r="A593" s="16">
        <f>DATE(2018,12,31)</f>
        <v>43465</v>
      </c>
      <c r="B593" s="2">
        <v>41.11878286220756</v>
      </c>
      <c r="C593" s="2">
        <v>48.543521617144862</v>
      </c>
      <c r="D593" s="2">
        <v>25.622042460717822</v>
      </c>
      <c r="E593" s="2">
        <v>16.417395585431226</v>
      </c>
      <c r="F593" s="2">
        <v>18.501952695816335</v>
      </c>
      <c r="G593" s="2">
        <v>18.581531513882865</v>
      </c>
      <c r="H593" s="2">
        <v>20.393543543152237</v>
      </c>
    </row>
    <row r="594" spans="1:8" x14ac:dyDescent="0.2">
      <c r="A594" s="16">
        <f>DATE(2019,1,2)</f>
        <v>43467</v>
      </c>
      <c r="B594" s="2">
        <v>43.09587056863824</v>
      </c>
      <c r="C594" s="2">
        <v>53.825355778656551</v>
      </c>
      <c r="D594" s="2">
        <v>25.657932481035651</v>
      </c>
      <c r="E594" s="2">
        <v>16.454536361422246</v>
      </c>
      <c r="F594" s="2">
        <v>18.543318260341479</v>
      </c>
      <c r="G594" s="2">
        <v>18.623059600472235</v>
      </c>
      <c r="H594" s="2">
        <v>20.438796647871914</v>
      </c>
    </row>
    <row r="595" spans="1:8" x14ac:dyDescent="0.2">
      <c r="A595" s="16">
        <f>DATE(2019,1,3)</f>
        <v>43468</v>
      </c>
      <c r="B595" s="2">
        <v>43.285931557158719</v>
      </c>
      <c r="C595" s="2">
        <v>54.758222627860498</v>
      </c>
      <c r="D595" s="2">
        <v>25.693832755075931</v>
      </c>
      <c r="E595" s="2">
        <v>16.491688986477815</v>
      </c>
      <c r="F595" s="2">
        <v>18.584698264374854</v>
      </c>
      <c r="G595" s="2">
        <v>18.664602230489646</v>
      </c>
      <c r="H595" s="2">
        <v>20.484066762170517</v>
      </c>
    </row>
    <row r="596" spans="1:8" x14ac:dyDescent="0.2">
      <c r="A596" s="16">
        <f>DATE(2019,1,4)</f>
        <v>43469</v>
      </c>
      <c r="B596" s="2">
        <v>42.958180262044053</v>
      </c>
      <c r="C596" s="2">
        <v>55.22561944359925</v>
      </c>
      <c r="D596" s="2">
        <v>25.729743285768159</v>
      </c>
      <c r="E596" s="2">
        <v>16.52885346437829</v>
      </c>
      <c r="F596" s="2">
        <v>18.626092712957011</v>
      </c>
      <c r="G596" s="2">
        <v>18.706159409028423</v>
      </c>
      <c r="H596" s="2">
        <v>20.529353892441659</v>
      </c>
    </row>
    <row r="597" spans="1:8" x14ac:dyDescent="0.2">
      <c r="A597" s="16">
        <f>DATE(2019,1,7)</f>
        <v>43472</v>
      </c>
      <c r="B597" s="2">
        <v>42.527638708109805</v>
      </c>
      <c r="C597" s="2">
        <v>54.986056180914609</v>
      </c>
      <c r="D597" s="2">
        <v>25.765664076042615</v>
      </c>
      <c r="E597" s="2">
        <v>16.566029798904957</v>
      </c>
      <c r="F597" s="2">
        <v>18.667501611129978</v>
      </c>
      <c r="G597" s="2">
        <v>18.747731141183444</v>
      </c>
      <c r="H597" s="2">
        <v>20.57465804508114</v>
      </c>
    </row>
    <row r="598" spans="1:8" x14ac:dyDescent="0.2">
      <c r="A598" s="16">
        <f>DATE(2019,1,8)</f>
        <v>43473</v>
      </c>
      <c r="B598" s="2">
        <v>42.303996728738483</v>
      </c>
      <c r="C598" s="2">
        <v>55.54855829361447</v>
      </c>
      <c r="D598" s="2">
        <v>25.801595128830471</v>
      </c>
      <c r="E598" s="2">
        <v>16.603217993840524</v>
      </c>
      <c r="F598" s="2">
        <v>18.708924963937744</v>
      </c>
      <c r="G598" s="2">
        <v>18.789317432051522</v>
      </c>
      <c r="H598" s="2">
        <v>20.619979226487306</v>
      </c>
    </row>
    <row r="599" spans="1:8" x14ac:dyDescent="0.2">
      <c r="A599" s="16">
        <f>DATE(2019,1,9)</f>
        <v>43474</v>
      </c>
      <c r="B599" s="2">
        <v>44.165234138786722</v>
      </c>
      <c r="C599" s="2">
        <v>58.221005307101933</v>
      </c>
      <c r="D599" s="2">
        <v>25.837536447063702</v>
      </c>
      <c r="E599" s="2">
        <v>16.640418052968808</v>
      </c>
      <c r="F599" s="2">
        <v>18.750362776426009</v>
      </c>
      <c r="G599" s="2">
        <v>18.830918286731247</v>
      </c>
      <c r="H599" s="2">
        <v>20.665317443060861</v>
      </c>
    </row>
    <row r="600" spans="1:8" x14ac:dyDescent="0.2">
      <c r="A600" s="16">
        <f>DATE(2019,1,10)</f>
        <v>43475</v>
      </c>
      <c r="B600" s="2">
        <v>44.052750185595116</v>
      </c>
      <c r="C600" s="2">
        <v>58.547020248115331</v>
      </c>
      <c r="D600" s="2">
        <v>25.87348803367513</v>
      </c>
      <c r="E600" s="2">
        <v>16.677629980074894</v>
      </c>
      <c r="F600" s="2">
        <v>18.791815053642246</v>
      </c>
      <c r="G600" s="2">
        <v>18.87253371032298</v>
      </c>
      <c r="H600" s="2">
        <v>20.71067270120497</v>
      </c>
    </row>
    <row r="601" spans="1:8" x14ac:dyDescent="0.2">
      <c r="A601" s="16">
        <f>DATE(2019,1,11)</f>
        <v>43476</v>
      </c>
      <c r="B601" s="2">
        <v>42.212157390421432</v>
      </c>
      <c r="C601" s="2">
        <v>58.297518845282653</v>
      </c>
      <c r="D601" s="2">
        <v>25.909449891598399</v>
      </c>
      <c r="E601" s="2">
        <v>16.714853778944949</v>
      </c>
      <c r="F601" s="2">
        <v>18.833281800635572</v>
      </c>
      <c r="G601" s="2">
        <v>18.914163707928775</v>
      </c>
      <c r="H601" s="2">
        <v>20.756045007325064</v>
      </c>
    </row>
    <row r="602" spans="1:8" x14ac:dyDescent="0.2">
      <c r="A602" s="16">
        <f>DATE(2019,1,14)</f>
        <v>43479</v>
      </c>
      <c r="B602" s="2">
        <v>43.353059188419671</v>
      </c>
      <c r="C602" s="2">
        <v>59.676385086029043</v>
      </c>
      <c r="D602" s="2">
        <v>25.945422023768039</v>
      </c>
      <c r="E602" s="2">
        <v>16.752089453366548</v>
      </c>
      <c r="F602" s="2">
        <v>18.874763022457074</v>
      </c>
      <c r="G602" s="2">
        <v>18.955808284652665</v>
      </c>
      <c r="H602" s="2">
        <v>20.801434367829199</v>
      </c>
    </row>
    <row r="603" spans="1:8" x14ac:dyDescent="0.2">
      <c r="A603" s="16">
        <f>DATE(2019,1,15)</f>
        <v>43480</v>
      </c>
      <c r="B603" s="2">
        <v>43.934048802632589</v>
      </c>
      <c r="C603" s="2">
        <v>58.969205286820007</v>
      </c>
      <c r="D603" s="2">
        <v>25.981404433119359</v>
      </c>
      <c r="E603" s="2">
        <v>16.789337007128282</v>
      </c>
      <c r="F603" s="2">
        <v>18.91625872415943</v>
      </c>
      <c r="G603" s="2">
        <v>18.997467445600272</v>
      </c>
      <c r="H603" s="2">
        <v>20.846840789127619</v>
      </c>
    </row>
    <row r="604" spans="1:8" x14ac:dyDescent="0.2">
      <c r="A604" s="16">
        <f>DATE(2019,1,16)</f>
        <v>43481</v>
      </c>
      <c r="B604" s="2">
        <v>45.421773260434932</v>
      </c>
      <c r="C604" s="2">
        <v>59.539380725416507</v>
      </c>
      <c r="D604" s="2">
        <v>26.017397122588552</v>
      </c>
      <c r="E604" s="2">
        <v>16.826596444020048</v>
      </c>
      <c r="F604" s="2">
        <v>18.957768910797167</v>
      </c>
      <c r="G604" s="2">
        <v>19.039141195879129</v>
      </c>
      <c r="H604" s="2">
        <v>20.89226427763311</v>
      </c>
    </row>
    <row r="605" spans="1:8" x14ac:dyDescent="0.2">
      <c r="A605" s="16">
        <f>DATE(2019,1,17)</f>
        <v>43482</v>
      </c>
      <c r="B605" s="2">
        <v>46.293910340128086</v>
      </c>
      <c r="C605" s="2">
        <v>61.158587702396531</v>
      </c>
      <c r="D605" s="2">
        <v>26.053400095112611</v>
      </c>
      <c r="E605" s="2">
        <v>16.863867767832954</v>
      </c>
      <c r="F605" s="2">
        <v>18.999293587426536</v>
      </c>
      <c r="G605" s="2">
        <v>19.080829540598511</v>
      </c>
      <c r="H605" s="2">
        <v>20.937704839760851</v>
      </c>
    </row>
    <row r="606" spans="1:8" x14ac:dyDescent="0.2">
      <c r="A606" s="16">
        <f>DATE(2019,1,18)</f>
        <v>43483</v>
      </c>
      <c r="B606" s="2">
        <v>46.922537145535735</v>
      </c>
      <c r="C606" s="2">
        <v>62.418872325321878</v>
      </c>
      <c r="D606" s="2">
        <v>26.0894133536294</v>
      </c>
      <c r="E606" s="2">
        <v>16.901150982359269</v>
      </c>
      <c r="F606" s="2">
        <v>19.040832759105577</v>
      </c>
      <c r="G606" s="2">
        <v>19.122532484869502</v>
      </c>
      <c r="H606" s="2">
        <v>20.983162481928396</v>
      </c>
    </row>
    <row r="607" spans="1:8" x14ac:dyDescent="0.2">
      <c r="A607" s="16">
        <f>DATE(2019,1,21)</f>
        <v>43486</v>
      </c>
      <c r="B607" s="2">
        <v>47.497501692445837</v>
      </c>
      <c r="C607" s="2">
        <v>62.271862218165737</v>
      </c>
      <c r="D607" s="2">
        <v>26.125436901077602</v>
      </c>
      <c r="E607" s="2">
        <v>16.938446091392525</v>
      </c>
      <c r="F607" s="2">
        <v>19.082386430894083</v>
      </c>
      <c r="G607" s="2">
        <v>19.164250033804976</v>
      </c>
      <c r="H607" s="2">
        <v>21.028637210555743</v>
      </c>
    </row>
    <row r="608" spans="1:8" x14ac:dyDescent="0.2">
      <c r="A608" s="16">
        <f>DATE(2019,1,22)</f>
        <v>43487</v>
      </c>
      <c r="B608" s="2">
        <v>46.391328190018591</v>
      </c>
      <c r="C608" s="2">
        <v>60.739918196261257</v>
      </c>
      <c r="D608" s="2">
        <v>26.161470740396766</v>
      </c>
      <c r="E608" s="2">
        <v>16.975753098727431</v>
      </c>
      <c r="F608" s="2">
        <v>19.123954607853634</v>
      </c>
      <c r="G608" s="2">
        <v>19.205982192519588</v>
      </c>
      <c r="H608" s="2">
        <v>21.074129032065269</v>
      </c>
    </row>
    <row r="609" spans="1:8" x14ac:dyDescent="0.2">
      <c r="A609" s="16">
        <f>DATE(2019,1,23)</f>
        <v>43488</v>
      </c>
      <c r="B609" s="2">
        <v>48.308000341305622</v>
      </c>
      <c r="C609" s="2">
        <v>63.199168441334443</v>
      </c>
      <c r="D609" s="2">
        <v>26.197514874527261</v>
      </c>
      <c r="E609" s="2">
        <v>17.013072008159913</v>
      </c>
      <c r="F609" s="2">
        <v>19.165537295047528</v>
      </c>
      <c r="G609" s="2">
        <v>19.247728966129763</v>
      </c>
      <c r="H609" s="2">
        <v>21.11963795288181</v>
      </c>
    </row>
    <row r="610" spans="1:8" x14ac:dyDescent="0.2">
      <c r="A610" s="16">
        <f>DATE(2019,1,24)</f>
        <v>43489</v>
      </c>
      <c r="B610" s="2">
        <v>50.35368587786018</v>
      </c>
      <c r="C610" s="2">
        <v>65.090068620491394</v>
      </c>
      <c r="D610" s="2">
        <v>26.233569306410278</v>
      </c>
      <c r="E610" s="2">
        <v>17.050402823487111</v>
      </c>
      <c r="F610" s="2">
        <v>19.207134497540899</v>
      </c>
      <c r="G610" s="2">
        <v>19.289490359753756</v>
      </c>
      <c r="H610" s="2">
        <v>21.165163979432577</v>
      </c>
    </row>
    <row r="611" spans="1:8" x14ac:dyDescent="0.2">
      <c r="A611" s="16">
        <f>DATE(2019,1,25)</f>
        <v>43490</v>
      </c>
      <c r="B611" s="2">
        <v>50.346980671831027</v>
      </c>
      <c r="C611" s="2">
        <v>65.090068620491394</v>
      </c>
      <c r="D611" s="2">
        <v>26.269634038987878</v>
      </c>
      <c r="E611" s="2">
        <v>17.087745548507382</v>
      </c>
      <c r="F611" s="2">
        <v>19.248746220400601</v>
      </c>
      <c r="G611" s="2">
        <v>19.331266378511614</v>
      </c>
      <c r="H611" s="2">
        <v>21.210707118147234</v>
      </c>
    </row>
    <row r="612" spans="1:8" x14ac:dyDescent="0.2">
      <c r="A612" s="16">
        <f>DATE(2019,1,28)</f>
        <v>43493</v>
      </c>
      <c r="B612" s="2">
        <v>49.959095495186673</v>
      </c>
      <c r="C612" s="2">
        <v>61.315417638508521</v>
      </c>
      <c r="D612" s="2">
        <v>26.305709075202977</v>
      </c>
      <c r="E612" s="2">
        <v>17.125100187020291</v>
      </c>
      <c r="F612" s="2">
        <v>19.290372468695271</v>
      </c>
      <c r="G612" s="2">
        <v>19.373057027525142</v>
      </c>
      <c r="H612" s="2">
        <v>21.256267375457828</v>
      </c>
    </row>
    <row r="613" spans="1:8" x14ac:dyDescent="0.2">
      <c r="A613" s="16">
        <f>DATE(2019,1,29)</f>
        <v>43494</v>
      </c>
      <c r="B613" s="2">
        <v>50.480487094745172</v>
      </c>
      <c r="C613" s="2">
        <v>61.645759388838101</v>
      </c>
      <c r="D613" s="2">
        <v>26.34179441799931</v>
      </c>
      <c r="E613" s="2">
        <v>17.16246674282662</v>
      </c>
      <c r="F613" s="2">
        <v>19.332013247495293</v>
      </c>
      <c r="G613" s="2">
        <v>19.414862311917958</v>
      </c>
      <c r="H613" s="2">
        <v>21.30184475779884</v>
      </c>
    </row>
    <row r="614" spans="1:8" x14ac:dyDescent="0.2">
      <c r="A614" s="16">
        <f>DATE(2019,1,30)</f>
        <v>43495</v>
      </c>
      <c r="B614" s="2">
        <v>52.705179647995593</v>
      </c>
      <c r="C614" s="2">
        <v>63.939103539194718</v>
      </c>
      <c r="D614" s="2">
        <v>26.377890070321364</v>
      </c>
      <c r="E614" s="2">
        <v>17.199845219728349</v>
      </c>
      <c r="F614" s="2">
        <v>19.373668561872861</v>
      </c>
      <c r="G614" s="2">
        <v>19.456682236815492</v>
      </c>
      <c r="H614" s="2">
        <v>21.347439271607161</v>
      </c>
    </row>
    <row r="615" spans="1:8" x14ac:dyDescent="0.2">
      <c r="A615" s="16">
        <f>DATE(2019,1,31)</f>
        <v>43496</v>
      </c>
      <c r="B615" s="2">
        <v>52.28181733617248</v>
      </c>
      <c r="C615" s="2">
        <v>64.610992799918776</v>
      </c>
      <c r="D615" s="2">
        <v>26.41399603511465</v>
      </c>
      <c r="E615" s="2">
        <v>17.237235621528658</v>
      </c>
      <c r="F615" s="2">
        <v>19.415338416901928</v>
      </c>
      <c r="G615" s="2">
        <v>19.498516807344934</v>
      </c>
      <c r="H615" s="2">
        <v>21.393050923322111</v>
      </c>
    </row>
    <row r="616" spans="1:8" x14ac:dyDescent="0.2">
      <c r="A616" s="16">
        <f>DATE(2019,2,1)</f>
        <v>43497</v>
      </c>
      <c r="B616" s="2">
        <v>53.07957884161214</v>
      </c>
      <c r="C616" s="2">
        <v>65.401193252881612</v>
      </c>
      <c r="D616" s="2">
        <v>26.450112315325391</v>
      </c>
      <c r="E616" s="2">
        <v>17.287061640349187</v>
      </c>
      <c r="F616" s="2">
        <v>19.469677700629507</v>
      </c>
      <c r="G616" s="2">
        <v>19.553029740711448</v>
      </c>
      <c r="H616" s="2">
        <v>21.451544532552472</v>
      </c>
    </row>
    <row r="617" spans="1:8" x14ac:dyDescent="0.2">
      <c r="A617" s="16">
        <f>DATE(2019,2,4)</f>
        <v>43500</v>
      </c>
      <c r="B617" s="2">
        <v>53.618413594969773</v>
      </c>
      <c r="C617" s="2">
        <v>66.630547949835943</v>
      </c>
      <c r="D617" s="2">
        <v>26.486238913900671</v>
      </c>
      <c r="E617" s="2">
        <v>17.336908835310027</v>
      </c>
      <c r="F617" s="2">
        <v>19.524041711145081</v>
      </c>
      <c r="G617" s="2">
        <v>19.607567541833525</v>
      </c>
      <c r="H617" s="2">
        <v>21.510066327105594</v>
      </c>
    </row>
    <row r="618" spans="1:8" x14ac:dyDescent="0.2">
      <c r="A618" s="16">
        <f>DATE(2019,2,5)</f>
        <v>43501</v>
      </c>
      <c r="B618" s="2">
        <v>53.39462047365928</v>
      </c>
      <c r="C618" s="2">
        <v>66.161646891795826</v>
      </c>
      <c r="D618" s="2">
        <v>26.522375833788512</v>
      </c>
      <c r="E618" s="2">
        <v>17.386777215411087</v>
      </c>
      <c r="F618" s="2">
        <v>19.578430459700424</v>
      </c>
      <c r="G618" s="2">
        <v>19.662130222055339</v>
      </c>
      <c r="H618" s="2">
        <v>21.56861632056264</v>
      </c>
    </row>
    <row r="619" spans="1:8" x14ac:dyDescent="0.2">
      <c r="A619" s="16">
        <f>DATE(2019,2,6)</f>
        <v>43502</v>
      </c>
      <c r="B619" s="2">
        <v>49.854704505829432</v>
      </c>
      <c r="C619" s="2">
        <v>59.949244498529453</v>
      </c>
      <c r="D619" s="2">
        <v>26.5585230779376</v>
      </c>
      <c r="E619" s="2">
        <v>17.436666789656076</v>
      </c>
      <c r="F619" s="2">
        <v>19.63284395755247</v>
      </c>
      <c r="G619" s="2">
        <v>19.716717792726257</v>
      </c>
      <c r="H619" s="2">
        <v>21.627194526511364</v>
      </c>
    </row>
    <row r="620" spans="1:8" x14ac:dyDescent="0.2">
      <c r="A620" s="16">
        <f>DATE(2019,2,7)</f>
        <v>43503</v>
      </c>
      <c r="B620" s="2">
        <v>48.982134610583181</v>
      </c>
      <c r="C620" s="2">
        <v>59.560541527228338</v>
      </c>
      <c r="D620" s="2">
        <v>26.594680649297601</v>
      </c>
      <c r="E620" s="2">
        <v>17.486577567052521</v>
      </c>
      <c r="F620" s="2">
        <v>19.687282215963229</v>
      </c>
      <c r="G620" s="2">
        <v>19.771330265200838</v>
      </c>
      <c r="H620" s="2">
        <v>21.685800958546022</v>
      </c>
    </row>
    <row r="621" spans="1:8" x14ac:dyDescent="0.2">
      <c r="A621" s="16">
        <f>DATE(2019,2,8)</f>
        <v>43504</v>
      </c>
      <c r="B621" s="2">
        <v>50.34195863739739</v>
      </c>
      <c r="C621" s="2">
        <v>61.1450833248824</v>
      </c>
      <c r="D621" s="2">
        <v>26.630848550818964</v>
      </c>
      <c r="E621" s="2">
        <v>17.536509556611811</v>
      </c>
      <c r="F621" s="2">
        <v>19.741745246199851</v>
      </c>
      <c r="G621" s="2">
        <v>19.825967650838795</v>
      </c>
      <c r="H621" s="2">
        <v>21.744435630267446</v>
      </c>
    </row>
    <row r="622" spans="1:8" x14ac:dyDescent="0.2">
      <c r="A622" s="16">
        <f>DATE(2019,2,11)</f>
        <v>43507</v>
      </c>
      <c r="B622" s="2">
        <v>49.199627861065068</v>
      </c>
      <c r="C622" s="2">
        <v>59.572913497616732</v>
      </c>
      <c r="D622" s="2">
        <v>26.667026785453011</v>
      </c>
      <c r="E622" s="2">
        <v>17.586462767349165</v>
      </c>
      <c r="F622" s="2">
        <v>19.796233059534618</v>
      </c>
      <c r="G622" s="2">
        <v>19.880629961005035</v>
      </c>
      <c r="H622" s="2">
        <v>21.803098555283018</v>
      </c>
    </row>
    <row r="623" spans="1:8" x14ac:dyDescent="0.2">
      <c r="A623" s="16">
        <f>DATE(2019,2,12)</f>
        <v>43508</v>
      </c>
      <c r="B623" s="2">
        <v>49.675381465078992</v>
      </c>
      <c r="C623" s="2">
        <v>62.539972281377658</v>
      </c>
      <c r="D623" s="2">
        <v>26.703215356151901</v>
      </c>
      <c r="E623" s="2">
        <v>17.636437208283606</v>
      </c>
      <c r="F623" s="2">
        <v>19.850745667244961</v>
      </c>
      <c r="G623" s="2">
        <v>19.935317207069669</v>
      </c>
      <c r="H623" s="2">
        <v>21.861789747206672</v>
      </c>
    </row>
    <row r="624" spans="1:8" x14ac:dyDescent="0.2">
      <c r="A624" s="16">
        <f>DATE(2019,2,13)</f>
        <v>43509</v>
      </c>
      <c r="B624" s="2">
        <v>49.459021779140947</v>
      </c>
      <c r="C624" s="2">
        <v>61.988980157522739</v>
      </c>
      <c r="D624" s="2">
        <v>26.739414265868632</v>
      </c>
      <c r="E624" s="2">
        <v>17.686432888438009</v>
      </c>
      <c r="F624" s="2">
        <v>19.90528308061339</v>
      </c>
      <c r="G624" s="2">
        <v>19.990029400407948</v>
      </c>
      <c r="H624" s="2">
        <v>21.920509219658911</v>
      </c>
    </row>
    <row r="625" spans="1:8" x14ac:dyDescent="0.2">
      <c r="A625" s="16">
        <f>DATE(2019,2,14)</f>
        <v>43510</v>
      </c>
      <c r="B625" s="2">
        <v>51.236052518800719</v>
      </c>
      <c r="C625" s="2">
        <v>65.661173647026857</v>
      </c>
      <c r="D625" s="2">
        <v>26.775623517557047</v>
      </c>
      <c r="E625" s="2">
        <v>17.736449816839063</v>
      </c>
      <c r="F625" s="2">
        <v>19.959845310927605</v>
      </c>
      <c r="G625" s="2">
        <v>20.04476655240035</v>
      </c>
      <c r="H625" s="2">
        <v>21.979256986266794</v>
      </c>
    </row>
    <row r="626" spans="1:8" x14ac:dyDescent="0.2">
      <c r="A626" s="16">
        <f>DATE(2019,2,15)</f>
        <v>43511</v>
      </c>
      <c r="B626" s="2">
        <v>50.293215362011431</v>
      </c>
      <c r="C626" s="2">
        <v>64.834381232464466</v>
      </c>
      <c r="D626" s="2">
        <v>26.811843114171818</v>
      </c>
      <c r="E626" s="2">
        <v>17.78648800251732</v>
      </c>
      <c r="F626" s="2">
        <v>20.014432369480417</v>
      </c>
      <c r="G626" s="2">
        <v>20.099528674432545</v>
      </c>
      <c r="H626" s="2">
        <v>22.038033060663921</v>
      </c>
    </row>
    <row r="627" spans="1:8" x14ac:dyDescent="0.2">
      <c r="A627" s="16">
        <f>DATE(2019,2,18)</f>
        <v>43514</v>
      </c>
      <c r="B627" s="2">
        <v>49.93807989555237</v>
      </c>
      <c r="C627" s="2">
        <v>63.117144981915139</v>
      </c>
      <c r="D627" s="2">
        <v>26.848073058668476</v>
      </c>
      <c r="E627" s="2">
        <v>17.836547454507134</v>
      </c>
      <c r="F627" s="2">
        <v>20.069044267569748</v>
      </c>
      <c r="G627" s="2">
        <v>20.154315777895349</v>
      </c>
      <c r="H627" s="2">
        <v>22.096837456490469</v>
      </c>
    </row>
    <row r="628" spans="1:8" x14ac:dyDescent="0.2">
      <c r="A628" s="16">
        <f>DATE(2019,2,19)</f>
        <v>43515</v>
      </c>
      <c r="B628" s="2">
        <v>50.468306428464828</v>
      </c>
      <c r="C628" s="2">
        <v>65.059578136091517</v>
      </c>
      <c r="D628" s="2">
        <v>26.88431335400341</v>
      </c>
      <c r="E628" s="2">
        <v>17.886628181846785</v>
      </c>
      <c r="F628" s="2">
        <v>20.123681016498772</v>
      </c>
      <c r="G628" s="2">
        <v>20.209127874184897</v>
      </c>
      <c r="H628" s="2">
        <v>22.155670187393305</v>
      </c>
    </row>
    <row r="629" spans="1:8" x14ac:dyDescent="0.2">
      <c r="A629" s="16">
        <f>DATE(2019,2,20)</f>
        <v>43516</v>
      </c>
      <c r="B629" s="2">
        <v>49.409364782031709</v>
      </c>
      <c r="C629" s="2">
        <v>63.176165365243399</v>
      </c>
      <c r="D629" s="2">
        <v>26.920564003133808</v>
      </c>
      <c r="E629" s="2">
        <v>17.936730193578288</v>
      </c>
      <c r="F629" s="2">
        <v>20.178342627575631</v>
      </c>
      <c r="G629" s="2">
        <v>20.263964974702375</v>
      </c>
      <c r="H629" s="2">
        <v>22.214531267025684</v>
      </c>
    </row>
    <row r="630" spans="1:8" x14ac:dyDescent="0.2">
      <c r="A630" s="16">
        <f>DATE(2019,2,21)</f>
        <v>43517</v>
      </c>
      <c r="B630" s="2">
        <v>48.656622964203635</v>
      </c>
      <c r="C630" s="2">
        <v>63.831034715883959</v>
      </c>
      <c r="D630" s="2">
        <v>26.95682500901777</v>
      </c>
      <c r="E630" s="2">
        <v>17.986853498747536</v>
      </c>
      <c r="F630" s="2">
        <v>20.233029112113755</v>
      </c>
      <c r="G630" s="2">
        <v>20.318827090854239</v>
      </c>
      <c r="H630" s="2">
        <v>22.273420709047542</v>
      </c>
    </row>
    <row r="631" spans="1:8" x14ac:dyDescent="0.2">
      <c r="A631" s="16">
        <f>DATE(2019,2,22)</f>
        <v>43518</v>
      </c>
      <c r="B631" s="2">
        <v>49.290436686160469</v>
      </c>
      <c r="C631" s="2">
        <v>65.442314842984004</v>
      </c>
      <c r="D631" s="2">
        <v>26.993096374614179</v>
      </c>
      <c r="E631" s="2">
        <v>18.03699810640429</v>
      </c>
      <c r="F631" s="2">
        <v>20.287740481431651</v>
      </c>
      <c r="G631" s="2">
        <v>20.373714234052144</v>
      </c>
      <c r="H631" s="2">
        <v>22.332338527125373</v>
      </c>
    </row>
    <row r="632" spans="1:8" x14ac:dyDescent="0.2">
      <c r="A632" s="16">
        <f>DATE(2019,2,25)</f>
        <v>43521</v>
      </c>
      <c r="B632" s="2">
        <v>49.866878302021703</v>
      </c>
      <c r="C632" s="2">
        <v>64.350978602575637</v>
      </c>
      <c r="D632" s="2">
        <v>27.029378102882795</v>
      </c>
      <c r="E632" s="2">
        <v>18.087164025602153</v>
      </c>
      <c r="F632" s="2">
        <v>20.342476746853034</v>
      </c>
      <c r="G632" s="2">
        <v>20.428626415712969</v>
      </c>
      <c r="H632" s="2">
        <v>22.391284734932302</v>
      </c>
    </row>
    <row r="633" spans="1:8" x14ac:dyDescent="0.2">
      <c r="A633" s="16">
        <f>DATE(2019,2,26)</f>
        <v>43522</v>
      </c>
      <c r="B633" s="2">
        <v>50.63924796167889</v>
      </c>
      <c r="C633" s="2">
        <v>64.963830578372566</v>
      </c>
      <c r="D633" s="2">
        <v>27.065670196784229</v>
      </c>
      <c r="E633" s="2">
        <v>18.137351265398504</v>
      </c>
      <c r="F633" s="2">
        <v>20.397237919706669</v>
      </c>
      <c r="G633" s="2">
        <v>20.48356364725872</v>
      </c>
      <c r="H633" s="2">
        <v>22.450259346147948</v>
      </c>
    </row>
    <row r="634" spans="1:8" x14ac:dyDescent="0.2">
      <c r="A634" s="16">
        <f>DATE(2019,2,27)</f>
        <v>43523</v>
      </c>
      <c r="B634" s="2">
        <v>49.442650359092319</v>
      </c>
      <c r="C634" s="2">
        <v>64.464912280701597</v>
      </c>
      <c r="D634" s="2">
        <v>27.101972659279916</v>
      </c>
      <c r="E634" s="2">
        <v>18.187559834854717</v>
      </c>
      <c r="F634" s="2">
        <v>20.452024011326621</v>
      </c>
      <c r="G634" s="2">
        <v>20.538525940116735</v>
      </c>
      <c r="H634" s="2">
        <v>22.509262374458626</v>
      </c>
    </row>
    <row r="635" spans="1:8" x14ac:dyDescent="0.2">
      <c r="A635" s="16">
        <f>DATE(2019,2,28)</f>
        <v>43524</v>
      </c>
      <c r="B635" s="2">
        <v>48.382671329349392</v>
      </c>
      <c r="C635" s="2">
        <v>61.552834398133903</v>
      </c>
      <c r="D635" s="2">
        <v>27.138285493332148</v>
      </c>
      <c r="E635" s="2">
        <v>18.237789743035894</v>
      </c>
      <c r="F635" s="2">
        <v>20.506835033051996</v>
      </c>
      <c r="G635" s="2">
        <v>20.59351330571948</v>
      </c>
      <c r="H635" s="2">
        <v>22.568293833557206</v>
      </c>
    </row>
    <row r="636" spans="1:8" x14ac:dyDescent="0.2">
      <c r="A636" s="16">
        <f>DATE(2019,3,1)</f>
        <v>43525</v>
      </c>
      <c r="B636" s="2">
        <v>47.348118495829652</v>
      </c>
      <c r="C636" s="2">
        <v>59.895463610857419</v>
      </c>
      <c r="D636" s="2">
        <v>27.174608701904045</v>
      </c>
      <c r="E636" s="2">
        <v>18.303944386256376</v>
      </c>
      <c r="F636" s="2">
        <v>20.577880064570888</v>
      </c>
      <c r="G636" s="2">
        <v>20.664746501147846</v>
      </c>
      <c r="H636" s="2">
        <v>22.64384052884991</v>
      </c>
    </row>
    <row r="637" spans="1:8" x14ac:dyDescent="0.2">
      <c r="A637" s="16">
        <f>DATE(2019,3,6)</f>
        <v>43530</v>
      </c>
      <c r="B637" s="2">
        <v>45.684299938704775</v>
      </c>
      <c r="C637" s="2">
        <v>59.241574552952542</v>
      </c>
      <c r="D637" s="2">
        <v>27.210942287959615</v>
      </c>
      <c r="E637" s="2">
        <v>18.370136043335371</v>
      </c>
      <c r="F637" s="2">
        <v>20.648966980821879</v>
      </c>
      <c r="G637" s="2">
        <v>20.736021773201998</v>
      </c>
      <c r="H637" s="2">
        <v>22.719433788412967</v>
      </c>
    </row>
    <row r="638" spans="1:8" x14ac:dyDescent="0.2">
      <c r="A638" s="16">
        <f>DATE(2019,3,7)</f>
        <v>43531</v>
      </c>
      <c r="B638" s="2">
        <v>45.087550342288083</v>
      </c>
      <c r="C638" s="2">
        <v>59.449971267281711</v>
      </c>
      <c r="D638" s="2">
        <v>27.247286254463688</v>
      </c>
      <c r="E638" s="2">
        <v>18.436364734982313</v>
      </c>
      <c r="F638" s="2">
        <v>20.720095806498207</v>
      </c>
      <c r="G638" s="2">
        <v>20.807339146736091</v>
      </c>
      <c r="H638" s="2">
        <v>22.795073640946907</v>
      </c>
    </row>
    <row r="639" spans="1:8" x14ac:dyDescent="0.2">
      <c r="A639" s="16">
        <f>DATE(2019,3,8)</f>
        <v>43532</v>
      </c>
      <c r="B639" s="2">
        <v>48.253314439674597</v>
      </c>
      <c r="C639" s="2">
        <v>61.181844302470843</v>
      </c>
      <c r="D639" s="2">
        <v>27.28364060438193</v>
      </c>
      <c r="E639" s="2">
        <v>18.502630481918224</v>
      </c>
      <c r="F639" s="2">
        <v>20.791266566307652</v>
      </c>
      <c r="G639" s="2">
        <v>20.878698646619021</v>
      </c>
      <c r="H639" s="2">
        <v>22.870760115169976</v>
      </c>
    </row>
    <row r="640" spans="1:8" x14ac:dyDescent="0.2">
      <c r="A640" s="16">
        <f>DATE(2019,3,11)</f>
        <v>43535</v>
      </c>
      <c r="B640" s="2">
        <v>49.79917358335657</v>
      </c>
      <c r="C640" s="2">
        <v>65.680661190548435</v>
      </c>
      <c r="D640" s="2">
        <v>27.320005340680865</v>
      </c>
      <c r="E640" s="2">
        <v>18.568933304875724</v>
      </c>
      <c r="F640" s="2">
        <v>20.862479284972579</v>
      </c>
      <c r="G640" s="2">
        <v>20.950100297734298</v>
      </c>
      <c r="H640" s="2">
        <v>22.9464932398181</v>
      </c>
    </row>
    <row r="641" spans="1:8" x14ac:dyDescent="0.2">
      <c r="A641" s="16">
        <f>DATE(2019,3,12)</f>
        <v>43536</v>
      </c>
      <c r="B641" s="2">
        <v>49.382502737386268</v>
      </c>
      <c r="C641" s="2">
        <v>65.34501233816701</v>
      </c>
      <c r="D641" s="2">
        <v>27.35638046632787</v>
      </c>
      <c r="E641" s="2">
        <v>18.635273224599057</v>
      </c>
      <c r="F641" s="2">
        <v>20.933733987229886</v>
      </c>
      <c r="G641" s="2">
        <v>21.021544124980185</v>
      </c>
      <c r="H641" s="2">
        <v>23.022273043644926</v>
      </c>
    </row>
    <row r="642" spans="1:8" x14ac:dyDescent="0.2">
      <c r="A642" s="16">
        <f>DATE(2019,3,13)</f>
        <v>43537</v>
      </c>
      <c r="B642" s="2">
        <v>48.762848267095514</v>
      </c>
      <c r="C642" s="2">
        <v>67.163370854882686</v>
      </c>
      <c r="D642" s="2">
        <v>27.39276598429117</v>
      </c>
      <c r="E642" s="2">
        <v>18.701650261844026</v>
      </c>
      <c r="F642" s="2">
        <v>21.005030697831085</v>
      </c>
      <c r="G642" s="2">
        <v>21.093030153269645</v>
      </c>
      <c r="H642" s="2">
        <v>23.098099555421836</v>
      </c>
    </row>
    <row r="643" spans="1:8" x14ac:dyDescent="0.2">
      <c r="A643" s="16">
        <f>DATE(2019,3,14)</f>
        <v>43538</v>
      </c>
      <c r="B643" s="2">
        <v>47.738731097467401</v>
      </c>
      <c r="C643" s="2">
        <v>66.657658114457433</v>
      </c>
      <c r="D643" s="2">
        <v>27.429161897539831</v>
      </c>
      <c r="E643" s="2">
        <v>18.768064437378108</v>
      </c>
      <c r="F643" s="2">
        <v>21.076369441542276</v>
      </c>
      <c r="G643" s="2">
        <v>21.164558407530333</v>
      </c>
      <c r="H643" s="2">
        <v>23.173972803937914</v>
      </c>
    </row>
    <row r="644" spans="1:8" x14ac:dyDescent="0.2">
      <c r="A644" s="16">
        <f>DATE(2019,3,15)</f>
        <v>43539</v>
      </c>
      <c r="B644" s="2">
        <v>47.220602789777601</v>
      </c>
      <c r="C644" s="2">
        <v>67.556941486664471</v>
      </c>
      <c r="D644" s="2">
        <v>27.465568209043781</v>
      </c>
      <c r="E644" s="2">
        <v>18.834515771980364</v>
      </c>
      <c r="F644" s="2">
        <v>21.147750243144191</v>
      </c>
      <c r="G644" s="2">
        <v>21.236128912704675</v>
      </c>
      <c r="H644" s="2">
        <v>23.249892818000049</v>
      </c>
    </row>
    <row r="645" spans="1:8" x14ac:dyDescent="0.2">
      <c r="A645" s="16">
        <f>DATE(2019,3,18)</f>
        <v>43542</v>
      </c>
      <c r="B645" s="2">
        <v>48.547855728698238</v>
      </c>
      <c r="C645" s="2">
        <v>69.005712740425054</v>
      </c>
      <c r="D645" s="2">
        <v>27.501984921773762</v>
      </c>
      <c r="E645" s="2">
        <v>18.901004286441434</v>
      </c>
      <c r="F645" s="2">
        <v>21.219173127432089</v>
      </c>
      <c r="G645" s="2">
        <v>21.307741693749737</v>
      </c>
      <c r="H645" s="2">
        <v>23.325859626432788</v>
      </c>
    </row>
    <row r="646" spans="1:8" x14ac:dyDescent="0.2">
      <c r="A646" s="16">
        <f>DATE(2019,3,19)</f>
        <v>43543</v>
      </c>
      <c r="B646" s="2">
        <v>49.437642064834897</v>
      </c>
      <c r="C646" s="2">
        <v>68.320268397390194</v>
      </c>
      <c r="D646" s="2">
        <v>27.538412038701399</v>
      </c>
      <c r="E646" s="2">
        <v>18.967530001563659</v>
      </c>
      <c r="F646" s="2">
        <v>21.290638119215899</v>
      </c>
      <c r="G646" s="2">
        <v>21.379396775637428</v>
      </c>
      <c r="H646" s="2">
        <v>23.40187325807852</v>
      </c>
    </row>
    <row r="647" spans="1:8" x14ac:dyDescent="0.2">
      <c r="A647" s="16">
        <f>DATE(2019,3,20)</f>
        <v>43544</v>
      </c>
      <c r="B647" s="2">
        <v>48.763789469171307</v>
      </c>
      <c r="C647" s="2">
        <v>65.70559104891305</v>
      </c>
      <c r="D647" s="2">
        <v>27.574849562799162</v>
      </c>
      <c r="E647" s="2">
        <v>19.034092938161006</v>
      </c>
      <c r="F647" s="2">
        <v>21.362145243320207</v>
      </c>
      <c r="G647" s="2">
        <v>21.451094183354357</v>
      </c>
      <c r="H647" s="2">
        <v>23.477933741797408</v>
      </c>
    </row>
    <row r="648" spans="1:8" x14ac:dyDescent="0.2">
      <c r="A648" s="16">
        <f>DATE(2019,3,21)</f>
        <v>43545</v>
      </c>
      <c r="B648" s="2">
        <v>47.794220799411377</v>
      </c>
      <c r="C648" s="2">
        <v>63.487611128012531</v>
      </c>
      <c r="D648" s="2">
        <v>27.611297497040365</v>
      </c>
      <c r="E648" s="2">
        <v>19.100693117059063</v>
      </c>
      <c r="F648" s="2">
        <v>21.433694524584169</v>
      </c>
      <c r="G648" s="2">
        <v>21.522833941901887</v>
      </c>
      <c r="H648" s="2">
        <v>23.554041106467373</v>
      </c>
    </row>
    <row r="649" spans="1:8" x14ac:dyDescent="0.2">
      <c r="A649" s="16">
        <f>DATE(2019,3,22)</f>
        <v>43546</v>
      </c>
      <c r="B649" s="2">
        <v>46.444200388379485</v>
      </c>
      <c r="C649" s="2">
        <v>58.427390731162987</v>
      </c>
      <c r="D649" s="2">
        <v>27.64775584439916</v>
      </c>
      <c r="E649" s="2">
        <v>19.167330559095095</v>
      </c>
      <c r="F649" s="2">
        <v>21.505285987861633</v>
      </c>
      <c r="G649" s="2">
        <v>21.59461607629618</v>
      </c>
      <c r="H649" s="2">
        <v>23.630195380984144</v>
      </c>
    </row>
    <row r="650" spans="1:8" x14ac:dyDescent="0.2">
      <c r="A650" s="16">
        <f>DATE(2019,3,25)</f>
        <v>43549</v>
      </c>
      <c r="B650" s="2">
        <v>46.997386755871219</v>
      </c>
      <c r="C650" s="2">
        <v>58.30377243687235</v>
      </c>
      <c r="D650" s="2">
        <v>27.68422460785056</v>
      </c>
      <c r="E650" s="2">
        <v>19.234005285118027</v>
      </c>
      <c r="F650" s="2">
        <v>21.576919658021087</v>
      </c>
      <c r="G650" s="2">
        <v>21.666440611568174</v>
      </c>
      <c r="H650" s="2">
        <v>23.706396594261282</v>
      </c>
    </row>
    <row r="651" spans="1:8" x14ac:dyDescent="0.2">
      <c r="A651" s="16">
        <f>DATE(2019,3,26)</f>
        <v>43550</v>
      </c>
      <c r="B651" s="2">
        <v>49.97761038273638</v>
      </c>
      <c r="C651" s="2">
        <v>61.083764324104891</v>
      </c>
      <c r="D651" s="2">
        <v>27.720703790370415</v>
      </c>
      <c r="E651" s="2">
        <v>19.300717315988436</v>
      </c>
      <c r="F651" s="2">
        <v>21.648595559945694</v>
      </c>
      <c r="G651" s="2">
        <v>21.73830757276356</v>
      </c>
      <c r="H651" s="2">
        <v>23.782644775230153</v>
      </c>
    </row>
    <row r="652" spans="1:8" x14ac:dyDescent="0.2">
      <c r="A652" s="16">
        <f>DATE(2019,3,27)</f>
        <v>43551</v>
      </c>
      <c r="B652" s="2">
        <v>46.30146743708714</v>
      </c>
      <c r="C652" s="2">
        <v>55.331440354257339</v>
      </c>
      <c r="D652" s="2">
        <v>27.757193394935452</v>
      </c>
      <c r="E652" s="2">
        <v>19.367466672578558</v>
      </c>
      <c r="F652" s="2">
        <v>21.720313718533244</v>
      </c>
      <c r="G652" s="2">
        <v>21.810216984942855</v>
      </c>
      <c r="H652" s="2">
        <v>23.858939952839943</v>
      </c>
    </row>
    <row r="653" spans="1:8" x14ac:dyDescent="0.2">
      <c r="A653" s="16">
        <f>DATE(2019,3,28)</f>
        <v>43552</v>
      </c>
      <c r="B653" s="2">
        <v>48.234565969127921</v>
      </c>
      <c r="C653" s="2">
        <v>59.532400365074388</v>
      </c>
      <c r="D653" s="2">
        <v>27.793693424523227</v>
      </c>
      <c r="E653" s="2">
        <v>19.434253375772336</v>
      </c>
      <c r="F653" s="2">
        <v>21.792074158696241</v>
      </c>
      <c r="G653" s="2">
        <v>21.88216887318135</v>
      </c>
      <c r="H653" s="2">
        <v>23.935282156057713</v>
      </c>
    </row>
    <row r="654" spans="1:8" x14ac:dyDescent="0.2">
      <c r="A654" s="16">
        <f>DATE(2019,3,29)</f>
        <v>43553</v>
      </c>
      <c r="B654" s="2">
        <v>49.683130924506024</v>
      </c>
      <c r="C654" s="2">
        <v>61.265845248960417</v>
      </c>
      <c r="D654" s="2">
        <v>27.830203882112151</v>
      </c>
      <c r="E654" s="2">
        <v>19.501077446465388</v>
      </c>
      <c r="F654" s="2">
        <v>21.863876905361867</v>
      </c>
      <c r="G654" s="2">
        <v>21.954163262569161</v>
      </c>
      <c r="H654" s="2">
        <v>24.011671413868353</v>
      </c>
    </row>
    <row r="655" spans="1:8" x14ac:dyDescent="0.2">
      <c r="A655" s="16">
        <f>DATE(2019,4,1)</f>
        <v>43556</v>
      </c>
      <c r="B655" s="2">
        <v>50.385205842267638</v>
      </c>
      <c r="C655" s="2">
        <v>62.347378562011798</v>
      </c>
      <c r="D655" s="2">
        <v>27.866724770681483</v>
      </c>
      <c r="E655" s="2">
        <v>19.553729064350065</v>
      </c>
      <c r="F655" s="2">
        <v>21.921230747245346</v>
      </c>
      <c r="G655" s="2">
        <v>22.011698189262805</v>
      </c>
      <c r="H655" s="2">
        <v>24.073360722549928</v>
      </c>
    </row>
    <row r="656" spans="1:8" x14ac:dyDescent="0.2">
      <c r="A656" s="16">
        <f>DATE(2019,4,2)</f>
        <v>43557</v>
      </c>
      <c r="B656" s="2">
        <v>50.532081456711182</v>
      </c>
      <c r="C656" s="2">
        <v>61.218875705641572</v>
      </c>
      <c r="D656" s="2">
        <v>27.903256093211361</v>
      </c>
      <c r="E656" s="2">
        <v>19.606403880292309</v>
      </c>
      <c r="F656" s="2">
        <v>21.978611582059536</v>
      </c>
      <c r="G656" s="2">
        <v>22.069260259497181</v>
      </c>
      <c r="H656" s="2">
        <v>24.135080718430292</v>
      </c>
    </row>
    <row r="657" spans="1:8" x14ac:dyDescent="0.2">
      <c r="A657" s="16">
        <f>DATE(2019,4,3)</f>
        <v>43558</v>
      </c>
      <c r="B657" s="2">
        <v>49.012424829212712</v>
      </c>
      <c r="C657" s="2">
        <v>59.705709360105288</v>
      </c>
      <c r="D657" s="2">
        <v>27.939797852682723</v>
      </c>
      <c r="E657" s="2">
        <v>19.659101904512987</v>
      </c>
      <c r="F657" s="2">
        <v>22.036019422508279</v>
      </c>
      <c r="G657" s="2">
        <v>22.126849486077816</v>
      </c>
      <c r="H657" s="2">
        <v>24.196831416774621</v>
      </c>
    </row>
    <row r="658" spans="1:8" x14ac:dyDescent="0.2">
      <c r="A658" s="16">
        <f>DATE(2019,4,4)</f>
        <v>43559</v>
      </c>
      <c r="B658" s="2">
        <v>49.723575133413348</v>
      </c>
      <c r="C658" s="2">
        <v>62.784470810938537</v>
      </c>
      <c r="D658" s="2">
        <v>27.976350052077414</v>
      </c>
      <c r="E658" s="2">
        <v>19.711823147237585</v>
      </c>
      <c r="F658" s="2">
        <v>22.093454281301472</v>
      </c>
      <c r="G658" s="2">
        <v>22.184465881816461</v>
      </c>
      <c r="H658" s="2">
        <v>24.258612832855842</v>
      </c>
    </row>
    <row r="659" spans="1:8" x14ac:dyDescent="0.2">
      <c r="A659" s="16">
        <f>DATE(2019,4,5)</f>
        <v>43560</v>
      </c>
      <c r="B659" s="2">
        <v>51.348186097496942</v>
      </c>
      <c r="C659" s="2">
        <v>64.128333840381117</v>
      </c>
      <c r="D659" s="2">
        <v>28.012912694378091</v>
      </c>
      <c r="E659" s="2">
        <v>19.764567618696049</v>
      </c>
      <c r="F659" s="2">
        <v>22.150916171155011</v>
      </c>
      <c r="G659" s="2">
        <v>22.242109459530823</v>
      </c>
      <c r="H659" s="2">
        <v>24.320424981954393</v>
      </c>
    </row>
    <row r="660" spans="1:8" x14ac:dyDescent="0.2">
      <c r="A660" s="16">
        <f>DATE(2019,4,8)</f>
        <v>43563</v>
      </c>
      <c r="B660" s="2">
        <v>50.71079305961679</v>
      </c>
      <c r="C660" s="2">
        <v>64.569668390629559</v>
      </c>
      <c r="D660" s="2">
        <v>28.049485782568272</v>
      </c>
      <c r="E660" s="2">
        <v>19.817335329122866</v>
      </c>
      <c r="F660" s="2">
        <v>22.208405104790739</v>
      </c>
      <c r="G660" s="2">
        <v>22.299780232044686</v>
      </c>
      <c r="H660" s="2">
        <v>24.382267879358334</v>
      </c>
    </row>
    <row r="661" spans="1:8" x14ac:dyDescent="0.2">
      <c r="A661" s="16">
        <f>DATE(2019,4,9)</f>
        <v>43564</v>
      </c>
      <c r="B661" s="2">
        <v>48.872501743971576</v>
      </c>
      <c r="C661" s="2">
        <v>62.748521110096831</v>
      </c>
      <c r="D661" s="2">
        <v>28.086069319632333</v>
      </c>
      <c r="E661" s="2">
        <v>19.870126288757017</v>
      </c>
      <c r="F661" s="2">
        <v>22.265921094936527</v>
      </c>
      <c r="G661" s="2">
        <v>22.357478212187875</v>
      </c>
      <c r="H661" s="2">
        <v>24.444141540363361</v>
      </c>
    </row>
    <row r="662" spans="1:8" x14ac:dyDescent="0.2">
      <c r="A662" s="16">
        <f>DATE(2019,4,10)</f>
        <v>43565</v>
      </c>
      <c r="B662" s="2">
        <v>48.717567516134451</v>
      </c>
      <c r="C662" s="2">
        <v>62.17667241321012</v>
      </c>
      <c r="D662" s="2">
        <v>28.122663308555484</v>
      </c>
      <c r="E662" s="2">
        <v>19.922940507842004</v>
      </c>
      <c r="F662" s="2">
        <v>22.323464154326199</v>
      </c>
      <c r="G662" s="2">
        <v>22.415203412796281</v>
      </c>
      <c r="H662" s="2">
        <v>24.506045980272727</v>
      </c>
    </row>
    <row r="663" spans="1:8" x14ac:dyDescent="0.2">
      <c r="A663" s="16">
        <f>DATE(2019,4,11)</f>
        <v>43566</v>
      </c>
      <c r="B663" s="2">
        <v>48.35501922456735</v>
      </c>
      <c r="C663" s="2">
        <v>60.150593246120913</v>
      </c>
      <c r="D663" s="2">
        <v>28.159267752323871</v>
      </c>
      <c r="E663" s="2">
        <v>19.975777996625801</v>
      </c>
      <c r="F663" s="2">
        <v>22.381034295699575</v>
      </c>
      <c r="G663" s="2">
        <v>22.472955846711827</v>
      </c>
      <c r="H663" s="2">
        <v>24.567981214397339</v>
      </c>
    </row>
    <row r="664" spans="1:8" x14ac:dyDescent="0.2">
      <c r="A664" s="16">
        <f>DATE(2019,4,12)</f>
        <v>43567</v>
      </c>
      <c r="B664" s="2">
        <v>47.323860214591008</v>
      </c>
      <c r="C664" s="2">
        <v>56.973599702531693</v>
      </c>
      <c r="D664" s="2">
        <v>28.195882653924301</v>
      </c>
      <c r="E664" s="2">
        <v>20.028638765360963</v>
      </c>
      <c r="F664" s="2">
        <v>22.4386315318025</v>
      </c>
      <c r="G664" s="2">
        <v>22.530735526782507</v>
      </c>
      <c r="H664" s="2">
        <v>24.629947258055719</v>
      </c>
    </row>
    <row r="665" spans="1:8" x14ac:dyDescent="0.2">
      <c r="A665" s="16">
        <f>DATE(2019,4,15)</f>
        <v>43570</v>
      </c>
      <c r="B665" s="2">
        <v>47.641217066342897</v>
      </c>
      <c r="C665" s="2">
        <v>57.325102254673133</v>
      </c>
      <c r="D665" s="2">
        <v>28.232508016344671</v>
      </c>
      <c r="E665" s="2">
        <v>20.081522824304511</v>
      </c>
      <c r="F665" s="2">
        <v>22.496255875386794</v>
      </c>
      <c r="G665" s="2">
        <v>22.588542465862371</v>
      </c>
      <c r="H665" s="2">
        <v>24.691944126573961</v>
      </c>
    </row>
    <row r="666" spans="1:8" x14ac:dyDescent="0.2">
      <c r="A666" s="16">
        <f>DATE(2019,4,16)</f>
        <v>43571</v>
      </c>
      <c r="B666" s="2">
        <v>46.843434950638809</v>
      </c>
      <c r="C666" s="2">
        <v>59.438376770442318</v>
      </c>
      <c r="D666" s="2">
        <v>28.269143842573595</v>
      </c>
      <c r="E666" s="2">
        <v>20.13443018371801</v>
      </c>
      <c r="F666" s="2">
        <v>22.553907339210276</v>
      </c>
      <c r="G666" s="2">
        <v>22.646376676811553</v>
      </c>
      <c r="H666" s="2">
        <v>24.753971835285849</v>
      </c>
    </row>
    <row r="667" spans="1:8" x14ac:dyDescent="0.2">
      <c r="A667" s="16">
        <f>DATE(2019,4,17)</f>
        <v>43572</v>
      </c>
      <c r="B667" s="2">
        <v>45.892559790720334</v>
      </c>
      <c r="C667" s="2">
        <v>57.66614271710089</v>
      </c>
      <c r="D667" s="2">
        <v>28.305790135600549</v>
      </c>
      <c r="E667" s="2">
        <v>20.187360853867542</v>
      </c>
      <c r="F667" s="2">
        <v>22.611585936036782</v>
      </c>
      <c r="G667" s="2">
        <v>22.704238172496225</v>
      </c>
      <c r="H667" s="2">
        <v>24.81603039953275</v>
      </c>
    </row>
    <row r="668" spans="1:8" x14ac:dyDescent="0.2">
      <c r="A668" s="16">
        <f>DATE(2019,4,18)</f>
        <v>43573</v>
      </c>
      <c r="B668" s="2">
        <v>45.9075709333163</v>
      </c>
      <c r="C668" s="2">
        <v>59.852381435283618</v>
      </c>
      <c r="D668" s="2">
        <v>28.342446898415897</v>
      </c>
      <c r="E668" s="2">
        <v>20.240314845023686</v>
      </c>
      <c r="F668" s="2">
        <v>22.669291678636139</v>
      </c>
      <c r="G668" s="2">
        <v>22.762126965788653</v>
      </c>
      <c r="H668" s="2">
        <v>24.878119834663678</v>
      </c>
    </row>
    <row r="669" spans="1:8" x14ac:dyDescent="0.2">
      <c r="A669" s="16">
        <f>DATE(2019,4,22)</f>
        <v>43577</v>
      </c>
      <c r="B669" s="2">
        <v>46.898175812975019</v>
      </c>
      <c r="C669" s="2">
        <v>59.868945002197059</v>
      </c>
      <c r="D669" s="2">
        <v>28.37911413401082</v>
      </c>
      <c r="E669" s="2">
        <v>20.293292167461608</v>
      </c>
      <c r="F669" s="2">
        <v>22.727024579784239</v>
      </c>
      <c r="G669" s="2">
        <v>22.820043069567198</v>
      </c>
      <c r="H669" s="2">
        <v>24.940240156035308</v>
      </c>
    </row>
    <row r="670" spans="1:8" x14ac:dyDescent="0.2">
      <c r="A670" s="16">
        <f>DATE(2019,4,23)</f>
        <v>43578</v>
      </c>
      <c r="B670" s="2">
        <v>49.830714158028492</v>
      </c>
      <c r="C670" s="2">
        <v>62.125612682959691</v>
      </c>
      <c r="D670" s="2">
        <v>28.415791845377392</v>
      </c>
      <c r="E670" s="2">
        <v>20.346292831460921</v>
      </c>
      <c r="F670" s="2">
        <v>22.784784652262879</v>
      </c>
      <c r="G670" s="2">
        <v>22.877986496716197</v>
      </c>
      <c r="H670" s="2">
        <v>25.002391379011879</v>
      </c>
    </row>
    <row r="671" spans="1:8" x14ac:dyDescent="0.2">
      <c r="A671" s="16">
        <f>DATE(2019,4,24)</f>
        <v>43579</v>
      </c>
      <c r="B671" s="2">
        <v>50.417440295842191</v>
      </c>
      <c r="C671" s="2">
        <v>60.641973430686399</v>
      </c>
      <c r="D671" s="2">
        <v>28.452480035508529</v>
      </c>
      <c r="E671" s="2">
        <v>20.399316847305826</v>
      </c>
      <c r="F671" s="2">
        <v>22.842571908859966</v>
      </c>
      <c r="G671" s="2">
        <v>22.935957260126159</v>
      </c>
      <c r="H671" s="2">
        <v>25.064573518965339</v>
      </c>
    </row>
    <row r="672" spans="1:8" x14ac:dyDescent="0.2">
      <c r="A672" s="16">
        <f>DATE(2019,4,25)</f>
        <v>43580</v>
      </c>
      <c r="B672" s="2">
        <v>53.298899535540521</v>
      </c>
      <c r="C672" s="2">
        <v>63.188368319642898</v>
      </c>
      <c r="D672" s="2">
        <v>28.489178707398001</v>
      </c>
      <c r="E672" s="2">
        <v>20.452364225285024</v>
      </c>
      <c r="F672" s="2">
        <v>22.900386362369396</v>
      </c>
      <c r="G672" s="2">
        <v>22.993955372693662</v>
      </c>
      <c r="H672" s="2">
        <v>25.126786591275248</v>
      </c>
    </row>
    <row r="673" spans="1:8" x14ac:dyDescent="0.2">
      <c r="A673" s="16">
        <f>DATE(2019,4,26)</f>
        <v>43581</v>
      </c>
      <c r="B673" s="2">
        <v>52.06128063664255</v>
      </c>
      <c r="C673" s="2">
        <v>62.6542946962781</v>
      </c>
      <c r="D673" s="2">
        <v>28.525887864040399</v>
      </c>
      <c r="E673" s="2">
        <v>20.505434975691795</v>
      </c>
      <c r="F673" s="2">
        <v>22.958228025591087</v>
      </c>
      <c r="G673" s="2">
        <v>23.051980847321339</v>
      </c>
      <c r="H673" s="2">
        <v>25.189030611328867</v>
      </c>
    </row>
    <row r="674" spans="1:8" x14ac:dyDescent="0.2">
      <c r="A674" s="16">
        <f>DATE(2019,4,29)</f>
        <v>43584</v>
      </c>
      <c r="B674" s="2">
        <v>52.384470193229177</v>
      </c>
      <c r="C674" s="2">
        <v>62.572676875232219</v>
      </c>
      <c r="D674" s="2">
        <v>28.562607508431228</v>
      </c>
      <c r="E674" s="2">
        <v>20.558529108823898</v>
      </c>
      <c r="F674" s="2">
        <v>23.016096911330973</v>
      </c>
      <c r="G674" s="2">
        <v>23.110033696917952</v>
      </c>
      <c r="H674" s="2">
        <v>25.251305594521046</v>
      </c>
    </row>
    <row r="675" spans="1:8" x14ac:dyDescent="0.2">
      <c r="A675" s="16">
        <f>DATE(2019,4,30)</f>
        <v>43585</v>
      </c>
      <c r="B675" s="2">
        <v>52.818171987709952</v>
      </c>
      <c r="C675" s="2">
        <v>62.852533549673623</v>
      </c>
      <c r="D675" s="2">
        <v>28.599337643566813</v>
      </c>
      <c r="E675" s="2">
        <v>20.61164663498365</v>
      </c>
      <c r="F675" s="2">
        <v>23.073993032401031</v>
      </c>
      <c r="G675" s="2">
        <v>23.168113934398303</v>
      </c>
      <c r="H675" s="2">
        <v>25.313611556254333</v>
      </c>
    </row>
    <row r="676" spans="1:8" x14ac:dyDescent="0.2">
      <c r="A676" s="16">
        <f>DATE(2019,5,2)</f>
        <v>43587</v>
      </c>
      <c r="B676" s="2">
        <v>52.6428129878189</v>
      </c>
      <c r="C676" s="2">
        <v>61.456951627623788</v>
      </c>
      <c r="D676" s="2">
        <v>28.636078272444344</v>
      </c>
      <c r="E676" s="2">
        <v>20.638638740122818</v>
      </c>
      <c r="F676" s="2">
        <v>23.105232934806086</v>
      </c>
      <c r="G676" s="2">
        <v>23.199517669341805</v>
      </c>
      <c r="H676" s="2">
        <v>25.348778749142653</v>
      </c>
    </row>
    <row r="677" spans="1:8" x14ac:dyDescent="0.2">
      <c r="A677" s="16">
        <f>DATE(2019,5,3)</f>
        <v>43588</v>
      </c>
      <c r="B677" s="2">
        <v>53.238854965156662</v>
      </c>
      <c r="C677" s="2">
        <v>62.268684717574097</v>
      </c>
      <c r="D677" s="2">
        <v>28.672829398061861</v>
      </c>
      <c r="E677" s="2">
        <v>20.665636885920247</v>
      </c>
      <c r="F677" s="2">
        <v>23.136480766843381</v>
      </c>
      <c r="G677" s="2">
        <v>23.230929411183656</v>
      </c>
      <c r="H677" s="2">
        <v>25.383955811122117</v>
      </c>
    </row>
    <row r="678" spans="1:8" x14ac:dyDescent="0.2">
      <c r="A678" s="16">
        <f>DATE(2019,5,6)</f>
        <v>43591</v>
      </c>
      <c r="B678" s="2">
        <v>51.405936058440503</v>
      </c>
      <c r="C678" s="2">
        <v>60.579826251563219</v>
      </c>
      <c r="D678" s="2">
        <v>28.70959102341828</v>
      </c>
      <c r="E678" s="2">
        <v>20.692641073727835</v>
      </c>
      <c r="F678" s="2">
        <v>23.16773653052573</v>
      </c>
      <c r="G678" s="2">
        <v>23.262349161965389</v>
      </c>
      <c r="H678" s="2">
        <v>25.419142744962354</v>
      </c>
    </row>
    <row r="679" spans="1:8" x14ac:dyDescent="0.2">
      <c r="A679" s="16">
        <f>DATE(2019,5,7)</f>
        <v>43592</v>
      </c>
      <c r="B679" s="2">
        <v>52.332298743859027</v>
      </c>
      <c r="C679" s="2">
        <v>59.532045431497643</v>
      </c>
      <c r="D679" s="2">
        <v>28.746363151513354</v>
      </c>
      <c r="E679" s="2">
        <v>20.719651304897681</v>
      </c>
      <c r="F679" s="2">
        <v>23.199000227866339</v>
      </c>
      <c r="G679" s="2">
        <v>23.293776923728938</v>
      </c>
      <c r="H679" s="2">
        <v>25.454339553433702</v>
      </c>
    </row>
    <row r="680" spans="1:8" x14ac:dyDescent="0.2">
      <c r="A680" s="16">
        <f>DATE(2019,5,8)</f>
        <v>43593</v>
      </c>
      <c r="B680" s="2">
        <v>55.148526496624342</v>
      </c>
      <c r="C680" s="2">
        <v>61.573555758374582</v>
      </c>
      <c r="D680" s="2">
        <v>28.783145785347685</v>
      </c>
      <c r="E680" s="2">
        <v>20.746667580782272</v>
      </c>
      <c r="F680" s="2">
        <v>23.230271860879071</v>
      </c>
      <c r="G680" s="2">
        <v>23.325212698516861</v>
      </c>
      <c r="H680" s="2">
        <v>25.489546239307327</v>
      </c>
    </row>
    <row r="681" spans="1:8" x14ac:dyDescent="0.2">
      <c r="A681" s="16">
        <f>DATE(2019,5,9)</f>
        <v>43594</v>
      </c>
      <c r="B681" s="2">
        <v>55.099893142648689</v>
      </c>
      <c r="C681" s="2">
        <v>60.24042524422795</v>
      </c>
      <c r="D681" s="2">
        <v>28.81993892792276</v>
      </c>
      <c r="E681" s="2">
        <v>20.773689902734382</v>
      </c>
      <c r="F681" s="2">
        <v>23.261551431578219</v>
      </c>
      <c r="G681" s="2">
        <v>23.356656488372241</v>
      </c>
      <c r="H681" s="2">
        <v>25.524762805355159</v>
      </c>
    </row>
    <row r="682" spans="1:8" x14ac:dyDescent="0.2">
      <c r="A682" s="16">
        <f>DATE(2019,5,10)</f>
        <v>43595</v>
      </c>
      <c r="B682" s="2">
        <v>53.729131935508263</v>
      </c>
      <c r="C682" s="2">
        <v>59.310347158841047</v>
      </c>
      <c r="D682" s="2">
        <v>28.856742582240912</v>
      </c>
      <c r="E682" s="2">
        <v>20.800718272107076</v>
      </c>
      <c r="F682" s="2">
        <v>23.292838941978623</v>
      </c>
      <c r="G682" s="2">
        <v>23.388108295338618</v>
      </c>
      <c r="H682" s="2">
        <v>25.559989254349922</v>
      </c>
    </row>
    <row r="683" spans="1:8" x14ac:dyDescent="0.2">
      <c r="A683" s="16">
        <f>DATE(2019,5,13)</f>
        <v>43598</v>
      </c>
      <c r="B683" s="2">
        <v>50.351597371064273</v>
      </c>
      <c r="C683" s="2">
        <v>55.032518676266598</v>
      </c>
      <c r="D683" s="2">
        <v>28.893556751305315</v>
      </c>
      <c r="E683" s="2">
        <v>20.827752690253742</v>
      </c>
      <c r="F683" s="2">
        <v>23.324134394095598</v>
      </c>
      <c r="G683" s="2">
        <v>23.419568121460109</v>
      </c>
      <c r="H683" s="2">
        <v>25.595225589065084</v>
      </c>
    </row>
    <row r="684" spans="1:8" x14ac:dyDescent="0.2">
      <c r="A684" s="16">
        <f>DATE(2019,5,14)</f>
        <v>43599</v>
      </c>
      <c r="B684" s="2">
        <v>51.07477719960611</v>
      </c>
      <c r="C684" s="2">
        <v>55.650948179697622</v>
      </c>
      <c r="D684" s="2">
        <v>28.930381438120033</v>
      </c>
      <c r="E684" s="2">
        <v>20.85479315852805</v>
      </c>
      <c r="F684" s="2">
        <v>23.355437789945</v>
      </c>
      <c r="G684" s="2">
        <v>23.451035968781309</v>
      </c>
      <c r="H684" s="2">
        <v>25.630471812274912</v>
      </c>
    </row>
    <row r="685" spans="1:8" x14ac:dyDescent="0.2">
      <c r="A685" s="16">
        <f>DATE(2019,5,15)</f>
        <v>43600</v>
      </c>
      <c r="B685" s="2">
        <v>50.89416258228443</v>
      </c>
      <c r="C685" s="2">
        <v>54.858263191697752</v>
      </c>
      <c r="D685" s="2">
        <v>28.967216645689977</v>
      </c>
      <c r="E685" s="2">
        <v>20.881839678283963</v>
      </c>
      <c r="F685" s="2">
        <v>23.386749131543194</v>
      </c>
      <c r="G685" s="2">
        <v>23.482511839347374</v>
      </c>
      <c r="H685" s="2">
        <v>25.665727926754457</v>
      </c>
    </row>
    <row r="686" spans="1:8" x14ac:dyDescent="0.2">
      <c r="A686" s="16">
        <f>DATE(2019,5,16)</f>
        <v>43601</v>
      </c>
      <c r="B686" s="2">
        <v>49.428456756985568</v>
      </c>
      <c r="C686" s="2">
        <v>52.155748233782731</v>
      </c>
      <c r="D686" s="2">
        <v>29.00406237702089</v>
      </c>
      <c r="E686" s="2">
        <v>20.908892250875756</v>
      </c>
      <c r="F686" s="2">
        <v>23.418068420907034</v>
      </c>
      <c r="G686" s="2">
        <v>23.51399573520392</v>
      </c>
      <c r="H686" s="2">
        <v>25.700993935279492</v>
      </c>
    </row>
    <row r="687" spans="1:8" x14ac:dyDescent="0.2">
      <c r="A687" s="16">
        <f>DATE(2019,5,17)</f>
        <v>43602</v>
      </c>
      <c r="B687" s="2">
        <v>48.819760077285437</v>
      </c>
      <c r="C687" s="2">
        <v>52.102102558901862</v>
      </c>
      <c r="D687" s="2">
        <v>29.040918635119372</v>
      </c>
      <c r="E687" s="2">
        <v>20.935950877658072</v>
      </c>
      <c r="F687" s="2">
        <v>23.449395660053948</v>
      </c>
      <c r="G687" s="2">
        <v>23.545487658397189</v>
      </c>
      <c r="H687" s="2">
        <v>25.73626984062669</v>
      </c>
    </row>
    <row r="688" spans="1:8" x14ac:dyDescent="0.2">
      <c r="A688" s="16">
        <f>DATE(2019,5,20)</f>
        <v>43605</v>
      </c>
      <c r="B688" s="2">
        <v>52.382100012819294</v>
      </c>
      <c r="C688" s="2">
        <v>55.403762295912998</v>
      </c>
      <c r="D688" s="2">
        <v>29.077785422992974</v>
      </c>
      <c r="E688" s="2">
        <v>20.963015559985767</v>
      </c>
      <c r="F688" s="2">
        <v>23.480730851001795</v>
      </c>
      <c r="G688" s="2">
        <v>23.576987610973845</v>
      </c>
      <c r="H688" s="2">
        <v>25.771555645573411</v>
      </c>
    </row>
    <row r="689" spans="1:8" x14ac:dyDescent="0.2">
      <c r="A689" s="16">
        <f>DATE(2019,5,21)</f>
        <v>43606</v>
      </c>
      <c r="B689" s="2">
        <v>56.186995280386533</v>
      </c>
      <c r="C689" s="2">
        <v>59.694131764864778</v>
      </c>
      <c r="D689" s="2">
        <v>29.114662743649976</v>
      </c>
      <c r="E689" s="2">
        <v>20.990086299214017</v>
      </c>
      <c r="F689" s="2">
        <v>23.512073995769001</v>
      </c>
      <c r="G689" s="2">
        <v>23.608495594981125</v>
      </c>
      <c r="H689" s="2">
        <v>25.806851352897798</v>
      </c>
    </row>
    <row r="690" spans="1:8" x14ac:dyDescent="0.2">
      <c r="A690" s="16">
        <f>DATE(2019,5,22)</f>
        <v>43607</v>
      </c>
      <c r="B690" s="2">
        <v>55.641448450911611</v>
      </c>
      <c r="C690" s="2">
        <v>59.484602643409893</v>
      </c>
      <c r="D690" s="2">
        <v>29.151550600099597</v>
      </c>
      <c r="E690" s="2">
        <v>21.017163096698344</v>
      </c>
      <c r="F690" s="2">
        <v>23.54342509637446</v>
      </c>
      <c r="G690" s="2">
        <v>23.640011612466761</v>
      </c>
      <c r="H690" s="2">
        <v>25.842156965378791</v>
      </c>
    </row>
    <row r="691" spans="1:8" x14ac:dyDescent="0.2">
      <c r="A691" s="16">
        <f>DATE(2019,5,23)</f>
        <v>43608</v>
      </c>
      <c r="B691" s="2">
        <v>55.3691387671239</v>
      </c>
      <c r="C691" s="2">
        <v>58.722965892573242</v>
      </c>
      <c r="D691" s="2">
        <v>29.188448995351891</v>
      </c>
      <c r="E691" s="2">
        <v>21.044245953794526</v>
      </c>
      <c r="F691" s="2">
        <v>23.574784154837626</v>
      </c>
      <c r="G691" s="2">
        <v>23.671535665479038</v>
      </c>
      <c r="H691" s="2">
        <v>25.877472485796105</v>
      </c>
    </row>
    <row r="692" spans="1:8" x14ac:dyDescent="0.2">
      <c r="A692" s="16">
        <f>DATE(2019,5,24)</f>
        <v>43609</v>
      </c>
      <c r="B692" s="2">
        <v>53.842639531833392</v>
      </c>
      <c r="C692" s="2">
        <v>58.245952067065353</v>
      </c>
      <c r="D692" s="2">
        <v>29.225357932417783</v>
      </c>
      <c r="E692" s="2">
        <v>21.07133487185866</v>
      </c>
      <c r="F692" s="2">
        <v>23.606151173178436</v>
      </c>
      <c r="G692" s="2">
        <v>23.703067756066741</v>
      </c>
      <c r="H692" s="2">
        <v>25.912797916930241</v>
      </c>
    </row>
    <row r="693" spans="1:8" x14ac:dyDescent="0.2">
      <c r="A693" s="16">
        <f>DATE(2019,5,27)</f>
        <v>43612</v>
      </c>
      <c r="B693" s="2">
        <v>54.431213723357999</v>
      </c>
      <c r="C693" s="2">
        <v>60.335750261974603</v>
      </c>
      <c r="D693" s="2">
        <v>29.262277414309047</v>
      </c>
      <c r="E693" s="2">
        <v>21.098429852247168</v>
      </c>
      <c r="F693" s="2">
        <v>23.637526153417344</v>
      </c>
      <c r="G693" s="2">
        <v>23.734607886279171</v>
      </c>
      <c r="H693" s="2">
        <v>25.948133261562489</v>
      </c>
    </row>
    <row r="694" spans="1:8" x14ac:dyDescent="0.2">
      <c r="A694" s="16">
        <f>DATE(2019,5,28)</f>
        <v>43613</v>
      </c>
      <c r="B694" s="2">
        <v>56.374734179114157</v>
      </c>
      <c r="C694" s="2">
        <v>62.919176554101838</v>
      </c>
      <c r="D694" s="2">
        <v>29.299207444038334</v>
      </c>
      <c r="E694" s="2">
        <v>21.125530896316789</v>
      </c>
      <c r="F694" s="2">
        <v>23.668909097575352</v>
      </c>
      <c r="G694" s="2">
        <v>23.766156058166189</v>
      </c>
      <c r="H694" s="2">
        <v>25.983478522474933</v>
      </c>
    </row>
    <row r="695" spans="1:8" x14ac:dyDescent="0.2">
      <c r="A695" s="16">
        <f>DATE(2019,5,29)</f>
        <v>43614</v>
      </c>
      <c r="B695" s="2">
        <v>57.707950354544323</v>
      </c>
      <c r="C695" s="2">
        <v>63.212909441232974</v>
      </c>
      <c r="D695" s="2">
        <v>29.336148024619146</v>
      </c>
      <c r="E695" s="2">
        <v>21.15263800542446</v>
      </c>
      <c r="F695" s="2">
        <v>23.700300007673889</v>
      </c>
      <c r="G695" s="2">
        <v>23.797712273778114</v>
      </c>
      <c r="H695" s="2">
        <v>26.018833702450351</v>
      </c>
    </row>
    <row r="696" spans="1:8" x14ac:dyDescent="0.2">
      <c r="A696" s="16">
        <f>DATE(2019,5,30)</f>
        <v>43615</v>
      </c>
      <c r="B696" s="2">
        <v>58.894545108792329</v>
      </c>
      <c r="C696" s="2">
        <v>64.718520772064863</v>
      </c>
      <c r="D696" s="2">
        <v>29.373099159065831</v>
      </c>
      <c r="E696" s="2">
        <v>21.179751180927543</v>
      </c>
      <c r="F696" s="2">
        <v>23.731698885734986</v>
      </c>
      <c r="G696" s="2">
        <v>23.829276535165842</v>
      </c>
      <c r="H696" s="2">
        <v>26.054198804272378</v>
      </c>
    </row>
    <row r="697" spans="1:8" x14ac:dyDescent="0.2">
      <c r="A697" s="16">
        <f>DATE(2019,5,31)</f>
        <v>43616</v>
      </c>
      <c r="B697" s="2">
        <v>58.973867146509939</v>
      </c>
      <c r="C697" s="2">
        <v>63.996754893012707</v>
      </c>
      <c r="D697" s="2">
        <v>29.410060850393617</v>
      </c>
      <c r="E697" s="2">
        <v>21.206870424183656</v>
      </c>
      <c r="F697" s="2">
        <v>23.763105733781153</v>
      </c>
      <c r="G697" s="2">
        <v>23.860848844380779</v>
      </c>
      <c r="H697" s="2">
        <v>26.089573830725431</v>
      </c>
    </row>
    <row r="698" spans="1:8" x14ac:dyDescent="0.2">
      <c r="A698" s="16">
        <f>DATE(2019,6,3)</f>
        <v>43619</v>
      </c>
      <c r="B698" s="2">
        <v>58.537121902981099</v>
      </c>
      <c r="C698" s="2">
        <v>63.980123719703698</v>
      </c>
      <c r="D698" s="2">
        <v>29.44703310161858</v>
      </c>
      <c r="E698" s="2">
        <v>21.226374256904833</v>
      </c>
      <c r="F698" s="2">
        <v>23.786738104589691</v>
      </c>
      <c r="G698" s="2">
        <v>23.884640599117478</v>
      </c>
      <c r="H698" s="2">
        <v>26.11702983034079</v>
      </c>
    </row>
    <row r="699" spans="1:8" x14ac:dyDescent="0.2">
      <c r="A699" s="16">
        <f>DATE(2019,6,4)</f>
        <v>43620</v>
      </c>
      <c r="B699" s="2">
        <v>57.419585274762667</v>
      </c>
      <c r="C699" s="2">
        <v>64.58824324781105</v>
      </c>
      <c r="D699" s="2">
        <v>29.484015915757691</v>
      </c>
      <c r="E699" s="2">
        <v>21.245881228057726</v>
      </c>
      <c r="F699" s="2">
        <v>23.810374987962323</v>
      </c>
      <c r="G699" s="2">
        <v>23.908436923882515</v>
      </c>
      <c r="H699" s="2">
        <v>26.144491808498941</v>
      </c>
    </row>
    <row r="700" spans="1:8" x14ac:dyDescent="0.2">
      <c r="A700" s="16">
        <f>DATE(2019,6,5)</f>
        <v>43621</v>
      </c>
      <c r="B700" s="2">
        <v>55.887157153403379</v>
      </c>
      <c r="C700" s="2">
        <v>62.253236656187489</v>
      </c>
      <c r="D700" s="2">
        <v>29.521009295828726</v>
      </c>
      <c r="E700" s="2">
        <v>21.26539133814742</v>
      </c>
      <c r="F700" s="2">
        <v>23.834016384760769</v>
      </c>
      <c r="G700" s="2">
        <v>23.93223781955378</v>
      </c>
      <c r="H700" s="2">
        <v>26.17195976650175</v>
      </c>
    </row>
    <row r="701" spans="1:8" x14ac:dyDescent="0.2">
      <c r="A701" s="16">
        <f>DATE(2019,6,6)</f>
        <v>43622</v>
      </c>
      <c r="B701" s="2">
        <v>55.945257488842309</v>
      </c>
      <c r="C701" s="2">
        <v>64.291738498461797</v>
      </c>
      <c r="D701" s="2">
        <v>29.55801324485039</v>
      </c>
      <c r="E701" s="2">
        <v>21.284904587678977</v>
      </c>
      <c r="F701" s="2">
        <v>23.857662295846826</v>
      </c>
      <c r="G701" s="2">
        <v>23.956043287009265</v>
      </c>
      <c r="H701" s="2">
        <v>26.199433705651298</v>
      </c>
    </row>
    <row r="702" spans="1:8" x14ac:dyDescent="0.2">
      <c r="A702" s="16">
        <f>DATE(2019,6,7)</f>
        <v>43623</v>
      </c>
      <c r="B702" s="2">
        <v>58.372892445884347</v>
      </c>
      <c r="C702" s="2">
        <v>65.333569955717635</v>
      </c>
      <c r="D702" s="2">
        <v>29.595027765842197</v>
      </c>
      <c r="E702" s="2">
        <v>21.304420977157569</v>
      </c>
      <c r="F702" s="2">
        <v>23.88131272208247</v>
      </c>
      <c r="G702" s="2">
        <v>23.979853327127088</v>
      </c>
      <c r="H702" s="2">
        <v>26.22691362724996</v>
      </c>
    </row>
    <row r="703" spans="1:8" x14ac:dyDescent="0.2">
      <c r="A703" s="16">
        <f>DATE(2019,6,10)</f>
        <v>43626</v>
      </c>
      <c r="B703" s="2">
        <v>58.532498333659788</v>
      </c>
      <c r="C703" s="2">
        <v>64.73428996383042</v>
      </c>
      <c r="D703" s="2">
        <v>29.63205286182453</v>
      </c>
      <c r="E703" s="2">
        <v>21.323940507088501</v>
      </c>
      <c r="F703" s="2">
        <v>23.904967664329945</v>
      </c>
      <c r="G703" s="2">
        <v>24.003667940785679</v>
      </c>
      <c r="H703" s="2">
        <v>26.254399532600512</v>
      </c>
    </row>
    <row r="704" spans="1:8" x14ac:dyDescent="0.2">
      <c r="A704" s="16">
        <f>DATE(2019,6,11)</f>
        <v>43627</v>
      </c>
      <c r="B704" s="2">
        <v>59.51874070734668</v>
      </c>
      <c r="C704" s="2">
        <v>67.258222627860434</v>
      </c>
      <c r="D704" s="2">
        <v>29.669088535818666</v>
      </c>
      <c r="E704" s="2">
        <v>21.34346317797706</v>
      </c>
      <c r="F704" s="2">
        <v>23.928627123451495</v>
      </c>
      <c r="G704" s="2">
        <v>24.027487128863466</v>
      </c>
      <c r="H704" s="2">
        <v>26.28189142300581</v>
      </c>
    </row>
    <row r="705" spans="1:8" x14ac:dyDescent="0.2">
      <c r="A705" s="16">
        <f>DATE(2019,6,12)</f>
        <v>43628</v>
      </c>
      <c r="B705" s="2">
        <v>58.057871424101641</v>
      </c>
      <c r="C705" s="2">
        <v>66.178007639522534</v>
      </c>
      <c r="D705" s="2">
        <v>29.706134790846718</v>
      </c>
      <c r="E705" s="2">
        <v>21.362988990328692</v>
      </c>
      <c r="F705" s="2">
        <v>23.95229110030963</v>
      </c>
      <c r="G705" s="2">
        <v>24.05131089223913</v>
      </c>
      <c r="H705" s="2">
        <v>26.309389299769137</v>
      </c>
    </row>
    <row r="706" spans="1:8" x14ac:dyDescent="0.2">
      <c r="A706" s="16">
        <f>DATE(2019,6,13)</f>
        <v>43629</v>
      </c>
      <c r="B706" s="2">
        <v>61.075138566242522</v>
      </c>
      <c r="C706" s="2">
        <v>66.943345840516329</v>
      </c>
      <c r="D706" s="2">
        <v>29.743191629931665</v>
      </c>
      <c r="E706" s="2">
        <v>21.382517944648892</v>
      </c>
      <c r="F706" s="2">
        <v>23.975959595767016</v>
      </c>
      <c r="G706" s="2">
        <v>24.075139231791542</v>
      </c>
      <c r="H706" s="2">
        <v>26.336893164194009</v>
      </c>
    </row>
    <row r="707" spans="1:8" x14ac:dyDescent="0.2">
      <c r="A707" s="16">
        <f>DATE(2019,6,14)</f>
        <v>43630</v>
      </c>
      <c r="B707" s="2">
        <v>59.780078860367468</v>
      </c>
      <c r="C707" s="2">
        <v>65.703376939458295</v>
      </c>
      <c r="D707" s="2">
        <v>29.780259056097378</v>
      </c>
      <c r="E707" s="2">
        <v>21.402050041443268</v>
      </c>
      <c r="F707" s="2">
        <v>23.999632610686451</v>
      </c>
      <c r="G707" s="2">
        <v>24.09897214839971</v>
      </c>
      <c r="H707" s="2">
        <v>26.364403017584252</v>
      </c>
    </row>
    <row r="708" spans="1:8" x14ac:dyDescent="0.2">
      <c r="A708" s="16">
        <f>DATE(2019,6,17)</f>
        <v>43633</v>
      </c>
      <c r="B708" s="2">
        <v>59.933439838019488</v>
      </c>
      <c r="C708" s="2">
        <v>64.998901396071901</v>
      </c>
      <c r="D708" s="2">
        <v>29.817337072368556</v>
      </c>
      <c r="E708" s="2">
        <v>21.42158528121745</v>
      </c>
      <c r="F708" s="2">
        <v>24.023310145930932</v>
      </c>
      <c r="G708" s="2">
        <v>24.122809642942801</v>
      </c>
      <c r="H708" s="2">
        <v>26.391918861243969</v>
      </c>
    </row>
    <row r="709" spans="1:8" x14ac:dyDescent="0.2">
      <c r="A709" s="16">
        <f>DATE(2019,6,18)</f>
        <v>43634</v>
      </c>
      <c r="B709" s="2">
        <v>62.793038457241671</v>
      </c>
      <c r="C709" s="2">
        <v>68.009312780988921</v>
      </c>
      <c r="D709" s="2">
        <v>29.85442568177077</v>
      </c>
      <c r="E709" s="2">
        <v>21.441123664477214</v>
      </c>
      <c r="F709" s="2">
        <v>24.046992202363615</v>
      </c>
      <c r="G709" s="2">
        <v>24.14665171630017</v>
      </c>
      <c r="H709" s="2">
        <v>26.419440696477526</v>
      </c>
    </row>
    <row r="710" spans="1:8" x14ac:dyDescent="0.2">
      <c r="A710" s="16">
        <f>DATE(2019,6,19)</f>
        <v>43635</v>
      </c>
      <c r="B710" s="2">
        <v>64.61813920364925</v>
      </c>
      <c r="C710" s="2">
        <v>69.528800324510556</v>
      </c>
      <c r="D710" s="2">
        <v>29.891524887330469</v>
      </c>
      <c r="E710" s="2">
        <v>21.460665191728378</v>
      </c>
      <c r="F710" s="2">
        <v>24.07067878084781</v>
      </c>
      <c r="G710" s="2">
        <v>24.170498369351346</v>
      </c>
      <c r="H710" s="2">
        <v>26.446968524589611</v>
      </c>
    </row>
    <row r="711" spans="1:8" x14ac:dyDescent="0.2">
      <c r="A711" s="16">
        <f>DATE(2019,6,21)</f>
        <v>43637</v>
      </c>
      <c r="B711" s="2">
        <v>66.653217324108539</v>
      </c>
      <c r="C711" s="2">
        <v>72.417672311800558</v>
      </c>
      <c r="D711" s="2">
        <v>29.92863469207494</v>
      </c>
      <c r="E711" s="2">
        <v>21.480209863476897</v>
      </c>
      <c r="F711" s="2">
        <v>24.094369882247022</v>
      </c>
      <c r="G711" s="2">
        <v>24.19434960297604</v>
      </c>
      <c r="H711" s="2">
        <v>26.474502346885178</v>
      </c>
    </row>
    <row r="712" spans="1:8" x14ac:dyDescent="0.2">
      <c r="A712" s="16">
        <f>DATE(2019,6,24)</f>
        <v>43640</v>
      </c>
      <c r="B712" s="2">
        <v>66.975980935230211</v>
      </c>
      <c r="C712" s="2">
        <v>72.501656356691214</v>
      </c>
      <c r="D712" s="2">
        <v>29.965755099032389</v>
      </c>
      <c r="E712" s="2">
        <v>21.499757680228694</v>
      </c>
      <c r="F712" s="2">
        <v>24.118065507424834</v>
      </c>
      <c r="G712" s="2">
        <v>24.218205418054062</v>
      </c>
      <c r="H712" s="2">
        <v>26.502042164669405</v>
      </c>
    </row>
    <row r="713" spans="1:8" x14ac:dyDescent="0.2">
      <c r="A713" s="16">
        <f>DATE(2019,6,25)</f>
        <v>43641</v>
      </c>
      <c r="B713" s="2">
        <v>63.538601032958589</v>
      </c>
      <c r="C713" s="2">
        <v>69.173089274245214</v>
      </c>
      <c r="D713" s="2">
        <v>30.00288611123181</v>
      </c>
      <c r="E713" s="2">
        <v>21.519308642489875</v>
      </c>
      <c r="F713" s="2">
        <v>24.141765657245084</v>
      </c>
      <c r="G713" s="2">
        <v>24.242065815465441</v>
      </c>
      <c r="H713" s="2">
        <v>26.52958797924785</v>
      </c>
    </row>
    <row r="714" spans="1:8" x14ac:dyDescent="0.2">
      <c r="A714" s="16">
        <f>DATE(2019,6,26)</f>
        <v>43642</v>
      </c>
      <c r="B714" s="2">
        <v>63.190053981030211</v>
      </c>
      <c r="C714" s="2">
        <v>70.179883716999527</v>
      </c>
      <c r="D714" s="2">
        <v>30.040027731703134</v>
      </c>
      <c r="E714" s="2">
        <v>21.538862750766597</v>
      </c>
      <c r="F714" s="2">
        <v>24.165470332571747</v>
      </c>
      <c r="G714" s="2">
        <v>24.265930796090409</v>
      </c>
      <c r="H714" s="2">
        <v>26.557139791926311</v>
      </c>
    </row>
    <row r="715" spans="1:8" x14ac:dyDescent="0.2">
      <c r="A715" s="16">
        <f>DATE(2019,6,27)</f>
        <v>43643</v>
      </c>
      <c r="B715" s="2">
        <v>64.481403839307163</v>
      </c>
      <c r="C715" s="2">
        <v>70.239613967481205</v>
      </c>
      <c r="D715" s="2">
        <v>30.077179963477121</v>
      </c>
      <c r="E715" s="2">
        <v>21.558420005565068</v>
      </c>
      <c r="F715" s="2">
        <v>24.18917953426898</v>
      </c>
      <c r="G715" s="2">
        <v>24.289800360809298</v>
      </c>
      <c r="H715" s="2">
        <v>26.584697604010852</v>
      </c>
    </row>
    <row r="716" spans="1:8" x14ac:dyDescent="0.2">
      <c r="A716" s="16">
        <f>DATE(2019,6,28)</f>
        <v>43644</v>
      </c>
      <c r="B716" s="2">
        <v>65.906088368294647</v>
      </c>
      <c r="C716" s="2">
        <v>70.650711557313173</v>
      </c>
      <c r="D716" s="2">
        <v>30.114342809585406</v>
      </c>
      <c r="E716" s="2">
        <v>21.577980407391649</v>
      </c>
      <c r="F716" s="2">
        <v>24.212893263201064</v>
      </c>
      <c r="G716" s="2">
        <v>24.313674510502658</v>
      </c>
      <c r="H716" s="2">
        <v>26.612261416807879</v>
      </c>
    </row>
    <row r="717" spans="1:8" x14ac:dyDescent="0.2">
      <c r="A717" s="16">
        <f>DATE(2019,7,1)</f>
        <v>43647</v>
      </c>
      <c r="B717" s="2">
        <v>65.436194949468089</v>
      </c>
      <c r="C717" s="2">
        <v>71.280262312814642</v>
      </c>
      <c r="D717" s="2">
        <v>30.151516273060476</v>
      </c>
      <c r="E717" s="2">
        <v>21.602188298441451</v>
      </c>
      <c r="F717" s="2">
        <v>24.241356659446446</v>
      </c>
      <c r="G717" s="2">
        <v>24.342302240670865</v>
      </c>
      <c r="H717" s="2">
        <v>26.644668160302889</v>
      </c>
    </row>
    <row r="718" spans="1:8" x14ac:dyDescent="0.2">
      <c r="A718" s="16">
        <f>DATE(2019,7,2)</f>
        <v>43648</v>
      </c>
      <c r="B718" s="2">
        <v>63.619427619979902</v>
      </c>
      <c r="C718" s="2">
        <v>70.038822972653065</v>
      </c>
      <c r="D718" s="2">
        <v>30.188700356935705</v>
      </c>
      <c r="E718" s="2">
        <v>21.626401009623809</v>
      </c>
      <c r="F718" s="2">
        <v>24.269826578081702</v>
      </c>
      <c r="G718" s="2">
        <v>24.370936563411693</v>
      </c>
      <c r="H718" s="2">
        <v>26.677083198389621</v>
      </c>
    </row>
    <row r="719" spans="1:8" x14ac:dyDescent="0.2">
      <c r="A719" s="16">
        <f>DATE(2019,7,3)</f>
        <v>43649</v>
      </c>
      <c r="B719" s="2">
        <v>65.426782928709983</v>
      </c>
      <c r="C719" s="2">
        <v>72.469171483622205</v>
      </c>
      <c r="D719" s="2">
        <v>30.225895064245311</v>
      </c>
      <c r="E719" s="2">
        <v>21.650618541898581</v>
      </c>
      <c r="F719" s="2">
        <v>24.298303020601541</v>
      </c>
      <c r="G719" s="2">
        <v>24.399577480243416</v>
      </c>
      <c r="H719" s="2">
        <v>26.709506533191195</v>
      </c>
    </row>
    <row r="720" spans="1:8" x14ac:dyDescent="0.2">
      <c r="A720" s="16">
        <f>DATE(2019,7,4)</f>
        <v>43650</v>
      </c>
      <c r="B720" s="2">
        <v>67.758635116839926</v>
      </c>
      <c r="C720" s="2">
        <v>75.161697596592475</v>
      </c>
      <c r="D720" s="2">
        <v>30.263100398024399</v>
      </c>
      <c r="E720" s="2">
        <v>21.674840896225668</v>
      </c>
      <c r="F720" s="2">
        <v>24.326785988500887</v>
      </c>
      <c r="G720" s="2">
        <v>24.428224992684534</v>
      </c>
      <c r="H720" s="2">
        <v>26.741938166831151</v>
      </c>
    </row>
    <row r="721" spans="1:8" x14ac:dyDescent="0.2">
      <c r="A721" s="16">
        <f>DATE(2019,7,5)</f>
        <v>43651</v>
      </c>
      <c r="B721" s="2">
        <v>70.693756615035767</v>
      </c>
      <c r="C721" s="2">
        <v>75.927847074333087</v>
      </c>
      <c r="D721" s="2">
        <v>30.300316361308944</v>
      </c>
      <c r="E721" s="2">
        <v>21.699068073565211</v>
      </c>
      <c r="F721" s="2">
        <v>24.355275483275008</v>
      </c>
      <c r="G721" s="2">
        <v>24.456879102253914</v>
      </c>
      <c r="H721" s="2">
        <v>26.774378101433594</v>
      </c>
    </row>
    <row r="722" spans="1:8" x14ac:dyDescent="0.2">
      <c r="A722" s="16">
        <f>DATE(2019,7,8)</f>
        <v>43654</v>
      </c>
      <c r="B722" s="2">
        <v>71.876785793536726</v>
      </c>
      <c r="C722" s="2">
        <v>76.672785045465147</v>
      </c>
      <c r="D722" s="2">
        <v>30.337542957135778</v>
      </c>
      <c r="E722" s="2">
        <v>21.723300074877528</v>
      </c>
      <c r="F722" s="2">
        <v>24.383771506419528</v>
      </c>
      <c r="G722" s="2">
        <v>24.485539810470748</v>
      </c>
      <c r="H722" s="2">
        <v>26.806826339123145</v>
      </c>
    </row>
    <row r="723" spans="1:8" x14ac:dyDescent="0.2">
      <c r="A723" s="16">
        <f>DATE(2019,7,9)</f>
        <v>43655</v>
      </c>
      <c r="B723" s="2">
        <v>71.869792043805518</v>
      </c>
      <c r="C723" s="2">
        <v>76.672785045465147</v>
      </c>
      <c r="D723" s="2">
        <v>30.374780188542605</v>
      </c>
      <c r="E723" s="2">
        <v>21.747536901123187</v>
      </c>
      <c r="F723" s="2">
        <v>24.412274059430473</v>
      </c>
      <c r="G723" s="2">
        <v>24.514207118854682</v>
      </c>
      <c r="H723" s="2">
        <v>26.83928288202506</v>
      </c>
    </row>
    <row r="724" spans="1:8" x14ac:dyDescent="0.2">
      <c r="A724" s="16">
        <f>DATE(2019,7,10)</f>
        <v>43656</v>
      </c>
      <c r="B724" s="2">
        <v>76.243475649040931</v>
      </c>
      <c r="C724" s="2">
        <v>78.847750397187411</v>
      </c>
      <c r="D724" s="2">
        <v>30.412028058567977</v>
      </c>
      <c r="E724" s="2">
        <v>21.771778553262866</v>
      </c>
      <c r="F724" s="2">
        <v>24.440783143804136</v>
      </c>
      <c r="G724" s="2">
        <v>24.542881028925635</v>
      </c>
      <c r="H724" s="2">
        <v>26.87174773226506</v>
      </c>
    </row>
    <row r="725" spans="1:8" x14ac:dyDescent="0.2">
      <c r="A725" s="16">
        <f>DATE(2019,7,11)</f>
        <v>43657</v>
      </c>
      <c r="B725" s="2">
        <v>73.208895884775643</v>
      </c>
      <c r="C725" s="2">
        <v>77.714295372342065</v>
      </c>
      <c r="D725" s="2">
        <v>30.449286570251367</v>
      </c>
      <c r="E725" s="2">
        <v>21.796025032257482</v>
      </c>
      <c r="F725" s="2">
        <v>24.469298761037184</v>
      </c>
      <c r="G725" s="2">
        <v>24.571561542203856</v>
      </c>
      <c r="H725" s="2">
        <v>26.90422089196942</v>
      </c>
    </row>
    <row r="726" spans="1:8" x14ac:dyDescent="0.2">
      <c r="A726" s="16">
        <f>DATE(2019,7,12)</f>
        <v>43658</v>
      </c>
      <c r="B726" s="2">
        <v>71.106195486708998</v>
      </c>
      <c r="C726" s="2">
        <v>75.617736537876326</v>
      </c>
      <c r="D726" s="2">
        <v>30.486555726632989</v>
      </c>
      <c r="E726" s="2">
        <v>21.820276339068133</v>
      </c>
      <c r="F726" s="2">
        <v>24.497820912626644</v>
      </c>
      <c r="G726" s="2">
        <v>24.600248660210021</v>
      </c>
      <c r="H726" s="2">
        <v>26.936702363264995</v>
      </c>
    </row>
    <row r="727" spans="1:8" x14ac:dyDescent="0.2">
      <c r="A727" s="16">
        <f>DATE(2019,7,15)</f>
        <v>43661</v>
      </c>
      <c r="B727" s="2">
        <v>70.129811689509594</v>
      </c>
      <c r="C727" s="2">
        <v>75.443143021329661</v>
      </c>
      <c r="D727" s="2">
        <v>30.52383553075413</v>
      </c>
      <c r="E727" s="2">
        <v>21.844532474656074</v>
      </c>
      <c r="F727" s="2">
        <v>24.526349600069828</v>
      </c>
      <c r="G727" s="2">
        <v>24.628942384465049</v>
      </c>
      <c r="H727" s="2">
        <v>26.969192148279131</v>
      </c>
    </row>
    <row r="728" spans="1:8" x14ac:dyDescent="0.2">
      <c r="A728" s="16">
        <f>DATE(2019,7,16)</f>
        <v>43662</v>
      </c>
      <c r="B728" s="2">
        <v>72.002061850853593</v>
      </c>
      <c r="C728" s="2">
        <v>75.397035459554317</v>
      </c>
      <c r="D728" s="2">
        <v>30.561125985656769</v>
      </c>
      <c r="E728" s="2">
        <v>21.868793439982802</v>
      </c>
      <c r="F728" s="2">
        <v>24.55488482486443</v>
      </c>
      <c r="G728" s="2">
        <v>24.657642716490269</v>
      </c>
      <c r="H728" s="2">
        <v>27.001690249139742</v>
      </c>
    </row>
    <row r="729" spans="1:8" x14ac:dyDescent="0.2">
      <c r="A729" s="16">
        <f>DATE(2019,7,17)</f>
        <v>43663</v>
      </c>
      <c r="B729" s="2">
        <v>72.815150522943867</v>
      </c>
      <c r="C729" s="2">
        <v>75.53245106987103</v>
      </c>
      <c r="D729" s="2">
        <v>30.59842709438383</v>
      </c>
      <c r="E729" s="2">
        <v>21.893059236009993</v>
      </c>
      <c r="F729" s="2">
        <v>24.583426588508495</v>
      </c>
      <c r="G729" s="2">
        <v>24.686349657807384</v>
      </c>
      <c r="H729" s="2">
        <v>27.034196667975309</v>
      </c>
    </row>
    <row r="730" spans="1:8" x14ac:dyDescent="0.2">
      <c r="A730" s="16">
        <f>DATE(2019,7,18)</f>
        <v>43664</v>
      </c>
      <c r="B730" s="2">
        <v>73.286294297812731</v>
      </c>
      <c r="C730" s="2">
        <v>76.987780144001434</v>
      </c>
      <c r="D730" s="2">
        <v>30.635738859979099</v>
      </c>
      <c r="E730" s="2">
        <v>21.917329863699496</v>
      </c>
      <c r="F730" s="2">
        <v>24.611974892500399</v>
      </c>
      <c r="G730" s="2">
        <v>24.715063209938414</v>
      </c>
      <c r="H730" s="2">
        <v>27.066711406914809</v>
      </c>
    </row>
    <row r="731" spans="1:8" x14ac:dyDescent="0.2">
      <c r="A731" s="16">
        <f>DATE(2019,7,19)</f>
        <v>43665</v>
      </c>
      <c r="B731" s="2">
        <v>71.346305067362906</v>
      </c>
      <c r="C731" s="2">
        <v>74.850302538619957</v>
      </c>
      <c r="D731" s="2">
        <v>30.673061285487236</v>
      </c>
      <c r="E731" s="2">
        <v>21.94160532401337</v>
      </c>
      <c r="F731" s="2">
        <v>24.640529738338856</v>
      </c>
      <c r="G731" s="2">
        <v>24.743783374405748</v>
      </c>
      <c r="H731" s="2">
        <v>27.09923446808784</v>
      </c>
    </row>
    <row r="732" spans="1:8" x14ac:dyDescent="0.2">
      <c r="A732" s="16">
        <f>DATE(2019,7,22)</f>
        <v>43668</v>
      </c>
      <c r="B732" s="2">
        <v>72.555289438874169</v>
      </c>
      <c r="C732" s="2">
        <v>75.691207788256577</v>
      </c>
      <c r="D732" s="2">
        <v>30.710394373953729</v>
      </c>
      <c r="E732" s="2">
        <v>21.965885617913838</v>
      </c>
      <c r="F732" s="2">
        <v>24.669091127522957</v>
      </c>
      <c r="G732" s="2">
        <v>24.772510152732121</v>
      </c>
      <c r="H732" s="2">
        <v>27.131765853624469</v>
      </c>
    </row>
    <row r="733" spans="1:8" x14ac:dyDescent="0.2">
      <c r="A733" s="16">
        <f>DATE(2019,7,23)</f>
        <v>43669</v>
      </c>
      <c r="B733" s="2">
        <v>71.810324560825791</v>
      </c>
      <c r="C733" s="2">
        <v>75.27681438664078</v>
      </c>
      <c r="D733" s="2">
        <v>30.747738128424995</v>
      </c>
      <c r="E733" s="2">
        <v>21.990170746363358</v>
      </c>
      <c r="F733" s="2">
        <v>24.697659061552081</v>
      </c>
      <c r="G733" s="2">
        <v>24.801243546440599</v>
      </c>
      <c r="H733" s="2">
        <v>27.164305565655344</v>
      </c>
    </row>
    <row r="734" spans="1:8" x14ac:dyDescent="0.2">
      <c r="A734" s="16">
        <f>DATE(2019,7,24)</f>
        <v>43670</v>
      </c>
      <c r="B734" s="2">
        <v>73.179471297252235</v>
      </c>
      <c r="C734" s="2">
        <v>75.978670182199039</v>
      </c>
      <c r="D734" s="2">
        <v>30.785092551948299</v>
      </c>
      <c r="E734" s="2">
        <v>22.014460710324556</v>
      </c>
      <c r="F734" s="2">
        <v>24.726233541926003</v>
      </c>
      <c r="G734" s="2">
        <v>24.829983557054614</v>
      </c>
      <c r="H734" s="2">
        <v>27.196853606311656</v>
      </c>
    </row>
    <row r="735" spans="1:8" x14ac:dyDescent="0.2">
      <c r="A735" s="16">
        <f>DATE(2019,7,25)</f>
        <v>43671</v>
      </c>
      <c r="B735" s="2">
        <v>71.712975411816743</v>
      </c>
      <c r="C735" s="2">
        <v>73.502653551025745</v>
      </c>
      <c r="D735" s="2">
        <v>30.822457647571767</v>
      </c>
      <c r="E735" s="2">
        <v>22.038755510760243</v>
      </c>
      <c r="F735" s="2">
        <v>24.754814570144791</v>
      </c>
      <c r="G735" s="2">
        <v>24.858730186097965</v>
      </c>
      <c r="H735" s="2">
        <v>27.22940997772514</v>
      </c>
    </row>
    <row r="736" spans="1:8" x14ac:dyDescent="0.2">
      <c r="A736" s="16">
        <f>DATE(2019,7,26)</f>
        <v>43672</v>
      </c>
      <c r="B736" s="2">
        <v>72.476194114065322</v>
      </c>
      <c r="C736" s="2">
        <v>73.780431328803502</v>
      </c>
      <c r="D736" s="2">
        <v>30.859833418344373</v>
      </c>
      <c r="E736" s="2">
        <v>22.063055148633449</v>
      </c>
      <c r="F736" s="2">
        <v>24.783402147708909</v>
      </c>
      <c r="G736" s="2">
        <v>24.887483435094769</v>
      </c>
      <c r="H736" s="2">
        <v>27.261974682028089</v>
      </c>
    </row>
    <row r="737" spans="1:8" x14ac:dyDescent="0.2">
      <c r="A737" s="16">
        <f>DATE(2019,7,29)</f>
        <v>43675</v>
      </c>
      <c r="B737" s="2">
        <v>73.05082889674452</v>
      </c>
      <c r="C737" s="2">
        <v>74.902190447216128</v>
      </c>
      <c r="D737" s="2">
        <v>30.897219867316018</v>
      </c>
      <c r="E737" s="2">
        <v>22.087359624907354</v>
      </c>
      <c r="F737" s="2">
        <v>24.811996276119121</v>
      </c>
      <c r="G737" s="2">
        <v>24.91624330556952</v>
      </c>
      <c r="H737" s="2">
        <v>27.294547721353311</v>
      </c>
    </row>
    <row r="738" spans="1:8" x14ac:dyDescent="0.2">
      <c r="A738" s="16">
        <f>DATE(2019,7,30)</f>
        <v>43676</v>
      </c>
      <c r="B738" s="2">
        <v>73.059560778776287</v>
      </c>
      <c r="C738" s="2">
        <v>73.972822228982665</v>
      </c>
      <c r="D738" s="2">
        <v>30.934616997537432</v>
      </c>
      <c r="E738" s="2">
        <v>22.111668940545346</v>
      </c>
      <c r="F738" s="2">
        <v>24.840596956876571</v>
      </c>
      <c r="G738" s="2">
        <v>24.945009799047035</v>
      </c>
      <c r="H738" s="2">
        <v>27.32712909783417</v>
      </c>
    </row>
    <row r="739" spans="1:8" x14ac:dyDescent="0.2">
      <c r="A739" s="16">
        <f>DATE(2019,7,31)</f>
        <v>43677</v>
      </c>
      <c r="B739" s="2">
        <v>72.944191388563965</v>
      </c>
      <c r="C739" s="2">
        <v>72.078778352431968</v>
      </c>
      <c r="D739" s="2">
        <v>30.972024812060251</v>
      </c>
      <c r="E739" s="2">
        <v>22.135983096511037</v>
      </c>
      <c r="F739" s="2">
        <v>24.86920419148273</v>
      </c>
      <c r="G739" s="2">
        <v>24.973782917052525</v>
      </c>
      <c r="H739" s="2">
        <v>27.359718813604594</v>
      </c>
    </row>
    <row r="740" spans="1:8" x14ac:dyDescent="0.2">
      <c r="A740" s="16">
        <f>DATE(2019,8,1)</f>
        <v>43678</v>
      </c>
      <c r="B740" s="2">
        <v>72.797253943327163</v>
      </c>
      <c r="C740" s="2">
        <v>72.609167427238461</v>
      </c>
      <c r="D740" s="2">
        <v>31.009443313936959</v>
      </c>
      <c r="E740" s="2">
        <v>22.161652732069047</v>
      </c>
      <c r="F740" s="2">
        <v>24.899198886477826</v>
      </c>
      <c r="G740" s="2">
        <v>25.00394472423628</v>
      </c>
      <c r="H740" s="2">
        <v>27.393725355711496</v>
      </c>
    </row>
    <row r="741" spans="1:8" x14ac:dyDescent="0.2">
      <c r="A741" s="16">
        <f>DATE(2019,8,2)</f>
        <v>43679</v>
      </c>
      <c r="B741" s="2">
        <v>73.130748632130718</v>
      </c>
      <c r="C741" s="2">
        <v>73.534935604908057</v>
      </c>
      <c r="D741" s="2">
        <v>31.044423032018109</v>
      </c>
      <c r="E741" s="2">
        <v>22.187327762680773</v>
      </c>
      <c r="F741" s="2">
        <v>24.92920078646581</v>
      </c>
      <c r="G741" s="2">
        <v>25.034113810823701</v>
      </c>
      <c r="H741" s="2">
        <v>27.427740977964898</v>
      </c>
    </row>
    <row r="742" spans="1:8" x14ac:dyDescent="0.2">
      <c r="A742" s="16">
        <f>DATE(2019,8,5)</f>
        <v>43682</v>
      </c>
      <c r="B742" s="2">
        <v>70.335000612124446</v>
      </c>
      <c r="C742" s="2">
        <v>69.181202041712993</v>
      </c>
      <c r="D742" s="2">
        <v>31.0794120897365</v>
      </c>
      <c r="E742" s="2">
        <v>22.21300818948011</v>
      </c>
      <c r="F742" s="2">
        <v>24.959209893177391</v>
      </c>
      <c r="G742" s="2">
        <v>25.064290178571635</v>
      </c>
      <c r="H742" s="2">
        <v>27.461765682789331</v>
      </c>
    </row>
    <row r="743" spans="1:8" x14ac:dyDescent="0.2">
      <c r="A743" s="16">
        <f>DATE(2019,8,6)</f>
        <v>43683</v>
      </c>
      <c r="B743" s="2">
        <v>73.694672947392476</v>
      </c>
      <c r="C743" s="2">
        <v>72.672970963052947</v>
      </c>
      <c r="D743" s="2">
        <v>31.114410489585854</v>
      </c>
      <c r="E743" s="2">
        <v>22.238694013601148</v>
      </c>
      <c r="F743" s="2">
        <v>24.989226208343648</v>
      </c>
      <c r="G743" s="2">
        <v>25.094473829237305</v>
      </c>
      <c r="H743" s="2">
        <v>27.495799472609892</v>
      </c>
    </row>
    <row r="744" spans="1:8" x14ac:dyDescent="0.2">
      <c r="A744" s="16">
        <f>DATE(2019,8,7)</f>
        <v>43684</v>
      </c>
      <c r="B744" s="2">
        <v>74.106651523159982</v>
      </c>
      <c r="C744" s="2">
        <v>73.718639083257116</v>
      </c>
      <c r="D744" s="2">
        <v>31.149418234060519</v>
      </c>
      <c r="E744" s="2">
        <v>22.264385236178331</v>
      </c>
      <c r="F744" s="2">
        <v>25.019249733696181</v>
      </c>
      <c r="G744" s="2">
        <v>25.124664764578487</v>
      </c>
      <c r="H744" s="2">
        <v>27.529842349852451</v>
      </c>
    </row>
    <row r="745" spans="1:8" x14ac:dyDescent="0.2">
      <c r="A745" s="16">
        <f>DATE(2019,8,8)</f>
        <v>43685</v>
      </c>
      <c r="B745" s="2">
        <v>77.602001229195778</v>
      </c>
      <c r="C745" s="2">
        <v>75.971385593076945</v>
      </c>
      <c r="D745" s="2">
        <v>31.184435325655514</v>
      </c>
      <c r="E745" s="2">
        <v>22.290081858346198</v>
      </c>
      <c r="F745" s="2">
        <v>25.04928047096686</v>
      </c>
      <c r="G745" s="2">
        <v>25.15486298635323</v>
      </c>
      <c r="H745" s="2">
        <v>27.563894316943394</v>
      </c>
    </row>
    <row r="746" spans="1:8" x14ac:dyDescent="0.2">
      <c r="A746" s="16">
        <f>DATE(2019,8,9)</f>
        <v>43686</v>
      </c>
      <c r="B746" s="2">
        <v>78.752438709538765</v>
      </c>
      <c r="C746" s="2">
        <v>75.770138255078791</v>
      </c>
      <c r="D746" s="2">
        <v>31.219461766866541</v>
      </c>
      <c r="E746" s="2">
        <v>22.315783881239671</v>
      </c>
      <c r="F746" s="2">
        <v>25.079318421888129</v>
      </c>
      <c r="G746" s="2">
        <v>25.185068496320142</v>
      </c>
      <c r="H746" s="2">
        <v>27.597955376309891</v>
      </c>
    </row>
    <row r="747" spans="1:8" x14ac:dyDescent="0.2">
      <c r="A747" s="16">
        <f>DATE(2019,8,12)</f>
        <v>43689</v>
      </c>
      <c r="B747" s="2">
        <v>76.311901726961182</v>
      </c>
      <c r="C747" s="2">
        <v>72.253016935401945</v>
      </c>
      <c r="D747" s="2">
        <v>31.254497560189964</v>
      </c>
      <c r="E747" s="2">
        <v>22.341491305993767</v>
      </c>
      <c r="F747" s="2">
        <v>25.109363588192736</v>
      </c>
      <c r="G747" s="2">
        <v>25.215281296238135</v>
      </c>
      <c r="H747" s="2">
        <v>27.6320255303796</v>
      </c>
    </row>
    <row r="748" spans="1:8" x14ac:dyDescent="0.2">
      <c r="A748" s="16">
        <f>DATE(2019,8,13)</f>
        <v>43690</v>
      </c>
      <c r="B748" s="2">
        <v>78.763987327709884</v>
      </c>
      <c r="C748" s="2">
        <v>74.592620761923939</v>
      </c>
      <c r="D748" s="2">
        <v>31.289542708122831</v>
      </c>
      <c r="E748" s="2">
        <v>22.367204133743844</v>
      </c>
      <c r="F748" s="2">
        <v>25.139415971613911</v>
      </c>
      <c r="G748" s="2">
        <v>25.245501387866675</v>
      </c>
      <c r="H748" s="2">
        <v>27.666104781581002</v>
      </c>
    </row>
    <row r="749" spans="1:8" x14ac:dyDescent="0.2">
      <c r="A749" s="16">
        <f>DATE(2019,8,14)</f>
        <v>43691</v>
      </c>
      <c r="B749" s="2">
        <v>76.2214432763612</v>
      </c>
      <c r="C749" s="2">
        <v>69.452067065544256</v>
      </c>
      <c r="D749" s="2">
        <v>31.324597213162811</v>
      </c>
      <c r="E749" s="2">
        <v>22.392922365625466</v>
      </c>
      <c r="F749" s="2">
        <v>25.169475573885247</v>
      </c>
      <c r="G749" s="2">
        <v>25.275728772965532</v>
      </c>
      <c r="H749" s="2">
        <v>27.700193132343088</v>
      </c>
    </row>
    <row r="750" spans="1:8" x14ac:dyDescent="0.2">
      <c r="A750" s="16">
        <f>DATE(2019,8,15)</f>
        <v>43692</v>
      </c>
      <c r="B750" s="2">
        <v>74.764015907276544</v>
      </c>
      <c r="C750" s="2">
        <v>67.422016022715624</v>
      </c>
      <c r="D750" s="2">
        <v>31.359661077808276</v>
      </c>
      <c r="E750" s="2">
        <v>22.418646002774413</v>
      </c>
      <c r="F750" s="2">
        <v>25.19954239674076</v>
      </c>
      <c r="G750" s="2">
        <v>25.305963453294943</v>
      </c>
      <c r="H750" s="2">
        <v>27.734290585095557</v>
      </c>
    </row>
    <row r="751" spans="1:8" x14ac:dyDescent="0.2">
      <c r="A751" s="16">
        <f>DATE(2019,8,16)</f>
        <v>43693</v>
      </c>
      <c r="B751" s="2">
        <v>78.505946816998517</v>
      </c>
      <c r="C751" s="2">
        <v>68.687726058885048</v>
      </c>
      <c r="D751" s="2">
        <v>31.394734304558259</v>
      </c>
      <c r="E751" s="2">
        <v>22.444375046326726</v>
      </c>
      <c r="F751" s="2">
        <v>25.229616441914924</v>
      </c>
      <c r="G751" s="2">
        <v>25.336205430615589</v>
      </c>
      <c r="H751" s="2">
        <v>27.76839714226875</v>
      </c>
    </row>
    <row r="752" spans="1:8" x14ac:dyDescent="0.2">
      <c r="A752" s="16">
        <f>DATE(2019,8,19)</f>
        <v>43696</v>
      </c>
      <c r="B752" s="2">
        <v>77.120050805675518</v>
      </c>
      <c r="C752" s="2">
        <v>68.117956258661948</v>
      </c>
      <c r="D752" s="2">
        <v>31.429816895912445</v>
      </c>
      <c r="E752" s="2">
        <v>22.470109497418701</v>
      </c>
      <c r="F752" s="2">
        <v>25.259697711142579</v>
      </c>
      <c r="G752" s="2">
        <v>25.366454706688572</v>
      </c>
      <c r="H752" s="2">
        <v>27.802512806293645</v>
      </c>
    </row>
    <row r="753" spans="1:8" x14ac:dyDescent="0.2">
      <c r="A753" s="16">
        <f>DATE(2019,8,20)</f>
        <v>43697</v>
      </c>
      <c r="B753" s="2">
        <v>77.114163140135574</v>
      </c>
      <c r="C753" s="2">
        <v>67.701467058783635</v>
      </c>
      <c r="D753" s="2">
        <v>31.464908854371188</v>
      </c>
      <c r="E753" s="2">
        <v>22.495849357186827</v>
      </c>
      <c r="F753" s="2">
        <v>25.289786206159025</v>
      </c>
      <c r="G753" s="2">
        <v>25.396711283275387</v>
      </c>
      <c r="H753" s="2">
        <v>27.836637579601884</v>
      </c>
    </row>
    <row r="754" spans="1:8" x14ac:dyDescent="0.2">
      <c r="A754" s="16">
        <f>DATE(2019,8,21)</f>
        <v>43698</v>
      </c>
      <c r="B754" s="2">
        <v>79.458676900716</v>
      </c>
      <c r="C754" s="2">
        <v>71.047392083290944</v>
      </c>
      <c r="D754" s="2">
        <v>31.50001018243551</v>
      </c>
      <c r="E754" s="2">
        <v>22.521594626767882</v>
      </c>
      <c r="F754" s="2">
        <v>25.31988192869996</v>
      </c>
      <c r="G754" s="2">
        <v>25.426975162137989</v>
      </c>
      <c r="H754" s="2">
        <v>27.870771464625754</v>
      </c>
    </row>
    <row r="755" spans="1:8" x14ac:dyDescent="0.2">
      <c r="A755" s="16">
        <f>DATE(2019,8,22)</f>
        <v>43699</v>
      </c>
      <c r="B755" s="2">
        <v>78.131465182324234</v>
      </c>
      <c r="C755" s="2">
        <v>69.035053916100338</v>
      </c>
      <c r="D755" s="2">
        <v>31.535120882607188</v>
      </c>
      <c r="E755" s="2">
        <v>22.547345307298851</v>
      </c>
      <c r="F755" s="2">
        <v>25.349984880501509</v>
      </c>
      <c r="G755" s="2">
        <v>25.457246345038765</v>
      </c>
      <c r="H755" s="2">
        <v>27.904914463798189</v>
      </c>
    </row>
    <row r="756" spans="1:8" x14ac:dyDescent="0.2">
      <c r="A756" s="16">
        <f>DATE(2019,8,23)</f>
        <v>43700</v>
      </c>
      <c r="B756" s="2">
        <v>74.148380438550376</v>
      </c>
      <c r="C756" s="2">
        <v>65.073674069566863</v>
      </c>
      <c r="D756" s="2">
        <v>31.570240957388496</v>
      </c>
      <c r="E756" s="2">
        <v>22.573101399916972</v>
      </c>
      <c r="F756" s="2">
        <v>25.380095063300189</v>
      </c>
      <c r="G756" s="2">
        <v>25.48752483374048</v>
      </c>
      <c r="H756" s="2">
        <v>27.939066579552762</v>
      </c>
    </row>
    <row r="757" spans="1:8" x14ac:dyDescent="0.2">
      <c r="A757" s="16">
        <f>DATE(2019,8,26)</f>
        <v>43703</v>
      </c>
      <c r="B757" s="2">
        <v>71.971022792616296</v>
      </c>
      <c r="C757" s="2">
        <v>62.981442044417271</v>
      </c>
      <c r="D757" s="2">
        <v>31.605370409282507</v>
      </c>
      <c r="E757" s="2">
        <v>22.59886290575972</v>
      </c>
      <c r="F757" s="2">
        <v>25.41021247883295</v>
      </c>
      <c r="G757" s="2">
        <v>25.517810630006377</v>
      </c>
      <c r="H757" s="2">
        <v>27.973227814323721</v>
      </c>
    </row>
    <row r="758" spans="1:8" x14ac:dyDescent="0.2">
      <c r="A758" s="16">
        <f>DATE(2019,8,27)</f>
        <v>43704</v>
      </c>
      <c r="B758" s="2">
        <v>72.919740744857364</v>
      </c>
      <c r="C758" s="2">
        <v>64.412314504952036</v>
      </c>
      <c r="D758" s="2">
        <v>31.640509240792937</v>
      </c>
      <c r="E758" s="2">
        <v>22.624629825964803</v>
      </c>
      <c r="F758" s="2">
        <v>25.440337128837154</v>
      </c>
      <c r="G758" s="2">
        <v>25.54810373560008</v>
      </c>
      <c r="H758" s="2">
        <v>28.007398170545962</v>
      </c>
    </row>
    <row r="759" spans="1:8" x14ac:dyDescent="0.2">
      <c r="A759" s="16">
        <f>DATE(2019,8,28)</f>
        <v>43705</v>
      </c>
      <c r="B759" s="2">
        <v>74.491891715868746</v>
      </c>
      <c r="C759" s="2">
        <v>65.962765777642417</v>
      </c>
      <c r="D759" s="2">
        <v>31.675657454424133</v>
      </c>
      <c r="E759" s="2">
        <v>22.650402161670158</v>
      </c>
      <c r="F759" s="2">
        <v>25.470469015050611</v>
      </c>
      <c r="G759" s="2">
        <v>25.578404152285671</v>
      </c>
      <c r="H759" s="2">
        <v>28.041577650655004</v>
      </c>
    </row>
    <row r="760" spans="1:8" x14ac:dyDescent="0.2">
      <c r="A760" s="16">
        <f>DATE(2019,8,29)</f>
        <v>43706</v>
      </c>
      <c r="B760" s="2">
        <v>78.090182822663266</v>
      </c>
      <c r="C760" s="2">
        <v>69.902359463205073</v>
      </c>
      <c r="D760" s="2">
        <v>31.710815052681141</v>
      </c>
      <c r="E760" s="2">
        <v>22.676179914013982</v>
      </c>
      <c r="F760" s="2">
        <v>25.50060813921149</v>
      </c>
      <c r="G760" s="2">
        <v>25.608711881827631</v>
      </c>
      <c r="H760" s="2">
        <v>28.075766257087029</v>
      </c>
    </row>
    <row r="761" spans="1:8" x14ac:dyDescent="0.2">
      <c r="A761" s="16">
        <f>DATE(2019,8,30)</f>
        <v>43707</v>
      </c>
      <c r="B761" s="2">
        <v>81.255995010666837</v>
      </c>
      <c r="C761" s="2">
        <v>70.933661224351667</v>
      </c>
      <c r="D761" s="2">
        <v>31.745982038069688</v>
      </c>
      <c r="E761" s="2">
        <v>22.701963084134725</v>
      </c>
      <c r="F761" s="2">
        <v>25.530754503058439</v>
      </c>
      <c r="G761" s="2">
        <v>25.639026925990894</v>
      </c>
      <c r="H761" s="2">
        <v>28.109963992278875</v>
      </c>
    </row>
    <row r="762" spans="1:8" x14ac:dyDescent="0.2">
      <c r="A762" s="16">
        <f>DATE(2019,9,2)</f>
        <v>43710</v>
      </c>
      <c r="B762" s="2">
        <v>80.266070269734399</v>
      </c>
      <c r="C762" s="2">
        <v>70.07358956157239</v>
      </c>
      <c r="D762" s="2">
        <v>31.781158413096119</v>
      </c>
      <c r="E762" s="2">
        <v>22.718139001890147</v>
      </c>
      <c r="F762" s="2">
        <v>25.551073529607081</v>
      </c>
      <c r="G762" s="2">
        <v>25.659506214144344</v>
      </c>
      <c r="H762" s="2">
        <v>28.13413394546598</v>
      </c>
    </row>
    <row r="763" spans="1:8" x14ac:dyDescent="0.2">
      <c r="A763" s="16">
        <f>DATE(2019,9,3)</f>
        <v>43711</v>
      </c>
      <c r="B763" s="2">
        <v>78.882503218292413</v>
      </c>
      <c r="C763" s="2">
        <v>68.476540580738799</v>
      </c>
      <c r="D763" s="2">
        <v>31.81634418026751</v>
      </c>
      <c r="E763" s="2">
        <v>22.734317052132358</v>
      </c>
      <c r="F763" s="2">
        <v>25.571395845093491</v>
      </c>
      <c r="G763" s="2">
        <v>25.679988840442427</v>
      </c>
      <c r="H763" s="2">
        <v>28.158308458693671</v>
      </c>
    </row>
    <row r="764" spans="1:8" x14ac:dyDescent="0.2">
      <c r="A764" s="16">
        <f>DATE(2019,9,4)</f>
        <v>43712</v>
      </c>
      <c r="B764" s="2">
        <v>79.620041531056458</v>
      </c>
      <c r="C764" s="2">
        <v>71.04568502180291</v>
      </c>
      <c r="D764" s="2">
        <v>31.85153934209157</v>
      </c>
      <c r="E764" s="2">
        <v>22.750497235142486</v>
      </c>
      <c r="F764" s="2">
        <v>25.591721450050041</v>
      </c>
      <c r="G764" s="2">
        <v>25.700474805429273</v>
      </c>
      <c r="H764" s="2">
        <v>28.182487532822286</v>
      </c>
    </row>
    <row r="765" spans="1:8" x14ac:dyDescent="0.2">
      <c r="A765" s="16">
        <f>DATE(2019,9,5)</f>
        <v>43713</v>
      </c>
      <c r="B765" s="2">
        <v>79.830300578722117</v>
      </c>
      <c r="C765" s="2">
        <v>72.807017543859473</v>
      </c>
      <c r="D765" s="2">
        <v>31.886743901076684</v>
      </c>
      <c r="E765" s="2">
        <v>22.766679551201708</v>
      </c>
      <c r="F765" s="2">
        <v>25.612050345009173</v>
      </c>
      <c r="G765" s="2">
        <v>25.720964109649081</v>
      </c>
      <c r="H765" s="2">
        <v>28.206671168712315</v>
      </c>
    </row>
    <row r="766" spans="1:8" x14ac:dyDescent="0.2">
      <c r="A766" s="16">
        <f>DATE(2019,9,6)</f>
        <v>43714</v>
      </c>
      <c r="B766" s="2">
        <v>79.154634279788368</v>
      </c>
      <c r="C766" s="2">
        <v>73.977334955886633</v>
      </c>
      <c r="D766" s="2">
        <v>31.921957859731911</v>
      </c>
      <c r="E766" s="2">
        <v>22.782864000591196</v>
      </c>
      <c r="F766" s="2">
        <v>25.632382530503438</v>
      </c>
      <c r="G766" s="2">
        <v>25.74145675364614</v>
      </c>
      <c r="H766" s="2">
        <v>28.230859367224404</v>
      </c>
    </row>
    <row r="767" spans="1:8" x14ac:dyDescent="0.2">
      <c r="A767" s="16">
        <f>DATE(2019,9,9)</f>
        <v>43717</v>
      </c>
      <c r="B767" s="2">
        <v>76.481153218491656</v>
      </c>
      <c r="C767" s="2">
        <v>74.391694554304635</v>
      </c>
      <c r="D767" s="2">
        <v>31.957181220566966</v>
      </c>
      <c r="E767" s="2">
        <v>22.799050583592216</v>
      </c>
      <c r="F767" s="2">
        <v>25.652718007065435</v>
      </c>
      <c r="G767" s="2">
        <v>25.761952737964865</v>
      </c>
      <c r="H767" s="2">
        <v>28.255052129219351</v>
      </c>
    </row>
    <row r="768" spans="1:8" x14ac:dyDescent="0.2">
      <c r="A768" s="16">
        <f>DATE(2019,9,10)</f>
        <v>43718</v>
      </c>
      <c r="B768" s="2">
        <v>77.201090365429266</v>
      </c>
      <c r="C768" s="2">
        <v>74.139708616434916</v>
      </c>
      <c r="D768" s="2">
        <v>31.992413986092249</v>
      </c>
      <c r="E768" s="2">
        <v>22.815239300486034</v>
      </c>
      <c r="F768" s="2">
        <v>25.673056775227888</v>
      </c>
      <c r="G768" s="2">
        <v>25.782452063149709</v>
      </c>
      <c r="H768" s="2">
        <v>28.279249455558151</v>
      </c>
    </row>
    <row r="769" spans="1:8" x14ac:dyDescent="0.2">
      <c r="A769" s="16">
        <f>DATE(2019,9,11)</f>
        <v>43719</v>
      </c>
      <c r="B769" s="2">
        <v>80.900454209007222</v>
      </c>
      <c r="C769" s="2">
        <v>74.839603826521795</v>
      </c>
      <c r="D769" s="2">
        <v>32.027656158818843</v>
      </c>
      <c r="E769" s="2">
        <v>22.831430151553956</v>
      </c>
      <c r="F769" s="2">
        <v>25.693398835523574</v>
      </c>
      <c r="G769" s="2">
        <v>25.802954729745231</v>
      </c>
      <c r="H769" s="2">
        <v>28.303451347101952</v>
      </c>
    </row>
    <row r="770" spans="1:8" x14ac:dyDescent="0.2">
      <c r="A770" s="16">
        <f>DATE(2019,9,12)</f>
        <v>43720</v>
      </c>
      <c r="B770" s="2">
        <v>80.51223239804375</v>
      </c>
      <c r="C770" s="2">
        <v>76.403525673528534</v>
      </c>
      <c r="D770" s="2">
        <v>32.062907741258464</v>
      </c>
      <c r="E770" s="2">
        <v>22.84762313707731</v>
      </c>
      <c r="F770" s="2">
        <v>25.713744188485379</v>
      </c>
      <c r="G770" s="2">
        <v>25.823460738296067</v>
      </c>
      <c r="H770" s="2">
        <v>28.327657804711979</v>
      </c>
    </row>
    <row r="771" spans="1:8" x14ac:dyDescent="0.2">
      <c r="A771" s="16">
        <f>DATE(2019,9,13)</f>
        <v>43721</v>
      </c>
      <c r="B771" s="2">
        <v>78.777823685233074</v>
      </c>
      <c r="C771" s="2">
        <v>74.933542913159371</v>
      </c>
      <c r="D771" s="2">
        <v>32.098168735923529</v>
      </c>
      <c r="E771" s="2">
        <v>22.863818257337542</v>
      </c>
      <c r="F771" s="2">
        <v>25.734092834646294</v>
      </c>
      <c r="G771" s="2">
        <v>25.843970089347025</v>
      </c>
      <c r="H771" s="2">
        <v>28.35186882924976</v>
      </c>
    </row>
    <row r="772" spans="1:8" x14ac:dyDescent="0.2">
      <c r="A772" s="16">
        <f>DATE(2019,9,16)</f>
        <v>43724</v>
      </c>
      <c r="B772" s="2">
        <v>79.259526785580164</v>
      </c>
      <c r="C772" s="2">
        <v>75.236470270087324</v>
      </c>
      <c r="D772" s="2">
        <v>32.133439145327117</v>
      </c>
      <c r="E772" s="2">
        <v>22.880015512616048</v>
      </c>
      <c r="F772" s="2">
        <v>25.754444774539365</v>
      </c>
      <c r="G772" s="2">
        <v>25.864482783442892</v>
      </c>
      <c r="H772" s="2">
        <v>28.376084421576888</v>
      </c>
    </row>
    <row r="773" spans="1:8" x14ac:dyDescent="0.2">
      <c r="A773" s="16">
        <f>DATE(2019,9,17)</f>
        <v>43725</v>
      </c>
      <c r="B773" s="2">
        <v>82.029422663898302</v>
      </c>
      <c r="C773" s="2">
        <v>76.819220498258915</v>
      </c>
      <c r="D773" s="2">
        <v>32.168718971982969</v>
      </c>
      <c r="E773" s="2">
        <v>22.896214903194291</v>
      </c>
      <c r="F773" s="2">
        <v>25.774800008697721</v>
      </c>
      <c r="G773" s="2">
        <v>25.88499882112858</v>
      </c>
      <c r="H773" s="2">
        <v>28.400304582555162</v>
      </c>
    </row>
    <row r="774" spans="1:8" x14ac:dyDescent="0.2">
      <c r="A774" s="16">
        <f>DATE(2019,9,18)</f>
        <v>43726</v>
      </c>
      <c r="B774" s="2">
        <v>83.485860740290121</v>
      </c>
      <c r="C774" s="2">
        <v>76.675675218875455</v>
      </c>
      <c r="D774" s="2">
        <v>32.204008218405519</v>
      </c>
      <c r="E774" s="2">
        <v>22.912416429353776</v>
      </c>
      <c r="F774" s="2">
        <v>25.795158537654569</v>
      </c>
      <c r="G774" s="2">
        <v>25.905518202949128</v>
      </c>
      <c r="H774" s="2">
        <v>28.424529313046509</v>
      </c>
    </row>
    <row r="775" spans="1:8" x14ac:dyDescent="0.2">
      <c r="A775" s="16">
        <f>DATE(2019,9,19)</f>
        <v>43727</v>
      </c>
      <c r="B775" s="2">
        <v>84.605128630720998</v>
      </c>
      <c r="C775" s="2">
        <v>76.349863097048754</v>
      </c>
      <c r="D775" s="2">
        <v>32.239306887109855</v>
      </c>
      <c r="E775" s="2">
        <v>22.928620091376018</v>
      </c>
      <c r="F775" s="2">
        <v>25.815520361943257</v>
      </c>
      <c r="G775" s="2">
        <v>25.926040929449609</v>
      </c>
      <c r="H775" s="2">
        <v>28.44875861391305</v>
      </c>
    </row>
    <row r="776" spans="1:8" x14ac:dyDescent="0.2">
      <c r="A776" s="16">
        <f>DATE(2019,9,20)</f>
        <v>43728</v>
      </c>
      <c r="B776" s="2">
        <v>85.711796779494705</v>
      </c>
      <c r="C776" s="2">
        <v>77.158165162424154</v>
      </c>
      <c r="D776" s="2">
        <v>32.272130857011796</v>
      </c>
      <c r="E776" s="2">
        <v>22.944825889542606</v>
      </c>
      <c r="F776" s="2">
        <v>25.835885482097165</v>
      </c>
      <c r="G776" s="2">
        <v>25.946567001175215</v>
      </c>
      <c r="H776" s="2">
        <v>28.472992486017091</v>
      </c>
    </row>
    <row r="777" spans="1:8" x14ac:dyDescent="0.2">
      <c r="A777" s="16">
        <f>DATE(2019,9,23)</f>
        <v>43731</v>
      </c>
      <c r="B777" s="2">
        <v>84.954493223138584</v>
      </c>
      <c r="C777" s="2">
        <v>76.854646249535023</v>
      </c>
      <c r="D777" s="2">
        <v>32.304962974362667</v>
      </c>
      <c r="E777" s="2">
        <v>22.961033824135125</v>
      </c>
      <c r="F777" s="2">
        <v>25.856253898649761</v>
      </c>
      <c r="G777" s="2">
        <v>25.96709641867119</v>
      </c>
      <c r="H777" s="2">
        <v>28.497230930220987</v>
      </c>
    </row>
    <row r="778" spans="1:8" x14ac:dyDescent="0.2">
      <c r="A778" s="16">
        <f>DATE(2019,9,24)</f>
        <v>43732</v>
      </c>
      <c r="B778" s="2">
        <v>83.604026256377352</v>
      </c>
      <c r="C778" s="2">
        <v>75.566473988439114</v>
      </c>
      <c r="D778" s="2">
        <v>32.33780324118483</v>
      </c>
      <c r="E778" s="2">
        <v>22.977243895435272</v>
      </c>
      <c r="F778" s="2">
        <v>25.87662561213466</v>
      </c>
      <c r="G778" s="2">
        <v>25.987629182482962</v>
      </c>
      <c r="H778" s="2">
        <v>28.52147394738742</v>
      </c>
    </row>
    <row r="779" spans="1:8" x14ac:dyDescent="0.2">
      <c r="A779" s="16">
        <f>DATE(2019,9,25)</f>
        <v>43733</v>
      </c>
      <c r="B779" s="2">
        <v>83.29248836928393</v>
      </c>
      <c r="C779" s="2">
        <v>76.589561572524545</v>
      </c>
      <c r="D779" s="2">
        <v>32.370651659501078</v>
      </c>
      <c r="E779" s="2">
        <v>22.993456103724697</v>
      </c>
      <c r="F779" s="2">
        <v>25.897000623085511</v>
      </c>
      <c r="G779" s="2">
        <v>26.008165293155951</v>
      </c>
      <c r="H779" s="2">
        <v>28.545721538379109</v>
      </c>
    </row>
    <row r="780" spans="1:8" x14ac:dyDescent="0.2">
      <c r="A780" s="16">
        <f>DATE(2019,9,26)</f>
        <v>43734</v>
      </c>
      <c r="B780" s="2">
        <v>84.354287972385194</v>
      </c>
      <c r="C780" s="2">
        <v>78.006625426765169</v>
      </c>
      <c r="D780" s="2">
        <v>32.403508231334776</v>
      </c>
      <c r="E780" s="2">
        <v>23.009670449285125</v>
      </c>
      <c r="F780" s="2">
        <v>25.91737893203603</v>
      </c>
      <c r="G780" s="2">
        <v>26.028704751235711</v>
      </c>
      <c r="H780" s="2">
        <v>28.569973704058981</v>
      </c>
    </row>
    <row r="781" spans="1:8" x14ac:dyDescent="0.2">
      <c r="A781" s="16">
        <f>DATE(2019,9,27)</f>
        <v>43735</v>
      </c>
      <c r="B781" s="2">
        <v>84.435684776722496</v>
      </c>
      <c r="C781" s="2">
        <v>77.597995470371316</v>
      </c>
      <c r="D781" s="2">
        <v>32.436372958709732</v>
      </c>
      <c r="E781" s="2">
        <v>23.025886932398311</v>
      </c>
      <c r="F781" s="2">
        <v>25.93776053952006</v>
      </c>
      <c r="G781" s="2">
        <v>26.049247557267851</v>
      </c>
      <c r="H781" s="2">
        <v>28.594230445290151</v>
      </c>
    </row>
    <row r="782" spans="1:8" x14ac:dyDescent="0.2">
      <c r="A782" s="16">
        <f>DATE(2019,9,30)</f>
        <v>43738</v>
      </c>
      <c r="B782" s="2">
        <v>85.247942168147304</v>
      </c>
      <c r="C782" s="2">
        <v>77.036338437616038</v>
      </c>
      <c r="D782" s="2">
        <v>32.469245843650299</v>
      </c>
      <c r="E782" s="2">
        <v>23.042105553346069</v>
      </c>
      <c r="F782" s="2">
        <v>25.958145446071509</v>
      </c>
      <c r="G782" s="2">
        <v>26.069793711798095</v>
      </c>
      <c r="H782" s="2">
        <v>28.618491762935825</v>
      </c>
    </row>
    <row r="783" spans="1:8" x14ac:dyDescent="0.2">
      <c r="A783" s="16">
        <f>DATE(2019,10,1)</f>
        <v>43739</v>
      </c>
      <c r="B783" s="2">
        <v>83.866587285087888</v>
      </c>
      <c r="C783" s="2">
        <v>75.866883007132287</v>
      </c>
      <c r="D783" s="2">
        <v>32.502126888181301</v>
      </c>
      <c r="E783" s="2">
        <v>23.063396826645619</v>
      </c>
      <c r="F783" s="2">
        <v>25.983724491132929</v>
      </c>
      <c r="G783" s="2">
        <v>26.095538661299255</v>
      </c>
      <c r="H783" s="2">
        <v>28.64805827386434</v>
      </c>
    </row>
    <row r="784" spans="1:8" x14ac:dyDescent="0.2">
      <c r="A784" s="16">
        <f>DATE(2019,10,2)</f>
        <v>43740</v>
      </c>
      <c r="B784" s="2">
        <v>80.137352298257184</v>
      </c>
      <c r="C784" s="2">
        <v>70.759287428590596</v>
      </c>
      <c r="D784" s="2">
        <v>32.535016094328121</v>
      </c>
      <c r="E784" s="2">
        <v>23.084691784198764</v>
      </c>
      <c r="F784" s="2">
        <v>26.00930873067815</v>
      </c>
      <c r="G784" s="2">
        <v>26.121288868224934</v>
      </c>
      <c r="H784" s="2">
        <v>28.677631581471609</v>
      </c>
    </row>
    <row r="785" spans="1:8" x14ac:dyDescent="0.2">
      <c r="A785" s="16">
        <f>DATE(2019,10,3)</f>
        <v>43741</v>
      </c>
      <c r="B785" s="2">
        <v>81.997648506229552</v>
      </c>
      <c r="C785" s="2">
        <v>71.578338910860808</v>
      </c>
      <c r="D785" s="2">
        <v>32.567913464116579</v>
      </c>
      <c r="E785" s="2">
        <v>23.105990426643007</v>
      </c>
      <c r="F785" s="2">
        <v>26.034898165762055</v>
      </c>
      <c r="G785" s="2">
        <v>26.147044333648761</v>
      </c>
      <c r="H785" s="2">
        <v>28.707211687320001</v>
      </c>
    </row>
    <row r="786" spans="1:8" x14ac:dyDescent="0.2">
      <c r="A786" s="16">
        <f>DATE(2019,10,4)</f>
        <v>43742</v>
      </c>
      <c r="B786" s="2">
        <v>84.451774523157226</v>
      </c>
      <c r="C786" s="2">
        <v>73.328127640874683</v>
      </c>
      <c r="D786" s="2">
        <v>32.600818999573036</v>
      </c>
      <c r="E786" s="2">
        <v>23.127292754616001</v>
      </c>
      <c r="F786" s="2">
        <v>26.060492797439714</v>
      </c>
      <c r="G786" s="2">
        <v>26.172805058644592</v>
      </c>
      <c r="H786" s="2">
        <v>28.73679859297231</v>
      </c>
    </row>
    <row r="787" spans="1:8" x14ac:dyDescent="0.2">
      <c r="A787" s="16">
        <f>DATE(2019,10,7)</f>
        <v>43745</v>
      </c>
      <c r="B787" s="2">
        <v>81.352993785180587</v>
      </c>
      <c r="C787" s="2">
        <v>69.984061792245413</v>
      </c>
      <c r="D787" s="2">
        <v>32.633732702724338</v>
      </c>
      <c r="E787" s="2">
        <v>23.148598768755502</v>
      </c>
      <c r="F787" s="2">
        <v>26.086092626766444</v>
      </c>
      <c r="G787" s="2">
        <v>26.198571044286467</v>
      </c>
      <c r="H787" s="2">
        <v>28.766392299991651</v>
      </c>
    </row>
    <row r="788" spans="1:8" x14ac:dyDescent="0.2">
      <c r="A788" s="16">
        <f>DATE(2019,10,8)</f>
        <v>43746</v>
      </c>
      <c r="B788" s="2">
        <v>80.753619815092677</v>
      </c>
      <c r="C788" s="2">
        <v>68.984551938613237</v>
      </c>
      <c r="D788" s="2">
        <v>32.666654575597832</v>
      </c>
      <c r="E788" s="2">
        <v>23.16990846969933</v>
      </c>
      <c r="F788" s="2">
        <v>26.111697654797752</v>
      </c>
      <c r="G788" s="2">
        <v>26.224342291648718</v>
      </c>
      <c r="H788" s="2">
        <v>28.795992809941495</v>
      </c>
    </row>
    <row r="789" spans="1:8" x14ac:dyDescent="0.2">
      <c r="A789" s="16">
        <f>DATE(2019,10,9)</f>
        <v>43747</v>
      </c>
      <c r="B789" s="2">
        <v>82.002292685815362</v>
      </c>
      <c r="C789" s="2">
        <v>71.12662677889314</v>
      </c>
      <c r="D789" s="2">
        <v>32.699584620221401</v>
      </c>
      <c r="E789" s="2">
        <v>23.191221858085488</v>
      </c>
      <c r="F789" s="2">
        <v>26.137307882589369</v>
      </c>
      <c r="G789" s="2">
        <v>26.250118801805812</v>
      </c>
      <c r="H789" s="2">
        <v>28.825600124385687</v>
      </c>
    </row>
    <row r="790" spans="1:8" x14ac:dyDescent="0.2">
      <c r="A790" s="16">
        <f>DATE(2019,10,10)</f>
        <v>43748</v>
      </c>
      <c r="B790" s="2">
        <v>81.939596261407686</v>
      </c>
      <c r="C790" s="2">
        <v>72.087229151877622</v>
      </c>
      <c r="D790" s="2">
        <v>32.732522838623403</v>
      </c>
      <c r="E790" s="2">
        <v>23.21253893455204</v>
      </c>
      <c r="F790" s="2">
        <v>26.16292331119725</v>
      </c>
      <c r="G790" s="2">
        <v>26.275900575832491</v>
      </c>
      <c r="H790" s="2">
        <v>28.85521424488844</v>
      </c>
    </row>
    <row r="791" spans="1:8" x14ac:dyDescent="0.2">
      <c r="A791" s="16">
        <f>DATE(2019,10,11)</f>
        <v>43749</v>
      </c>
      <c r="B791" s="2">
        <v>85.413119697408064</v>
      </c>
      <c r="C791" s="2">
        <v>75.492546394888805</v>
      </c>
      <c r="D791" s="2">
        <v>32.765469232832679</v>
      </c>
      <c r="E791" s="2">
        <v>23.23385969973717</v>
      </c>
      <c r="F791" s="2">
        <v>26.188543941677555</v>
      </c>
      <c r="G791" s="2">
        <v>26.30168761480369</v>
      </c>
      <c r="H791" s="2">
        <v>28.884835173014299</v>
      </c>
    </row>
    <row r="792" spans="1:8" x14ac:dyDescent="0.2">
      <c r="A792" s="16">
        <f>DATE(2019,10,14)</f>
        <v>43752</v>
      </c>
      <c r="B792" s="2">
        <v>86.694013281528925</v>
      </c>
      <c r="C792" s="2">
        <v>76.286346888415508</v>
      </c>
      <c r="D792" s="2">
        <v>32.798423804878631</v>
      </c>
      <c r="E792" s="2">
        <v>23.255184154279185</v>
      </c>
      <c r="F792" s="2">
        <v>26.214169775086638</v>
      </c>
      <c r="G792" s="2">
        <v>26.327479919794584</v>
      </c>
      <c r="H792" s="2">
        <v>28.914462910328201</v>
      </c>
    </row>
    <row r="793" spans="1:8" x14ac:dyDescent="0.2">
      <c r="A793" s="16">
        <f>DATE(2019,10,15)</f>
        <v>43753</v>
      </c>
      <c r="B793" s="2">
        <v>85.669264063791502</v>
      </c>
      <c r="C793" s="2">
        <v>76.604063144373313</v>
      </c>
      <c r="D793" s="2">
        <v>32.831386556791102</v>
      </c>
      <c r="E793" s="2">
        <v>23.276512298816488</v>
      </c>
      <c r="F793" s="2">
        <v>26.239800812481121</v>
      </c>
      <c r="G793" s="2">
        <v>26.353277491880544</v>
      </c>
      <c r="H793" s="2">
        <v>28.944097458395412</v>
      </c>
    </row>
    <row r="794" spans="1:8" x14ac:dyDescent="0.2">
      <c r="A794" s="16">
        <f>DATE(2019,10,16)</f>
        <v>43754</v>
      </c>
      <c r="B794" s="2">
        <v>87.346877757910676</v>
      </c>
      <c r="C794" s="2">
        <v>78.181387959300807</v>
      </c>
      <c r="D794" s="2">
        <v>32.864357490600483</v>
      </c>
      <c r="E794" s="2">
        <v>23.297844133987589</v>
      </c>
      <c r="F794" s="2">
        <v>26.265437054917772</v>
      </c>
      <c r="G794" s="2">
        <v>26.379080332137185</v>
      </c>
      <c r="H794" s="2">
        <v>28.97373881878158</v>
      </c>
    </row>
    <row r="795" spans="1:8" x14ac:dyDescent="0.2">
      <c r="A795" s="16">
        <f>DATE(2019,10,17)</f>
        <v>43755</v>
      </c>
      <c r="B795" s="2">
        <v>87.759941807605074</v>
      </c>
      <c r="C795" s="2">
        <v>77.493442179630065</v>
      </c>
      <c r="D795" s="2">
        <v>32.897336608337667</v>
      </c>
      <c r="E795" s="2">
        <v>23.319179660431132</v>
      </c>
      <c r="F795" s="2">
        <v>26.291078503453623</v>
      </c>
      <c r="G795" s="2">
        <v>26.404888441640331</v>
      </c>
      <c r="H795" s="2">
        <v>29.003386993052715</v>
      </c>
    </row>
    <row r="796" spans="1:8" x14ac:dyDescent="0.2">
      <c r="A796" s="16">
        <f>DATE(2019,10,18)</f>
        <v>43756</v>
      </c>
      <c r="B796" s="2">
        <v>87.770672885286956</v>
      </c>
      <c r="C796" s="2">
        <v>77.008569110637708</v>
      </c>
      <c r="D796" s="2">
        <v>32.930323912034027</v>
      </c>
      <c r="E796" s="2">
        <v>23.340518878785854</v>
      </c>
      <c r="F796" s="2">
        <v>26.316725159145914</v>
      </c>
      <c r="G796" s="2">
        <v>26.43070182146603</v>
      </c>
      <c r="H796" s="2">
        <v>29.033041982775163</v>
      </c>
    </row>
    <row r="797" spans="1:8" x14ac:dyDescent="0.2">
      <c r="A797" s="16">
        <f>DATE(2019,10,21)</f>
        <v>43759</v>
      </c>
      <c r="B797" s="2">
        <v>88.737088184588515</v>
      </c>
      <c r="C797" s="2">
        <v>79.194605009633776</v>
      </c>
      <c r="D797" s="2">
        <v>32.963319403721435</v>
      </c>
      <c r="E797" s="2">
        <v>23.361861789690597</v>
      </c>
      <c r="F797" s="2">
        <v>26.342377023052091</v>
      </c>
      <c r="G797" s="2">
        <v>26.456520472690539</v>
      </c>
      <c r="H797" s="2">
        <v>29.062703789515631</v>
      </c>
    </row>
    <row r="798" spans="1:8" x14ac:dyDescent="0.2">
      <c r="A798" s="16">
        <f>DATE(2019,10,22)</f>
        <v>43760</v>
      </c>
      <c r="B798" s="2">
        <v>89.112002634815909</v>
      </c>
      <c r="C798" s="2">
        <v>81.491244971774179</v>
      </c>
      <c r="D798" s="2">
        <v>32.996323085432365</v>
      </c>
      <c r="E798" s="2">
        <v>23.383208393784315</v>
      </c>
      <c r="F798" s="2">
        <v>26.36803409622981</v>
      </c>
      <c r="G798" s="2">
        <v>26.482344396390321</v>
      </c>
      <c r="H798" s="2">
        <v>29.092372414841218</v>
      </c>
    </row>
    <row r="799" spans="1:8" x14ac:dyDescent="0.2">
      <c r="A799" s="16">
        <f>DATE(2019,10,23)</f>
        <v>43761</v>
      </c>
      <c r="B799" s="2">
        <v>88.282336440032722</v>
      </c>
      <c r="C799" s="2">
        <v>81.765862150559286</v>
      </c>
      <c r="D799" s="2">
        <v>33.029334959199623</v>
      </c>
      <c r="E799" s="2">
        <v>23.4045586917061</v>
      </c>
      <c r="F799" s="2">
        <v>26.393696379736941</v>
      </c>
      <c r="G799" s="2">
        <v>26.508173593642105</v>
      </c>
      <c r="H799" s="2">
        <v>29.122047860319356</v>
      </c>
    </row>
    <row r="800" spans="1:8" x14ac:dyDescent="0.2">
      <c r="A800" s="16">
        <f>DATE(2019,10,24)</f>
        <v>43762</v>
      </c>
      <c r="B800" s="2">
        <v>87.552877350926735</v>
      </c>
      <c r="C800" s="2">
        <v>80.823699421965145</v>
      </c>
      <c r="D800" s="2">
        <v>33.062355027056633</v>
      </c>
      <c r="E800" s="2">
        <v>23.425912684095131</v>
      </c>
      <c r="F800" s="2">
        <v>26.419363874631596</v>
      </c>
      <c r="G800" s="2">
        <v>26.534008065522794</v>
      </c>
      <c r="H800" s="2">
        <v>29.15173012751784</v>
      </c>
    </row>
    <row r="801" spans="1:8" x14ac:dyDescent="0.2">
      <c r="A801" s="16">
        <f>DATE(2019,10,25)</f>
        <v>43763</v>
      </c>
      <c r="B801" s="2">
        <v>87.150599339619419</v>
      </c>
      <c r="C801" s="2">
        <v>81.461937599296718</v>
      </c>
      <c r="D801" s="2">
        <v>33.095383291037315</v>
      </c>
      <c r="E801" s="2">
        <v>23.44727037159069</v>
      </c>
      <c r="F801" s="2">
        <v>26.445036581972062</v>
      </c>
      <c r="G801" s="2">
        <v>26.559847813109538</v>
      </c>
      <c r="H801" s="2">
        <v>29.181419218004834</v>
      </c>
    </row>
    <row r="802" spans="1:8" x14ac:dyDescent="0.2">
      <c r="A802" s="16">
        <f>DATE(2019,10,28)</f>
        <v>43766</v>
      </c>
      <c r="B802" s="2">
        <v>87.841888218993972</v>
      </c>
      <c r="C802" s="2">
        <v>82.853429334414841</v>
      </c>
      <c r="D802" s="2">
        <v>33.128419753176082</v>
      </c>
      <c r="E802" s="2">
        <v>23.468631754832181</v>
      </c>
      <c r="F802" s="2">
        <v>26.470714502816861</v>
      </c>
      <c r="G802" s="2">
        <v>26.585692837479691</v>
      </c>
      <c r="H802" s="2">
        <v>29.211115133348866</v>
      </c>
    </row>
    <row r="803" spans="1:8" x14ac:dyDescent="0.2">
      <c r="A803" s="16">
        <f>DATE(2019,10,29)</f>
        <v>43767</v>
      </c>
      <c r="B803" s="2">
        <v>86.860764060974773</v>
      </c>
      <c r="C803" s="2">
        <v>81.787276476354464</v>
      </c>
      <c r="D803" s="2">
        <v>33.161464415507872</v>
      </c>
      <c r="E803" s="2">
        <v>23.489996834459117</v>
      </c>
      <c r="F803" s="2">
        <v>26.496397638224757</v>
      </c>
      <c r="G803" s="2">
        <v>26.611543139710861</v>
      </c>
      <c r="H803" s="2">
        <v>29.240817875118829</v>
      </c>
    </row>
    <row r="804" spans="1:8" x14ac:dyDescent="0.2">
      <c r="A804" s="16">
        <f>DATE(2019,10,30)</f>
        <v>43768</v>
      </c>
      <c r="B804" s="2">
        <v>88.816863648123714</v>
      </c>
      <c r="C804" s="2">
        <v>83.226075786769215</v>
      </c>
      <c r="D804" s="2">
        <v>33.194517280068062</v>
      </c>
      <c r="E804" s="2">
        <v>23.511365611111135</v>
      </c>
      <c r="F804" s="2">
        <v>26.522085989254673</v>
      </c>
      <c r="G804" s="2">
        <v>26.637398720880821</v>
      </c>
      <c r="H804" s="2">
        <v>29.270527444883939</v>
      </c>
    </row>
    <row r="805" spans="1:8" x14ac:dyDescent="0.2">
      <c r="A805" s="16">
        <f>DATE(2019,10,31)</f>
        <v>43769</v>
      </c>
      <c r="B805" s="2">
        <v>88.915861618287479</v>
      </c>
      <c r="C805" s="2">
        <v>81.218655984855957</v>
      </c>
      <c r="D805" s="2">
        <v>33.227578348892607</v>
      </c>
      <c r="E805" s="2">
        <v>23.532738085427951</v>
      </c>
      <c r="F805" s="2">
        <v>26.547779556965789</v>
      </c>
      <c r="G805" s="2">
        <v>26.66325958206761</v>
      </c>
      <c r="H805" s="2">
        <v>29.300243844213814</v>
      </c>
    </row>
    <row r="806" spans="1:8" x14ac:dyDescent="0.2">
      <c r="A806" s="16">
        <f>DATE(2019,11,1)</f>
        <v>43770</v>
      </c>
      <c r="B806" s="2">
        <v>91.231843902803377</v>
      </c>
      <c r="C806" s="2">
        <v>82.867914004664641</v>
      </c>
      <c r="D806" s="2">
        <v>33.258133082406083</v>
      </c>
      <c r="E806" s="2">
        <v>23.585239703196105</v>
      </c>
      <c r="F806" s="2">
        <v>26.605364418254162</v>
      </c>
      <c r="G806" s="2">
        <v>26.721040933786931</v>
      </c>
      <c r="H806" s="2">
        <v>29.362547558300299</v>
      </c>
    </row>
    <row r="807" spans="1:8" x14ac:dyDescent="0.2">
      <c r="A807" s="16">
        <f>DATE(2019,11,4)</f>
        <v>43773</v>
      </c>
      <c r="B807" s="2">
        <v>91.577251324449648</v>
      </c>
      <c r="C807" s="2">
        <v>83.854460331947209</v>
      </c>
      <c r="D807" s="2">
        <v>33.288694823415703</v>
      </c>
      <c r="E807" s="2">
        <v>23.637763634238532</v>
      </c>
      <c r="F807" s="2">
        <v>26.662975483212502</v>
      </c>
      <c r="G807" s="2">
        <v>26.778848644251621</v>
      </c>
      <c r="H807" s="2">
        <v>29.424881293620111</v>
      </c>
    </row>
    <row r="808" spans="1:8" x14ac:dyDescent="0.2">
      <c r="A808" s="16">
        <f>DATE(2019,11,5)</f>
        <v>43774</v>
      </c>
      <c r="B808" s="2">
        <v>90.155596504333985</v>
      </c>
      <c r="C808" s="2">
        <v>83.752526789034036</v>
      </c>
      <c r="D808" s="2">
        <v>33.319263573528573</v>
      </c>
      <c r="E808" s="2">
        <v>23.690309888038421</v>
      </c>
      <c r="F808" s="2">
        <v>26.720612763764631</v>
      </c>
      <c r="G808" s="2">
        <v>26.836682725486028</v>
      </c>
      <c r="H808" s="2">
        <v>29.487245064639065</v>
      </c>
    </row>
    <row r="809" spans="1:8" x14ac:dyDescent="0.2">
      <c r="A809" s="16">
        <f>DATE(2019,11,6)</f>
        <v>43775</v>
      </c>
      <c r="B809" s="2">
        <v>89.916462476196557</v>
      </c>
      <c r="C809" s="2">
        <v>83.146097420815806</v>
      </c>
      <c r="D809" s="2">
        <v>33.349839334352161</v>
      </c>
      <c r="E809" s="2">
        <v>23.742878474082985</v>
      </c>
      <c r="F809" s="2">
        <v>26.778276271839797</v>
      </c>
      <c r="G809" s="2">
        <v>26.894543189520004</v>
      </c>
      <c r="H809" s="2">
        <v>29.549638885829953</v>
      </c>
    </row>
    <row r="810" spans="1:8" x14ac:dyDescent="0.2">
      <c r="A810" s="16">
        <f>DATE(2019,11,7)</f>
        <v>43776</v>
      </c>
      <c r="B810" s="2">
        <v>90.606006353182366</v>
      </c>
      <c r="C810" s="2">
        <v>85.208684041510097</v>
      </c>
      <c r="D810" s="2">
        <v>33.380422107494347</v>
      </c>
      <c r="E810" s="2">
        <v>23.795469401863478</v>
      </c>
      <c r="F810" s="2">
        <v>26.835966019372702</v>
      </c>
      <c r="G810" s="2">
        <v>26.952430048388877</v>
      </c>
      <c r="H810" s="2">
        <v>29.612062771672541</v>
      </c>
    </row>
    <row r="811" spans="1:8" x14ac:dyDescent="0.2">
      <c r="A811" s="16">
        <f>DATE(2019,11,8)</f>
        <v>43777</v>
      </c>
      <c r="B811" s="2">
        <v>87.598680228586744</v>
      </c>
      <c r="C811" s="2">
        <v>81.910184903491626</v>
      </c>
      <c r="D811" s="2">
        <v>33.411011894563345</v>
      </c>
      <c r="E811" s="2">
        <v>23.848082680875152</v>
      </c>
      <c r="F811" s="2">
        <v>26.89368201830349</v>
      </c>
      <c r="G811" s="2">
        <v>27.010343314133458</v>
      </c>
      <c r="H811" s="2">
        <v>29.67451673665358</v>
      </c>
    </row>
    <row r="812" spans="1:8" x14ac:dyDescent="0.2">
      <c r="A812" s="16">
        <f>DATE(2019,11,11)</f>
        <v>43780</v>
      </c>
      <c r="B812" s="2">
        <v>91.206486407461554</v>
      </c>
      <c r="C812" s="2">
        <v>83.158300375215276</v>
      </c>
      <c r="D812" s="2">
        <v>33.441608697167744</v>
      </c>
      <c r="E812" s="2">
        <v>23.900718320617329</v>
      </c>
      <c r="F812" s="2">
        <v>26.951424280577687</v>
      </c>
      <c r="G812" s="2">
        <v>27.06828299880004</v>
      </c>
      <c r="H812" s="2">
        <v>29.737000795266777</v>
      </c>
    </row>
    <row r="813" spans="1:8" x14ac:dyDescent="0.2">
      <c r="A813" s="16">
        <f>DATE(2019,11,12)</f>
        <v>43781</v>
      </c>
      <c r="B813" s="2">
        <v>88.633720838364766</v>
      </c>
      <c r="C813" s="2">
        <v>80.426444241625035</v>
      </c>
      <c r="D813" s="2">
        <v>33.4722125169165</v>
      </c>
      <c r="E813" s="2">
        <v>23.953376330593358</v>
      </c>
      <c r="F813" s="2">
        <v>27.009192818146268</v>
      </c>
      <c r="G813" s="2">
        <v>27.126249114440458</v>
      </c>
      <c r="H813" s="2">
        <v>29.799514962012875</v>
      </c>
    </row>
    <row r="814" spans="1:8" x14ac:dyDescent="0.2">
      <c r="A814" s="16">
        <f>DATE(2019,11,13)</f>
        <v>43782</v>
      </c>
      <c r="B814" s="2">
        <v>88.35460289722576</v>
      </c>
      <c r="C814" s="2">
        <v>79.258273332657055</v>
      </c>
      <c r="D814" s="2">
        <v>33.50282335541894</v>
      </c>
      <c r="E814" s="2">
        <v>24.006056720310621</v>
      </c>
      <c r="F814" s="2">
        <v>27.066987642965689</v>
      </c>
      <c r="G814" s="2">
        <v>27.184241673111998</v>
      </c>
      <c r="H814" s="2">
        <v>29.862059251399529</v>
      </c>
    </row>
    <row r="815" spans="1:8" x14ac:dyDescent="0.2">
      <c r="A815" s="16">
        <f>DATE(2019,11,14)</f>
        <v>43783</v>
      </c>
      <c r="B815" s="2">
        <v>90.231139993572015</v>
      </c>
      <c r="C815" s="2">
        <v>80.098164486360176</v>
      </c>
      <c r="D815" s="2">
        <v>33.533441214284764</v>
      </c>
      <c r="E815" s="2">
        <v>24.058759499280534</v>
      </c>
      <c r="F815" s="2">
        <v>27.124808766997809</v>
      </c>
      <c r="G815" s="2">
        <v>27.242260686877451</v>
      </c>
      <c r="H815" s="2">
        <v>29.924633677941451</v>
      </c>
    </row>
    <row r="816" spans="1:8" x14ac:dyDescent="0.2">
      <c r="A816" s="16">
        <f>DATE(2019,11,18)</f>
        <v>43787</v>
      </c>
      <c r="B816" s="2">
        <v>88.574088473269597</v>
      </c>
      <c r="C816" s="2">
        <v>79.612023797451002</v>
      </c>
      <c r="D816" s="2">
        <v>33.564066095124055</v>
      </c>
      <c r="E816" s="2">
        <v>24.111484677018581</v>
      </c>
      <c r="F816" s="2">
        <v>27.18265620220992</v>
      </c>
      <c r="G816" s="2">
        <v>27.300306167805143</v>
      </c>
      <c r="H816" s="2">
        <v>29.9872382561603</v>
      </c>
    </row>
    <row r="817" spans="1:8" x14ac:dyDescent="0.2">
      <c r="A817" s="16">
        <f>DATE(2019,11,19)</f>
        <v>43788</v>
      </c>
      <c r="B817" s="2">
        <v>87.681279298349324</v>
      </c>
      <c r="C817" s="2">
        <v>78.927390731162902</v>
      </c>
      <c r="D817" s="2">
        <v>33.594697999547222</v>
      </c>
      <c r="E817" s="2">
        <v>24.164232263044273</v>
      </c>
      <c r="F817" s="2">
        <v>27.240529960574801</v>
      </c>
      <c r="G817" s="2">
        <v>27.358378127968884</v>
      </c>
      <c r="H817" s="2">
        <v>30.049873000584771</v>
      </c>
    </row>
    <row r="818" spans="1:8" x14ac:dyDescent="0.2">
      <c r="A818" s="16">
        <f>DATE(2019,11,20)</f>
        <v>43789</v>
      </c>
      <c r="B818" s="2">
        <v>87.673186334514995</v>
      </c>
      <c r="C818" s="2">
        <v>78.927390731162902</v>
      </c>
      <c r="D818" s="2">
        <v>33.625336929165094</v>
      </c>
      <c r="E818" s="2">
        <v>24.21700226688117</v>
      </c>
      <c r="F818" s="2">
        <v>27.298430054070643</v>
      </c>
      <c r="G818" s="2">
        <v>27.416476579448009</v>
      </c>
      <c r="H818" s="2">
        <v>30.112537925750527</v>
      </c>
    </row>
    <row r="819" spans="1:8" x14ac:dyDescent="0.2">
      <c r="A819" s="16">
        <f>DATE(2019,11,21)</f>
        <v>43790</v>
      </c>
      <c r="B819" s="2">
        <v>91.866962941507623</v>
      </c>
      <c r="C819" s="2">
        <v>81.686661258154743</v>
      </c>
      <c r="D819" s="2">
        <v>33.655982885588841</v>
      </c>
      <c r="E819" s="2">
        <v>24.269794698056899</v>
      </c>
      <c r="F819" s="2">
        <v>27.356356494681133</v>
      </c>
      <c r="G819" s="2">
        <v>27.474601534327348</v>
      </c>
      <c r="H819" s="2">
        <v>30.17523304620029</v>
      </c>
    </row>
    <row r="820" spans="1:8" x14ac:dyDescent="0.2">
      <c r="A820" s="16">
        <f>DATE(2019,11,22)</f>
        <v>43791</v>
      </c>
      <c r="B820" s="2">
        <v>93.365693280517576</v>
      </c>
      <c r="C820" s="2">
        <v>83.707331913598765</v>
      </c>
      <c r="D820" s="2">
        <v>33.686635870429996</v>
      </c>
      <c r="E820" s="2">
        <v>24.322609566103036</v>
      </c>
      <c r="F820" s="2">
        <v>27.414309294395281</v>
      </c>
      <c r="G820" s="2">
        <v>27.532753004697174</v>
      </c>
      <c r="H820" s="2">
        <v>30.237958376483665</v>
      </c>
    </row>
    <row r="821" spans="1:8" x14ac:dyDescent="0.2">
      <c r="A821" s="16">
        <f>DATE(2019,11,25)</f>
        <v>43794</v>
      </c>
      <c r="B821" s="2">
        <v>92.435270373005636</v>
      </c>
      <c r="C821" s="2">
        <v>83.253777507351927</v>
      </c>
      <c r="D821" s="2">
        <v>33.71729588530048</v>
      </c>
      <c r="E821" s="2">
        <v>24.375446880555373</v>
      </c>
      <c r="F821" s="2">
        <v>27.47228846520775</v>
      </c>
      <c r="G821" s="2">
        <v>27.590931002653441</v>
      </c>
      <c r="H821" s="2">
        <v>30.300713931157429</v>
      </c>
    </row>
    <row r="822" spans="1:8" x14ac:dyDescent="0.2">
      <c r="A822" s="16">
        <f>DATE(2019,11,26)</f>
        <v>43795</v>
      </c>
      <c r="B822" s="2">
        <v>90.4846393760198</v>
      </c>
      <c r="C822" s="2">
        <v>80.947503633843496</v>
      </c>
      <c r="D822" s="2">
        <v>33.747962931812573</v>
      </c>
      <c r="E822" s="2">
        <v>24.428306650953658</v>
      </c>
      <c r="F822" s="2">
        <v>27.530294019118529</v>
      </c>
      <c r="G822" s="2">
        <v>27.649135540297486</v>
      </c>
      <c r="H822" s="2">
        <v>30.363499724785271</v>
      </c>
    </row>
    <row r="823" spans="1:8" x14ac:dyDescent="0.2">
      <c r="A823" s="16">
        <f>DATE(2019,11,27)</f>
        <v>43796</v>
      </c>
      <c r="B823" s="2">
        <v>91.026084762872415</v>
      </c>
      <c r="C823" s="2">
        <v>82.043318797958008</v>
      </c>
      <c r="D823" s="2">
        <v>33.77863701157893</v>
      </c>
      <c r="E823" s="2">
        <v>24.481188886841675</v>
      </c>
      <c r="F823" s="2">
        <v>27.588325968133098</v>
      </c>
      <c r="G823" s="2">
        <v>27.70736662973621</v>
      </c>
      <c r="H823" s="2">
        <v>30.426315771937929</v>
      </c>
    </row>
    <row r="824" spans="1:8" x14ac:dyDescent="0.2">
      <c r="A824" s="16">
        <f>DATE(2019,11,28)</f>
        <v>43797</v>
      </c>
      <c r="B824" s="2">
        <v>91.823221090290943</v>
      </c>
      <c r="C824" s="2">
        <v>83.027566507791349</v>
      </c>
      <c r="D824" s="2">
        <v>33.809318126212574</v>
      </c>
      <c r="E824" s="2">
        <v>24.534093597767303</v>
      </c>
      <c r="F824" s="2">
        <v>27.64638432426241</v>
      </c>
      <c r="G824" s="2">
        <v>27.765624283082023</v>
      </c>
      <c r="H824" s="2">
        <v>30.489162087193144</v>
      </c>
    </row>
    <row r="825" spans="1:8" x14ac:dyDescent="0.2">
      <c r="A825" s="16">
        <f>DATE(2019,11,29)</f>
        <v>43798</v>
      </c>
      <c r="B825" s="2">
        <v>92.609365276678076</v>
      </c>
      <c r="C825" s="2">
        <v>82.93154852449014</v>
      </c>
      <c r="D825" s="2">
        <v>33.840006277326907</v>
      </c>
      <c r="E825" s="2">
        <v>24.587020793282456</v>
      </c>
      <c r="F825" s="2">
        <v>27.704469099522822</v>
      </c>
      <c r="G825" s="2">
        <v>27.823908512452842</v>
      </c>
      <c r="H825" s="2">
        <v>30.552038685135649</v>
      </c>
    </row>
    <row r="826" spans="1:8" x14ac:dyDescent="0.2">
      <c r="A826" s="16">
        <f>DATE(2019,12,2)</f>
        <v>43801</v>
      </c>
      <c r="B826" s="2">
        <v>93.524790781770434</v>
      </c>
      <c r="C826" s="2">
        <v>84.105449075482269</v>
      </c>
      <c r="D826" s="2">
        <v>33.870701466535678</v>
      </c>
      <c r="E826" s="2">
        <v>24.678385893716872</v>
      </c>
      <c r="F826" s="2">
        <v>27.801958139426986</v>
      </c>
      <c r="G826" s="2">
        <v>27.921634037526943</v>
      </c>
      <c r="H826" s="2">
        <v>30.65520254422065</v>
      </c>
    </row>
    <row r="827" spans="1:8" x14ac:dyDescent="0.2">
      <c r="A827" s="16">
        <f>DATE(2019,12,3)</f>
        <v>43802</v>
      </c>
      <c r="B827" s="2">
        <v>95.949760144612327</v>
      </c>
      <c r="C827" s="2">
        <v>84.153094682756716</v>
      </c>
      <c r="D827" s="2">
        <v>33.901403695453048</v>
      </c>
      <c r="E827" s="2">
        <v>24.769817996167419</v>
      </c>
      <c r="F827" s="2">
        <v>27.899521602042967</v>
      </c>
      <c r="G827" s="2">
        <v>28.019434276935495</v>
      </c>
      <c r="H827" s="2">
        <v>30.758447924681565</v>
      </c>
    </row>
    <row r="828" spans="1:8" x14ac:dyDescent="0.2">
      <c r="A828" s="16">
        <f>DATE(2019,12,4)</f>
        <v>43803</v>
      </c>
      <c r="B828" s="2">
        <v>98.099912241493726</v>
      </c>
      <c r="C828" s="2">
        <v>86.426207619240472</v>
      </c>
      <c r="D828" s="2">
        <v>33.932112965693499</v>
      </c>
      <c r="E828" s="2">
        <v>24.861317149769601</v>
      </c>
      <c r="F828" s="2">
        <v>27.997159544184736</v>
      </c>
      <c r="G828" s="2">
        <v>28.11730928780003</v>
      </c>
      <c r="H828" s="2">
        <v>30.8617748909376</v>
      </c>
    </row>
    <row r="829" spans="1:8" x14ac:dyDescent="0.2">
      <c r="A829" s="16">
        <f>DATE(2019,12,5)</f>
        <v>43804</v>
      </c>
      <c r="B829" s="2">
        <v>99.137432953091945</v>
      </c>
      <c r="C829" s="2">
        <v>86.969323598012082</v>
      </c>
      <c r="D829" s="2">
        <v>33.962829278871887</v>
      </c>
      <c r="E829" s="2">
        <v>24.95288340369499</v>
      </c>
      <c r="F829" s="2">
        <v>28.09487202270968</v>
      </c>
      <c r="G829" s="2">
        <v>28.215259127285773</v>
      </c>
      <c r="H829" s="2">
        <v>30.965183507458914</v>
      </c>
    </row>
    <row r="830" spans="1:8" x14ac:dyDescent="0.2">
      <c r="A830" s="16">
        <f>DATE(2019,12,6)</f>
        <v>43805</v>
      </c>
      <c r="B830" s="2">
        <v>100.32176057825222</v>
      </c>
      <c r="C830" s="2">
        <v>87.820285298988978</v>
      </c>
      <c r="D830" s="2">
        <v>33.993552636603489</v>
      </c>
      <c r="E830" s="2">
        <v>25.044516807151098</v>
      </c>
      <c r="F830" s="2">
        <v>28.192659094518469</v>
      </c>
      <c r="G830" s="2">
        <v>28.313283852601572</v>
      </c>
      <c r="H830" s="2">
        <v>31.068673838766479</v>
      </c>
    </row>
    <row r="831" spans="1:8" x14ac:dyDescent="0.2">
      <c r="A831" s="16">
        <f>DATE(2019,12,9)</f>
        <v>43808</v>
      </c>
      <c r="B831" s="2">
        <v>98.572258281787853</v>
      </c>
      <c r="C831" s="2">
        <v>87.569262752256051</v>
      </c>
      <c r="D831" s="2">
        <v>34.02428304050391</v>
      </c>
      <c r="E831" s="2">
        <v>25.136217409381679</v>
      </c>
      <c r="F831" s="2">
        <v>28.290520816555365</v>
      </c>
      <c r="G831" s="2">
        <v>28.411383521000118</v>
      </c>
      <c r="H831" s="2">
        <v>31.172245949432419</v>
      </c>
    </row>
    <row r="832" spans="1:8" x14ac:dyDescent="0.2">
      <c r="A832" s="16">
        <f>DATE(2019,12,10)</f>
        <v>43809</v>
      </c>
      <c r="B832" s="2">
        <v>97.265698048358743</v>
      </c>
      <c r="C832" s="2">
        <v>87.053392150897153</v>
      </c>
      <c r="D832" s="2">
        <v>34.055020492189136</v>
      </c>
      <c r="E832" s="2">
        <v>25.227985259666539</v>
      </c>
      <c r="F832" s="2">
        <v>28.388457245808031</v>
      </c>
      <c r="G832" s="2">
        <v>28.50955818977787</v>
      </c>
      <c r="H832" s="2">
        <v>31.275899904079822</v>
      </c>
    </row>
    <row r="833" spans="1:8" x14ac:dyDescent="0.2">
      <c r="A833" s="16">
        <f>DATE(2019,12,11)</f>
        <v>43810</v>
      </c>
      <c r="B833" s="2">
        <v>98.826698866311446</v>
      </c>
      <c r="C833" s="2">
        <v>87.546682216137313</v>
      </c>
      <c r="D833" s="2">
        <v>34.08576499327549</v>
      </c>
      <c r="E833" s="2">
        <v>25.319820407321547</v>
      </c>
      <c r="F833" s="2">
        <v>28.486468439307579</v>
      </c>
      <c r="G833" s="2">
        <v>28.607807916274975</v>
      </c>
      <c r="H833" s="2">
        <v>31.379635767382762</v>
      </c>
    </row>
    <row r="834" spans="1:8" x14ac:dyDescent="0.2">
      <c r="A834" s="16">
        <f>DATE(2019,12,12)</f>
        <v>43811</v>
      </c>
      <c r="B834" s="2">
        <v>100.70374434918041</v>
      </c>
      <c r="C834" s="2">
        <v>89.635500118310873</v>
      </c>
      <c r="D834" s="2">
        <v>34.116516545379753</v>
      </c>
      <c r="E834" s="2">
        <v>25.411722901698841</v>
      </c>
      <c r="F834" s="2">
        <v>28.58455445412875</v>
      </c>
      <c r="G834" s="2">
        <v>28.706132757875501</v>
      </c>
      <c r="H834" s="2">
        <v>31.483453604066526</v>
      </c>
    </row>
    <row r="835" spans="1:8" x14ac:dyDescent="0.2">
      <c r="A835" s="16">
        <f>DATE(2019,12,13)</f>
        <v>43812</v>
      </c>
      <c r="B835" s="2">
        <v>100.4450992707123</v>
      </c>
      <c r="C835" s="2">
        <v>90.252611297028395</v>
      </c>
      <c r="D835" s="2">
        <v>34.14473178450401</v>
      </c>
      <c r="E835" s="2">
        <v>25.503692792186694</v>
      </c>
      <c r="F835" s="2">
        <v>28.68271534738982</v>
      </c>
      <c r="G835" s="2">
        <v>28.804532772007409</v>
      </c>
      <c r="H835" s="2">
        <v>31.587353478907509</v>
      </c>
    </row>
    <row r="836" spans="1:8" x14ac:dyDescent="0.2">
      <c r="A836" s="16">
        <f>DATE(2019,12,16)</f>
        <v>43815</v>
      </c>
      <c r="B836" s="2">
        <v>100.13720253033559</v>
      </c>
      <c r="C836" s="2">
        <v>89.122198559983474</v>
      </c>
      <c r="D836" s="2">
        <v>34.172952959509551</v>
      </c>
      <c r="E836" s="2">
        <v>25.595730128209638</v>
      </c>
      <c r="F836" s="2">
        <v>28.780951176252636</v>
      </c>
      <c r="G836" s="2">
        <v>28.90300801614254</v>
      </c>
      <c r="H836" s="2">
        <v>31.691335456733285</v>
      </c>
    </row>
    <row r="837" spans="1:8" x14ac:dyDescent="0.2">
      <c r="A837" s="16">
        <f>DATE(2019,12,17)</f>
        <v>43816</v>
      </c>
      <c r="B837" s="2">
        <v>101.30252749168784</v>
      </c>
      <c r="C837" s="2">
        <v>90.338471419395987</v>
      </c>
      <c r="D837" s="2">
        <v>34.20118007164514</v>
      </c>
      <c r="E837" s="2">
        <v>25.687834959228418</v>
      </c>
      <c r="F837" s="2">
        <v>28.879261997922747</v>
      </c>
      <c r="G837" s="2">
        <v>29.00155854779667</v>
      </c>
      <c r="H837" s="2">
        <v>31.795399602422659</v>
      </c>
    </row>
    <row r="838" spans="1:8" x14ac:dyDescent="0.2">
      <c r="A838" s="16">
        <f>DATE(2019,12,18)</f>
        <v>43817</v>
      </c>
      <c r="B838" s="2">
        <v>104.25371812605393</v>
      </c>
      <c r="C838" s="2">
        <v>93.210036169421315</v>
      </c>
      <c r="D838" s="2">
        <v>34.229413122159833</v>
      </c>
      <c r="E838" s="2">
        <v>25.780007334740041</v>
      </c>
      <c r="F838" s="2">
        <v>28.977647869649314</v>
      </c>
      <c r="G838" s="2">
        <v>29.10018442452953</v>
      </c>
      <c r="H838" s="2">
        <v>31.899545980905721</v>
      </c>
    </row>
    <row r="839" spans="1:8" x14ac:dyDescent="0.2">
      <c r="A839" s="16">
        <f>DATE(2019,12,19)</f>
        <v>43818</v>
      </c>
      <c r="B839" s="2">
        <v>105.82005013240683</v>
      </c>
      <c r="C839" s="2">
        <v>94.590220734881242</v>
      </c>
      <c r="D839" s="2">
        <v>34.257652112302914</v>
      </c>
      <c r="E839" s="2">
        <v>25.872247304277884</v>
      </c>
      <c r="F839" s="2">
        <v>29.076108848725269</v>
      </c>
      <c r="G839" s="2">
        <v>29.198885703944931</v>
      </c>
      <c r="H839" s="2">
        <v>32.003774657163866</v>
      </c>
    </row>
    <row r="840" spans="1:8" x14ac:dyDescent="0.2">
      <c r="A840" s="16">
        <f>DATE(2019,12,20)</f>
        <v>43819</v>
      </c>
      <c r="B840" s="2">
        <v>106.30661038507219</v>
      </c>
      <c r="C840" s="2">
        <v>94.57303180880885</v>
      </c>
      <c r="D840" s="2">
        <v>34.285897043323992</v>
      </c>
      <c r="E840" s="2">
        <v>25.964554917411519</v>
      </c>
      <c r="F840" s="2">
        <v>29.174644992487138</v>
      </c>
      <c r="G840" s="2">
        <v>29.297662443690562</v>
      </c>
      <c r="H840" s="2">
        <v>32.108085696229757</v>
      </c>
    </row>
    <row r="841" spans="1:8" x14ac:dyDescent="0.2">
      <c r="A841" s="16">
        <f>DATE(2019,12,23)</f>
        <v>43822</v>
      </c>
      <c r="B841" s="2">
        <v>106.96549992875681</v>
      </c>
      <c r="C841" s="2">
        <v>95.827485380116698</v>
      </c>
      <c r="D841" s="2">
        <v>34.314147916472869</v>
      </c>
      <c r="E841" s="2">
        <v>26.05693022374702</v>
      </c>
      <c r="F841" s="2">
        <v>29.273256358315415</v>
      </c>
      <c r="G841" s="2">
        <v>29.396514701458386</v>
      </c>
      <c r="H841" s="2">
        <v>32.212479163187616</v>
      </c>
    </row>
    <row r="842" spans="1:8" x14ac:dyDescent="0.2">
      <c r="A842" s="16">
        <f>DATE(2019,12,24)</f>
        <v>43823</v>
      </c>
      <c r="B842" s="2">
        <v>106.95724208280701</v>
      </c>
      <c r="C842" s="2">
        <v>95.827485380116698</v>
      </c>
      <c r="D842" s="2">
        <v>34.342404732999654</v>
      </c>
      <c r="E842" s="2">
        <v>26.149373272926724</v>
      </c>
      <c r="F842" s="2">
        <v>29.371943003634279</v>
      </c>
      <c r="G842" s="2">
        <v>29.495442534984374</v>
      </c>
      <c r="H842" s="2">
        <v>32.316955123172939</v>
      </c>
    </row>
    <row r="843" spans="1:8" x14ac:dyDescent="0.2">
      <c r="A843" s="16">
        <f>DATE(2019,12,26)</f>
        <v>43825</v>
      </c>
      <c r="B843" s="2">
        <v>109.625556837819</v>
      </c>
      <c r="C843" s="2">
        <v>98.092147517154856</v>
      </c>
      <c r="D843" s="2">
        <v>34.370667494154695</v>
      </c>
      <c r="E843" s="2">
        <v>26.241884114629421</v>
      </c>
      <c r="F843" s="2">
        <v>29.470704985911755</v>
      </c>
      <c r="G843" s="2">
        <v>29.594446002048613</v>
      </c>
      <c r="H843" s="2">
        <v>32.421513641372755</v>
      </c>
    </row>
    <row r="844" spans="1:8" x14ac:dyDescent="0.2">
      <c r="A844" s="16">
        <f>DATE(2019,12,27)</f>
        <v>43826</v>
      </c>
      <c r="B844" s="2">
        <v>108.34947918548754</v>
      </c>
      <c r="C844" s="2">
        <v>96.961058716154284</v>
      </c>
      <c r="D844" s="2">
        <v>34.398936201188633</v>
      </c>
      <c r="E844" s="2">
        <v>26.334462798570346</v>
      </c>
      <c r="F844" s="2">
        <v>29.56954236265976</v>
      </c>
      <c r="G844" s="2">
        <v>29.69352516047541</v>
      </c>
      <c r="H844" s="2">
        <v>32.526154783025632</v>
      </c>
    </row>
    <row r="845" spans="1:8" x14ac:dyDescent="0.2">
      <c r="A845" s="16">
        <f>DATE(2019,12,30)</f>
        <v>43829</v>
      </c>
      <c r="B845" s="2">
        <v>107.19611504759494</v>
      </c>
      <c r="C845" s="2">
        <v>95.459115032281787</v>
      </c>
      <c r="D845" s="2">
        <v>34.427210855352342</v>
      </c>
      <c r="E845" s="2">
        <v>26.427109374501171</v>
      </c>
      <c r="F845" s="2">
        <v>29.668455191434084</v>
      </c>
      <c r="G845" s="2">
        <v>29.792680068133269</v>
      </c>
      <c r="H845" s="2">
        <v>32.630878613421622</v>
      </c>
    </row>
    <row r="846" spans="1:8" x14ac:dyDescent="0.2">
      <c r="A846" s="16">
        <f>DATE(2019,12,31)</f>
        <v>43830</v>
      </c>
      <c r="B846" s="2">
        <v>107.18911442777554</v>
      </c>
      <c r="C846" s="2">
        <v>95.459115032281787</v>
      </c>
      <c r="D846" s="2">
        <v>34.455491457896969</v>
      </c>
      <c r="E846" s="2">
        <v>26.519823892210038</v>
      </c>
      <c r="F846" s="2">
        <v>29.767443529834512</v>
      </c>
      <c r="G846" s="2">
        <v>29.891910782934939</v>
      </c>
      <c r="H846" s="2">
        <v>32.73568519790242</v>
      </c>
    </row>
    <row r="847" spans="1:8" x14ac:dyDescent="0.2">
      <c r="A847" s="16">
        <f>DATE(2020,1,2)</f>
        <v>43832</v>
      </c>
      <c r="B847" s="2">
        <v>113.32375276641238</v>
      </c>
      <c r="C847" s="2">
        <v>100.40749754926792</v>
      </c>
      <c r="D847" s="2">
        <v>34.483778010073941</v>
      </c>
      <c r="E847" s="2">
        <v>26.55043520041076</v>
      </c>
      <c r="F847" s="2">
        <v>29.802738455615518</v>
      </c>
      <c r="G847" s="2">
        <v>29.927387146028806</v>
      </c>
      <c r="H847" s="2">
        <v>32.77534525137262</v>
      </c>
    </row>
    <row r="848" spans="1:8" x14ac:dyDescent="0.2">
      <c r="A848" s="16">
        <f>DATE(2020,1,3)</f>
        <v>43833</v>
      </c>
      <c r="B848" s="2">
        <v>112.82806903669101</v>
      </c>
      <c r="C848" s="2">
        <v>98.943075414934015</v>
      </c>
      <c r="D848" s="2">
        <v>34.512070513134923</v>
      </c>
      <c r="E848" s="2">
        <v>26.581053914978003</v>
      </c>
      <c r="F848" s="2">
        <v>29.838042981121625</v>
      </c>
      <c r="G848" s="2">
        <v>29.96287319850466</v>
      </c>
      <c r="H848" s="2">
        <v>32.815017154857685</v>
      </c>
    </row>
    <row r="849" spans="1:8" x14ac:dyDescent="0.2">
      <c r="A849" s="16">
        <f>DATE(2020,1,6)</f>
        <v>43836</v>
      </c>
      <c r="B849" s="2">
        <v>110.86063380410351</v>
      </c>
      <c r="C849" s="2">
        <v>97.542372308420127</v>
      </c>
      <c r="D849" s="2">
        <v>34.540368968331833</v>
      </c>
      <c r="E849" s="2">
        <v>26.611680037703756</v>
      </c>
      <c r="F849" s="2">
        <v>29.873357108963841</v>
      </c>
      <c r="G849" s="2">
        <v>29.99836894300887</v>
      </c>
      <c r="H849" s="2">
        <v>32.854700911898263</v>
      </c>
    </row>
    <row r="850" spans="1:8" x14ac:dyDescent="0.2">
      <c r="A850" s="16">
        <f>DATE(2020,1,7)</f>
        <v>43837</v>
      </c>
      <c r="B850" s="2">
        <v>111.13143893858752</v>
      </c>
      <c r="C850" s="2">
        <v>97.177331575566797</v>
      </c>
      <c r="D850" s="2">
        <v>34.568673376916912</v>
      </c>
      <c r="E850" s="2">
        <v>26.642313570380406</v>
      </c>
      <c r="F850" s="2">
        <v>29.908680841753842</v>
      </c>
      <c r="G850" s="2">
        <v>30.033874382188539</v>
      </c>
      <c r="H850" s="2">
        <v>32.894396526036076</v>
      </c>
    </row>
    <row r="851" spans="1:8" x14ac:dyDescent="0.2">
      <c r="A851" s="16">
        <f>DATE(2020,1,8)</f>
        <v>43838</v>
      </c>
      <c r="B851" s="2">
        <v>110.65152206115805</v>
      </c>
      <c r="C851" s="2">
        <v>96.476067335969745</v>
      </c>
      <c r="D851" s="2">
        <v>34.596983740142598</v>
      </c>
      <c r="E851" s="2">
        <v>26.672954514800761</v>
      </c>
      <c r="F851" s="2">
        <v>29.944014182104059</v>
      </c>
      <c r="G851" s="2">
        <v>30.069389518691491</v>
      </c>
      <c r="H851" s="2">
        <v>32.93410400081391</v>
      </c>
    </row>
    <row r="852" spans="1:8" x14ac:dyDescent="0.2">
      <c r="A852" s="16">
        <f>DATE(2020,1,9)</f>
        <v>43839</v>
      </c>
      <c r="B852" s="2">
        <v>111.544743441367</v>
      </c>
      <c r="C852" s="2">
        <v>95.969154582023222</v>
      </c>
      <c r="D852" s="2">
        <v>34.625300059261633</v>
      </c>
      <c r="E852" s="2">
        <v>26.703602872758104</v>
      </c>
      <c r="F852" s="2">
        <v>29.979357132627626</v>
      </c>
      <c r="G852" s="2">
        <v>30.10491435516629</v>
      </c>
      <c r="H852" s="2">
        <v>32.973823339775613</v>
      </c>
    </row>
    <row r="853" spans="1:8" x14ac:dyDescent="0.2">
      <c r="A853" s="16">
        <f>DATE(2020,1,10)</f>
        <v>43840</v>
      </c>
      <c r="B853" s="2">
        <v>110.47109980630439</v>
      </c>
      <c r="C853" s="2">
        <v>95.219247540817122</v>
      </c>
      <c r="D853" s="2">
        <v>34.653622335527025</v>
      </c>
      <c r="E853" s="2">
        <v>26.73425864604615</v>
      </c>
      <c r="F853" s="2">
        <v>30.014709695938379</v>
      </c>
      <c r="G853" s="2">
        <v>30.14044889426226</v>
      </c>
      <c r="H853" s="2">
        <v>33.013554546466082</v>
      </c>
    </row>
    <row r="854" spans="1:8" x14ac:dyDescent="0.2">
      <c r="A854" s="16">
        <f>DATE(2020,1,13)</f>
        <v>43843</v>
      </c>
      <c r="B854" s="2">
        <v>112.69584045017184</v>
      </c>
      <c r="C854" s="2">
        <v>98.298482236419304</v>
      </c>
      <c r="D854" s="2">
        <v>34.681950570191944</v>
      </c>
      <c r="E854" s="2">
        <v>26.764921836458957</v>
      </c>
      <c r="F854" s="2">
        <v>30.050071874650786</v>
      </c>
      <c r="G854" s="2">
        <v>30.175993138629288</v>
      </c>
      <c r="H854" s="2">
        <v>33.053297624431188</v>
      </c>
    </row>
    <row r="855" spans="1:8" x14ac:dyDescent="0.2">
      <c r="A855" s="16">
        <f>DATE(2020,1,14)</f>
        <v>43844</v>
      </c>
      <c r="B855" s="2">
        <v>114.7066259389518</v>
      </c>
      <c r="C855" s="2">
        <v>98.81756414156753</v>
      </c>
      <c r="D855" s="2">
        <v>34.710284764510014</v>
      </c>
      <c r="E855" s="2">
        <v>26.795592445791151</v>
      </c>
      <c r="F855" s="2">
        <v>30.085443671380173</v>
      </c>
      <c r="G855" s="2">
        <v>30.211547090918199</v>
      </c>
      <c r="H855" s="2">
        <v>33.093052577218039</v>
      </c>
    </row>
    <row r="856" spans="1:8" x14ac:dyDescent="0.2">
      <c r="A856" s="16">
        <f>DATE(2020,1,15)</f>
        <v>43845</v>
      </c>
      <c r="B856" s="2">
        <v>112.96877531198071</v>
      </c>
      <c r="C856" s="2">
        <v>96.75886488861822</v>
      </c>
      <c r="D856" s="2">
        <v>34.738624919734981</v>
      </c>
      <c r="E856" s="2">
        <v>26.826270475837699</v>
      </c>
      <c r="F856" s="2">
        <v>30.1208250887425</v>
      </c>
      <c r="G856" s="2">
        <v>30.247110753780415</v>
      </c>
      <c r="H856" s="2">
        <v>33.132819408374687</v>
      </c>
    </row>
    <row r="857" spans="1:8" x14ac:dyDescent="0.2">
      <c r="A857" s="16">
        <f>DATE(2020,1,16)</f>
        <v>43846</v>
      </c>
      <c r="B857" s="2">
        <v>113.40972504945404</v>
      </c>
      <c r="C857" s="2">
        <v>97.248774634080149</v>
      </c>
      <c r="D857" s="2">
        <v>34.766971037120904</v>
      </c>
      <c r="E857" s="2">
        <v>26.856955928394054</v>
      </c>
      <c r="F857" s="2">
        <v>30.156216129354419</v>
      </c>
      <c r="G857" s="2">
        <v>30.282684129868102</v>
      </c>
      <c r="H857" s="2">
        <v>33.172598121450257</v>
      </c>
    </row>
    <row r="858" spans="1:8" x14ac:dyDescent="0.2">
      <c r="A858" s="16">
        <f>DATE(2020,1,17)</f>
        <v>43847</v>
      </c>
      <c r="B858" s="2">
        <v>115.7774871883158</v>
      </c>
      <c r="C858" s="2">
        <v>100.2472703917788</v>
      </c>
      <c r="D858" s="2">
        <v>34.795323117922081</v>
      </c>
      <c r="E858" s="2">
        <v>26.887648805256092</v>
      </c>
      <c r="F858" s="2">
        <v>30.19161679583333</v>
      </c>
      <c r="G858" s="2">
        <v>30.318267221834152</v>
      </c>
      <c r="H858" s="2">
        <v>33.212388719994948</v>
      </c>
    </row>
    <row r="859" spans="1:8" x14ac:dyDescent="0.2">
      <c r="A859" s="16">
        <f>DATE(2020,1,20)</f>
        <v>43850</v>
      </c>
      <c r="B859" s="2">
        <v>117.09534184665468</v>
      </c>
      <c r="C859" s="2">
        <v>100.89515938207727</v>
      </c>
      <c r="D859" s="2">
        <v>34.823681163393033</v>
      </c>
      <c r="E859" s="2">
        <v>26.918349108220085</v>
      </c>
      <c r="F859" s="2">
        <v>30.227027090797339</v>
      </c>
      <c r="G859" s="2">
        <v>30.3538600323322</v>
      </c>
      <c r="H859" s="2">
        <v>33.252191207560003</v>
      </c>
    </row>
    <row r="860" spans="1:8" x14ac:dyDescent="0.2">
      <c r="A860" s="16">
        <f>DATE(2020,1,21)</f>
        <v>43851</v>
      </c>
      <c r="B860" s="2">
        <v>115.74816565211459</v>
      </c>
      <c r="C860" s="2">
        <v>97.792718791197373</v>
      </c>
      <c r="D860" s="2">
        <v>34.852045174788678</v>
      </c>
      <c r="E860" s="2">
        <v>26.949056839082775</v>
      </c>
      <c r="F860" s="2">
        <v>30.26244701686527</v>
      </c>
      <c r="G860" s="2">
        <v>30.389462564016601</v>
      </c>
      <c r="H860" s="2">
        <v>33.292005587697759</v>
      </c>
    </row>
    <row r="861" spans="1:8" x14ac:dyDescent="0.2">
      <c r="A861" s="16">
        <f>DATE(2020,1,22)</f>
        <v>43852</v>
      </c>
      <c r="B861" s="2">
        <v>118.97636511055931</v>
      </c>
      <c r="C861" s="2">
        <v>100.1003278910182</v>
      </c>
      <c r="D861" s="2">
        <v>34.880415153364112</v>
      </c>
      <c r="E861" s="2">
        <v>26.979771999641343</v>
      </c>
      <c r="F861" s="2">
        <v>30.297876576656634</v>
      </c>
      <c r="G861" s="2">
        <v>30.425074819542395</v>
      </c>
      <c r="H861" s="2">
        <v>33.331831863961582</v>
      </c>
    </row>
    <row r="862" spans="1:8" x14ac:dyDescent="0.2">
      <c r="A862" s="16">
        <f>DATE(2020,1,23)</f>
        <v>43853</v>
      </c>
      <c r="B862" s="2">
        <v>120.42525983016836</v>
      </c>
      <c r="C862" s="2">
        <v>102.02080586823485</v>
      </c>
      <c r="D862" s="2">
        <v>34.908791100374657</v>
      </c>
      <c r="E862" s="2">
        <v>27.010494591693401</v>
      </c>
      <c r="F862" s="2">
        <v>30.333315772791661</v>
      </c>
      <c r="G862" s="2">
        <v>30.460696801565401</v>
      </c>
      <c r="H862" s="2">
        <v>33.371670039905908</v>
      </c>
    </row>
    <row r="863" spans="1:8" x14ac:dyDescent="0.2">
      <c r="A863" s="16">
        <f>DATE(2020,1,24)</f>
        <v>43854</v>
      </c>
      <c r="B863" s="2">
        <v>119.01370403962525</v>
      </c>
      <c r="C863" s="2">
        <v>100.07497549268135</v>
      </c>
      <c r="D863" s="2">
        <v>34.93717301707597</v>
      </c>
      <c r="E863" s="2">
        <v>27.041224617036974</v>
      </c>
      <c r="F863" s="2">
        <v>30.368764607891311</v>
      </c>
      <c r="G863" s="2">
        <v>30.496328512742132</v>
      </c>
      <c r="H863" s="2">
        <v>33.411520119086262</v>
      </c>
    </row>
    <row r="864" spans="1:8" x14ac:dyDescent="0.2">
      <c r="A864" s="16">
        <f>DATE(2020,1,27)</f>
        <v>43857</v>
      </c>
      <c r="B864" s="2">
        <v>113.9445133208945</v>
      </c>
      <c r="C864" s="2">
        <v>93.492614001284267</v>
      </c>
      <c r="D864" s="2">
        <v>34.965560904723958</v>
      </c>
      <c r="E864" s="2">
        <v>27.07196207747058</v>
      </c>
      <c r="F864" s="2">
        <v>30.404223084577286</v>
      </c>
      <c r="G864" s="2">
        <v>30.531969955729888</v>
      </c>
      <c r="H864" s="2">
        <v>33.451382105059203</v>
      </c>
    </row>
    <row r="865" spans="1:8" x14ac:dyDescent="0.2">
      <c r="A865" s="16">
        <f>DATE(2020,1,28)</f>
        <v>43858</v>
      </c>
      <c r="B865" s="2">
        <v>117.47792331525142</v>
      </c>
      <c r="C865" s="2">
        <v>96.868099922252384</v>
      </c>
      <c r="D865" s="2">
        <v>34.993954764574767</v>
      </c>
      <c r="E865" s="2">
        <v>27.102706974793044</v>
      </c>
      <c r="F865" s="2">
        <v>30.439691205471895</v>
      </c>
      <c r="G865" s="2">
        <v>30.567621133186559</v>
      </c>
      <c r="H865" s="2">
        <v>33.491256001382318</v>
      </c>
    </row>
    <row r="866" spans="1:8" x14ac:dyDescent="0.2">
      <c r="A866" s="16">
        <f>DATE(2020,1,29)</f>
        <v>43859</v>
      </c>
      <c r="B866" s="2">
        <v>115.99329039711415</v>
      </c>
      <c r="C866" s="2">
        <v>95.018828381164596</v>
      </c>
      <c r="D866" s="2">
        <v>35.022354597884807</v>
      </c>
      <c r="E866" s="2">
        <v>27.13345931080373</v>
      </c>
      <c r="F866" s="2">
        <v>30.475168973198219</v>
      </c>
      <c r="G866" s="2">
        <v>30.60328204777085</v>
      </c>
      <c r="H866" s="2">
        <v>33.531141811614319</v>
      </c>
    </row>
    <row r="867" spans="1:8" x14ac:dyDescent="0.2">
      <c r="A867" s="16">
        <f>DATE(2020,1,30)</f>
        <v>43860</v>
      </c>
      <c r="B867" s="2">
        <v>114.96503056433487</v>
      </c>
      <c r="C867" s="2">
        <v>95.260859277287381</v>
      </c>
      <c r="D867" s="2">
        <v>35.050760405910772</v>
      </c>
      <c r="E867" s="2">
        <v>27.164219087302492</v>
      </c>
      <c r="F867" s="2">
        <v>30.510656390380131</v>
      </c>
      <c r="G867" s="2">
        <v>30.638952702142252</v>
      </c>
      <c r="H867" s="2">
        <v>33.571039539314974</v>
      </c>
    </row>
    <row r="868" spans="1:8" x14ac:dyDescent="0.2">
      <c r="A868" s="16">
        <f>DATE(2020,1,31)</f>
        <v>43861</v>
      </c>
      <c r="B868" s="2">
        <v>112.73168857011041</v>
      </c>
      <c r="C868" s="2">
        <v>92.273552378054745</v>
      </c>
      <c r="D868" s="2">
        <v>35.079172189909634</v>
      </c>
      <c r="E868" s="2">
        <v>27.194986306089497</v>
      </c>
      <c r="F868" s="2">
        <v>30.54615345964211</v>
      </c>
      <c r="G868" s="2">
        <v>30.674633098960879</v>
      </c>
      <c r="H868" s="2">
        <v>33.610949188045105</v>
      </c>
    </row>
    <row r="869" spans="1:8" x14ac:dyDescent="0.2">
      <c r="A869" s="16">
        <f>DATE(2020,2,3)</f>
        <v>43864</v>
      </c>
      <c r="B869" s="2">
        <v>113.03305185666161</v>
      </c>
      <c r="C869" s="2">
        <v>93.74169286414471</v>
      </c>
      <c r="D869" s="2">
        <v>35.107589951138586</v>
      </c>
      <c r="E869" s="2">
        <v>27.226789283329843</v>
      </c>
      <c r="F869" s="2">
        <v>30.582715622349777</v>
      </c>
      <c r="G869" s="2">
        <v>30.711379719559439</v>
      </c>
      <c r="H869" s="2">
        <v>33.651951007294592</v>
      </c>
    </row>
    <row r="870" spans="1:8" x14ac:dyDescent="0.2">
      <c r="A870" s="16">
        <f>DATE(2020,2,4)</f>
        <v>43865</v>
      </c>
      <c r="B870" s="2">
        <v>115.54571789466945</v>
      </c>
      <c r="C870" s="2">
        <v>95.309316161308615</v>
      </c>
      <c r="D870" s="2">
        <v>35.136013690855108</v>
      </c>
      <c r="E870" s="2">
        <v>27.25860021237234</v>
      </c>
      <c r="F870" s="2">
        <v>30.619288025050832</v>
      </c>
      <c r="G870" s="2">
        <v>30.748136673564684</v>
      </c>
      <c r="H870" s="2">
        <v>33.692965408964866</v>
      </c>
    </row>
    <row r="871" spans="1:8" x14ac:dyDescent="0.2">
      <c r="A871" s="16">
        <f>DATE(2020,2,5)</f>
        <v>43866</v>
      </c>
      <c r="B871" s="2">
        <v>115.3387221388725</v>
      </c>
      <c r="C871" s="2">
        <v>96.106327958624618</v>
      </c>
      <c r="D871" s="2">
        <v>35.16444341031697</v>
      </c>
      <c r="E871" s="2">
        <v>27.290419095205131</v>
      </c>
      <c r="F871" s="2">
        <v>30.655870670613105</v>
      </c>
      <c r="G871" s="2">
        <v>30.784903963882403</v>
      </c>
      <c r="H871" s="2">
        <v>33.733992396917124</v>
      </c>
    </row>
    <row r="872" spans="1:8" x14ac:dyDescent="0.2">
      <c r="A872" s="16">
        <f>DATE(2020,2,6)</f>
        <v>43867</v>
      </c>
      <c r="B872" s="2">
        <v>112.99678466134625</v>
      </c>
      <c r="C872" s="2">
        <v>94.689466923570706</v>
      </c>
      <c r="D872" s="2">
        <v>35.192879110782172</v>
      </c>
      <c r="E872" s="2">
        <v>27.32224593381698</v>
      </c>
      <c r="F872" s="2">
        <v>30.69246356190536</v>
      </c>
      <c r="G872" s="2">
        <v>30.821681593419271</v>
      </c>
      <c r="H872" s="2">
        <v>33.775031975013768</v>
      </c>
    </row>
    <row r="873" spans="1:8" x14ac:dyDescent="0.2">
      <c r="A873" s="16">
        <f>DATE(2020,2,7)</f>
        <v>43868</v>
      </c>
      <c r="B873" s="2">
        <v>109.29545597255893</v>
      </c>
      <c r="C873" s="2">
        <v>92.289980732176986</v>
      </c>
      <c r="D873" s="2">
        <v>35.220034314853208</v>
      </c>
      <c r="E873" s="2">
        <v>27.354080730197051</v>
      </c>
      <c r="F873" s="2">
        <v>30.729066701797112</v>
      </c>
      <c r="G873" s="2">
        <v>30.858469565082714</v>
      </c>
      <c r="H873" s="2">
        <v>33.816084147118389</v>
      </c>
    </row>
    <row r="874" spans="1:8" x14ac:dyDescent="0.2">
      <c r="A874" s="16">
        <f>DATE(2020,2,10)</f>
        <v>43871</v>
      </c>
      <c r="B874" s="2">
        <v>101.75120607832393</v>
      </c>
      <c r="C874" s="2">
        <v>90.261805766825276</v>
      </c>
      <c r="D874" s="2">
        <v>35.247194973391323</v>
      </c>
      <c r="E874" s="2">
        <v>27.385923486335106</v>
      </c>
      <c r="F874" s="2">
        <v>30.765680093158739</v>
      </c>
      <c r="G874" s="2">
        <v>30.895267881781049</v>
      </c>
      <c r="H874" s="2">
        <v>33.857148917095834</v>
      </c>
    </row>
    <row r="875" spans="1:8" x14ac:dyDescent="0.2">
      <c r="A875" s="16">
        <f>DATE(2020,2,11)</f>
        <v>43872</v>
      </c>
      <c r="B875" s="2">
        <v>107.69590709002684</v>
      </c>
      <c r="C875" s="2">
        <v>94.994777405942315</v>
      </c>
      <c r="D875" s="2">
        <v>35.274361087492132</v>
      </c>
      <c r="E875" s="2">
        <v>27.41777420422131</v>
      </c>
      <c r="F875" s="2">
        <v>30.802303738861369</v>
      </c>
      <c r="G875" s="2">
        <v>30.932076546423382</v>
      </c>
      <c r="H875" s="2">
        <v>33.898226288812033</v>
      </c>
    </row>
    <row r="876" spans="1:8" x14ac:dyDescent="0.2">
      <c r="A876" s="16">
        <f>DATE(2020,2,12)</f>
        <v>43873</v>
      </c>
      <c r="B876" s="2">
        <v>111.55664930412152</v>
      </c>
      <c r="C876" s="2">
        <v>97.197934624615215</v>
      </c>
      <c r="D876" s="2">
        <v>35.301532658251418</v>
      </c>
      <c r="E876" s="2">
        <v>27.449632885846388</v>
      </c>
      <c r="F876" s="2">
        <v>30.838937641776919</v>
      </c>
      <c r="G876" s="2">
        <v>30.968895561919595</v>
      </c>
      <c r="H876" s="2">
        <v>33.939316266134135</v>
      </c>
    </row>
    <row r="877" spans="1:8" x14ac:dyDescent="0.2">
      <c r="A877" s="16">
        <f>DATE(2020,2,13)</f>
        <v>43874</v>
      </c>
      <c r="B877" s="2">
        <v>111.27904278237435</v>
      </c>
      <c r="C877" s="2">
        <v>95.487949159990265</v>
      </c>
      <c r="D877" s="2">
        <v>35.328709686765251</v>
      </c>
      <c r="E877" s="2">
        <v>27.481499533201514</v>
      </c>
      <c r="F877" s="2">
        <v>30.875581804778118</v>
      </c>
      <c r="G877" s="2">
        <v>31.00572493118041</v>
      </c>
      <c r="H877" s="2">
        <v>33.980418852930462</v>
      </c>
    </row>
    <row r="878" spans="1:8" x14ac:dyDescent="0.2">
      <c r="A878" s="16">
        <f>DATE(2020,2,14)</f>
        <v>43875</v>
      </c>
      <c r="B878" s="2">
        <v>111.12755733878581</v>
      </c>
      <c r="C878" s="2">
        <v>93.321688131697016</v>
      </c>
      <c r="D878" s="2">
        <v>35.355892174129863</v>
      </c>
      <c r="E878" s="2">
        <v>27.513374148278412</v>
      </c>
      <c r="F878" s="2">
        <v>30.912236230738579</v>
      </c>
      <c r="G878" s="2">
        <v>31.04256465711741</v>
      </c>
      <c r="H878" s="2">
        <v>34.021534053070582</v>
      </c>
    </row>
    <row r="879" spans="1:8" x14ac:dyDescent="0.2">
      <c r="A879" s="16">
        <f>DATE(2020,2,17)</f>
        <v>43878</v>
      </c>
      <c r="B879" s="2">
        <v>113.57852998525506</v>
      </c>
      <c r="C879" s="2">
        <v>94.890781867964463</v>
      </c>
      <c r="D879" s="2">
        <v>35.383080121441758</v>
      </c>
      <c r="E879" s="2">
        <v>27.545256733069291</v>
      </c>
      <c r="F879" s="2">
        <v>30.948900922532594</v>
      </c>
      <c r="G879" s="2">
        <v>31.07941474264295</v>
      </c>
      <c r="H879" s="2">
        <v>34.062661870425188</v>
      </c>
    </row>
    <row r="880" spans="1:8" x14ac:dyDescent="0.2">
      <c r="A880" s="16">
        <f>DATE(2020,2,18)</f>
        <v>43879</v>
      </c>
      <c r="B880" s="2">
        <v>113.24574291553041</v>
      </c>
      <c r="C880" s="2">
        <v>94.330003718351506</v>
      </c>
      <c r="D880" s="2">
        <v>35.410273529797621</v>
      </c>
      <c r="E880" s="2">
        <v>27.577147289566817</v>
      </c>
      <c r="F880" s="2">
        <v>30.985575883035366</v>
      </c>
      <c r="G880" s="2">
        <v>31.11627519067024</v>
      </c>
      <c r="H880" s="2">
        <v>34.103802308866207</v>
      </c>
    </row>
    <row r="881" spans="1:8" x14ac:dyDescent="0.2">
      <c r="A881" s="16">
        <f>DATE(2020,2,19)</f>
        <v>43880</v>
      </c>
      <c r="B881" s="2">
        <v>116.42431285721848</v>
      </c>
      <c r="C881" s="2">
        <v>96.933356995571529</v>
      </c>
      <c r="D881" s="2">
        <v>35.437472400294382</v>
      </c>
      <c r="E881" s="2">
        <v>27.60904581976418</v>
      </c>
      <c r="F881" s="2">
        <v>31.022261115122848</v>
      </c>
      <c r="G881" s="2">
        <v>31.15314600411325</v>
      </c>
      <c r="H881" s="2">
        <v>34.144955372266715</v>
      </c>
    </row>
    <row r="882" spans="1:8" x14ac:dyDescent="0.2">
      <c r="A882" s="16">
        <f>DATE(2020,2,20)</f>
        <v>43881</v>
      </c>
      <c r="B882" s="2">
        <v>113.619668073065</v>
      </c>
      <c r="C882" s="2">
        <v>93.669066693708984</v>
      </c>
      <c r="D882" s="2">
        <v>35.464676734029155</v>
      </c>
      <c r="E882" s="2">
        <v>27.640952325655068</v>
      </c>
      <c r="F882" s="2">
        <v>31.058956621671797</v>
      </c>
      <c r="G882" s="2">
        <v>31.190027185886837</v>
      </c>
      <c r="H882" s="2">
        <v>34.186121064500988</v>
      </c>
    </row>
    <row r="883" spans="1:8" x14ac:dyDescent="0.2">
      <c r="A883" s="16">
        <f>DATE(2020,2,21)</f>
        <v>43882</v>
      </c>
      <c r="B883" s="2">
        <v>112.01091327241915</v>
      </c>
      <c r="C883" s="2">
        <v>92.139776222830434</v>
      </c>
      <c r="D883" s="2">
        <v>35.491886532099336</v>
      </c>
      <c r="E883" s="2">
        <v>27.672866809233685</v>
      </c>
      <c r="F883" s="2">
        <v>31.095662405559811</v>
      </c>
      <c r="G883" s="2">
        <v>31.22691873890664</v>
      </c>
      <c r="H883" s="2">
        <v>34.227299389444511</v>
      </c>
    </row>
    <row r="884" spans="1:8" x14ac:dyDescent="0.2">
      <c r="A884" s="16">
        <f>DATE(2020,2,26)</f>
        <v>43887</v>
      </c>
      <c r="B884" s="2">
        <v>100.49181587009568</v>
      </c>
      <c r="C884" s="2">
        <v>78.680813304938411</v>
      </c>
      <c r="D884" s="2">
        <v>35.519101795602488</v>
      </c>
      <c r="E884" s="2">
        <v>27.704789272494711</v>
      </c>
      <c r="F884" s="2">
        <v>31.132378469665255</v>
      </c>
      <c r="G884" s="2">
        <v>31.263820666089124</v>
      </c>
      <c r="H884" s="2">
        <v>34.268490350973927</v>
      </c>
    </row>
    <row r="885" spans="1:8" x14ac:dyDescent="0.2">
      <c r="A885" s="16">
        <f>DATE(2020,2,27)</f>
        <v>43888</v>
      </c>
      <c r="B885" s="2">
        <v>96.159222262053206</v>
      </c>
      <c r="C885" s="2">
        <v>74.058648548152433</v>
      </c>
      <c r="D885" s="2">
        <v>35.546322525636427</v>
      </c>
      <c r="E885" s="2">
        <v>27.736719717433346</v>
      </c>
      <c r="F885" s="2">
        <v>31.169104816867321</v>
      </c>
      <c r="G885" s="2">
        <v>31.300732970351586</v>
      </c>
      <c r="H885" s="2">
        <v>34.309693952967081</v>
      </c>
    </row>
    <row r="886" spans="1:8" x14ac:dyDescent="0.2">
      <c r="A886" s="16">
        <f>DATE(2020,2,28)</f>
        <v>43889</v>
      </c>
      <c r="B886" s="2">
        <v>97.740029544126756</v>
      </c>
      <c r="C886" s="2">
        <v>76.06660920123025</v>
      </c>
      <c r="D886" s="2">
        <v>35.573548723299162</v>
      </c>
      <c r="E886" s="2">
        <v>27.768658146045254</v>
      </c>
      <c r="F886" s="2">
        <v>31.205841450045991</v>
      </c>
      <c r="G886" s="2">
        <v>31.337655654612107</v>
      </c>
      <c r="H886" s="2">
        <v>34.35091019930303</v>
      </c>
    </row>
    <row r="887" spans="1:8" x14ac:dyDescent="0.2">
      <c r="A887" s="16">
        <f>DATE(2020,3,2)</f>
        <v>43892</v>
      </c>
      <c r="B887" s="2">
        <v>100.70245964269741</v>
      </c>
      <c r="C887" s="2">
        <v>80.213991143561984</v>
      </c>
      <c r="D887" s="2">
        <v>35.600780389688921</v>
      </c>
      <c r="E887" s="2">
        <v>27.798991774947844</v>
      </c>
      <c r="F887" s="2">
        <v>31.240932150436421</v>
      </c>
      <c r="G887" s="2">
        <v>31.372930834359725</v>
      </c>
      <c r="H887" s="2">
        <v>34.390443126321756</v>
      </c>
    </row>
    <row r="888" spans="1:8" x14ac:dyDescent="0.2">
      <c r="A888" s="16">
        <f>DATE(2020,3,3)</f>
        <v>43893</v>
      </c>
      <c r="B888" s="2">
        <v>97.864419360072972</v>
      </c>
      <c r="C888" s="2">
        <v>78.37464084102335</v>
      </c>
      <c r="D888" s="2">
        <v>35.628017525904191</v>
      </c>
      <c r="E888" s="2">
        <v>27.829332605374326</v>
      </c>
      <c r="F888" s="2">
        <v>31.276032235753927</v>
      </c>
      <c r="G888" s="2">
        <v>31.408215488452694</v>
      </c>
      <c r="H888" s="2">
        <v>34.429987685954778</v>
      </c>
    </row>
    <row r="889" spans="1:8" x14ac:dyDescent="0.2">
      <c r="A889" s="16">
        <f>DATE(2020,3,4)</f>
        <v>43894</v>
      </c>
      <c r="B889" s="2">
        <v>96.315434326285185</v>
      </c>
      <c r="C889" s="2">
        <v>81.226075786769215</v>
      </c>
      <c r="D889" s="2">
        <v>35.655260133043654</v>
      </c>
      <c r="E889" s="2">
        <v>27.859680639034391</v>
      </c>
      <c r="F889" s="2">
        <v>31.311141708508483</v>
      </c>
      <c r="G889" s="2">
        <v>31.443509619435648</v>
      </c>
      <c r="H889" s="2">
        <v>34.469543881625022</v>
      </c>
    </row>
    <row r="890" spans="1:8" x14ac:dyDescent="0.2">
      <c r="A890" s="16">
        <f>DATE(2020,3,5)</f>
        <v>43895</v>
      </c>
      <c r="B890" s="2">
        <v>84.193033263455092</v>
      </c>
      <c r="C890" s="2">
        <v>72.790521583341601</v>
      </c>
      <c r="D890" s="2">
        <v>35.682508212206201</v>
      </c>
      <c r="E890" s="2">
        <v>27.890035877638162</v>
      </c>
      <c r="F890" s="2">
        <v>31.346260571210749</v>
      </c>
      <c r="G890" s="2">
        <v>31.478813229853952</v>
      </c>
      <c r="H890" s="2">
        <v>34.509111716756372</v>
      </c>
    </row>
    <row r="891" spans="1:8" x14ac:dyDescent="0.2">
      <c r="A891" s="16">
        <f>DATE(2020,3,6)</f>
        <v>43896</v>
      </c>
      <c r="B891" s="2">
        <v>78.086273742509093</v>
      </c>
      <c r="C891" s="2">
        <v>65.630209917858053</v>
      </c>
      <c r="D891" s="2">
        <v>35.709761764490963</v>
      </c>
      <c r="E891" s="2">
        <v>27.92039832289619</v>
      </c>
      <c r="F891" s="2">
        <v>31.381388826372024</v>
      </c>
      <c r="G891" s="2">
        <v>31.51412632225361</v>
      </c>
      <c r="H891" s="2">
        <v>34.548691194773774</v>
      </c>
    </row>
    <row r="892" spans="1:8" x14ac:dyDescent="0.2">
      <c r="A892" s="16">
        <f>DATE(2020,3,9)</f>
        <v>43899</v>
      </c>
      <c r="B892" s="2">
        <v>60.145498848779091</v>
      </c>
      <c r="C892" s="2">
        <v>45.467329209343042</v>
      </c>
      <c r="D892" s="2">
        <v>35.737020790997256</v>
      </c>
      <c r="E892" s="2">
        <v>27.950767976519408</v>
      </c>
      <c r="F892" s="2">
        <v>31.416526476504323</v>
      </c>
      <c r="G892" s="2">
        <v>31.549448899181339</v>
      </c>
      <c r="H892" s="2">
        <v>34.588282319103179</v>
      </c>
    </row>
    <row r="893" spans="1:8" x14ac:dyDescent="0.2">
      <c r="A893" s="16">
        <f>DATE(2020,3,10)</f>
        <v>43900</v>
      </c>
      <c r="B893" s="2">
        <v>69.671796653085181</v>
      </c>
      <c r="C893" s="2">
        <v>55.857198390967611</v>
      </c>
      <c r="D893" s="2">
        <v>35.764285292824738</v>
      </c>
      <c r="E893" s="2">
        <v>27.981144840219141</v>
      </c>
      <c r="F893" s="2">
        <v>31.451673524120306</v>
      </c>
      <c r="G893" s="2">
        <v>31.584780963184532</v>
      </c>
      <c r="H893" s="2">
        <v>34.627885093171521</v>
      </c>
    </row>
    <row r="894" spans="1:8" x14ac:dyDescent="0.2">
      <c r="A894" s="16">
        <f>DATE(2020,3,11)</f>
        <v>43901</v>
      </c>
      <c r="B894" s="2">
        <v>57.731219343090181</v>
      </c>
      <c r="C894" s="2">
        <v>43.952827637494352</v>
      </c>
      <c r="D894" s="2">
        <v>35.791555271073115</v>
      </c>
      <c r="E894" s="2">
        <v>28.011528915707149</v>
      </c>
      <c r="F894" s="2">
        <v>31.48682997173329</v>
      </c>
      <c r="G894" s="2">
        <v>31.620122516811279</v>
      </c>
      <c r="H894" s="2">
        <v>34.667499520406729</v>
      </c>
    </row>
    <row r="895" spans="1:8" x14ac:dyDescent="0.2">
      <c r="A895" s="16">
        <f>DATE(2020,3,12)</f>
        <v>43902</v>
      </c>
      <c r="B895" s="2">
        <v>33.24566184849045</v>
      </c>
      <c r="C895" s="2">
        <v>22.676080857248948</v>
      </c>
      <c r="D895" s="2">
        <v>35.818830726842421</v>
      </c>
      <c r="E895" s="2">
        <v>28.041920204695604</v>
      </c>
      <c r="F895" s="2">
        <v>31.521995821857285</v>
      </c>
      <c r="G895" s="2">
        <v>31.655473562610315</v>
      </c>
      <c r="H895" s="2">
        <v>34.707125604237788</v>
      </c>
    </row>
    <row r="896" spans="1:8" x14ac:dyDescent="0.2">
      <c r="A896" s="16">
        <f>DATE(2020,3,13)</f>
        <v>43903</v>
      </c>
      <c r="B896" s="2">
        <v>47.070381442407758</v>
      </c>
      <c r="C896" s="2">
        <v>39.738887198728847</v>
      </c>
      <c r="D896" s="2">
        <v>35.846111661232882</v>
      </c>
      <c r="E896" s="2">
        <v>28.072318708897036</v>
      </c>
      <c r="F896" s="2">
        <v>31.557171077006974</v>
      </c>
      <c r="G896" s="2">
        <v>31.690834103131095</v>
      </c>
      <c r="H896" s="2">
        <v>34.746763348094632</v>
      </c>
    </row>
    <row r="897" spans="1:8" x14ac:dyDescent="0.2">
      <c r="A897" s="16">
        <f>DATE(2020,3,16)</f>
        <v>43906</v>
      </c>
      <c r="B897" s="2">
        <v>24.316395314214969</v>
      </c>
      <c r="C897" s="2">
        <v>20.285383497278708</v>
      </c>
      <c r="D897" s="2">
        <v>35.873398075344952</v>
      </c>
      <c r="E897" s="2">
        <v>28.102724430024459</v>
      </c>
      <c r="F897" s="2">
        <v>31.592355739697766</v>
      </c>
      <c r="G897" s="2">
        <v>31.726204140923777</v>
      </c>
      <c r="H897" s="2">
        <v>34.7864127554083</v>
      </c>
    </row>
    <row r="898" spans="1:8" x14ac:dyDescent="0.2">
      <c r="A898" s="16">
        <f>DATE(2020,3,17)</f>
        <v>43907</v>
      </c>
      <c r="B898" s="2">
        <v>27.662451134780365</v>
      </c>
      <c r="C898" s="2">
        <v>26.115066085251538</v>
      </c>
      <c r="D898" s="2">
        <v>35.900689970279288</v>
      </c>
      <c r="E898" s="2">
        <v>28.133137369791172</v>
      </c>
      <c r="F898" s="2">
        <v>31.627549812445555</v>
      </c>
      <c r="G898" s="2">
        <v>31.761583678539075</v>
      </c>
      <c r="H898" s="2">
        <v>34.826073829610692</v>
      </c>
    </row>
    <row r="899" spans="1:8" x14ac:dyDescent="0.2">
      <c r="A899" s="16">
        <f>DATE(2020,3,18)</f>
        <v>43908</v>
      </c>
      <c r="B899" s="2">
        <v>9.392399786367589</v>
      </c>
      <c r="C899" s="2">
        <v>13.06316127505649</v>
      </c>
      <c r="D899" s="2">
        <v>35.927987347136799</v>
      </c>
      <c r="E899" s="2">
        <v>28.163557529911021</v>
      </c>
      <c r="F899" s="2">
        <v>31.662753297767154</v>
      </c>
      <c r="G899" s="2">
        <v>31.796972718528593</v>
      </c>
      <c r="H899" s="2">
        <v>34.865746574134882</v>
      </c>
    </row>
    <row r="900" spans="1:8" x14ac:dyDescent="0.2">
      <c r="A900" s="16">
        <f>DATE(2020,3,19)</f>
        <v>43909</v>
      </c>
      <c r="B900" s="2">
        <v>17.13389678132231</v>
      </c>
      <c r="C900" s="2">
        <v>15.491667511746487</v>
      </c>
      <c r="D900" s="2">
        <v>35.955290207018599</v>
      </c>
      <c r="E900" s="2">
        <v>28.19398491209817</v>
      </c>
      <c r="F900" s="2">
        <v>31.697966198179905</v>
      </c>
      <c r="G900" s="2">
        <v>31.83237126344449</v>
      </c>
      <c r="H900" s="2">
        <v>34.905430992414828</v>
      </c>
    </row>
    <row r="901" spans="1:8" x14ac:dyDescent="0.2">
      <c r="A901" s="16">
        <f>DATE(2020,3,20)</f>
        <v>43910</v>
      </c>
      <c r="B901" s="2">
        <v>19.230228607678914</v>
      </c>
      <c r="C901" s="2">
        <v>13.357942061318884</v>
      </c>
      <c r="D901" s="2">
        <v>35.98000177828613</v>
      </c>
      <c r="E901" s="2">
        <v>28.224419518067201</v>
      </c>
      <c r="F901" s="2">
        <v>31.733188516201839</v>
      </c>
      <c r="G901" s="2">
        <v>31.867779315839616</v>
      </c>
      <c r="H901" s="2">
        <v>34.945127087885574</v>
      </c>
    </row>
    <row r="902" spans="1:8" x14ac:dyDescent="0.2">
      <c r="A902" s="16">
        <f>DATE(2020,3,23)</f>
        <v>43913</v>
      </c>
      <c r="B902" s="2">
        <v>12.650463517976872</v>
      </c>
      <c r="C902" s="2">
        <v>7.4428218909507793</v>
      </c>
      <c r="D902" s="2">
        <v>36.004717841190264</v>
      </c>
      <c r="E902" s="2">
        <v>28.254861349533144</v>
      </c>
      <c r="F902" s="2">
        <v>31.768420254351689</v>
      </c>
      <c r="G902" s="2">
        <v>31.903196878267551</v>
      </c>
      <c r="H902" s="2">
        <v>34.984834863983139</v>
      </c>
    </row>
    <row r="903" spans="1:8" x14ac:dyDescent="0.2">
      <c r="A903" s="16">
        <f>DATE(2020,3,24)</f>
        <v>43914</v>
      </c>
      <c r="B903" s="2">
        <v>23.216528552704464</v>
      </c>
      <c r="C903" s="2">
        <v>17.853665956799404</v>
      </c>
      <c r="D903" s="2">
        <v>36.029438396547377</v>
      </c>
      <c r="E903" s="2">
        <v>28.285310408211384</v>
      </c>
      <c r="F903" s="2">
        <v>31.803661415148831</v>
      </c>
      <c r="G903" s="2">
        <v>31.938623953282509</v>
      </c>
      <c r="H903" s="2">
        <v>35.024554324144574</v>
      </c>
    </row>
    <row r="904" spans="1:8" x14ac:dyDescent="0.2">
      <c r="A904" s="16">
        <f>DATE(2020,3,25)</f>
        <v>43915</v>
      </c>
      <c r="B904" s="2">
        <v>33.882944964960316</v>
      </c>
      <c r="C904" s="2">
        <v>26.686897880539373</v>
      </c>
      <c r="D904" s="2">
        <v>36.054163445174026</v>
      </c>
      <c r="E904" s="2">
        <v>28.315766695817771</v>
      </c>
      <c r="F904" s="2">
        <v>31.83891200111335</v>
      </c>
      <c r="G904" s="2">
        <v>31.974060543439453</v>
      </c>
      <c r="H904" s="2">
        <v>35.064285471807914</v>
      </c>
    </row>
    <row r="905" spans="1:8" x14ac:dyDescent="0.2">
      <c r="A905" s="16">
        <f>DATE(2020,3,26)</f>
        <v>43916</v>
      </c>
      <c r="B905" s="2">
        <v>39.81233255018892</v>
      </c>
      <c r="C905" s="2">
        <v>31.341750329581039</v>
      </c>
      <c r="D905" s="2">
        <v>36.078892987886938</v>
      </c>
      <c r="E905" s="2">
        <v>28.346230214068498</v>
      </c>
      <c r="F905" s="2">
        <v>31.874172014765968</v>
      </c>
      <c r="G905" s="2">
        <v>32.009506651293961</v>
      </c>
      <c r="H905" s="2">
        <v>35.104028310412218</v>
      </c>
    </row>
    <row r="906" spans="1:8" x14ac:dyDescent="0.2">
      <c r="A906" s="16">
        <f>DATE(2020,3,27)</f>
        <v>43917</v>
      </c>
      <c r="B906" s="2">
        <v>31.232925254677447</v>
      </c>
      <c r="C906" s="2">
        <v>24.106378663421424</v>
      </c>
      <c r="D906" s="2">
        <v>36.103627025502959</v>
      </c>
      <c r="E906" s="2">
        <v>28.376700964680211</v>
      </c>
      <c r="F906" s="2">
        <v>31.909441458628105</v>
      </c>
      <c r="G906" s="2">
        <v>32.04496227940237</v>
      </c>
      <c r="H906" s="2">
        <v>35.143782843397588</v>
      </c>
    </row>
    <row r="907" spans="1:8" x14ac:dyDescent="0.2">
      <c r="A907" s="16">
        <f>DATE(2020,3,30)</f>
        <v>43920</v>
      </c>
      <c r="B907" s="2">
        <v>31.1251816623056</v>
      </c>
      <c r="C907" s="2">
        <v>26.152655241185659</v>
      </c>
      <c r="D907" s="2">
        <v>36.128365558839093</v>
      </c>
      <c r="E907" s="2">
        <v>28.407178949369928</v>
      </c>
      <c r="F907" s="2">
        <v>31.944720335221842</v>
      </c>
      <c r="G907" s="2">
        <v>32.08042743032162</v>
      </c>
      <c r="H907" s="2">
        <v>35.183549074205089</v>
      </c>
    </row>
    <row r="908" spans="1:8" x14ac:dyDescent="0.2">
      <c r="A908" s="16">
        <f>DATE(2020,3,31)</f>
        <v>43921</v>
      </c>
      <c r="B908" s="2">
        <v>24.239704520256787</v>
      </c>
      <c r="C908" s="2">
        <v>23.415069465571278</v>
      </c>
      <c r="D908" s="2">
        <v>36.153108588712499</v>
      </c>
      <c r="E908" s="2">
        <v>28.437664169855115</v>
      </c>
      <c r="F908" s="2">
        <v>31.980008647069958</v>
      </c>
      <c r="G908" s="2">
        <v>32.11590210660944</v>
      </c>
      <c r="H908" s="2">
        <v>35.223327006276818</v>
      </c>
    </row>
    <row r="909" spans="1:8" x14ac:dyDescent="0.2">
      <c r="A909" s="16">
        <f>DATE(2020,4,1)</f>
        <v>43922</v>
      </c>
      <c r="B909" s="2">
        <v>17.358143328450382</v>
      </c>
      <c r="C909" s="2">
        <v>19.945069803603268</v>
      </c>
      <c r="D909" s="2">
        <v>36.177856115940493</v>
      </c>
      <c r="E909" s="2">
        <v>28.442866681013147</v>
      </c>
      <c r="F909" s="2">
        <v>31.989318166082661</v>
      </c>
      <c r="G909" s="2">
        <v>32.125371291830973</v>
      </c>
      <c r="H909" s="2">
        <v>35.236489055962167</v>
      </c>
    </row>
    <row r="910" spans="1:8" x14ac:dyDescent="0.2">
      <c r="A910" s="16">
        <f>DATE(2020,4,2)</f>
        <v>43923</v>
      </c>
      <c r="B910" s="2">
        <v>19.681565918426891</v>
      </c>
      <c r="C910" s="2">
        <v>22.119899942534428</v>
      </c>
      <c r="D910" s="2">
        <v>36.202608141340484</v>
      </c>
      <c r="E910" s="2">
        <v>28.448069402904739</v>
      </c>
      <c r="F910" s="2">
        <v>31.998628341764125</v>
      </c>
      <c r="G910" s="2">
        <v>32.134841155740482</v>
      </c>
      <c r="H910" s="2">
        <v>35.249652386784149</v>
      </c>
    </row>
    <row r="911" spans="1:8" x14ac:dyDescent="0.2">
      <c r="A911" s="16">
        <f>DATE(2020,4,3)</f>
        <v>43924</v>
      </c>
      <c r="B911" s="2">
        <v>15.841475189294817</v>
      </c>
      <c r="C911" s="2">
        <v>17.529594699658446</v>
      </c>
      <c r="D911" s="2">
        <v>36.227364665730107</v>
      </c>
      <c r="E911" s="2">
        <v>28.453272335538379</v>
      </c>
      <c r="F911" s="2">
        <v>32.007939174160562</v>
      </c>
      <c r="G911" s="2">
        <v>32.144311698386495</v>
      </c>
      <c r="H911" s="2">
        <v>35.262816998867372</v>
      </c>
    </row>
    <row r="912" spans="1:8" x14ac:dyDescent="0.2">
      <c r="A912" s="16">
        <f>DATE(2020,4,6)</f>
        <v>43927</v>
      </c>
      <c r="B912" s="2">
        <v>24.286070745144706</v>
      </c>
      <c r="C912" s="2">
        <v>25.195179663996068</v>
      </c>
      <c r="D912" s="2">
        <v>36.252125689927105</v>
      </c>
      <c r="E912" s="2">
        <v>28.458475478922619</v>
      </c>
      <c r="F912" s="2">
        <v>32.0172506633184</v>
      </c>
      <c r="G912" s="2">
        <v>32.153782919817786</v>
      </c>
      <c r="H912" s="2">
        <v>35.2759828923366</v>
      </c>
    </row>
    <row r="913" spans="1:8" x14ac:dyDescent="0.2">
      <c r="A913" s="16">
        <f>DATE(2020,4,7)</f>
        <v>43928</v>
      </c>
      <c r="B913" s="2">
        <v>28.338186134595581</v>
      </c>
      <c r="C913" s="2">
        <v>29.057380928235666</v>
      </c>
      <c r="D913" s="2">
        <v>36.276891214749377</v>
      </c>
      <c r="E913" s="2">
        <v>28.463678833066002</v>
      </c>
      <c r="F913" s="2">
        <v>32.026562809283931</v>
      </c>
      <c r="G913" s="2">
        <v>32.163254820082955</v>
      </c>
      <c r="H913" s="2">
        <v>35.289150067316541</v>
      </c>
    </row>
    <row r="914" spans="1:8" x14ac:dyDescent="0.2">
      <c r="A914" s="16">
        <f>DATE(2020,4,8)</f>
        <v>43929</v>
      </c>
      <c r="B914" s="2">
        <v>32.297349231449935</v>
      </c>
      <c r="C914" s="2">
        <v>32.888179021735311</v>
      </c>
      <c r="D914" s="2">
        <v>36.301661241014948</v>
      </c>
      <c r="E914" s="2">
        <v>28.468882397977048</v>
      </c>
      <c r="F914" s="2">
        <v>32.035875612103503</v>
      </c>
      <c r="G914" s="2">
        <v>32.172727399230652</v>
      </c>
      <c r="H914" s="2">
        <v>35.302318523931952</v>
      </c>
    </row>
    <row r="915" spans="1:8" x14ac:dyDescent="0.2">
      <c r="A915" s="16">
        <f>DATE(2020,4,9)</f>
        <v>43930</v>
      </c>
      <c r="B915" s="2">
        <v>31.336663585660961</v>
      </c>
      <c r="C915" s="2">
        <v>31.294899097454486</v>
      </c>
      <c r="D915" s="2">
        <v>36.326435769542023</v>
      </c>
      <c r="E915" s="2">
        <v>28.474086173664315</v>
      </c>
      <c r="F915" s="2">
        <v>32.04518907182343</v>
      </c>
      <c r="G915" s="2">
        <v>32.182200657309522</v>
      </c>
      <c r="H915" s="2">
        <v>35.315488262307568</v>
      </c>
    </row>
    <row r="916" spans="1:8" x14ac:dyDescent="0.2">
      <c r="A916" s="16">
        <f>DATE(2020,4,13)</f>
        <v>43934</v>
      </c>
      <c r="B916" s="2">
        <v>30.990266871321825</v>
      </c>
      <c r="C916" s="2">
        <v>33.245140790318636</v>
      </c>
      <c r="D916" s="2">
        <v>36.351214801148956</v>
      </c>
      <c r="E916" s="2">
        <v>28.47929016013633</v>
      </c>
      <c r="F916" s="2">
        <v>32.05450318849006</v>
      </c>
      <c r="G916" s="2">
        <v>32.191674594368244</v>
      </c>
      <c r="H916" s="2">
        <v>35.328659282568161</v>
      </c>
    </row>
    <row r="917" spans="1:8" x14ac:dyDescent="0.2">
      <c r="A917" s="16">
        <f>DATE(2020,4,14)</f>
        <v>43935</v>
      </c>
      <c r="B917" s="2">
        <v>34.963815932750975</v>
      </c>
      <c r="C917" s="2">
        <v>35.074806476692565</v>
      </c>
      <c r="D917" s="2">
        <v>36.375998336654213</v>
      </c>
      <c r="E917" s="2">
        <v>28.484494357401633</v>
      </c>
      <c r="F917" s="2">
        <v>32.063817962149699</v>
      </c>
      <c r="G917" s="2">
        <v>32.20114921045549</v>
      </c>
      <c r="H917" s="2">
        <v>35.341831584838502</v>
      </c>
    </row>
    <row r="918" spans="1:8" x14ac:dyDescent="0.2">
      <c r="A918" s="16">
        <f>DATE(2020,4,15)</f>
        <v>43936</v>
      </c>
      <c r="B918" s="2">
        <v>34.470337501324003</v>
      </c>
      <c r="C918" s="2">
        <v>33.237771693202056</v>
      </c>
      <c r="D918" s="2">
        <v>36.400786376876447</v>
      </c>
      <c r="E918" s="2">
        <v>28.489698765468763</v>
      </c>
      <c r="F918" s="2">
        <v>32.073133392848717</v>
      </c>
      <c r="G918" s="2">
        <v>32.210624505619911</v>
      </c>
      <c r="H918" s="2">
        <v>35.35500516924337</v>
      </c>
    </row>
    <row r="919" spans="1:8" x14ac:dyDescent="0.2">
      <c r="A919" s="16">
        <f>DATE(2020,4,16)</f>
        <v>43937</v>
      </c>
      <c r="B919" s="2">
        <v>34.272685065403728</v>
      </c>
      <c r="C919" s="2">
        <v>31.514467768650789</v>
      </c>
      <c r="D919" s="2">
        <v>36.42557892263445</v>
      </c>
      <c r="E919" s="2">
        <v>28.494903384346259</v>
      </c>
      <c r="F919" s="2">
        <v>32.082449480633436</v>
      </c>
      <c r="G919" s="2">
        <v>32.220100479910151</v>
      </c>
      <c r="H919" s="2">
        <v>35.368180035907578</v>
      </c>
    </row>
    <row r="920" spans="1:8" x14ac:dyDescent="0.2">
      <c r="A920" s="16">
        <f>DATE(2020,4,17)</f>
        <v>43938</v>
      </c>
      <c r="B920" s="2">
        <v>37.30302598528381</v>
      </c>
      <c r="C920" s="2">
        <v>33.506219788391853</v>
      </c>
      <c r="D920" s="2">
        <v>36.450375974747161</v>
      </c>
      <c r="E920" s="2">
        <v>28.500108214042697</v>
      </c>
      <c r="F920" s="2">
        <v>32.091766225550259</v>
      </c>
      <c r="G920" s="2">
        <v>32.229577133374953</v>
      </c>
      <c r="H920" s="2">
        <v>35.381356184955948</v>
      </c>
    </row>
    <row r="921" spans="1:8" x14ac:dyDescent="0.2">
      <c r="A921" s="16">
        <f>DATE(2020,4,20)</f>
        <v>43941</v>
      </c>
      <c r="B921" s="2">
        <v>41.166426923490533</v>
      </c>
      <c r="C921" s="2">
        <v>33.476591285535484</v>
      </c>
      <c r="D921" s="2">
        <v>36.475177534033662</v>
      </c>
      <c r="E921" s="2">
        <v>28.505313254566534</v>
      </c>
      <c r="F921" s="2">
        <v>32.101083627645501</v>
      </c>
      <c r="G921" s="2">
        <v>32.239054466062967</v>
      </c>
      <c r="H921" s="2">
        <v>35.394533616513257</v>
      </c>
    </row>
    <row r="922" spans="1:8" x14ac:dyDescent="0.2">
      <c r="A922" s="16">
        <f>DATE(2020,4,22)</f>
        <v>43943</v>
      </c>
      <c r="B922" s="2">
        <v>45.670614723120813</v>
      </c>
      <c r="C922" s="2">
        <v>36.374184497853371</v>
      </c>
      <c r="D922" s="2">
        <v>36.49998360131319</v>
      </c>
      <c r="E922" s="2">
        <v>28.510518505926385</v>
      </c>
      <c r="F922" s="2">
        <v>32.110401686965531</v>
      </c>
      <c r="G922" s="2">
        <v>32.248532478022881</v>
      </c>
      <c r="H922" s="2">
        <v>35.407712330704392</v>
      </c>
    </row>
    <row r="923" spans="1:8" x14ac:dyDescent="0.2">
      <c r="A923" s="16">
        <f>DATE(2020,4,23)</f>
        <v>43944</v>
      </c>
      <c r="B923" s="2">
        <v>41.314958229176881</v>
      </c>
      <c r="C923" s="2">
        <v>34.660615894263479</v>
      </c>
      <c r="D923" s="2">
        <v>36.524794177405127</v>
      </c>
      <c r="E923" s="2">
        <v>28.515723968130736</v>
      </c>
      <c r="F923" s="2">
        <v>32.119720403556663</v>
      </c>
      <c r="G923" s="2">
        <v>32.258011169303337</v>
      </c>
      <c r="H923" s="2">
        <v>35.42089232765413</v>
      </c>
    </row>
    <row r="924" spans="1:8" x14ac:dyDescent="0.2">
      <c r="A924" s="16">
        <f>DATE(2020,4,24)</f>
        <v>43945</v>
      </c>
      <c r="B924" s="2">
        <v>33.565931617615675</v>
      </c>
      <c r="C924" s="2">
        <v>27.320775445357025</v>
      </c>
      <c r="D924" s="2">
        <v>36.549609263129</v>
      </c>
      <c r="E924" s="2">
        <v>28.520929641188154</v>
      </c>
      <c r="F924" s="2">
        <v>32.129039777465309</v>
      </c>
      <c r="G924" s="2">
        <v>32.26749053995308</v>
      </c>
      <c r="H924" s="2">
        <v>35.434073607487363</v>
      </c>
    </row>
    <row r="925" spans="1:8" x14ac:dyDescent="0.2">
      <c r="A925" s="16">
        <f>DATE(2020,4,27)</f>
        <v>43948</v>
      </c>
      <c r="B925" s="2">
        <v>38.608500744786099</v>
      </c>
      <c r="C925" s="2">
        <v>32.235743501335108</v>
      </c>
      <c r="D925" s="2">
        <v>36.574428859304483</v>
      </c>
      <c r="E925" s="2">
        <v>28.52613552510719</v>
      </c>
      <c r="F925" s="2">
        <v>32.138359808737825</v>
      </c>
      <c r="G925" s="2">
        <v>32.276970590020788</v>
      </c>
      <c r="H925" s="2">
        <v>35.447256170328956</v>
      </c>
    </row>
    <row r="926" spans="1:8" x14ac:dyDescent="0.2">
      <c r="A926" s="16">
        <f>DATE(2020,4,28)</f>
        <v>43949</v>
      </c>
      <c r="B926" s="2">
        <v>43.367733696696689</v>
      </c>
      <c r="C926" s="2">
        <v>37.430669641347933</v>
      </c>
      <c r="D926" s="2">
        <v>36.599252966751443</v>
      </c>
      <c r="E926" s="2">
        <v>28.531341619896391</v>
      </c>
      <c r="F926" s="2">
        <v>32.147680497420602</v>
      </c>
      <c r="G926" s="2">
        <v>32.286451319555184</v>
      </c>
      <c r="H926" s="2">
        <v>35.460440016303842</v>
      </c>
    </row>
    <row r="927" spans="1:8" x14ac:dyDescent="0.2">
      <c r="A927" s="16">
        <f>DATE(2020,4,29)</f>
        <v>43950</v>
      </c>
      <c r="B927" s="2">
        <v>43.779334417616255</v>
      </c>
      <c r="C927" s="2">
        <v>40.57195010647996</v>
      </c>
      <c r="D927" s="2">
        <v>36.624081586289826</v>
      </c>
      <c r="E927" s="2">
        <v>28.53654792556426</v>
      </c>
      <c r="F927" s="2">
        <v>32.157001843559939</v>
      </c>
      <c r="G927" s="2">
        <v>32.295932728604868</v>
      </c>
      <c r="H927" s="2">
        <v>35.47362514553685</v>
      </c>
    </row>
    <row r="928" spans="1:8" x14ac:dyDescent="0.2">
      <c r="A928" s="16">
        <f>DATE(2020,4,30)</f>
        <v>43951</v>
      </c>
      <c r="B928" s="2">
        <v>38.824544406669467</v>
      </c>
      <c r="C928" s="2">
        <v>36.067826116350489</v>
      </c>
      <c r="D928" s="2">
        <v>36.648914718739768</v>
      </c>
      <c r="E928" s="2">
        <v>28.541754442119348</v>
      </c>
      <c r="F928" s="2">
        <v>32.166323847202278</v>
      </c>
      <c r="G928" s="2">
        <v>32.305414817218647</v>
      </c>
      <c r="H928" s="2">
        <v>35.486811558152901</v>
      </c>
    </row>
    <row r="929" spans="1:8" x14ac:dyDescent="0.2">
      <c r="A929" s="16">
        <f>DATE(2020,5,4)</f>
        <v>43955</v>
      </c>
      <c r="B929" s="2">
        <v>36.538969132281586</v>
      </c>
      <c r="C929" s="2">
        <v>33.313423249839325</v>
      </c>
      <c r="D929" s="2">
        <v>36.673752364921562</v>
      </c>
      <c r="E929" s="2">
        <v>28.545672613863314</v>
      </c>
      <c r="F929" s="2">
        <v>32.174321578717887</v>
      </c>
      <c r="G929" s="2">
        <v>32.313571259915228</v>
      </c>
      <c r="H929" s="2">
        <v>35.498641001263877</v>
      </c>
    </row>
    <row r="930" spans="1:8" x14ac:dyDescent="0.2">
      <c r="A930" s="16">
        <f>DATE(2020,5,5)</f>
        <v>43956</v>
      </c>
      <c r="B930" s="2">
        <v>37.312843341242449</v>
      </c>
      <c r="C930" s="2">
        <v>34.318324713517768</v>
      </c>
      <c r="D930" s="2">
        <v>36.698594525655629</v>
      </c>
      <c r="E930" s="2">
        <v>28.549590905039835</v>
      </c>
      <c r="F930" s="2">
        <v>32.182319794197255</v>
      </c>
      <c r="G930" s="2">
        <v>32.321728205445076</v>
      </c>
      <c r="H930" s="2">
        <v>35.510471477211361</v>
      </c>
    </row>
    <row r="931" spans="1:8" x14ac:dyDescent="0.2">
      <c r="A931" s="16">
        <f>DATE(2020,5,6)</f>
        <v>43957</v>
      </c>
      <c r="B931" s="2">
        <v>37.318098958673083</v>
      </c>
      <c r="C931" s="2">
        <v>33.630260622654774</v>
      </c>
      <c r="D931" s="2">
        <v>36.723441201762519</v>
      </c>
      <c r="E931" s="2">
        <v>28.553509315652551</v>
      </c>
      <c r="F931" s="2">
        <v>32.190318493669643</v>
      </c>
      <c r="G931" s="2">
        <v>32.329885653839099</v>
      </c>
      <c r="H931" s="2">
        <v>35.522302986085521</v>
      </c>
    </row>
    <row r="932" spans="1:8" x14ac:dyDescent="0.2">
      <c r="A932" s="16">
        <f>DATE(2020,5,7)</f>
        <v>43958</v>
      </c>
      <c r="B932" s="2">
        <v>34.854677712485802</v>
      </c>
      <c r="C932" s="2">
        <v>32.032873609843392</v>
      </c>
      <c r="D932" s="2">
        <v>36.748292394062986</v>
      </c>
      <c r="E932" s="2">
        <v>28.557427845705096</v>
      </c>
      <c r="F932" s="2">
        <v>32.198317677164347</v>
      </c>
      <c r="G932" s="2">
        <v>32.338043605128348</v>
      </c>
      <c r="H932" s="2">
        <v>35.534135527976552</v>
      </c>
    </row>
    <row r="933" spans="1:8" x14ac:dyDescent="0.2">
      <c r="A933" s="16">
        <f>DATE(2020,5,8)</f>
        <v>43959</v>
      </c>
      <c r="B933" s="2">
        <v>36.048431098580487</v>
      </c>
      <c r="C933" s="2">
        <v>35.657894736842003</v>
      </c>
      <c r="D933" s="2">
        <v>36.769206599002047</v>
      </c>
      <c r="E933" s="2">
        <v>28.561346495201121</v>
      </c>
      <c r="F933" s="2">
        <v>32.206317344710669</v>
      </c>
      <c r="G933" s="2">
        <v>32.346202059343817</v>
      </c>
      <c r="H933" s="2">
        <v>35.545969102974631</v>
      </c>
    </row>
    <row r="934" spans="1:8" x14ac:dyDescent="0.2">
      <c r="A934" s="16">
        <f>DATE(2020,5,11)</f>
        <v>43962</v>
      </c>
      <c r="B934" s="2">
        <v>33.571874243860741</v>
      </c>
      <c r="C934" s="2">
        <v>33.631815569752789</v>
      </c>
      <c r="D934" s="2">
        <v>36.790124002547529</v>
      </c>
      <c r="E934" s="2">
        <v>28.565265264144269</v>
      </c>
      <c r="F934" s="2">
        <v>32.214317496337898</v>
      </c>
      <c r="G934" s="2">
        <v>32.354361016516521</v>
      </c>
      <c r="H934" s="2">
        <v>35.557803711169967</v>
      </c>
    </row>
    <row r="935" spans="1:8" x14ac:dyDescent="0.2">
      <c r="A935" s="16">
        <f>DATE(2020,5,12)</f>
        <v>43963</v>
      </c>
      <c r="B935" s="2">
        <v>31.316259423871482</v>
      </c>
      <c r="C935" s="2">
        <v>31.616046377987232</v>
      </c>
      <c r="D935" s="2">
        <v>36.811044605188648</v>
      </c>
      <c r="E935" s="2">
        <v>28.569184152538149</v>
      </c>
      <c r="F935" s="2">
        <v>32.222318132075323</v>
      </c>
      <c r="G935" s="2">
        <v>32.362520476677453</v>
      </c>
      <c r="H935" s="2">
        <v>35.569639352652779</v>
      </c>
    </row>
    <row r="936" spans="1:8" x14ac:dyDescent="0.2">
      <c r="A936" s="16">
        <f>DATE(2020,5,13)</f>
        <v>43964</v>
      </c>
      <c r="B936" s="2">
        <v>31.097502077170969</v>
      </c>
      <c r="C936" s="2">
        <v>31.44745292904696</v>
      </c>
      <c r="D936" s="2">
        <v>36.831968407414649</v>
      </c>
      <c r="E936" s="2">
        <v>28.573103160386417</v>
      </c>
      <c r="F936" s="2">
        <v>32.23031925195221</v>
      </c>
      <c r="G936" s="2">
        <v>32.370680439857601</v>
      </c>
      <c r="H936" s="2">
        <v>35.581476027513247</v>
      </c>
    </row>
    <row r="937" spans="1:8" x14ac:dyDescent="0.2">
      <c r="A937" s="16">
        <f>DATE(2020,5,14)</f>
        <v>43965</v>
      </c>
      <c r="B937" s="2">
        <v>33.085753676836617</v>
      </c>
      <c r="C937" s="2">
        <v>33.540901869316713</v>
      </c>
      <c r="D937" s="2">
        <v>36.852895409714883</v>
      </c>
      <c r="E937" s="2">
        <v>28.577022287692746</v>
      </c>
      <c r="F937" s="2">
        <v>32.238320855997912</v>
      </c>
      <c r="G937" s="2">
        <v>32.378840906088044</v>
      </c>
      <c r="H937" s="2">
        <v>35.593313735841647</v>
      </c>
    </row>
    <row r="938" spans="1:8" x14ac:dyDescent="0.2">
      <c r="A938" s="16">
        <f>DATE(2020,5,15)</f>
        <v>43966</v>
      </c>
      <c r="B938" s="2">
        <v>33.042568302759626</v>
      </c>
      <c r="C938" s="2">
        <v>31.083088260149271</v>
      </c>
      <c r="D938" s="2">
        <v>36.873825612578813</v>
      </c>
      <c r="E938" s="2">
        <v>28.580941534460759</v>
      </c>
      <c r="F938" s="2">
        <v>32.246322944241697</v>
      </c>
      <c r="G938" s="2">
        <v>32.387001875399712</v>
      </c>
      <c r="H938" s="2">
        <v>35.605152477728197</v>
      </c>
    </row>
    <row r="939" spans="1:8" x14ac:dyDescent="0.2">
      <c r="A939" s="16">
        <f>DATE(2020,5,18)</f>
        <v>43969</v>
      </c>
      <c r="B939" s="2">
        <v>38.37687572299069</v>
      </c>
      <c r="C939" s="2">
        <v>37.23133218402446</v>
      </c>
      <c r="D939" s="2">
        <v>36.894759016495883</v>
      </c>
      <c r="E939" s="2">
        <v>28.584860900694075</v>
      </c>
      <c r="F939" s="2">
        <v>32.254325516712854</v>
      </c>
      <c r="G939" s="2">
        <v>32.395163347823683</v>
      </c>
      <c r="H939" s="2">
        <v>35.616992253263135</v>
      </c>
    </row>
    <row r="940" spans="1:8" x14ac:dyDescent="0.2">
      <c r="A940" s="16">
        <f>DATE(2020,5,19)</f>
        <v>43970</v>
      </c>
      <c r="B940" s="2">
        <v>38.478717909646299</v>
      </c>
      <c r="C940" s="2">
        <v>36.467481323733097</v>
      </c>
      <c r="D940" s="2">
        <v>36.91569562195567</v>
      </c>
      <c r="E940" s="2">
        <v>28.588780386396319</v>
      </c>
      <c r="F940" s="2">
        <v>32.262328573440648</v>
      </c>
      <c r="G940" s="2">
        <v>32.403325323390895</v>
      </c>
      <c r="H940" s="2">
        <v>35.628833062536636</v>
      </c>
    </row>
    <row r="941" spans="1:8" x14ac:dyDescent="0.2">
      <c r="A941" s="16">
        <f>DATE(2020,5,20)</f>
        <v>43971</v>
      </c>
      <c r="B941" s="2">
        <v>38.701329375795908</v>
      </c>
      <c r="C941" s="2">
        <v>37.44287259574741</v>
      </c>
      <c r="D941" s="2">
        <v>36.936635429447804</v>
      </c>
      <c r="E941" s="2">
        <v>28.592699991571234</v>
      </c>
      <c r="F941" s="2">
        <v>32.270332114454511</v>
      </c>
      <c r="G941" s="2">
        <v>32.411487802132477</v>
      </c>
      <c r="H941" s="2">
        <v>35.640674905639116</v>
      </c>
    </row>
    <row r="942" spans="1:8" x14ac:dyDescent="0.2">
      <c r="A942" s="16">
        <f>DATE(2020,5,21)</f>
        <v>43972</v>
      </c>
      <c r="B942" s="2">
        <v>43.263576290336282</v>
      </c>
      <c r="C942" s="2">
        <v>40.329057228813703</v>
      </c>
      <c r="D942" s="2">
        <v>36.957578439462011</v>
      </c>
      <c r="E942" s="2">
        <v>28.596619716222381</v>
      </c>
      <c r="F942" s="2">
        <v>32.278336139783661</v>
      </c>
      <c r="G942" s="2">
        <v>32.419650784079401</v>
      </c>
      <c r="H942" s="2">
        <v>35.652517782660723</v>
      </c>
    </row>
    <row r="943" spans="1:8" x14ac:dyDescent="0.2">
      <c r="A943" s="16">
        <f>DATE(2020,5,22)</f>
        <v>43973</v>
      </c>
      <c r="B943" s="2">
        <v>42.732497866493887</v>
      </c>
      <c r="C943" s="2">
        <v>38.885863502687236</v>
      </c>
      <c r="D943" s="2">
        <v>36.978524652488098</v>
      </c>
      <c r="E943" s="2">
        <v>28.600539560353401</v>
      </c>
      <c r="F943" s="2">
        <v>32.286340649457387</v>
      </c>
      <c r="G943" s="2">
        <v>32.427814269262647</v>
      </c>
      <c r="H943" s="2">
        <v>35.664361693691738</v>
      </c>
    </row>
    <row r="944" spans="1:8" x14ac:dyDescent="0.2">
      <c r="A944" s="16">
        <f>DATE(2020,5,25)</f>
        <v>43976</v>
      </c>
      <c r="B944" s="2">
        <v>48.135787841784918</v>
      </c>
      <c r="C944" s="2">
        <v>44.784977858905314</v>
      </c>
      <c r="D944" s="2">
        <v>36.999474069015939</v>
      </c>
      <c r="E944" s="2">
        <v>28.60445952396795</v>
      </c>
      <c r="F944" s="2">
        <v>32.294345643505039</v>
      </c>
      <c r="G944" s="2">
        <v>32.435978257713295</v>
      </c>
      <c r="H944" s="2">
        <v>35.676206638822471</v>
      </c>
    </row>
    <row r="945" spans="1:8" x14ac:dyDescent="0.2">
      <c r="A945" s="16">
        <f>DATE(2020,5,26)</f>
        <v>43977</v>
      </c>
      <c r="B945" s="2">
        <v>48.905169013099226</v>
      </c>
      <c r="C945" s="2">
        <v>44.456123449278181</v>
      </c>
      <c r="D945" s="2">
        <v>37.020426689535398</v>
      </c>
      <c r="E945" s="2">
        <v>28.608379607069679</v>
      </c>
      <c r="F945" s="2">
        <v>32.302351121955923</v>
      </c>
      <c r="G945" s="2">
        <v>32.444142749462323</v>
      </c>
      <c r="H945" s="2">
        <v>35.688052618143182</v>
      </c>
    </row>
    <row r="946" spans="1:8" x14ac:dyDescent="0.2">
      <c r="A946" s="16">
        <f>DATE(2020,5,27)</f>
        <v>43978</v>
      </c>
      <c r="B946" s="2">
        <v>55.06745945651808</v>
      </c>
      <c r="C946" s="2">
        <v>48.643224149004368</v>
      </c>
      <c r="D946" s="2">
        <v>37.041382514536593</v>
      </c>
      <c r="E946" s="2">
        <v>28.612299809662218</v>
      </c>
      <c r="F946" s="2">
        <v>32.310357084839339</v>
      </c>
      <c r="G946" s="2">
        <v>32.452307744540775</v>
      </c>
      <c r="H946" s="2">
        <v>35.699899631744202</v>
      </c>
    </row>
    <row r="947" spans="1:8" x14ac:dyDescent="0.2">
      <c r="A947" s="16">
        <f>DATE(2020,5,28)</f>
        <v>43979</v>
      </c>
      <c r="B947" s="2">
        <v>53.159745900171629</v>
      </c>
      <c r="C947" s="2">
        <v>46.957864313963981</v>
      </c>
      <c r="D947" s="2">
        <v>37.062341544509557</v>
      </c>
      <c r="E947" s="2">
        <v>28.616220131749227</v>
      </c>
      <c r="F947" s="2">
        <v>32.318363532184598</v>
      </c>
      <c r="G947" s="2">
        <v>32.460473242979688</v>
      </c>
      <c r="H947" s="2">
        <v>35.711747679715813</v>
      </c>
    </row>
    <row r="948" spans="1:8" x14ac:dyDescent="0.2">
      <c r="A948" s="16">
        <f>DATE(2020,5,29)</f>
        <v>43980</v>
      </c>
      <c r="B948" s="2">
        <v>51.715612151646823</v>
      </c>
      <c r="C948" s="2">
        <v>47.724351823682397</v>
      </c>
      <c r="D948" s="2">
        <v>37.083303779944487</v>
      </c>
      <c r="E948" s="2">
        <v>28.620140573334329</v>
      </c>
      <c r="F948" s="2">
        <v>32.326370464021025</v>
      </c>
      <c r="G948" s="2">
        <v>32.468639244810092</v>
      </c>
      <c r="H948" s="2">
        <v>35.723596762148311</v>
      </c>
    </row>
    <row r="949" spans="1:8" x14ac:dyDescent="0.2">
      <c r="A949" s="16">
        <f>DATE(2020,6,1)</f>
        <v>43983</v>
      </c>
      <c r="B949" s="2">
        <v>53.556582801668462</v>
      </c>
      <c r="C949" s="2">
        <v>49.782138390291621</v>
      </c>
      <c r="D949" s="2">
        <v>37.104269221331613</v>
      </c>
      <c r="E949" s="2">
        <v>28.658511244370001</v>
      </c>
      <c r="F949" s="2">
        <v>32.369821745450935</v>
      </c>
      <c r="G949" s="2">
        <v>32.512287762398138</v>
      </c>
      <c r="H949" s="2">
        <v>35.771801671755597</v>
      </c>
    </row>
    <row r="950" spans="1:8" x14ac:dyDescent="0.2">
      <c r="A950" s="16">
        <f>DATE(2020,6,2)</f>
        <v>43984</v>
      </c>
      <c r="B950" s="2">
        <v>56.612823953853649</v>
      </c>
      <c r="C950" s="2">
        <v>53.882939526079049</v>
      </c>
      <c r="D950" s="2">
        <v>37.125237869161246</v>
      </c>
      <c r="E950" s="2">
        <v>28.696893362356281</v>
      </c>
      <c r="F950" s="2">
        <v>32.413287294738801</v>
      </c>
      <c r="G950" s="2">
        <v>32.555950662206001</v>
      </c>
      <c r="H950" s="2">
        <v>35.820023702286321</v>
      </c>
    </row>
    <row r="951" spans="1:8" x14ac:dyDescent="0.2">
      <c r="A951" s="16">
        <f>DATE(2020,6,3)</f>
        <v>43985</v>
      </c>
      <c r="B951" s="2">
        <v>61.730806038587403</v>
      </c>
      <c r="C951" s="2">
        <v>57.188486630835158</v>
      </c>
      <c r="D951" s="2">
        <v>37.146209723923775</v>
      </c>
      <c r="E951" s="2">
        <v>28.735286930708082</v>
      </c>
      <c r="F951" s="2">
        <v>32.456767116569686</v>
      </c>
      <c r="G951" s="2">
        <v>32.599627948972618</v>
      </c>
      <c r="H951" s="2">
        <v>35.868262859821321</v>
      </c>
    </row>
    <row r="952" spans="1:8" x14ac:dyDescent="0.2">
      <c r="A952" s="16">
        <f>DATE(2020,6,4)</f>
        <v>43986</v>
      </c>
      <c r="B952" s="2">
        <v>60.142640892110968</v>
      </c>
      <c r="C952" s="2">
        <v>58.585353074400743</v>
      </c>
      <c r="D952" s="2">
        <v>37.167184786109672</v>
      </c>
      <c r="E952" s="2">
        <v>28.77369195284134</v>
      </c>
      <c r="F952" s="2">
        <v>32.500261215630168</v>
      </c>
      <c r="G952" s="2">
        <v>32.643319627438515</v>
      </c>
      <c r="H952" s="2">
        <v>35.916519150443605</v>
      </c>
    </row>
    <row r="953" spans="1:8" x14ac:dyDescent="0.2">
      <c r="A953" s="16">
        <f>DATE(2020,6,5)</f>
        <v>43987</v>
      </c>
      <c r="B953" s="2">
        <v>61.426584795368022</v>
      </c>
      <c r="C953" s="2">
        <v>59.951762836764239</v>
      </c>
      <c r="D953" s="2">
        <v>37.188163056209468</v>
      </c>
      <c r="E953" s="2">
        <v>28.812108432172991</v>
      </c>
      <c r="F953" s="2">
        <v>32.543769596608385</v>
      </c>
      <c r="G953" s="2">
        <v>32.687025702345743</v>
      </c>
      <c r="H953" s="2">
        <v>35.964792580238282</v>
      </c>
    </row>
    <row r="954" spans="1:8" x14ac:dyDescent="0.2">
      <c r="A954" s="16">
        <f>DATE(2020,6,8)</f>
        <v>43990</v>
      </c>
      <c r="B954" s="2">
        <v>67.301842956105261</v>
      </c>
      <c r="C954" s="2">
        <v>65.035104620897016</v>
      </c>
      <c r="D954" s="2">
        <v>37.209144534713801</v>
      </c>
      <c r="E954" s="2">
        <v>28.85053637212107</v>
      </c>
      <c r="F954" s="2">
        <v>32.587292264194083</v>
      </c>
      <c r="G954" s="2">
        <v>32.730746178438011</v>
      </c>
      <c r="H954" s="2">
        <v>36.013083155292769</v>
      </c>
    </row>
    <row r="955" spans="1:8" x14ac:dyDescent="0.2">
      <c r="A955" s="16">
        <f>DATE(2020,6,9)</f>
        <v>43991</v>
      </c>
      <c r="B955" s="2">
        <v>65.587123915917033</v>
      </c>
      <c r="C955" s="2">
        <v>63.517138221275601</v>
      </c>
      <c r="D955" s="2">
        <v>37.230129222113348</v>
      </c>
      <c r="E955" s="2">
        <v>28.88897577610452</v>
      </c>
      <c r="F955" s="2">
        <v>32.630829223078386</v>
      </c>
      <c r="G955" s="2">
        <v>32.774481060460438</v>
      </c>
      <c r="H955" s="2">
        <v>36.06139088169644</v>
      </c>
    </row>
    <row r="956" spans="1:8" x14ac:dyDescent="0.2">
      <c r="A956" s="16">
        <f>DATE(2020,6,10)</f>
        <v>43992</v>
      </c>
      <c r="B956" s="2">
        <v>63.085202695767379</v>
      </c>
      <c r="C956" s="2">
        <v>60.03444545854024</v>
      </c>
      <c r="D956" s="2">
        <v>37.251117118898883</v>
      </c>
      <c r="E956" s="2">
        <v>28.927426647543353</v>
      </c>
      <c r="F956" s="2">
        <v>32.674380477954081</v>
      </c>
      <c r="G956" s="2">
        <v>32.818230353159827</v>
      </c>
      <c r="H956" s="2">
        <v>36.109715765540983</v>
      </c>
    </row>
    <row r="957" spans="1:8" x14ac:dyDescent="0.2">
      <c r="A957" s="16">
        <f>DATE(2020,6,12)</f>
        <v>43994</v>
      </c>
      <c r="B957" s="2">
        <v>60.003466646477527</v>
      </c>
      <c r="C957" s="2">
        <v>56.838843254571763</v>
      </c>
      <c r="D957" s="2">
        <v>37.27210822556124</v>
      </c>
      <c r="E957" s="2">
        <v>28.965888989858609</v>
      </c>
      <c r="F957" s="2">
        <v>32.717946033515453</v>
      </c>
      <c r="G957" s="2">
        <v>32.861994061284513</v>
      </c>
      <c r="H957" s="2">
        <v>36.158057812920184</v>
      </c>
    </row>
    <row r="958" spans="1:8" x14ac:dyDescent="0.2">
      <c r="A958" s="16">
        <f>DATE(2020,6,15)</f>
        <v>43997</v>
      </c>
      <c r="B958" s="2">
        <v>60.134032671665771</v>
      </c>
      <c r="C958" s="2">
        <v>56.129398641111329</v>
      </c>
      <c r="D958" s="2">
        <v>37.293102542591328</v>
      </c>
      <c r="E958" s="2">
        <v>29.004362806472361</v>
      </c>
      <c r="F958" s="2">
        <v>32.761525894458352</v>
      </c>
      <c r="G958" s="2">
        <v>32.905772189584368</v>
      </c>
      <c r="H958" s="2">
        <v>36.206417029930016</v>
      </c>
    </row>
    <row r="959" spans="1:8" x14ac:dyDescent="0.2">
      <c r="A959" s="16">
        <f>DATE(2020,6,16)</f>
        <v>43998</v>
      </c>
      <c r="B959" s="2">
        <v>60.128440419916053</v>
      </c>
      <c r="C959" s="2">
        <v>58.082631916979203</v>
      </c>
      <c r="D959" s="2">
        <v>37.314100070480151</v>
      </c>
      <c r="E959" s="2">
        <v>29.042848100807682</v>
      </c>
      <c r="F959" s="2">
        <v>32.805120065480153</v>
      </c>
      <c r="G959" s="2">
        <v>32.949564742810878</v>
      </c>
      <c r="H959" s="2">
        <v>36.254793422668598</v>
      </c>
    </row>
    <row r="960" spans="1:8" x14ac:dyDescent="0.2">
      <c r="A960" s="16">
        <f>DATE(2020,6,17)</f>
        <v>43999</v>
      </c>
      <c r="B960" s="2">
        <v>64.643579140048857</v>
      </c>
      <c r="C960" s="2">
        <v>61.490197072642893</v>
      </c>
      <c r="D960" s="2">
        <v>37.335100809718782</v>
      </c>
      <c r="E960" s="2">
        <v>29.081344876288661</v>
      </c>
      <c r="F960" s="2">
        <v>32.848728551279777</v>
      </c>
      <c r="G960" s="2">
        <v>32.993371725717033</v>
      </c>
      <c r="H960" s="2">
        <v>36.303186997236253</v>
      </c>
    </row>
    <row r="961" spans="1:8" x14ac:dyDescent="0.2">
      <c r="A961" s="16">
        <f>DATE(2020,6,18)</f>
        <v>44000</v>
      </c>
      <c r="B961" s="2">
        <v>64.850396273554026</v>
      </c>
      <c r="C961" s="2">
        <v>62.467024980562996</v>
      </c>
      <c r="D961" s="2">
        <v>37.35610476079836</v>
      </c>
      <c r="E961" s="2">
        <v>29.119853136340424</v>
      </c>
      <c r="F961" s="2">
        <v>32.892351356557704</v>
      </c>
      <c r="G961" s="2">
        <v>33.037193143057443</v>
      </c>
      <c r="H961" s="2">
        <v>36.351597759735419</v>
      </c>
    </row>
    <row r="962" spans="1:8" x14ac:dyDescent="0.2">
      <c r="A962" s="16">
        <f>DATE(2020,6,19)</f>
        <v>44001</v>
      </c>
      <c r="B962" s="2">
        <v>67.684293893027245</v>
      </c>
      <c r="C962" s="2">
        <v>63.222289828617619</v>
      </c>
      <c r="D962" s="2">
        <v>37.373124054509233</v>
      </c>
      <c r="E962" s="2">
        <v>29.15837288438907</v>
      </c>
      <c r="F962" s="2">
        <v>32.935988486015887</v>
      </c>
      <c r="G962" s="2">
        <v>33.081028999588248</v>
      </c>
      <c r="H962" s="2">
        <v>36.400025716270726</v>
      </c>
    </row>
    <row r="963" spans="1:8" x14ac:dyDescent="0.2">
      <c r="A963" s="16">
        <f>DATE(2020,6,22)</f>
        <v>44004</v>
      </c>
      <c r="B963" s="2">
        <v>66.703980405409155</v>
      </c>
      <c r="C963" s="2">
        <v>61.133015583274002</v>
      </c>
      <c r="D963" s="2">
        <v>37.390145457018683</v>
      </c>
      <c r="E963" s="2">
        <v>29.196904123861867</v>
      </c>
      <c r="F963" s="2">
        <v>32.979639944357999</v>
      </c>
      <c r="G963" s="2">
        <v>33.124879300067242</v>
      </c>
      <c r="H963" s="2">
        <v>36.448470872949045</v>
      </c>
    </row>
    <row r="964" spans="1:8" x14ac:dyDescent="0.2">
      <c r="A964" s="16">
        <f>DATE(2020,6,23)</f>
        <v>44005</v>
      </c>
      <c r="B964" s="2">
        <v>68.433717458281464</v>
      </c>
      <c r="C964" s="2">
        <v>62.213365784403017</v>
      </c>
      <c r="D964" s="2">
        <v>37.407168968588003</v>
      </c>
      <c r="E964" s="2">
        <v>29.235446858186886</v>
      </c>
      <c r="F964" s="2">
        <v>33.023305736289018</v>
      </c>
      <c r="G964" s="2">
        <v>33.168744049253633</v>
      </c>
      <c r="H964" s="2">
        <v>36.496933235879261</v>
      </c>
    </row>
    <row r="965" spans="1:8" x14ac:dyDescent="0.2">
      <c r="A965" s="16">
        <f>DATE(2020,6,24)</f>
        <v>44006</v>
      </c>
      <c r="B965" s="2">
        <v>66.359926391127331</v>
      </c>
      <c r="C965" s="2">
        <v>59.512828313558259</v>
      </c>
      <c r="D965" s="2">
        <v>37.424194589478518</v>
      </c>
      <c r="E965" s="2">
        <v>29.274001090793391</v>
      </c>
      <c r="F965" s="2">
        <v>33.066985866515637</v>
      </c>
      <c r="G965" s="2">
        <v>33.212623251908298</v>
      </c>
      <c r="H965" s="2">
        <v>36.54541281117254</v>
      </c>
    </row>
    <row r="966" spans="1:8" x14ac:dyDescent="0.2">
      <c r="A966" s="16">
        <f>DATE(2020,6,25)</f>
        <v>44007</v>
      </c>
      <c r="B966" s="2">
        <v>69.199333821292527</v>
      </c>
      <c r="C966" s="2">
        <v>62.226768752323743</v>
      </c>
      <c r="D966" s="2">
        <v>37.441222319951592</v>
      </c>
      <c r="E966" s="2">
        <v>29.312566825111585</v>
      </c>
      <c r="F966" s="2">
        <v>33.110680339746025</v>
      </c>
      <c r="G966" s="2">
        <v>33.2565169127937</v>
      </c>
      <c r="H966" s="2">
        <v>36.593909604942198</v>
      </c>
    </row>
    <row r="967" spans="1:8" x14ac:dyDescent="0.2">
      <c r="A967" s="16">
        <f>DATE(2020,6,26)</f>
        <v>44008</v>
      </c>
      <c r="B967" s="2">
        <v>65.813204776579681</v>
      </c>
      <c r="C967" s="2">
        <v>58.595291214548674</v>
      </c>
      <c r="D967" s="2">
        <v>37.458252160268607</v>
      </c>
      <c r="E967" s="2">
        <v>29.351144064572754</v>
      </c>
      <c r="F967" s="2">
        <v>33.154389160689931</v>
      </c>
      <c r="G967" s="2">
        <v>33.300425036673808</v>
      </c>
      <c r="H967" s="2">
        <v>36.642423623303721</v>
      </c>
    </row>
    <row r="968" spans="1:8" x14ac:dyDescent="0.2">
      <c r="A968" s="16">
        <f>DATE(2020,6,29)</f>
        <v>44011</v>
      </c>
      <c r="B968" s="2">
        <v>68.181908117517281</v>
      </c>
      <c r="C968" s="2">
        <v>61.80804854139177</v>
      </c>
      <c r="D968" s="2">
        <v>37.475284110691007</v>
      </c>
      <c r="E968" s="2">
        <v>29.38973281260915</v>
      </c>
      <c r="F968" s="2">
        <v>33.198112334058628</v>
      </c>
      <c r="G968" s="2">
        <v>33.344347628314196</v>
      </c>
      <c r="H968" s="2">
        <v>36.690954872374768</v>
      </c>
    </row>
    <row r="969" spans="1:8" x14ac:dyDescent="0.2">
      <c r="A969" s="16">
        <f>DATE(2020,6,30)</f>
        <v>44012</v>
      </c>
      <c r="B969" s="2">
        <v>69.208560349670762</v>
      </c>
      <c r="C969" s="2">
        <v>60.659534191934313</v>
      </c>
      <c r="D969" s="2">
        <v>37.492318171480221</v>
      </c>
      <c r="E969" s="2">
        <v>29.428333072654091</v>
      </c>
      <c r="F969" s="2">
        <v>33.241849864564927</v>
      </c>
      <c r="G969" s="2">
        <v>33.388284692482003</v>
      </c>
      <c r="H969" s="2">
        <v>36.739503358275137</v>
      </c>
    </row>
    <row r="970" spans="1:8" x14ac:dyDescent="0.2">
      <c r="A970" s="16">
        <f>DATE(2020,7,1)</f>
        <v>44013</v>
      </c>
      <c r="B970" s="2">
        <v>73.591140719053413</v>
      </c>
      <c r="C970" s="2">
        <v>62.598789845519121</v>
      </c>
      <c r="D970" s="2">
        <v>37.509354342897751</v>
      </c>
      <c r="E970" s="2">
        <v>29.473190668574656</v>
      </c>
      <c r="F970" s="2">
        <v>33.29203179924658</v>
      </c>
      <c r="G970" s="2">
        <v>33.438673350295865</v>
      </c>
      <c r="H970" s="2">
        <v>36.794668097537333</v>
      </c>
    </row>
    <row r="971" spans="1:8" x14ac:dyDescent="0.2">
      <c r="A971" s="16">
        <f>DATE(2020,7,2)</f>
        <v>44014</v>
      </c>
      <c r="B971" s="2">
        <v>72.689050055049776</v>
      </c>
      <c r="C971" s="2">
        <v>62.652469323597742</v>
      </c>
      <c r="D971" s="2">
        <v>37.526392625205119</v>
      </c>
      <c r="E971" s="2">
        <v>29.51806381135318</v>
      </c>
      <c r="F971" s="2">
        <v>33.34223263359506</v>
      </c>
      <c r="G971" s="2">
        <v>33.489081042891101</v>
      </c>
      <c r="H971" s="2">
        <v>36.849855091878567</v>
      </c>
    </row>
    <row r="972" spans="1:8" x14ac:dyDescent="0.2">
      <c r="A972" s="16">
        <f>DATE(2020,7,3)</f>
        <v>44015</v>
      </c>
      <c r="B972" s="2">
        <v>74.468815089791136</v>
      </c>
      <c r="C972" s="2">
        <v>63.548068147246447</v>
      </c>
      <c r="D972" s="2">
        <v>37.543433018663876</v>
      </c>
      <c r="E972" s="2">
        <v>29.56295250637795</v>
      </c>
      <c r="F972" s="2">
        <v>33.392452374728393</v>
      </c>
      <c r="G972" s="2">
        <v>33.539507777458269</v>
      </c>
      <c r="H972" s="2">
        <v>36.905064350277229</v>
      </c>
    </row>
    <row r="973" spans="1:8" x14ac:dyDescent="0.2">
      <c r="A973" s="16">
        <f>DATE(2020,7,6)</f>
        <v>44018</v>
      </c>
      <c r="B973" s="2">
        <v>75.339145336302238</v>
      </c>
      <c r="C973" s="2">
        <v>67.219619375992664</v>
      </c>
      <c r="D973" s="2">
        <v>37.560475523535587</v>
      </c>
      <c r="E973" s="2">
        <v>29.607856759039102</v>
      </c>
      <c r="F973" s="2">
        <v>33.44269102976731</v>
      </c>
      <c r="G973" s="2">
        <v>33.589953561190654</v>
      </c>
      <c r="H973" s="2">
        <v>36.960295881715275</v>
      </c>
    </row>
    <row r="974" spans="1:8" x14ac:dyDescent="0.2">
      <c r="A974" s="16">
        <f>DATE(2020,7,7)</f>
        <v>44019</v>
      </c>
      <c r="B974" s="2">
        <v>76.093377963257694</v>
      </c>
      <c r="C974" s="2">
        <v>65.231788527194354</v>
      </c>
      <c r="D974" s="2">
        <v>37.577520140081887</v>
      </c>
      <c r="E974" s="2">
        <v>29.652776574728623</v>
      </c>
      <c r="F974" s="2">
        <v>33.492948605835252</v>
      </c>
      <c r="G974" s="2">
        <v>33.640418401284244</v>
      </c>
      <c r="H974" s="2">
        <v>37.015549695178308</v>
      </c>
    </row>
    <row r="975" spans="1:8" x14ac:dyDescent="0.2">
      <c r="A975" s="16">
        <f>DATE(2020,7,8)</f>
        <v>44020</v>
      </c>
      <c r="B975" s="2">
        <v>80.48025213773073</v>
      </c>
      <c r="C975" s="2">
        <v>68.627049318865247</v>
      </c>
      <c r="D975" s="2">
        <v>37.594566868564442</v>
      </c>
      <c r="E975" s="2">
        <v>29.697711958840411</v>
      </c>
      <c r="F975" s="2">
        <v>33.543225110058273</v>
      </c>
      <c r="G975" s="2">
        <v>33.690902304937765</v>
      </c>
      <c r="H975" s="2">
        <v>37.070825799655552</v>
      </c>
    </row>
    <row r="976" spans="1:8" x14ac:dyDescent="0.2">
      <c r="A976" s="16">
        <f>DATE(2020,7,9)</f>
        <v>44021</v>
      </c>
      <c r="B976" s="2">
        <v>79.161731080841875</v>
      </c>
      <c r="C976" s="2">
        <v>67.596812358448787</v>
      </c>
      <c r="D976" s="2">
        <v>37.611615709244916</v>
      </c>
      <c r="E976" s="2">
        <v>29.74266291677019</v>
      </c>
      <c r="F976" s="2">
        <v>33.59352054956517</v>
      </c>
      <c r="G976" s="2">
        <v>33.741405279352655</v>
      </c>
      <c r="H976" s="2">
        <v>37.126124204139856</v>
      </c>
    </row>
    <row r="977" spans="1:8" x14ac:dyDescent="0.2">
      <c r="A977" s="16">
        <f>DATE(2020,7,10)</f>
        <v>44022</v>
      </c>
      <c r="B977" s="2">
        <v>80.161129673325689</v>
      </c>
      <c r="C977" s="2">
        <v>69.069786701821641</v>
      </c>
      <c r="D977" s="2">
        <v>37.628666662385022</v>
      </c>
      <c r="E977" s="2">
        <v>29.787629453915574</v>
      </c>
      <c r="F977" s="2">
        <v>33.64383493148739</v>
      </c>
      <c r="G977" s="2">
        <v>33.791927331733064</v>
      </c>
      <c r="H977" s="2">
        <v>37.181444917627715</v>
      </c>
    </row>
    <row r="978" spans="1:8" x14ac:dyDescent="0.2">
      <c r="A978" s="16">
        <f>DATE(2020,7,13)</f>
        <v>44025</v>
      </c>
      <c r="B978" s="2">
        <v>76.665924239140907</v>
      </c>
      <c r="C978" s="2">
        <v>66.813811986613587</v>
      </c>
      <c r="D978" s="2">
        <v>37.645719728246512</v>
      </c>
      <c r="E978" s="2">
        <v>29.832611575676026</v>
      </c>
      <c r="F978" s="2">
        <v>33.694168262959082</v>
      </c>
      <c r="G978" s="2">
        <v>33.842468469285848</v>
      </c>
      <c r="H978" s="2">
        <v>37.236787949119197</v>
      </c>
    </row>
    <row r="979" spans="1:8" x14ac:dyDescent="0.2">
      <c r="A979" s="16">
        <f>DATE(2020,7,14)</f>
        <v>44026</v>
      </c>
      <c r="B979" s="2">
        <v>77.744878452339279</v>
      </c>
      <c r="C979" s="2">
        <v>69.760048000540493</v>
      </c>
      <c r="D979" s="2">
        <v>37.662774907091155</v>
      </c>
      <c r="E979" s="2">
        <v>29.877609287453001</v>
      </c>
      <c r="F979" s="2">
        <v>33.744520551117141</v>
      </c>
      <c r="G979" s="2">
        <v>33.893028699220686</v>
      </c>
      <c r="H979" s="2">
        <v>37.292153307618129</v>
      </c>
    </row>
    <row r="980" spans="1:8" x14ac:dyDescent="0.2">
      <c r="A980" s="16">
        <f>DATE(2020,7,15)</f>
        <v>44027</v>
      </c>
      <c r="B980" s="2">
        <v>80.322652315693489</v>
      </c>
      <c r="C980" s="2">
        <v>72.042287800425541</v>
      </c>
      <c r="D980" s="2">
        <v>37.679832199180737</v>
      </c>
      <c r="E980" s="2">
        <v>29.922622594649617</v>
      </c>
      <c r="F980" s="2">
        <v>33.794891803101024</v>
      </c>
      <c r="G980" s="2">
        <v>33.943608028749829</v>
      </c>
      <c r="H980" s="2">
        <v>37.347541002131798</v>
      </c>
    </row>
    <row r="981" spans="1:8" x14ac:dyDescent="0.2">
      <c r="A981" s="16">
        <f>DATE(2020,7,16)</f>
        <v>44028</v>
      </c>
      <c r="B981" s="2">
        <v>79.812603231661726</v>
      </c>
      <c r="C981" s="2">
        <v>69.951103674407236</v>
      </c>
      <c r="D981" s="2">
        <v>37.696891604777207</v>
      </c>
      <c r="E981" s="2">
        <v>29.967651502671</v>
      </c>
      <c r="F981" s="2">
        <v>33.845282026052949</v>
      </c>
      <c r="G981" s="2">
        <v>33.994206465088332</v>
      </c>
      <c r="H981" s="2">
        <v>37.402951041671237</v>
      </c>
    </row>
    <row r="982" spans="1:8" x14ac:dyDescent="0.2">
      <c r="A982" s="16">
        <f>DATE(2020,7,17)</f>
        <v>44029</v>
      </c>
      <c r="B982" s="2">
        <v>83.023139693486669</v>
      </c>
      <c r="C982" s="2">
        <v>73.897593212317517</v>
      </c>
      <c r="D982" s="2">
        <v>37.713953124142343</v>
      </c>
      <c r="E982" s="2">
        <v>30.012696016924135</v>
      </c>
      <c r="F982" s="2">
        <v>33.895691227117823</v>
      </c>
      <c r="G982" s="2">
        <v>34.04482401545399</v>
      </c>
      <c r="H982" s="2">
        <v>37.458383435251072</v>
      </c>
    </row>
    <row r="983" spans="1:8" x14ac:dyDescent="0.2">
      <c r="A983" s="16">
        <f>DATE(2020,7,20)</f>
        <v>44032</v>
      </c>
      <c r="B983" s="2">
        <v>87.526310720071578</v>
      </c>
      <c r="C983" s="2">
        <v>76.497261940979229</v>
      </c>
      <c r="D983" s="2">
        <v>37.731016757538072</v>
      </c>
      <c r="E983" s="2">
        <v>30.057756142817869</v>
      </c>
      <c r="F983" s="2">
        <v>33.946119413443228</v>
      </c>
      <c r="G983" s="2">
        <v>34.095460687067302</v>
      </c>
      <c r="H983" s="2">
        <v>37.513838191889604</v>
      </c>
    </row>
    <row r="984" spans="1:8" x14ac:dyDescent="0.2">
      <c r="A984" s="16">
        <f>DATE(2020,7,21)</f>
        <v>44033</v>
      </c>
      <c r="B984" s="2">
        <v>86.61230045313701</v>
      </c>
      <c r="C984" s="2">
        <v>76.300138593110532</v>
      </c>
      <c r="D984" s="2">
        <v>37.748082505226364</v>
      </c>
      <c r="E984" s="2">
        <v>30.102831885762924</v>
      </c>
      <c r="F984" s="2">
        <v>33.996566592179491</v>
      </c>
      <c r="G984" s="2">
        <v>34.146116487151488</v>
      </c>
      <c r="H984" s="2">
        <v>37.569315320608737</v>
      </c>
    </row>
    <row r="985" spans="1:8" x14ac:dyDescent="0.2">
      <c r="A985" s="16">
        <f>DATE(2020,7,22)</f>
        <v>44034</v>
      </c>
      <c r="B985" s="2">
        <v>85.533442421172694</v>
      </c>
      <c r="C985" s="2">
        <v>76.266048068146873</v>
      </c>
      <c r="D985" s="2">
        <v>37.765150367469168</v>
      </c>
      <c r="E985" s="2">
        <v>30.147923251171878</v>
      </c>
      <c r="F985" s="2">
        <v>34.047032770479561</v>
      </c>
      <c r="G985" s="2">
        <v>34.196791422932506</v>
      </c>
      <c r="H985" s="2">
        <v>37.624814830434033</v>
      </c>
    </row>
    <row r="986" spans="1:8" x14ac:dyDescent="0.2">
      <c r="A986" s="16">
        <f>DATE(2020,7,23)</f>
        <v>44035</v>
      </c>
      <c r="B986" s="2">
        <v>81.975712314783905</v>
      </c>
      <c r="C986" s="2">
        <v>72.892049487881167</v>
      </c>
      <c r="D986" s="2">
        <v>37.782220344528497</v>
      </c>
      <c r="E986" s="2">
        <v>30.19303024445923</v>
      </c>
      <c r="F986" s="2">
        <v>34.097517955499093</v>
      </c>
      <c r="G986" s="2">
        <v>34.247485501639026</v>
      </c>
      <c r="H986" s="2">
        <v>37.680336730394679</v>
      </c>
    </row>
    <row r="987" spans="1:8" x14ac:dyDescent="0.2">
      <c r="A987" s="16">
        <f>DATE(2020,7,24)</f>
        <v>44036</v>
      </c>
      <c r="B987" s="2">
        <v>81.812355358881504</v>
      </c>
      <c r="C987" s="2">
        <v>73.041239901294276</v>
      </c>
      <c r="D987" s="2">
        <v>37.799292436666398</v>
      </c>
      <c r="E987" s="2">
        <v>30.238152871041326</v>
      </c>
      <c r="F987" s="2">
        <v>34.148022154396472</v>
      </c>
      <c r="G987" s="2">
        <v>34.298198730502477</v>
      </c>
      <c r="H987" s="2">
        <v>37.735881029523519</v>
      </c>
    </row>
    <row r="988" spans="1:8" x14ac:dyDescent="0.2">
      <c r="A988" s="16">
        <f>DATE(2020,7,27)</f>
        <v>44039</v>
      </c>
      <c r="B988" s="2">
        <v>82.331582880674404</v>
      </c>
      <c r="C988" s="2">
        <v>76.582969948956773</v>
      </c>
      <c r="D988" s="2">
        <v>37.816366644144942</v>
      </c>
      <c r="E988" s="2">
        <v>30.283291136336366</v>
      </c>
      <c r="F988" s="2">
        <v>34.198545374332753</v>
      </c>
      <c r="G988" s="2">
        <v>34.348931116757029</v>
      </c>
      <c r="H988" s="2">
        <v>37.791447736857052</v>
      </c>
    </row>
    <row r="989" spans="1:8" x14ac:dyDescent="0.2">
      <c r="A989" s="16">
        <f>DATE(2020,7,28)</f>
        <v>44040</v>
      </c>
      <c r="B989" s="2">
        <v>81.744746821450406</v>
      </c>
      <c r="C989" s="2">
        <v>75.960974208159698</v>
      </c>
      <c r="D989" s="2">
        <v>37.833442967226219</v>
      </c>
      <c r="E989" s="2">
        <v>30.328445045764486</v>
      </c>
      <c r="F989" s="2">
        <v>34.24908762247172</v>
      </c>
      <c r="G989" s="2">
        <v>34.399682667639532</v>
      </c>
      <c r="H989" s="2">
        <v>37.847036861435377</v>
      </c>
    </row>
    <row r="990" spans="1:8" x14ac:dyDescent="0.2">
      <c r="A990" s="16">
        <f>DATE(2020,7,29)</f>
        <v>44041</v>
      </c>
      <c r="B990" s="2">
        <v>83.002124093852274</v>
      </c>
      <c r="C990" s="2">
        <v>78.489622418280376</v>
      </c>
      <c r="D990" s="2">
        <v>37.850521406172376</v>
      </c>
      <c r="E990" s="2">
        <v>30.373614604747655</v>
      </c>
      <c r="F990" s="2">
        <v>34.299648905979787</v>
      </c>
      <c r="G990" s="2">
        <v>34.450453390389612</v>
      </c>
      <c r="H990" s="2">
        <v>37.902648412302284</v>
      </c>
    </row>
    <row r="991" spans="1:8" x14ac:dyDescent="0.2">
      <c r="A991" s="16">
        <f>DATE(2020,7,30)</f>
        <v>44042</v>
      </c>
      <c r="B991" s="2">
        <v>86.823225899352664</v>
      </c>
      <c r="C991" s="2">
        <v>77.481492749213686</v>
      </c>
      <c r="D991" s="2">
        <v>37.86760196124559</v>
      </c>
      <c r="E991" s="2">
        <v>30.418799818709761</v>
      </c>
      <c r="F991" s="2">
        <v>34.350229232026173</v>
      </c>
      <c r="G991" s="2">
        <v>34.501243292249661</v>
      </c>
      <c r="H991" s="2">
        <v>37.958282398505247</v>
      </c>
    </row>
    <row r="992" spans="1:8" x14ac:dyDescent="0.2">
      <c r="A992" s="16">
        <f>DATE(2020,7,31)</f>
        <v>44043</v>
      </c>
      <c r="B992" s="2">
        <v>84.86080583111071</v>
      </c>
      <c r="C992" s="2">
        <v>73.938140148057641</v>
      </c>
      <c r="D992" s="2">
        <v>37.884684632708087</v>
      </c>
      <c r="E992" s="2">
        <v>30.464000693076464</v>
      </c>
      <c r="F992" s="2">
        <v>34.400828607782643</v>
      </c>
      <c r="G992" s="2">
        <v>34.55205238046468</v>
      </c>
      <c r="H992" s="2">
        <v>38.013938829095231</v>
      </c>
    </row>
    <row r="993" spans="1:8" x14ac:dyDescent="0.2">
      <c r="A993" s="16">
        <f>DATE(2020,8,3)</f>
        <v>44046</v>
      </c>
      <c r="B993" s="2">
        <v>85.195076839874616</v>
      </c>
      <c r="C993" s="2">
        <v>73.799073792380398</v>
      </c>
      <c r="D993" s="2">
        <v>37.901769420821999</v>
      </c>
      <c r="E993" s="2">
        <v>30.506637878487886</v>
      </c>
      <c r="F993" s="2">
        <v>34.448789772293864</v>
      </c>
      <c r="G993" s="2">
        <v>34.600220401252592</v>
      </c>
      <c r="H993" s="2">
        <v>38.066888936286468</v>
      </c>
    </row>
    <row r="994" spans="1:8" x14ac:dyDescent="0.2">
      <c r="A994" s="16">
        <f>DATE(2020,8,4)</f>
        <v>44047</v>
      </c>
      <c r="B994" s="2">
        <v>82.216062348522897</v>
      </c>
      <c r="C994" s="2">
        <v>71.071003616941795</v>
      </c>
      <c r="D994" s="2">
        <v>37.918856325849681</v>
      </c>
      <c r="E994" s="2">
        <v>30.549288998237991</v>
      </c>
      <c r="F994" s="2">
        <v>34.496768051828241</v>
      </c>
      <c r="G994" s="2">
        <v>34.648405665614092</v>
      </c>
      <c r="H994" s="2">
        <v>38.119859358192777</v>
      </c>
    </row>
    <row r="995" spans="1:8" x14ac:dyDescent="0.2">
      <c r="A995" s="16">
        <f>DATE(2020,8,5)</f>
        <v>44048</v>
      </c>
      <c r="B995" s="2">
        <v>86.17146063707402</v>
      </c>
      <c r="C995" s="2">
        <v>73.751411283507039</v>
      </c>
      <c r="D995" s="2">
        <v>37.935945348053423</v>
      </c>
      <c r="E995" s="2">
        <v>30.591954056880777</v>
      </c>
      <c r="F995" s="2">
        <v>34.544763452493378</v>
      </c>
      <c r="G995" s="2">
        <v>34.69660817972229</v>
      </c>
      <c r="H995" s="2">
        <v>38.172850102608137</v>
      </c>
    </row>
    <row r="996" spans="1:8" x14ac:dyDescent="0.2">
      <c r="A996" s="16">
        <f>DATE(2020,8,6)</f>
        <v>44049</v>
      </c>
      <c r="B996" s="2">
        <v>88.351215943770555</v>
      </c>
      <c r="C996" s="2">
        <v>75.988980157522505</v>
      </c>
      <c r="D996" s="2">
        <v>37.953036487695549</v>
      </c>
      <c r="E996" s="2">
        <v>30.634633058971605</v>
      </c>
      <c r="F996" s="2">
        <v>34.592775980398962</v>
      </c>
      <c r="G996" s="2">
        <v>34.744827949752327</v>
      </c>
      <c r="H996" s="2">
        <v>38.225861177329421</v>
      </c>
    </row>
    <row r="997" spans="1:8" x14ac:dyDescent="0.2">
      <c r="A997" s="16">
        <f>DATE(2020,8,7)</f>
        <v>44050</v>
      </c>
      <c r="B997" s="2">
        <v>87.10383464961906</v>
      </c>
      <c r="C997" s="2">
        <v>73.707112192813057</v>
      </c>
      <c r="D997" s="2">
        <v>37.968788166682764</v>
      </c>
      <c r="E997" s="2">
        <v>30.677326009067361</v>
      </c>
      <c r="F997" s="2">
        <v>34.640805641656861</v>
      </c>
      <c r="G997" s="2">
        <v>34.793064981881663</v>
      </c>
      <c r="H997" s="2">
        <v>38.278892590156488</v>
      </c>
    </row>
    <row r="998" spans="1:8" x14ac:dyDescent="0.2">
      <c r="A998" s="16">
        <f>DATE(2020,8,10)</f>
        <v>44053</v>
      </c>
      <c r="B998" s="2">
        <v>84.836980365425234</v>
      </c>
      <c r="C998" s="2">
        <v>74.837710847445749</v>
      </c>
      <c r="D998" s="2">
        <v>37.984541644219668</v>
      </c>
      <c r="E998" s="2">
        <v>30.720032911726445</v>
      </c>
      <c r="F998" s="2">
        <v>34.688852442381162</v>
      </c>
      <c r="G998" s="2">
        <v>34.841319282289881</v>
      </c>
      <c r="H998" s="2">
        <v>38.331944348892222</v>
      </c>
    </row>
    <row r="999" spans="1:8" x14ac:dyDescent="0.2">
      <c r="A999" s="16">
        <f>DATE(2020,8,11)</f>
        <v>44054</v>
      </c>
      <c r="B999" s="2">
        <v>87.767814928618805</v>
      </c>
      <c r="C999" s="2">
        <v>72.691072575465228</v>
      </c>
      <c r="D999" s="2">
        <v>38.000296920511609</v>
      </c>
      <c r="E999" s="2">
        <v>30.762753771508699</v>
      </c>
      <c r="F999" s="2">
        <v>34.736916388688101</v>
      </c>
      <c r="G999" s="2">
        <v>34.889590857158836</v>
      </c>
      <c r="H999" s="2">
        <v>38.385016461342488</v>
      </c>
    </row>
    <row r="1000" spans="1:8" x14ac:dyDescent="0.2">
      <c r="A1000" s="16">
        <f>DATE(2020,8,12)</f>
        <v>44055</v>
      </c>
      <c r="B1000" s="2">
        <v>85.613898023434132</v>
      </c>
      <c r="C1000" s="2">
        <v>72.595392624141823</v>
      </c>
      <c r="D1000" s="2">
        <v>38.016053995763997</v>
      </c>
      <c r="E1000" s="2">
        <v>30.805488592975468</v>
      </c>
      <c r="F1000" s="2">
        <v>34.784997486696099</v>
      </c>
      <c r="G1000" s="2">
        <v>34.937879712672569</v>
      </c>
      <c r="H1000" s="2">
        <v>38.438108935316137</v>
      </c>
    </row>
    <row r="1001" spans="1:8" x14ac:dyDescent="0.2">
      <c r="A1001" s="16">
        <f>DATE(2020,8,13)</f>
        <v>44056</v>
      </c>
      <c r="B1001" s="2">
        <v>84.789034020264012</v>
      </c>
      <c r="C1001" s="2">
        <v>69.794476557481943</v>
      </c>
      <c r="D1001" s="2">
        <v>38.031812870182222</v>
      </c>
      <c r="E1001" s="2">
        <v>30.8482373806896</v>
      </c>
      <c r="F1001" s="2">
        <v>34.833095742525799</v>
      </c>
      <c r="G1001" s="2">
        <v>34.986185855017339</v>
      </c>
      <c r="H1001" s="2">
        <v>38.491221778625032</v>
      </c>
    </row>
    <row r="1002" spans="1:8" x14ac:dyDescent="0.2">
      <c r="A1002" s="16">
        <f>DATE(2020,8,14)</f>
        <v>44057</v>
      </c>
      <c r="B1002" s="2">
        <v>88.566160391550767</v>
      </c>
      <c r="C1002" s="2">
        <v>71.303535814487631</v>
      </c>
      <c r="D1002" s="2">
        <v>38.047573543971723</v>
      </c>
      <c r="E1002" s="2">
        <v>30.891000139215439</v>
      </c>
      <c r="F1002" s="2">
        <v>34.881211162299962</v>
      </c>
      <c r="G1002" s="2">
        <v>35.034509290381628</v>
      </c>
      <c r="H1002" s="2">
        <v>38.544354999084021</v>
      </c>
    </row>
    <row r="1003" spans="1:8" x14ac:dyDescent="0.2">
      <c r="A1003" s="16">
        <f>DATE(2020,8,17)</f>
        <v>44060</v>
      </c>
      <c r="B1003" s="2">
        <v>84.231876741824706</v>
      </c>
      <c r="C1003" s="2">
        <v>68.332167123009427</v>
      </c>
      <c r="D1003" s="2">
        <v>38.063336017337953</v>
      </c>
      <c r="E1003" s="2">
        <v>30.933776873118823</v>
      </c>
      <c r="F1003" s="2">
        <v>34.929343752143602</v>
      </c>
      <c r="G1003" s="2">
        <v>35.082850024956144</v>
      </c>
      <c r="H1003" s="2">
        <v>38.597508604510942</v>
      </c>
    </row>
    <row r="1004" spans="1:8" x14ac:dyDescent="0.2">
      <c r="A1004" s="16">
        <f>DATE(2020,8,18)</f>
        <v>44061</v>
      </c>
      <c r="B1004" s="2">
        <v>90.401133454622197</v>
      </c>
      <c r="C1004" s="2">
        <v>72.506760639556077</v>
      </c>
      <c r="D1004" s="2">
        <v>38.079100290486402</v>
      </c>
      <c r="E1004" s="2">
        <v>30.97656758696705</v>
      </c>
      <c r="F1004" s="2">
        <v>34.977493518183863</v>
      </c>
      <c r="G1004" s="2">
        <v>35.131208064933794</v>
      </c>
      <c r="H1004" s="2">
        <v>38.650682602726661</v>
      </c>
    </row>
    <row r="1005" spans="1:8" x14ac:dyDescent="0.2">
      <c r="A1005" s="16">
        <f>DATE(2020,8,19)</f>
        <v>44062</v>
      </c>
      <c r="B1005" s="2">
        <v>88.012561818770394</v>
      </c>
      <c r="C1005" s="2">
        <v>70.458912213094933</v>
      </c>
      <c r="D1005" s="2">
        <v>38.094866363622536</v>
      </c>
      <c r="E1005" s="2">
        <v>31.019372285328942</v>
      </c>
      <c r="F1005" s="2">
        <v>35.025660466550107</v>
      </c>
      <c r="G1005" s="2">
        <v>35.179583416509686</v>
      </c>
      <c r="H1005" s="2">
        <v>38.703877001555021</v>
      </c>
    </row>
    <row r="1006" spans="1:8" x14ac:dyDescent="0.2">
      <c r="A1006" s="16">
        <f>DATE(2020,8,20)</f>
        <v>44063</v>
      </c>
      <c r="B1006" s="2">
        <v>89.686019109562125</v>
      </c>
      <c r="C1006" s="2">
        <v>71.496923909001353</v>
      </c>
      <c r="D1006" s="2">
        <v>38.11063423695191</v>
      </c>
      <c r="E1006" s="2">
        <v>31.062190972774808</v>
      </c>
      <c r="F1006" s="2">
        <v>35.073844603373907</v>
      </c>
      <c r="G1006" s="2">
        <v>35.227976085881174</v>
      </c>
      <c r="H1006" s="2">
        <v>38.757091808822871</v>
      </c>
    </row>
    <row r="1007" spans="1:8" x14ac:dyDescent="0.2">
      <c r="A1007" s="16">
        <f>DATE(2020,8,21)</f>
        <v>44064</v>
      </c>
      <c r="B1007" s="2">
        <v>90.011709378233405</v>
      </c>
      <c r="C1007" s="2">
        <v>71.587212250278441</v>
      </c>
      <c r="D1007" s="2">
        <v>38.126403910680118</v>
      </c>
      <c r="E1007" s="2">
        <v>31.10502365387644</v>
      </c>
      <c r="F1007" s="2">
        <v>35.122045934788957</v>
      </c>
      <c r="G1007" s="2">
        <v>35.276386079247807</v>
      </c>
      <c r="H1007" s="2">
        <v>38.810327032360071</v>
      </c>
    </row>
    <row r="1008" spans="1:8" x14ac:dyDescent="0.2">
      <c r="A1008" s="16">
        <f>DATE(2020,8,24)</f>
        <v>44067</v>
      </c>
      <c r="B1008" s="2">
        <v>89.785195702017646</v>
      </c>
      <c r="C1008" s="2">
        <v>72.899891829766673</v>
      </c>
      <c r="D1008" s="2">
        <v>38.142175385012607</v>
      </c>
      <c r="E1008" s="2">
        <v>31.147870333207116</v>
      </c>
      <c r="F1008" s="2">
        <v>35.170264466931187</v>
      </c>
      <c r="G1008" s="2">
        <v>35.324813402811394</v>
      </c>
      <c r="H1008" s="2">
        <v>38.863582679999475</v>
      </c>
    </row>
    <row r="1009" spans="1:8" x14ac:dyDescent="0.2">
      <c r="A1009" s="16">
        <f>DATE(2020,8,25)</f>
        <v>44068</v>
      </c>
      <c r="B1009" s="2">
        <v>91.300407382486526</v>
      </c>
      <c r="C1009" s="2">
        <v>72.595139100158477</v>
      </c>
      <c r="D1009" s="2">
        <v>38.157948660155071</v>
      </c>
      <c r="E1009" s="2">
        <v>31.19073101534169</v>
      </c>
      <c r="F1009" s="2">
        <v>35.218500205938732</v>
      </c>
      <c r="G1009" s="2">
        <v>35.37325806277596</v>
      </c>
      <c r="H1009" s="2">
        <v>38.916858759577003</v>
      </c>
    </row>
    <row r="1010" spans="1:8" x14ac:dyDescent="0.2">
      <c r="A1010" s="16">
        <f>DATE(2020,8,26)</f>
        <v>44069</v>
      </c>
      <c r="B1010" s="2">
        <v>89.689783917865356</v>
      </c>
      <c r="C1010" s="2">
        <v>70.07627691579583</v>
      </c>
      <c r="D1010" s="2">
        <v>38.173723736313114</v>
      </c>
      <c r="E1010" s="2">
        <v>31.233605704856359</v>
      </c>
      <c r="F1010" s="2">
        <v>35.266753157951825</v>
      </c>
      <c r="G1010" s="2">
        <v>35.421720065347671</v>
      </c>
      <c r="H1010" s="2">
        <v>38.970155278931422</v>
      </c>
    </row>
    <row r="1011" spans="1:8" x14ac:dyDescent="0.2">
      <c r="A1011" s="16">
        <f>DATE(2020,8,27)</f>
        <v>44070</v>
      </c>
      <c r="B1011" s="2">
        <v>90.463081039422093</v>
      </c>
      <c r="C1011" s="2">
        <v>70.070040225804959</v>
      </c>
      <c r="D1011" s="2">
        <v>38.189500613692374</v>
      </c>
      <c r="E1011" s="2">
        <v>31.276494406328936</v>
      </c>
      <c r="F1011" s="2">
        <v>35.315023329113004</v>
      </c>
      <c r="G1011" s="2">
        <v>35.470199416734992</v>
      </c>
      <c r="H1011" s="2">
        <v>39.023472245904657</v>
      </c>
    </row>
    <row r="1012" spans="1:8" x14ac:dyDescent="0.2">
      <c r="A1012" s="16">
        <f>DATE(2020,8,28)</f>
        <v>44071</v>
      </c>
      <c r="B1012" s="2">
        <v>94.07892522142609</v>
      </c>
      <c r="C1012" s="2">
        <v>72.637883243754445</v>
      </c>
      <c r="D1012" s="2">
        <v>38.205279292498503</v>
      </c>
      <c r="E1012" s="2">
        <v>31.319397124338668</v>
      </c>
      <c r="F1012" s="2">
        <v>35.363310725566912</v>
      </c>
      <c r="G1012" s="2">
        <v>35.518696123148572</v>
      </c>
      <c r="H1012" s="2">
        <v>39.076809668341568</v>
      </c>
    </row>
    <row r="1013" spans="1:8" x14ac:dyDescent="0.2">
      <c r="A1013" s="16">
        <f>DATE(2020,8,31)</f>
        <v>44074</v>
      </c>
      <c r="B1013" s="2">
        <v>90.032862379630643</v>
      </c>
      <c r="C1013" s="2">
        <v>67.949751546495904</v>
      </c>
      <c r="D1013" s="2">
        <v>38.221059772937217</v>
      </c>
      <c r="E1013" s="2">
        <v>31.362313863466397</v>
      </c>
      <c r="F1013" s="2">
        <v>35.411615353460512</v>
      </c>
      <c r="G1013" s="2">
        <v>35.567210190801383</v>
      </c>
      <c r="H1013" s="2">
        <v>39.130167554090157</v>
      </c>
    </row>
    <row r="1014" spans="1:8" x14ac:dyDescent="0.2">
      <c r="A1014" s="16">
        <f>DATE(2020,9,1)</f>
        <v>44075</v>
      </c>
      <c r="B1014" s="2">
        <v>96.747782713401506</v>
      </c>
      <c r="C1014" s="2">
        <v>72.67966399621362</v>
      </c>
      <c r="D1014" s="2">
        <v>38.236842055214204</v>
      </c>
      <c r="E1014" s="2">
        <v>31.436966163203508</v>
      </c>
      <c r="F1014" s="2">
        <v>35.492637566173507</v>
      </c>
      <c r="G1014" s="2">
        <v>35.64847958468922</v>
      </c>
      <c r="H1014" s="2">
        <v>39.217145146122178</v>
      </c>
    </row>
    <row r="1015" spans="1:8" x14ac:dyDescent="0.2">
      <c r="A1015" s="16">
        <f>DATE(2020,9,2)</f>
        <v>44076</v>
      </c>
      <c r="B1015" s="2">
        <v>96.843812805486806</v>
      </c>
      <c r="C1015" s="2">
        <v>72.246104181455166</v>
      </c>
      <c r="D1015" s="2">
        <v>38.252626139535195</v>
      </c>
      <c r="E1015" s="2">
        <v>31.511660887329239</v>
      </c>
      <c r="F1015" s="2">
        <v>35.573708257733294</v>
      </c>
      <c r="G1015" s="2">
        <v>35.729797697691154</v>
      </c>
      <c r="H1015" s="2">
        <v>39.304177112425776</v>
      </c>
    </row>
    <row r="1016" spans="1:8" x14ac:dyDescent="0.2">
      <c r="A1016" s="16">
        <f>DATE(2020,9,3)</f>
        <v>44077</v>
      </c>
      <c r="B1016" s="2">
        <v>93.610213457760466</v>
      </c>
      <c r="C1016" s="2">
        <v>70.235202650170308</v>
      </c>
      <c r="D1016" s="2">
        <v>38.268412026105977</v>
      </c>
      <c r="E1016" s="2">
        <v>31.586398059953115</v>
      </c>
      <c r="F1016" s="2">
        <v>35.654827457146702</v>
      </c>
      <c r="G1016" s="2">
        <v>35.811164559013186</v>
      </c>
      <c r="H1016" s="2">
        <v>39.391263486993182</v>
      </c>
    </row>
    <row r="1017" spans="1:8" x14ac:dyDescent="0.2">
      <c r="A1017" s="16">
        <f>DATE(2020,9,4)</f>
        <v>44078</v>
      </c>
      <c r="B1017" s="2">
        <v>93.536057726327599</v>
      </c>
      <c r="C1017" s="2">
        <v>71.114711151674555</v>
      </c>
      <c r="D1017" s="2">
        <v>38.284199715132331</v>
      </c>
      <c r="E1017" s="2">
        <v>31.661177705198295</v>
      </c>
      <c r="F1017" s="2">
        <v>35.735995193437908</v>
      </c>
      <c r="G1017" s="2">
        <v>35.8925801978788</v>
      </c>
      <c r="H1017" s="2">
        <v>39.478404303837841</v>
      </c>
    </row>
    <row r="1018" spans="1:8" x14ac:dyDescent="0.2">
      <c r="A1018" s="16">
        <f>DATE(2020,9,8)</f>
        <v>44082</v>
      </c>
      <c r="B1018" s="2">
        <v>93.181973383354645</v>
      </c>
      <c r="C1018" s="2">
        <v>69.101223675759329</v>
      </c>
      <c r="D1018" s="2">
        <v>38.29998920682003</v>
      </c>
      <c r="E1018" s="2">
        <v>31.7359998472017</v>
      </c>
      <c r="F1018" s="2">
        <v>35.817211495648515</v>
      </c>
      <c r="G1018" s="2">
        <v>35.974044643528977</v>
      </c>
      <c r="H1018" s="2">
        <v>39.565599596994531</v>
      </c>
    </row>
    <row r="1019" spans="1:8" x14ac:dyDescent="0.2">
      <c r="A1019" s="16">
        <f>DATE(2020,9,9)</f>
        <v>44083</v>
      </c>
      <c r="B1019" s="2">
        <v>96.265255202477064</v>
      </c>
      <c r="C1019" s="2">
        <v>71.199759997295331</v>
      </c>
      <c r="D1019" s="2">
        <v>38.315780501374938</v>
      </c>
      <c r="E1019" s="2">
        <v>31.810864510113944</v>
      </c>
      <c r="F1019" s="2">
        <v>35.898476392837452</v>
      </c>
      <c r="G1019" s="2">
        <v>36.055557925222281</v>
      </c>
      <c r="H1019" s="2">
        <v>39.65284940051923</v>
      </c>
    </row>
    <row r="1020" spans="1:8" x14ac:dyDescent="0.2">
      <c r="A1020" s="16">
        <f>DATE(2020,9,10)</f>
        <v>44084</v>
      </c>
      <c r="B1020" s="2">
        <v>91.366085425149009</v>
      </c>
      <c r="C1020" s="2">
        <v>67.046259676164951</v>
      </c>
      <c r="D1020" s="2">
        <v>38.331573599002901</v>
      </c>
      <c r="E1020" s="2">
        <v>31.885771718099367</v>
      </c>
      <c r="F1020" s="2">
        <v>35.979789914081039</v>
      </c>
      <c r="G1020" s="2">
        <v>36.137120072234751</v>
      </c>
      <c r="H1020" s="2">
        <v>39.740153748489249</v>
      </c>
    </row>
    <row r="1021" spans="1:8" x14ac:dyDescent="0.2">
      <c r="A1021" s="16">
        <f>DATE(2020,9,11)</f>
        <v>44085</v>
      </c>
      <c r="B1021" s="2">
        <v>91.172197797531965</v>
      </c>
      <c r="C1021" s="2">
        <v>66.249569009227869</v>
      </c>
      <c r="D1021" s="2">
        <v>38.347368499909784</v>
      </c>
      <c r="E1021" s="2">
        <v>31.960721495336021</v>
      </c>
      <c r="F1021" s="2">
        <v>36.061152088473023</v>
      </c>
      <c r="G1021" s="2">
        <v>36.218731113860052</v>
      </c>
      <c r="H1021" s="2">
        <v>39.827512675003177</v>
      </c>
    </row>
    <row r="1022" spans="1:8" x14ac:dyDescent="0.2">
      <c r="A1022" s="16">
        <f>DATE(2020,9,14)</f>
        <v>44088</v>
      </c>
      <c r="B1022" s="2">
        <v>95.828200804981734</v>
      </c>
      <c r="C1022" s="2">
        <v>69.479971605313452</v>
      </c>
      <c r="D1022" s="2">
        <v>38.363165204301495</v>
      </c>
      <c r="E1022" s="2">
        <v>32.035713866015733</v>
      </c>
      <c r="F1022" s="2">
        <v>36.142562945124524</v>
      </c>
      <c r="G1022" s="2">
        <v>36.300391079409323</v>
      </c>
      <c r="H1022" s="2">
        <v>39.914926214180937</v>
      </c>
    </row>
    <row r="1023" spans="1:8" x14ac:dyDescent="0.2">
      <c r="A1023" s="16">
        <f>DATE(2020,9,15)</f>
        <v>44089</v>
      </c>
      <c r="B1023" s="2">
        <v>95.154499351257328</v>
      </c>
      <c r="C1023" s="2">
        <v>69.519504445120106</v>
      </c>
      <c r="D1023" s="2">
        <v>38.378963712383957</v>
      </c>
      <c r="E1023" s="2">
        <v>32.11074885434406</v>
      </c>
      <c r="F1023" s="2">
        <v>36.22402251316408</v>
      </c>
      <c r="G1023" s="2">
        <v>36.382099998211359</v>
      </c>
      <c r="H1023" s="2">
        <v>40.002394400163801</v>
      </c>
    </row>
    <row r="1024" spans="1:8" x14ac:dyDescent="0.2">
      <c r="A1024" s="16">
        <f>DATE(2020,9,16)</f>
        <v>44090</v>
      </c>
      <c r="B1024" s="2">
        <v>94.710911499936486</v>
      </c>
      <c r="C1024" s="2">
        <v>68.467836257309514</v>
      </c>
      <c r="D1024" s="2">
        <v>38.394764024363148</v>
      </c>
      <c r="E1024" s="2">
        <v>32.185826484540335</v>
      </c>
      <c r="F1024" s="2">
        <v>36.305530821737683</v>
      </c>
      <c r="G1024" s="2">
        <v>36.463857899612485</v>
      </c>
      <c r="H1024" s="2">
        <v>40.089917267114352</v>
      </c>
    </row>
    <row r="1025" spans="1:8" x14ac:dyDescent="0.2">
      <c r="A1025" s="16">
        <f>DATE(2020,9,17)</f>
        <v>44091</v>
      </c>
      <c r="B1025" s="2">
        <v>93.42788818849084</v>
      </c>
      <c r="C1025" s="2">
        <v>69.181337254503859</v>
      </c>
      <c r="D1025" s="2">
        <v>38.410566140444999</v>
      </c>
      <c r="E1025" s="2">
        <v>32.260946780837621</v>
      </c>
      <c r="F1025" s="2">
        <v>36.387087900008773</v>
      </c>
      <c r="G1025" s="2">
        <v>36.545664812976632</v>
      </c>
      <c r="H1025" s="2">
        <v>40.177494849216536</v>
      </c>
    </row>
    <row r="1026" spans="1:8" x14ac:dyDescent="0.2">
      <c r="A1026" s="16">
        <f>DATE(2020,9,18)</f>
        <v>44092</v>
      </c>
      <c r="B1026" s="2">
        <v>90.665989092773046</v>
      </c>
      <c r="C1026" s="2">
        <v>66.125325355778259</v>
      </c>
      <c r="D1026" s="2">
        <v>38.426370060835538</v>
      </c>
      <c r="E1026" s="2">
        <v>32.336109767482782</v>
      </c>
      <c r="F1026" s="2">
        <v>36.468693777158201</v>
      </c>
      <c r="G1026" s="2">
        <v>36.627520767685319</v>
      </c>
      <c r="H1026" s="2">
        <v>40.265127180675677</v>
      </c>
    </row>
    <row r="1027" spans="1:8" x14ac:dyDescent="0.2">
      <c r="A1027" s="16">
        <f>DATE(2020,9,21)</f>
        <v>44095</v>
      </c>
      <c r="B1027" s="2">
        <v>87.967500910629965</v>
      </c>
      <c r="C1027" s="2">
        <v>63.92982456140313</v>
      </c>
      <c r="D1027" s="2">
        <v>38.442175785740737</v>
      </c>
      <c r="E1027" s="2">
        <v>32.411315468736433</v>
      </c>
      <c r="F1027" s="2">
        <v>36.550348482384301</v>
      </c>
      <c r="G1027" s="2">
        <v>36.709425793137719</v>
      </c>
      <c r="H1027" s="2">
        <v>40.352814295718488</v>
      </c>
    </row>
    <row r="1028" spans="1:8" x14ac:dyDescent="0.2">
      <c r="A1028" s="16">
        <f>DATE(2020,9,22)</f>
        <v>44096</v>
      </c>
      <c r="B1028" s="2">
        <v>89.418078801834426</v>
      </c>
      <c r="C1028" s="2">
        <v>64.441638779028096</v>
      </c>
      <c r="D1028" s="2">
        <v>38.457983315366675</v>
      </c>
      <c r="E1028" s="2">
        <v>32.486563908872988</v>
      </c>
      <c r="F1028" s="2">
        <v>36.632052044902871</v>
      </c>
      <c r="G1028" s="2">
        <v>36.791379918750593</v>
      </c>
      <c r="H1028" s="2">
        <v>40.44055622859306</v>
      </c>
    </row>
    <row r="1029" spans="1:8" x14ac:dyDescent="0.2">
      <c r="A1029" s="16">
        <f>DATE(2020,9,23)</f>
        <v>44097</v>
      </c>
      <c r="B1029" s="2">
        <v>87.565435872055104</v>
      </c>
      <c r="C1029" s="2">
        <v>61.80715275665041</v>
      </c>
      <c r="D1029" s="2">
        <v>38.473792649919417</v>
      </c>
      <c r="E1029" s="2">
        <v>32.56185511218068</v>
      </c>
      <c r="F1029" s="2">
        <v>36.713804493947208</v>
      </c>
      <c r="G1029" s="2">
        <v>36.873383173958317</v>
      </c>
      <c r="H1029" s="2">
        <v>40.528353013568918</v>
      </c>
    </row>
    <row r="1030" spans="1:8" x14ac:dyDescent="0.2">
      <c r="A1030" s="16">
        <f>DATE(2020,9,24)</f>
        <v>44098</v>
      </c>
      <c r="B1030" s="2">
        <v>90.216520446000416</v>
      </c>
      <c r="C1030" s="2">
        <v>63.965909475035978</v>
      </c>
      <c r="D1030" s="2">
        <v>38.489603789605042</v>
      </c>
      <c r="E1030" s="2">
        <v>32.637189102961557</v>
      </c>
      <c r="F1030" s="2">
        <v>36.795605858768113</v>
      </c>
      <c r="G1030" s="2">
        <v>36.955435588213014</v>
      </c>
      <c r="H1030" s="2">
        <v>40.616204684937031</v>
      </c>
    </row>
    <row r="1031" spans="1:8" x14ac:dyDescent="0.2">
      <c r="A1031" s="16">
        <f>DATE(2020,9,25)</f>
        <v>44099</v>
      </c>
      <c r="B1031" s="2">
        <v>90.074117258939026</v>
      </c>
      <c r="C1031" s="2">
        <v>63.944461346042971</v>
      </c>
      <c r="D1031" s="2">
        <v>38.505416734629662</v>
      </c>
      <c r="E1031" s="2">
        <v>32.712565905531378</v>
      </c>
      <c r="F1031" s="2">
        <v>36.877456168633778</v>
      </c>
      <c r="G1031" s="2">
        <v>37.037537190984303</v>
      </c>
      <c r="H1031" s="2">
        <v>40.70411127700968</v>
      </c>
    </row>
    <row r="1032" spans="1:8" x14ac:dyDescent="0.2">
      <c r="A1032" s="16">
        <f>DATE(2020,9,28)</f>
        <v>44102</v>
      </c>
      <c r="B1032" s="2">
        <v>85.466541502820576</v>
      </c>
      <c r="C1032" s="2">
        <v>60.001301423114263</v>
      </c>
      <c r="D1032" s="2">
        <v>38.521231485199415</v>
      </c>
      <c r="E1032" s="2">
        <v>32.787985544219822</v>
      </c>
      <c r="F1032" s="2">
        <v>36.959355452830046</v>
      </c>
      <c r="G1032" s="2">
        <v>37.1196880117596</v>
      </c>
      <c r="H1032" s="2">
        <v>40.792072824120758</v>
      </c>
    </row>
    <row r="1033" spans="1:8" x14ac:dyDescent="0.2">
      <c r="A1033" s="16">
        <f>DATE(2020,9,29)</f>
        <v>44103</v>
      </c>
      <c r="B1033" s="2">
        <v>84.962290773182872</v>
      </c>
      <c r="C1033" s="2">
        <v>58.165753980326201</v>
      </c>
      <c r="D1033" s="2">
        <v>38.537048041520471</v>
      </c>
      <c r="E1033" s="2">
        <v>32.863448043370333</v>
      </c>
      <c r="F1033" s="2">
        <v>37.041303740660211</v>
      </c>
      <c r="G1033" s="2">
        <v>37.201888080043965</v>
      </c>
      <c r="H1033" s="2">
        <v>40.880089360625526</v>
      </c>
    </row>
    <row r="1034" spans="1:8" x14ac:dyDescent="0.2">
      <c r="A1034" s="16">
        <f>DATE(2020,9,30)</f>
        <v>44104</v>
      </c>
      <c r="B1034" s="2">
        <v>85.763830827102055</v>
      </c>
      <c r="C1034" s="2">
        <v>59.89483825169826</v>
      </c>
      <c r="D1034" s="2">
        <v>38.552866403799001</v>
      </c>
      <c r="E1034" s="2">
        <v>32.938953427340259</v>
      </c>
      <c r="F1034" s="2">
        <v>37.123301061445147</v>
      </c>
      <c r="G1034" s="2">
        <v>37.284137425360122</v>
      </c>
      <c r="H1034" s="2">
        <v>40.968160920900765</v>
      </c>
    </row>
    <row r="1035" spans="1:8" x14ac:dyDescent="0.2">
      <c r="A1035" s="16">
        <f>DATE(2020,10,1)</f>
        <v>44105</v>
      </c>
      <c r="B1035" s="2">
        <v>87.96475974546027</v>
      </c>
      <c r="C1035" s="2">
        <v>61.373964777067563</v>
      </c>
      <c r="D1035" s="2">
        <v>38.568686572241219</v>
      </c>
      <c r="E1035" s="2">
        <v>33.015757480574301</v>
      </c>
      <c r="F1035" s="2">
        <v>37.206642769431198</v>
      </c>
      <c r="G1035" s="2">
        <v>37.367732922958119</v>
      </c>
      <c r="H1035" s="2">
        <v>41.057619220114333</v>
      </c>
    </row>
    <row r="1036" spans="1:8" x14ac:dyDescent="0.2">
      <c r="A1036" s="16">
        <f>DATE(2020,10,2)</f>
        <v>44106</v>
      </c>
      <c r="B1036" s="2">
        <v>84.598169231430646</v>
      </c>
      <c r="C1036" s="2">
        <v>58.901531284859182</v>
      </c>
      <c r="D1036" s="2">
        <v>38.584508547053353</v>
      </c>
      <c r="E1036" s="2">
        <v>33.092605906525627</v>
      </c>
      <c r="F1036" s="2">
        <v>37.290035131392422</v>
      </c>
      <c r="G1036" s="2">
        <v>37.451379323794832</v>
      </c>
      <c r="H1036" s="2">
        <v>41.147134289503832</v>
      </c>
    </row>
    <row r="1037" spans="1:8" x14ac:dyDescent="0.2">
      <c r="A1037" s="16">
        <f>DATE(2020,10,5)</f>
        <v>44109</v>
      </c>
      <c r="B1037" s="2">
        <v>87.599222965550268</v>
      </c>
      <c r="C1037" s="2">
        <v>62.406094716559821</v>
      </c>
      <c r="D1037" s="2">
        <v>38.600332328441645</v>
      </c>
      <c r="E1037" s="2">
        <v>33.169498730830057</v>
      </c>
      <c r="F1037" s="2">
        <v>37.373478178115647</v>
      </c>
      <c r="G1037" s="2">
        <v>37.535076658866423</v>
      </c>
      <c r="H1037" s="2">
        <v>41.236706165095605</v>
      </c>
    </row>
    <row r="1038" spans="1:8" x14ac:dyDescent="0.2">
      <c r="A1038" s="16">
        <f>DATE(2020,10,6)</f>
        <v>44110</v>
      </c>
      <c r="B1038" s="2">
        <v>86.641656339778933</v>
      </c>
      <c r="C1038" s="2">
        <v>61.604688503532067</v>
      </c>
      <c r="D1038" s="2">
        <v>38.616157916612387</v>
      </c>
      <c r="E1038" s="2">
        <v>33.246435979138298</v>
      </c>
      <c r="F1038" s="2">
        <v>37.456971940406397</v>
      </c>
      <c r="G1038" s="2">
        <v>37.618824959187933</v>
      </c>
      <c r="H1038" s="2">
        <v>41.326334882938824</v>
      </c>
    </row>
    <row r="1039" spans="1:8" x14ac:dyDescent="0.2">
      <c r="A1039" s="16">
        <f>DATE(2020,10,7)</f>
        <v>44111</v>
      </c>
      <c r="B1039" s="2">
        <v>86.745669474288263</v>
      </c>
      <c r="C1039" s="2">
        <v>61.45465301017439</v>
      </c>
      <c r="D1039" s="2">
        <v>38.631985311771878</v>
      </c>
      <c r="E1039" s="2">
        <v>33.32341767711582</v>
      </c>
      <c r="F1039" s="2">
        <v>37.540516449088912</v>
      </c>
      <c r="G1039" s="2">
        <v>37.702624255793268</v>
      </c>
      <c r="H1039" s="2">
        <v>41.416020479105534</v>
      </c>
    </row>
    <row r="1040" spans="1:8" x14ac:dyDescent="0.2">
      <c r="A1040" s="16">
        <f>DATE(2020,10,8)</f>
        <v>44112</v>
      </c>
      <c r="B1040" s="2">
        <v>89.924040183420104</v>
      </c>
      <c r="C1040" s="2">
        <v>65.499999999999631</v>
      </c>
      <c r="D1040" s="2">
        <v>38.647814514126445</v>
      </c>
      <c r="E1040" s="2">
        <v>33.40044385044294</v>
      </c>
      <c r="F1040" s="2">
        <v>37.624111735006167</v>
      </c>
      <c r="G1040" s="2">
        <v>37.786474579735277</v>
      </c>
      <c r="H1040" s="2">
        <v>41.505762989690666</v>
      </c>
    </row>
    <row r="1041" spans="1:8" x14ac:dyDescent="0.2">
      <c r="A1041" s="16">
        <f>DATE(2020,10,9)</f>
        <v>44113</v>
      </c>
      <c r="B1041" s="2">
        <v>90.28759150785632</v>
      </c>
      <c r="C1041" s="2">
        <v>64.762380421187473</v>
      </c>
      <c r="D1041" s="2">
        <v>38.663645523882437</v>
      </c>
      <c r="E1041" s="2">
        <v>33.477514524814822</v>
      </c>
      <c r="F1041" s="2">
        <v>37.707757829019897</v>
      </c>
      <c r="G1041" s="2">
        <v>37.870375962085667</v>
      </c>
      <c r="H1041" s="2">
        <v>41.595562450812082</v>
      </c>
    </row>
    <row r="1042" spans="1:8" x14ac:dyDescent="0.2">
      <c r="A1042" s="16">
        <f>DATE(2020,10,13)</f>
        <v>44117</v>
      </c>
      <c r="B1042" s="2">
        <v>92.55219927322689</v>
      </c>
      <c r="C1042" s="2">
        <v>66.485515329749816</v>
      </c>
      <c r="D1042" s="2">
        <v>38.67947834124621</v>
      </c>
      <c r="E1042" s="2">
        <v>33.554629725941453</v>
      </c>
      <c r="F1042" s="2">
        <v>37.791454762010559</v>
      </c>
      <c r="G1042" s="2">
        <v>37.954328433935089</v>
      </c>
      <c r="H1042" s="2">
        <v>41.685418898610571</v>
      </c>
    </row>
    <row r="1043" spans="1:8" x14ac:dyDescent="0.2">
      <c r="A1043" s="16">
        <f>DATE(2020,10,14)</f>
        <v>44118</v>
      </c>
      <c r="B1043" s="2">
        <v>94.797137976239412</v>
      </c>
      <c r="C1043" s="2">
        <v>67.891069195145477</v>
      </c>
      <c r="D1043" s="2">
        <v>38.695312966424169</v>
      </c>
      <c r="E1043" s="2">
        <v>33.631789479547699</v>
      </c>
      <c r="F1043" s="2">
        <v>37.875202564877419</v>
      </c>
      <c r="G1043" s="2">
        <v>38.038332026393128</v>
      </c>
      <c r="H1043" s="2">
        <v>41.775332369249817</v>
      </c>
    </row>
    <row r="1044" spans="1:8" x14ac:dyDescent="0.2">
      <c r="A1044" s="16">
        <f>DATE(2020,10,15)</f>
        <v>44119</v>
      </c>
      <c r="B1044" s="2">
        <v>94.936628245927466</v>
      </c>
      <c r="C1044" s="2">
        <v>67.417199067031362</v>
      </c>
      <c r="D1044" s="2">
        <v>38.711149399622748</v>
      </c>
      <c r="E1044" s="2">
        <v>33.70899381137329</v>
      </c>
      <c r="F1044" s="2">
        <v>37.959001268538508</v>
      </c>
      <c r="G1044" s="2">
        <v>38.122386770588321</v>
      </c>
      <c r="H1044" s="2">
        <v>41.865302898916497</v>
      </c>
    </row>
    <row r="1045" spans="1:8" x14ac:dyDescent="0.2">
      <c r="A1045" s="16">
        <f>DATE(2020,10,16)</f>
        <v>44120</v>
      </c>
      <c r="B1045" s="2">
        <v>94.357912630890397</v>
      </c>
      <c r="C1045" s="2">
        <v>66.158131359226203</v>
      </c>
      <c r="D1045" s="2">
        <v>38.72698764104836</v>
      </c>
      <c r="E1045" s="2">
        <v>33.786242747172793</v>
      </c>
      <c r="F1045" s="2">
        <v>38.042850903930649</v>
      </c>
      <c r="G1045" s="2">
        <v>38.206492697668139</v>
      </c>
      <c r="H1045" s="2">
        <v>41.95533052382023</v>
      </c>
    </row>
    <row r="1046" spans="1:8" x14ac:dyDescent="0.2">
      <c r="A1046" s="16">
        <f>DATE(2020,10,19)</f>
        <v>44123</v>
      </c>
      <c r="B1046" s="2">
        <v>94.506732480278814</v>
      </c>
      <c r="C1046" s="2">
        <v>66.747202785383109</v>
      </c>
      <c r="D1046" s="2">
        <v>38.74282769090749</v>
      </c>
      <c r="E1046" s="2">
        <v>33.863536312715681</v>
      </c>
      <c r="F1046" s="2">
        <v>38.126751502009462</v>
      </c>
      <c r="G1046" s="2">
        <v>38.29064983879902</v>
      </c>
      <c r="H1046" s="2">
        <v>42.045415280193588</v>
      </c>
    </row>
    <row r="1047" spans="1:8" x14ac:dyDescent="0.2">
      <c r="A1047" s="16">
        <f>DATE(2020,10,20)</f>
        <v>44124</v>
      </c>
      <c r="B1047" s="2">
        <v>98.262348605584776</v>
      </c>
      <c r="C1047" s="2">
        <v>69.928387925497375</v>
      </c>
      <c r="D1047" s="2">
        <v>38.758669549406633</v>
      </c>
      <c r="E1047" s="2">
        <v>33.940874533786314</v>
      </c>
      <c r="F1047" s="2">
        <v>38.210703093749387</v>
      </c>
      <c r="G1047" s="2">
        <v>38.374858225166399</v>
      </c>
      <c r="H1047" s="2">
        <v>42.135557204292184</v>
      </c>
    </row>
    <row r="1048" spans="1:8" x14ac:dyDescent="0.2">
      <c r="A1048" s="16">
        <f>DATE(2020,10,21)</f>
        <v>44125</v>
      </c>
      <c r="B1048" s="2">
        <v>98.047720181859191</v>
      </c>
      <c r="C1048" s="2">
        <v>69.949700841699268</v>
      </c>
      <c r="D1048" s="2">
        <v>38.77451321675229</v>
      </c>
      <c r="E1048" s="2">
        <v>34.018257436183937</v>
      </c>
      <c r="F1048" s="2">
        <v>38.294705710143681</v>
      </c>
      <c r="G1048" s="2">
        <v>38.459117887974671</v>
      </c>
      <c r="H1048" s="2">
        <v>42.225756332394624</v>
      </c>
    </row>
    <row r="1049" spans="1:8" x14ac:dyDescent="0.2">
      <c r="A1049" s="16">
        <f>DATE(2020,10,22)</f>
        <v>44126</v>
      </c>
      <c r="B1049" s="2">
        <v>98.417172912011594</v>
      </c>
      <c r="C1049" s="2">
        <v>72.257259236723414</v>
      </c>
      <c r="D1049" s="2">
        <v>38.79035869315102</v>
      </c>
      <c r="E1049" s="2">
        <v>34.095685045722711</v>
      </c>
      <c r="F1049" s="2">
        <v>38.37875938220445</v>
      </c>
      <c r="G1049" s="2">
        <v>38.543428858447278</v>
      </c>
      <c r="H1049" s="2">
        <v>42.316012700802517</v>
      </c>
    </row>
    <row r="1050" spans="1:8" x14ac:dyDescent="0.2">
      <c r="A1050" s="16">
        <f>DATE(2020,10,23)</f>
        <v>44127</v>
      </c>
      <c r="B1050" s="2">
        <v>98.006980559161704</v>
      </c>
      <c r="C1050" s="2">
        <v>71.145167832876609</v>
      </c>
      <c r="D1050" s="2">
        <v>38.806205978809352</v>
      </c>
      <c r="E1050" s="2">
        <v>34.173157388231722</v>
      </c>
      <c r="F1050" s="2">
        <v>38.462864140962694</v>
      </c>
      <c r="G1050" s="2">
        <v>38.627791167826665</v>
      </c>
      <c r="H1050" s="2">
        <v>42.406326345840561</v>
      </c>
    </row>
    <row r="1051" spans="1:8" x14ac:dyDescent="0.2">
      <c r="A1051" s="16">
        <f>DATE(2020,10,26)</f>
        <v>44130</v>
      </c>
      <c r="B1051" s="2">
        <v>98.213687771256559</v>
      </c>
      <c r="C1051" s="2">
        <v>70.734813913395826</v>
      </c>
      <c r="D1051" s="2">
        <v>38.822055073933882</v>
      </c>
      <c r="E1051" s="2">
        <v>34.250674489554918</v>
      </c>
      <c r="F1051" s="2">
        <v>38.547020017468149</v>
      </c>
      <c r="G1051" s="2">
        <v>38.712204847374231</v>
      </c>
      <c r="H1051" s="2">
        <v>42.496697303856394</v>
      </c>
    </row>
    <row r="1052" spans="1:8" x14ac:dyDescent="0.2">
      <c r="A1052" s="16">
        <f>DATE(2020,10,27)</f>
        <v>44131</v>
      </c>
      <c r="B1052" s="2">
        <v>97.540206160352824</v>
      </c>
      <c r="C1052" s="2">
        <v>68.349288442686273</v>
      </c>
      <c r="D1052" s="2">
        <v>38.837905978731222</v>
      </c>
      <c r="E1052" s="2">
        <v>34.32823637555127</v>
      </c>
      <c r="F1052" s="2">
        <v>38.631227042789519</v>
      </c>
      <c r="G1052" s="2">
        <v>38.796669928370477</v>
      </c>
      <c r="H1052" s="2">
        <v>42.58712561122082</v>
      </c>
    </row>
    <row r="1053" spans="1:8" x14ac:dyDescent="0.2">
      <c r="A1053" s="16">
        <f>DATE(2020,10,28)</f>
        <v>44132</v>
      </c>
      <c r="B1053" s="2">
        <v>90.78216915338642</v>
      </c>
      <c r="C1053" s="2">
        <v>61.188452827637121</v>
      </c>
      <c r="D1053" s="2">
        <v>38.85375869340799</v>
      </c>
      <c r="E1053" s="2">
        <v>34.405843072094598</v>
      </c>
      <c r="F1053" s="2">
        <v>38.715485248014382</v>
      </c>
      <c r="G1053" s="2">
        <v>38.881186442114959</v>
      </c>
      <c r="H1053" s="2">
        <v>42.677611304327698</v>
      </c>
    </row>
    <row r="1054" spans="1:8" x14ac:dyDescent="0.2">
      <c r="A1054" s="16">
        <f>DATE(2020,10,29)</f>
        <v>44133</v>
      </c>
      <c r="B1054" s="2">
        <v>93.730364429321455</v>
      </c>
      <c r="C1054" s="2">
        <v>63.239292837102028</v>
      </c>
      <c r="D1054" s="2">
        <v>38.869613218170862</v>
      </c>
      <c r="E1054" s="2">
        <v>34.483494605073759</v>
      </c>
      <c r="F1054" s="2">
        <v>38.799794664249212</v>
      </c>
      <c r="G1054" s="2">
        <v>38.965754419926249</v>
      </c>
      <c r="H1054" s="2">
        <v>42.768154419594005</v>
      </c>
    </row>
    <row r="1055" spans="1:8" x14ac:dyDescent="0.2">
      <c r="A1055" s="16">
        <f>DATE(2020,10,30)</f>
        <v>44134</v>
      </c>
      <c r="B1055" s="2">
        <v>89.072698860540697</v>
      </c>
      <c r="C1055" s="2">
        <v>58.79457796707532</v>
      </c>
      <c r="D1055" s="2">
        <v>38.885469553226493</v>
      </c>
      <c r="E1055" s="2">
        <v>34.561191000392498</v>
      </c>
      <c r="F1055" s="2">
        <v>38.88415532261935</v>
      </c>
      <c r="G1055" s="2">
        <v>39.05037389314203</v>
      </c>
      <c r="H1055" s="2">
        <v>42.85875499345979</v>
      </c>
    </row>
    <row r="1056" spans="1:8" x14ac:dyDescent="0.2">
      <c r="A1056" s="16">
        <f>DATE(2020,11,3)</f>
        <v>44138</v>
      </c>
      <c r="B1056" s="2">
        <v>90.759800146387605</v>
      </c>
      <c r="C1056" s="2">
        <v>62.221056011898398</v>
      </c>
      <c r="D1056" s="2">
        <v>38.901327698781607</v>
      </c>
      <c r="E1056" s="2">
        <v>34.645775246147778</v>
      </c>
      <c r="F1056" s="2">
        <v>38.97563026816524</v>
      </c>
      <c r="G1056" s="2">
        <v>39.142116368165091</v>
      </c>
      <c r="H1056" s="2">
        <v>42.956678400952612</v>
      </c>
    </row>
    <row r="1057" spans="1:8" x14ac:dyDescent="0.2">
      <c r="A1057" s="16">
        <f>DATE(2020,11,4)</f>
        <v>44139</v>
      </c>
      <c r="B1057" s="2">
        <v>98.180031209436194</v>
      </c>
      <c r="C1057" s="2">
        <v>65.410556738667111</v>
      </c>
      <c r="D1057" s="2">
        <v>38.917187655042909</v>
      </c>
      <c r="E1057" s="2">
        <v>34.730412660982338</v>
      </c>
      <c r="F1057" s="2">
        <v>39.067165462957298</v>
      </c>
      <c r="G1057" s="2">
        <v>39.233919372919132</v>
      </c>
      <c r="H1057" s="2">
        <v>43.054668930644091</v>
      </c>
    </row>
    <row r="1058" spans="1:8" x14ac:dyDescent="0.2">
      <c r="A1058" s="16">
        <f>DATE(2020,11,5)</f>
        <v>44140</v>
      </c>
      <c r="B1058" s="2">
        <v>103.00716124247992</v>
      </c>
      <c r="C1058" s="2">
        <v>70.285975053239653</v>
      </c>
      <c r="D1058" s="2">
        <v>38.933049422217159</v>
      </c>
      <c r="E1058" s="2">
        <v>34.815103278317871</v>
      </c>
      <c r="F1058" s="2">
        <v>39.158760946678207</v>
      </c>
      <c r="G1058" s="2">
        <v>39.325782947340372</v>
      </c>
      <c r="H1058" s="2">
        <v>43.152726628543569</v>
      </c>
    </row>
    <row r="1059" spans="1:8" x14ac:dyDescent="0.2">
      <c r="A1059" s="16">
        <f>DATE(2020,11,6)</f>
        <v>44141</v>
      </c>
      <c r="B1059" s="2">
        <v>103.16763276136163</v>
      </c>
      <c r="C1059" s="2">
        <v>70.579572727579645</v>
      </c>
      <c r="D1059" s="2">
        <v>38.948913000511133</v>
      </c>
      <c r="E1059" s="2">
        <v>34.899847131597106</v>
      </c>
      <c r="F1059" s="2">
        <v>39.250416759036803</v>
      </c>
      <c r="G1059" s="2">
        <v>39.417707131391388</v>
      </c>
      <c r="H1059" s="2">
        <v>43.250851540691905</v>
      </c>
    </row>
    <row r="1060" spans="1:8" x14ac:dyDescent="0.2">
      <c r="A1060" s="16">
        <f>DATE(2020,11,9)</f>
        <v>44144</v>
      </c>
      <c r="B1060" s="2">
        <v>102.18624753999298</v>
      </c>
      <c r="C1060" s="2">
        <v>74.957171348409176</v>
      </c>
      <c r="D1060" s="2">
        <v>38.964778390131613</v>
      </c>
      <c r="E1060" s="2">
        <v>34.984644254283801</v>
      </c>
      <c r="F1060" s="2">
        <v>39.342132939768049</v>
      </c>
      <c r="G1060" s="2">
        <v>39.509691965061108</v>
      </c>
      <c r="H1060" s="2">
        <v>43.349043713161507</v>
      </c>
    </row>
    <row r="1061" spans="1:8" x14ac:dyDescent="0.2">
      <c r="A1061" s="16">
        <f>DATE(2020,11,10)</f>
        <v>44145</v>
      </c>
      <c r="B1061" s="2">
        <v>100.69721776544314</v>
      </c>
      <c r="C1061" s="2">
        <v>77.579961464354156</v>
      </c>
      <c r="D1061" s="2">
        <v>38.980645591285423</v>
      </c>
      <c r="E1061" s="2">
        <v>35.069494679862778</v>
      </c>
      <c r="F1061" s="2">
        <v>39.433909528633123</v>
      </c>
      <c r="G1061" s="2">
        <v>39.601737488364911</v>
      </c>
      <c r="H1061" s="2">
        <v>43.447303192056431</v>
      </c>
    </row>
    <row r="1062" spans="1:8" x14ac:dyDescent="0.2">
      <c r="A1062" s="16">
        <f>DATE(2020,11,11)</f>
        <v>44146</v>
      </c>
      <c r="B1062" s="2">
        <v>101.05136393920939</v>
      </c>
      <c r="C1062" s="2">
        <v>77.14368049217417</v>
      </c>
      <c r="D1062" s="2">
        <v>38.99651460417941</v>
      </c>
      <c r="E1062" s="2">
        <v>35.154398441839788</v>
      </c>
      <c r="F1062" s="2">
        <v>39.525746565419297</v>
      </c>
      <c r="G1062" s="2">
        <v>39.693843741344438</v>
      </c>
      <c r="H1062" s="2">
        <v>43.545630023512153</v>
      </c>
    </row>
    <row r="1063" spans="1:8" x14ac:dyDescent="0.2">
      <c r="A1063" s="16">
        <f>DATE(2020,11,12)</f>
        <v>44147</v>
      </c>
      <c r="B1063" s="2">
        <v>98.405534982694704</v>
      </c>
      <c r="C1063" s="2">
        <v>73.253236656187283</v>
      </c>
      <c r="D1063" s="2">
        <v>39.012385429020462</v>
      </c>
      <c r="E1063" s="2">
        <v>35.239355573741804</v>
      </c>
      <c r="F1063" s="2">
        <v>39.617644089940171</v>
      </c>
      <c r="G1063" s="2">
        <v>39.786010764067917</v>
      </c>
      <c r="H1063" s="2">
        <v>43.644024253696003</v>
      </c>
    </row>
    <row r="1064" spans="1:8" x14ac:dyDescent="0.2">
      <c r="A1064" s="16">
        <f>DATE(2020,11,13)</f>
        <v>44148</v>
      </c>
      <c r="B1064" s="2">
        <v>103.93775590219553</v>
      </c>
      <c r="C1064" s="2">
        <v>76.998614068890532</v>
      </c>
      <c r="D1064" s="2">
        <v>39.028258066015439</v>
      </c>
      <c r="E1064" s="2">
        <v>35.324366109116802</v>
      </c>
      <c r="F1064" s="2">
        <v>39.709602142035543</v>
      </c>
      <c r="G1064" s="2">
        <v>39.878238596629913</v>
      </c>
      <c r="H1064" s="2">
        <v>43.74248592880685</v>
      </c>
    </row>
    <row r="1065" spans="1:8" x14ac:dyDescent="0.2">
      <c r="A1065" s="16">
        <f>DATE(2020,11,16)</f>
        <v>44151</v>
      </c>
      <c r="B1065" s="2">
        <v>103.72275649371012</v>
      </c>
      <c r="C1065" s="2">
        <v>79.883581786836629</v>
      </c>
      <c r="D1065" s="2">
        <v>39.044132515371267</v>
      </c>
      <c r="E1065" s="2">
        <v>35.409430081533763</v>
      </c>
      <c r="F1065" s="2">
        <v>39.801620761571321</v>
      </c>
      <c r="G1065" s="2">
        <v>39.970527279151426</v>
      </c>
      <c r="H1065" s="2">
        <v>43.841015095075186</v>
      </c>
    </row>
    <row r="1066" spans="1:8" x14ac:dyDescent="0.2">
      <c r="A1066" s="16">
        <f>DATE(2020,11,17)</f>
        <v>44152</v>
      </c>
      <c r="B1066" s="2">
        <v>103.33489192733016</v>
      </c>
      <c r="C1066" s="2">
        <v>81.267332589662573</v>
      </c>
      <c r="D1066" s="2">
        <v>39.060008777294897</v>
      </c>
      <c r="E1066" s="2">
        <v>35.494547524582899</v>
      </c>
      <c r="F1066" s="2">
        <v>39.893699988439835</v>
      </c>
      <c r="G1066" s="2">
        <v>40.062876851779983</v>
      </c>
      <c r="H1066" s="2">
        <v>43.939611798763245</v>
      </c>
    </row>
    <row r="1067" spans="1:8" x14ac:dyDescent="0.2">
      <c r="A1067" s="16">
        <f>DATE(2020,11,18)</f>
        <v>44153</v>
      </c>
      <c r="B1067" s="2">
        <v>101.16270058768086</v>
      </c>
      <c r="C1067" s="2">
        <v>79.358229388499723</v>
      </c>
      <c r="D1067" s="2">
        <v>39.075886851993261</v>
      </c>
      <c r="E1067" s="2">
        <v>35.579718471875466</v>
      </c>
      <c r="F1067" s="2">
        <v>39.985839862559587</v>
      </c>
      <c r="G1067" s="2">
        <v>40.155287354689584</v>
      </c>
      <c r="H1067" s="2">
        <v>44.038276086164977</v>
      </c>
    </row>
    <row r="1068" spans="1:8" x14ac:dyDescent="0.2">
      <c r="A1068" s="16">
        <f>DATE(2020,11,19)</f>
        <v>44154</v>
      </c>
      <c r="B1068" s="2">
        <v>102.1423408066608</v>
      </c>
      <c r="C1068" s="2">
        <v>80.289186357028925</v>
      </c>
      <c r="D1068" s="2">
        <v>39.091766739673361</v>
      </c>
      <c r="E1068" s="2">
        <v>35.664942957043877</v>
      </c>
      <c r="F1068" s="2">
        <v>40.078040423875443</v>
      </c>
      <c r="G1068" s="2">
        <v>40.247758828080713</v>
      </c>
      <c r="H1068" s="2">
        <v>44.137008003606049</v>
      </c>
    </row>
    <row r="1069" spans="1:8" x14ac:dyDescent="0.2">
      <c r="A1069" s="16">
        <f>DATE(2020,11,20)</f>
        <v>44155</v>
      </c>
      <c r="B1069" s="2">
        <v>100.92099714657738</v>
      </c>
      <c r="C1069" s="2">
        <v>79.2287462393938</v>
      </c>
      <c r="D1069" s="2">
        <v>39.107648440542221</v>
      </c>
      <c r="E1069" s="2">
        <v>35.75022101374168</v>
      </c>
      <c r="F1069" s="2">
        <v>40.170301712358516</v>
      </c>
      <c r="G1069" s="2">
        <v>40.340291312180419</v>
      </c>
      <c r="H1069" s="2">
        <v>44.23580759744388</v>
      </c>
    </row>
    <row r="1070" spans="1:8" x14ac:dyDescent="0.2">
      <c r="A1070" s="16">
        <f>DATE(2020,11,23)</f>
        <v>44158</v>
      </c>
      <c r="B1070" s="2">
        <v>101.36014005086867</v>
      </c>
      <c r="C1070" s="2">
        <v>81.487543521616715</v>
      </c>
      <c r="D1070" s="2">
        <v>39.123531954806843</v>
      </c>
      <c r="E1070" s="2">
        <v>35.835552675643555</v>
      </c>
      <c r="F1070" s="2">
        <v>40.262623768006293</v>
      </c>
      <c r="G1070" s="2">
        <v>40.432884847242256</v>
      </c>
      <c r="H1070" s="2">
        <v>44.334674914067662</v>
      </c>
    </row>
    <row r="1071" spans="1:8" x14ac:dyDescent="0.2">
      <c r="A1071" s="16">
        <f>DATE(2020,11,24)</f>
        <v>44159</v>
      </c>
      <c r="B1071" s="2">
        <v>102.11737490634327</v>
      </c>
      <c r="C1071" s="2">
        <v>85.556400635499671</v>
      </c>
      <c r="D1071" s="2">
        <v>39.139417282674316</v>
      </c>
      <c r="E1071" s="2">
        <v>35.92093797644538</v>
      </c>
      <c r="F1071" s="2">
        <v>40.355006630842567</v>
      </c>
      <c r="G1071" s="2">
        <v>40.52553947354636</v>
      </c>
      <c r="H1071" s="2">
        <v>44.43360999989843</v>
      </c>
    </row>
    <row r="1072" spans="1:8" x14ac:dyDescent="0.2">
      <c r="A1072" s="16">
        <f>DATE(2020,11,25)</f>
        <v>44160</v>
      </c>
      <c r="B1072" s="2">
        <v>104.83790233125427</v>
      </c>
      <c r="C1072" s="2">
        <v>86.141584693911597</v>
      </c>
      <c r="D1072" s="2">
        <v>39.155304424351691</v>
      </c>
      <c r="E1072" s="2">
        <v>36.006376949864197</v>
      </c>
      <c r="F1072" s="2">
        <v>40.44745034091752</v>
      </c>
      <c r="G1072" s="2">
        <v>40.618255231399417</v>
      </c>
      <c r="H1072" s="2">
        <v>44.532612901388973</v>
      </c>
    </row>
    <row r="1073" spans="1:8" x14ac:dyDescent="0.2">
      <c r="A1073" s="16">
        <f>DATE(2020,11,26)</f>
        <v>44161</v>
      </c>
      <c r="B1073" s="2">
        <v>105.73497783091237</v>
      </c>
      <c r="C1073" s="2">
        <v>86.301406213027306</v>
      </c>
      <c r="D1073" s="2">
        <v>39.171193380046091</v>
      </c>
      <c r="E1073" s="2">
        <v>36.091869629638261</v>
      </c>
      <c r="F1073" s="2">
        <v>40.539954938307709</v>
      </c>
      <c r="G1073" s="2">
        <v>40.711032161134739</v>
      </c>
      <c r="H1073" s="2">
        <v>44.631683665023949</v>
      </c>
    </row>
    <row r="1074" spans="1:8" x14ac:dyDescent="0.2">
      <c r="A1074" s="16">
        <f>DATE(2020,11,27)</f>
        <v>44162</v>
      </c>
      <c r="B1074" s="2">
        <v>107.4653194515414</v>
      </c>
      <c r="C1074" s="2">
        <v>86.890224115200837</v>
      </c>
      <c r="D1074" s="2">
        <v>39.187084149964633</v>
      </c>
      <c r="E1074" s="2">
        <v>36.177416049526997</v>
      </c>
      <c r="F1074" s="2">
        <v>40.632520463116073</v>
      </c>
      <c r="G1074" s="2">
        <v>40.803870303112213</v>
      </c>
      <c r="H1074" s="2">
        <v>44.730822337319886</v>
      </c>
    </row>
    <row r="1075" spans="1:8" x14ac:dyDescent="0.2">
      <c r="A1075" s="16">
        <f>DATE(2020,11,30)</f>
        <v>44165</v>
      </c>
      <c r="B1075" s="2">
        <v>104.11072411141227</v>
      </c>
      <c r="C1075" s="2">
        <v>84.047121657708374</v>
      </c>
      <c r="D1075" s="2">
        <v>39.202976734314475</v>
      </c>
      <c r="E1075" s="2">
        <v>36.2630162433111</v>
      </c>
      <c r="F1075" s="2">
        <v>40.725146955471963</v>
      </c>
      <c r="G1075" s="2">
        <v>40.896769697718383</v>
      </c>
      <c r="H1075" s="2">
        <v>44.830028964825196</v>
      </c>
    </row>
    <row r="1076" spans="1:8" x14ac:dyDescent="0.2">
      <c r="A1076" s="16">
        <f>DATE(2020,12,1)</f>
        <v>44166</v>
      </c>
      <c r="B1076" s="2">
        <v>104.6618631926369</v>
      </c>
      <c r="C1076" s="2">
        <v>88.283659534191486</v>
      </c>
      <c r="D1076" s="2">
        <v>39.218871133302777</v>
      </c>
      <c r="E1076" s="2">
        <v>36.374044437389294</v>
      </c>
      <c r="F1076" s="2">
        <v>40.844040349920441</v>
      </c>
      <c r="G1076" s="2">
        <v>41.015968269216366</v>
      </c>
      <c r="H1076" s="2">
        <v>44.956274624022583</v>
      </c>
    </row>
    <row r="1077" spans="1:8" x14ac:dyDescent="0.2">
      <c r="A1077" s="16">
        <f>DATE(2020,12,2)</f>
        <v>44167</v>
      </c>
      <c r="B1077" s="2">
        <v>106.49249436000092</v>
      </c>
      <c r="C1077" s="2">
        <v>89.092603860324715</v>
      </c>
      <c r="D1077" s="2">
        <v>39.234767347136753</v>
      </c>
      <c r="E1077" s="2">
        <v>36.485163098126904</v>
      </c>
      <c r="F1077" s="2">
        <v>40.963034192935147</v>
      </c>
      <c r="G1077" s="2">
        <v>41.1352676826249</v>
      </c>
      <c r="H1077" s="2">
        <v>45.082630329227548</v>
      </c>
    </row>
    <row r="1078" spans="1:8" x14ac:dyDescent="0.2">
      <c r="A1078" s="16">
        <f>DATE(2020,12,3)</f>
        <v>44168</v>
      </c>
      <c r="B1078" s="2">
        <v>107.99812913759619</v>
      </c>
      <c r="C1078" s="2">
        <v>89.790741304126897</v>
      </c>
      <c r="D1078" s="2">
        <v>39.250665376023619</v>
      </c>
      <c r="E1078" s="2">
        <v>36.59637229923689</v>
      </c>
      <c r="F1078" s="2">
        <v>41.08212856938129</v>
      </c>
      <c r="G1078" s="2">
        <v>41.254668023256173</v>
      </c>
      <c r="H1078" s="2">
        <v>45.209096176365172</v>
      </c>
    </row>
    <row r="1079" spans="1:8" x14ac:dyDescent="0.2">
      <c r="A1079" s="16">
        <f>DATE(2020,12,4)</f>
        <v>44169</v>
      </c>
      <c r="B1079" s="2">
        <v>108.47169118349198</v>
      </c>
      <c r="C1079" s="2">
        <v>92.256059223202044</v>
      </c>
      <c r="D1079" s="2">
        <v>39.266565220170598</v>
      </c>
      <c r="E1079" s="2">
        <v>36.70767211449224</v>
      </c>
      <c r="F1079" s="2">
        <v>41.20132356419581</v>
      </c>
      <c r="G1079" s="2">
        <v>41.374169376494542</v>
      </c>
      <c r="H1079" s="2">
        <v>45.335672261444124</v>
      </c>
    </row>
    <row r="1080" spans="1:8" x14ac:dyDescent="0.2">
      <c r="A1080" s="16">
        <f>DATE(2020,12,7)</f>
        <v>44172</v>
      </c>
      <c r="B1080" s="2">
        <v>106.04319059534375</v>
      </c>
      <c r="C1080" s="2">
        <v>91.984873068991831</v>
      </c>
      <c r="D1080" s="2">
        <v>39.282466879785005</v>
      </c>
      <c r="E1080" s="2">
        <v>36.819062617726118</v>
      </c>
      <c r="F1080" s="2">
        <v>41.320619262387389</v>
      </c>
      <c r="G1080" s="2">
        <v>41.493771827796628</v>
      </c>
      <c r="H1080" s="2">
        <v>45.462358680556811</v>
      </c>
    </row>
    <row r="1081" spans="1:8" x14ac:dyDescent="0.2">
      <c r="A1081" s="16">
        <f>DATE(2020,12,8)</f>
        <v>44173</v>
      </c>
      <c r="B1081" s="2">
        <v>106.88715344355586</v>
      </c>
      <c r="C1081" s="2">
        <v>92.328465672852161</v>
      </c>
      <c r="D1081" s="2">
        <v>39.298370355074084</v>
      </c>
      <c r="E1081" s="2">
        <v>36.930543882831792</v>
      </c>
      <c r="F1081" s="2">
        <v>41.440015749036533</v>
      </c>
      <c r="G1081" s="2">
        <v>41.613475462691319</v>
      </c>
      <c r="H1081" s="2">
        <v>45.589155529879363</v>
      </c>
    </row>
    <row r="1082" spans="1:8" x14ac:dyDescent="0.2">
      <c r="A1082" s="16">
        <f>DATE(2020,12,9)</f>
        <v>44174</v>
      </c>
      <c r="B1082" s="2">
        <v>103.13541204796341</v>
      </c>
      <c r="C1082" s="2">
        <v>90.990028056653685</v>
      </c>
      <c r="D1082" s="2">
        <v>39.314275646245193</v>
      </c>
      <c r="E1082" s="2">
        <v>37.04211598376277</v>
      </c>
      <c r="F1082" s="2">
        <v>41.559513109295601</v>
      </c>
      <c r="G1082" s="2">
        <v>41.733280366779837</v>
      </c>
      <c r="H1082" s="2">
        <v>45.716062905671741</v>
      </c>
    </row>
    <row r="1083" spans="1:8" x14ac:dyDescent="0.2">
      <c r="A1083" s="16">
        <f>DATE(2020,12,10)</f>
        <v>44175</v>
      </c>
      <c r="B1083" s="2">
        <v>103.76932882124237</v>
      </c>
      <c r="C1083" s="2">
        <v>94.585792515971548</v>
      </c>
      <c r="D1083" s="2">
        <v>39.330182753505639</v>
      </c>
      <c r="E1083" s="2">
        <v>37.153778994532807</v>
      </c>
      <c r="F1083" s="2">
        <v>41.679111428388943</v>
      </c>
      <c r="G1083" s="2">
        <v>41.853186625735873</v>
      </c>
      <c r="H1083" s="2">
        <v>45.843080904277819</v>
      </c>
    </row>
    <row r="1084" spans="1:8" x14ac:dyDescent="0.2">
      <c r="A1084" s="16">
        <f>DATE(2020,12,11)</f>
        <v>44176</v>
      </c>
      <c r="B1084" s="2">
        <v>105.38781853678914</v>
      </c>
      <c r="C1084" s="2">
        <v>94.584727715241385</v>
      </c>
      <c r="D1084" s="2">
        <v>39.346091677062802</v>
      </c>
      <c r="E1084" s="2">
        <v>37.265532989215956</v>
      </c>
      <c r="F1084" s="2">
        <v>41.798810791612873</v>
      </c>
      <c r="G1084" s="2">
        <v>41.973194325305577</v>
      </c>
      <c r="H1084" s="2">
        <v>45.970209622125481</v>
      </c>
    </row>
    <row r="1085" spans="1:8" x14ac:dyDescent="0.2">
      <c r="A1085" s="16">
        <f>DATE(2020,12,14)</f>
        <v>44179</v>
      </c>
      <c r="B1085" s="2">
        <v>107.73097201991702</v>
      </c>
      <c r="C1085" s="2">
        <v>93.711117871750176</v>
      </c>
      <c r="D1085" s="2">
        <v>39.362002417124089</v>
      </c>
      <c r="E1085" s="2">
        <v>37.377378041946628</v>
      </c>
      <c r="F1085" s="2">
        <v>41.918611284335803</v>
      </c>
      <c r="G1085" s="2">
        <v>42.093303551307628</v>
      </c>
      <c r="H1085" s="2">
        <v>46.097449155726622</v>
      </c>
    </row>
    <row r="1086" spans="1:8" x14ac:dyDescent="0.2">
      <c r="A1086" s="16">
        <f>DATE(2020,12,15)</f>
        <v>44180</v>
      </c>
      <c r="B1086" s="2">
        <v>110.29824838858627</v>
      </c>
      <c r="C1086" s="2">
        <v>96.309755602879548</v>
      </c>
      <c r="D1086" s="2">
        <v>39.377914973896893</v>
      </c>
      <c r="E1086" s="2">
        <v>37.489314226919682</v>
      </c>
      <c r="F1086" s="2">
        <v>42.038512991998232</v>
      </c>
      <c r="G1086" s="2">
        <v>42.213514389633318</v>
      </c>
      <c r="H1086" s="2">
        <v>46.22479960167729</v>
      </c>
    </row>
    <row r="1087" spans="1:8" x14ac:dyDescent="0.2">
      <c r="A1087" s="16">
        <f>DATE(2020,12,16)</f>
        <v>44181</v>
      </c>
      <c r="B1087" s="2">
        <v>113.15424708162074</v>
      </c>
      <c r="C1087" s="2">
        <v>99.197765608626099</v>
      </c>
      <c r="D1087" s="2">
        <v>39.393829347588643</v>
      </c>
      <c r="E1087" s="2">
        <v>37.601341618390371</v>
      </c>
      <c r="F1087" s="2">
        <v>42.15851600011289</v>
      </c>
      <c r="G1087" s="2">
        <v>42.333826926246608</v>
      </c>
      <c r="H1087" s="2">
        <v>46.352261056657753</v>
      </c>
    </row>
    <row r="1088" spans="1:8" x14ac:dyDescent="0.2">
      <c r="A1088" s="16">
        <f>DATE(2020,12,17)</f>
        <v>44182</v>
      </c>
      <c r="B1088" s="2">
        <v>114.27736909150074</v>
      </c>
      <c r="C1088" s="2">
        <v>100.11589426359686</v>
      </c>
      <c r="D1088" s="2">
        <v>39.409745538406796</v>
      </c>
      <c r="E1088" s="2">
        <v>37.713460290674483</v>
      </c>
      <c r="F1088" s="2">
        <v>42.278620394264692</v>
      </c>
      <c r="G1088" s="2">
        <v>42.4542412471842</v>
      </c>
      <c r="H1088" s="2">
        <v>46.479833617432512</v>
      </c>
    </row>
    <row r="1089" spans="1:8" x14ac:dyDescent="0.2">
      <c r="A1089" s="16">
        <f>DATE(2020,12,18)</f>
        <v>44183</v>
      </c>
      <c r="B1089" s="2">
        <v>113.71065552045225</v>
      </c>
      <c r="C1089" s="2">
        <v>99.478873001385423</v>
      </c>
      <c r="D1089" s="2">
        <v>39.42566354655883</v>
      </c>
      <c r="E1089" s="2">
        <v>37.825670318148362</v>
      </c>
      <c r="F1089" s="2">
        <v>42.398826260110908</v>
      </c>
      <c r="G1089" s="2">
        <v>42.574757438555544</v>
      </c>
      <c r="H1089" s="2">
        <v>46.607517380850432</v>
      </c>
    </row>
    <row r="1090" spans="1:8" x14ac:dyDescent="0.2">
      <c r="A1090" s="16">
        <f>DATE(2020,12,21)</f>
        <v>44186</v>
      </c>
      <c r="B1090" s="2">
        <v>110.6051352260058</v>
      </c>
      <c r="C1090" s="2">
        <v>95.758662069431296</v>
      </c>
      <c r="D1090" s="2">
        <v>39.441583372252275</v>
      </c>
      <c r="E1090" s="2">
        <v>37.937971775248933</v>
      </c>
      <c r="F1090" s="2">
        <v>42.519133683381185</v>
      </c>
      <c r="G1090" s="2">
        <v>42.695375586542951</v>
      </c>
      <c r="H1090" s="2">
        <v>46.735312443844791</v>
      </c>
    </row>
    <row r="1091" spans="1:8" x14ac:dyDescent="0.2">
      <c r="A1091" s="16">
        <f>DATE(2020,12,22)</f>
        <v>44187</v>
      </c>
      <c r="B1091" s="2">
        <v>112.41971099737587</v>
      </c>
      <c r="C1091" s="2">
        <v>97.133793056822682</v>
      </c>
      <c r="D1091" s="2">
        <v>39.457505015694629</v>
      </c>
      <c r="E1091" s="2">
        <v>38.05036473647376</v>
      </c>
      <c r="F1091" s="2">
        <v>42.639542749877513</v>
      </c>
      <c r="G1091" s="2">
        <v>42.816095777401621</v>
      </c>
      <c r="H1091" s="2">
        <v>46.863218903433371</v>
      </c>
    </row>
    <row r="1092" spans="1:8" x14ac:dyDescent="0.2">
      <c r="A1092" s="16">
        <f>DATE(2020,12,23)</f>
        <v>44188</v>
      </c>
      <c r="B1092" s="2">
        <v>112.79297662644852</v>
      </c>
      <c r="C1092" s="2">
        <v>99.112412534225271</v>
      </c>
      <c r="D1092" s="2">
        <v>39.473428477093428</v>
      </c>
      <c r="E1092" s="2">
        <v>38.162849276381159</v>
      </c>
      <c r="F1092" s="2">
        <v>42.760053545474499</v>
      </c>
      <c r="G1092" s="2">
        <v>42.936918097459788</v>
      </c>
      <c r="H1092" s="2">
        <v>46.99123685671853</v>
      </c>
    </row>
    <row r="1093" spans="1:8" x14ac:dyDescent="0.2">
      <c r="A1093" s="16">
        <f>DATE(2020,12,24)</f>
        <v>44189</v>
      </c>
      <c r="B1093" s="2">
        <v>112.78315240040175</v>
      </c>
      <c r="C1093" s="2">
        <v>99.112412534225271</v>
      </c>
      <c r="D1093" s="2">
        <v>39.489353756656321</v>
      </c>
      <c r="E1093" s="2">
        <v>38.275425469590218</v>
      </c>
      <c r="F1093" s="2">
        <v>42.880666156119247</v>
      </c>
      <c r="G1093" s="2">
        <v>43.057842633118739</v>
      </c>
      <c r="H1093" s="2">
        <v>47.119366400887323</v>
      </c>
    </row>
    <row r="1094" spans="1:8" x14ac:dyDescent="0.2">
      <c r="A1094" s="16">
        <f>DATE(2020,12,28)</f>
        <v>44193</v>
      </c>
      <c r="B1094" s="2">
        <v>115.23775245341135</v>
      </c>
      <c r="C1094" s="2">
        <v>101.33809958422017</v>
      </c>
      <c r="D1094" s="2">
        <v>39.505280854590907</v>
      </c>
      <c r="E1094" s="2">
        <v>38.388093390780732</v>
      </c>
      <c r="F1094" s="2">
        <v>43.001380667831477</v>
      </c>
      <c r="G1094" s="2">
        <v>43.178869470852746</v>
      </c>
      <c r="H1094" s="2">
        <v>47.247607633211388</v>
      </c>
    </row>
    <row r="1095" spans="1:8" x14ac:dyDescent="0.2">
      <c r="A1095" s="16">
        <f>DATE(2020,12,29)</f>
        <v>44194</v>
      </c>
      <c r="B1095" s="2">
        <v>116.09998973608815</v>
      </c>
      <c r="C1095" s="2">
        <v>101.82055572457105</v>
      </c>
      <c r="D1095" s="2">
        <v>39.521209771104736</v>
      </c>
      <c r="E1095" s="2">
        <v>38.500853114693399</v>
      </c>
      <c r="F1095" s="2">
        <v>43.122197166703536</v>
      </c>
      <c r="G1095" s="2">
        <v>43.299998697209283</v>
      </c>
      <c r="H1095" s="2">
        <v>47.375960651047258</v>
      </c>
    </row>
    <row r="1096" spans="1:8" x14ac:dyDescent="0.2">
      <c r="A1096" s="16">
        <f>DATE(2020,12,30)</f>
        <v>44195</v>
      </c>
      <c r="B1096" s="2">
        <v>116.48417193522258</v>
      </c>
      <c r="C1096" s="2">
        <v>101.1581651624239</v>
      </c>
      <c r="D1096" s="2">
        <v>39.537140506405493</v>
      </c>
      <c r="E1096" s="2">
        <v>38.613704716129817</v>
      </c>
      <c r="F1096" s="2">
        <v>43.243115738900563</v>
      </c>
      <c r="G1096" s="2">
        <v>43.421230398809094</v>
      </c>
      <c r="H1096" s="2">
        <v>47.504425551836292</v>
      </c>
    </row>
    <row r="1097" spans="1:8" x14ac:dyDescent="0.2">
      <c r="A1097" s="16">
        <f>DATE(2020,12,31)</f>
        <v>44196</v>
      </c>
      <c r="B1097" s="2">
        <v>116.47436831944025</v>
      </c>
      <c r="C1097" s="2">
        <v>101.1581651624239</v>
      </c>
      <c r="D1097" s="2">
        <v>39.553073060700861</v>
      </c>
      <c r="E1097" s="2">
        <v>38.726648269952534</v>
      </c>
      <c r="F1097" s="2">
        <v>43.364136470660483</v>
      </c>
      <c r="G1097" s="2">
        <v>43.542564662346138</v>
      </c>
      <c r="H1097" s="2">
        <v>47.633002433104778</v>
      </c>
    </row>
    <row r="1098" spans="1:8" x14ac:dyDescent="0.2">
      <c r="A1098" s="16">
        <f>DATE(2021,1,4)</f>
        <v>44200</v>
      </c>
      <c r="B1098" s="2">
        <v>113.23938808399684</v>
      </c>
      <c r="C1098" s="2">
        <v>100.88346347564436</v>
      </c>
      <c r="D1098" s="2">
        <v>39.569007434198554</v>
      </c>
      <c r="E1098" s="2">
        <v>38.766948085815642</v>
      </c>
      <c r="F1098" s="2">
        <v>43.410089944436315</v>
      </c>
      <c r="G1098" s="2">
        <v>43.588738430749082</v>
      </c>
      <c r="H1098" s="2">
        <v>47.684281538142677</v>
      </c>
    </row>
    <row r="1099" spans="1:8" x14ac:dyDescent="0.2">
      <c r="A1099" s="16">
        <f>DATE(2021,1,5)</f>
        <v>44201</v>
      </c>
      <c r="B1099" s="2">
        <v>110.97254066989115</v>
      </c>
      <c r="C1099" s="2">
        <v>101.7648818578233</v>
      </c>
      <c r="D1099" s="2">
        <v>39.584943627106227</v>
      </c>
      <c r="E1099" s="2">
        <v>38.807259608695269</v>
      </c>
      <c r="F1099" s="2">
        <v>43.456058147989118</v>
      </c>
      <c r="G1099" s="2">
        <v>43.634927052007001</v>
      </c>
      <c r="H1099" s="2">
        <v>47.735578454554584</v>
      </c>
    </row>
    <row r="1100" spans="1:8" x14ac:dyDescent="0.2">
      <c r="A1100" s="16">
        <f>DATE(2021,1,6)</f>
        <v>44202</v>
      </c>
      <c r="B1100" s="2">
        <v>103.72468698847888</v>
      </c>
      <c r="C1100" s="2">
        <v>101.29817800763905</v>
      </c>
      <c r="D1100" s="2">
        <v>39.600881639631673</v>
      </c>
      <c r="E1100" s="2">
        <v>38.847582841992235</v>
      </c>
      <c r="F1100" s="2">
        <v>43.5020410860403</v>
      </c>
      <c r="G1100" s="2">
        <v>43.681130530897597</v>
      </c>
      <c r="H1100" s="2">
        <v>47.786893188527067</v>
      </c>
    </row>
    <row r="1101" spans="1:8" x14ac:dyDescent="0.2">
      <c r="A1101" s="16">
        <f>DATE(2021,1,7)</f>
        <v>44203</v>
      </c>
      <c r="B1101" s="2">
        <v>107.00117629649198</v>
      </c>
      <c r="C1101" s="2">
        <v>106.85177297772324</v>
      </c>
      <c r="D1101" s="2">
        <v>39.616821471982618</v>
      </c>
      <c r="E1101" s="2">
        <v>38.88791778910845</v>
      </c>
      <c r="F1101" s="2">
        <v>43.548038763312832</v>
      </c>
      <c r="G1101" s="2">
        <v>43.727348872200217</v>
      </c>
      <c r="H1101" s="2">
        <v>47.838225746248938</v>
      </c>
    </row>
    <row r="1102" spans="1:8" x14ac:dyDescent="0.2">
      <c r="A1102" s="16">
        <f>DATE(2021,1,8)</f>
        <v>44204</v>
      </c>
      <c r="B1102" s="2">
        <v>115.49867153105529</v>
      </c>
      <c r="C1102" s="2">
        <v>111.39950309299218</v>
      </c>
      <c r="D1102" s="2">
        <v>39.632763124366903</v>
      </c>
      <c r="E1102" s="2">
        <v>38.928264453446637</v>
      </c>
      <c r="F1102" s="2">
        <v>43.594051184531097</v>
      </c>
      <c r="G1102" s="2">
        <v>43.773582080695597</v>
      </c>
      <c r="H1102" s="2">
        <v>47.889576133911049</v>
      </c>
    </row>
    <row r="1103" spans="1:8" x14ac:dyDescent="0.2">
      <c r="A1103" s="16">
        <f>DATE(2021,1,11)</f>
        <v>44207</v>
      </c>
      <c r="B1103" s="2">
        <v>112.92391363639656</v>
      </c>
      <c r="C1103" s="2">
        <v>108.32087685495009</v>
      </c>
      <c r="D1103" s="2">
        <v>39.648706596992291</v>
      </c>
      <c r="E1103" s="2">
        <v>38.968622838410738</v>
      </c>
      <c r="F1103" s="2">
        <v>43.640078354421163</v>
      </c>
      <c r="G1103" s="2">
        <v>43.819830161166195</v>
      </c>
      <c r="H1103" s="2">
        <v>47.94094435770657</v>
      </c>
    </row>
    <row r="1104" spans="1:8" x14ac:dyDescent="0.2">
      <c r="A1104" s="16">
        <f>DATE(2021,1,12)</f>
        <v>44208</v>
      </c>
      <c r="B1104" s="2">
        <v>118.45559868902211</v>
      </c>
      <c r="C1104" s="2">
        <v>109.57644593178473</v>
      </c>
      <c r="D1104" s="2">
        <v>39.664651890066651</v>
      </c>
      <c r="E1104" s="2">
        <v>39.008992947405538</v>
      </c>
      <c r="F1104" s="2">
        <v>43.686120277710486</v>
      </c>
      <c r="G1104" s="2">
        <v>43.866093118395909</v>
      </c>
      <c r="H1104" s="2">
        <v>47.992330423830708</v>
      </c>
    </row>
    <row r="1105" spans="1:8" x14ac:dyDescent="0.2">
      <c r="A1105" s="16">
        <f>DATE(2021,1,13)</f>
        <v>44209</v>
      </c>
      <c r="B1105" s="2">
        <v>117.86857026733006</v>
      </c>
      <c r="C1105" s="2">
        <v>106.0864009735317</v>
      </c>
      <c r="D1105" s="2">
        <v>39.68059900379783</v>
      </c>
      <c r="E1105" s="2">
        <v>39.049374783836811</v>
      </c>
      <c r="F1105" s="2">
        <v>43.732176959128033</v>
      </c>
      <c r="G1105" s="2">
        <v>43.912370957170154</v>
      </c>
      <c r="H1105" s="2">
        <v>48.043734338480817</v>
      </c>
    </row>
    <row r="1106" spans="1:8" x14ac:dyDescent="0.2">
      <c r="A1106" s="16">
        <f>DATE(2021,1,14)</f>
        <v>44210</v>
      </c>
      <c r="B1106" s="2">
        <v>120.28547414669021</v>
      </c>
      <c r="C1106" s="2">
        <v>108.70182199236007</v>
      </c>
      <c r="D1106" s="2">
        <v>39.696547938393742</v>
      </c>
      <c r="E1106" s="2">
        <v>39.089768351111438</v>
      </c>
      <c r="F1106" s="2">
        <v>43.778248403404433</v>
      </c>
      <c r="G1106" s="2">
        <v>43.958663682276033</v>
      </c>
      <c r="H1106" s="2">
        <v>48.095156107856504</v>
      </c>
    </row>
    <row r="1107" spans="1:8" x14ac:dyDescent="0.2">
      <c r="A1107" s="16">
        <f>DATE(2021,1,15)</f>
        <v>44211</v>
      </c>
      <c r="B1107" s="2">
        <v>118.08534902864491</v>
      </c>
      <c r="C1107" s="2">
        <v>103.40871446438796</v>
      </c>
      <c r="D1107" s="2">
        <v>39.712498694062283</v>
      </c>
      <c r="E1107" s="2">
        <v>39.130173652637154</v>
      </c>
      <c r="F1107" s="2">
        <v>43.824334615271646</v>
      </c>
      <c r="G1107" s="2">
        <v>44.004971298501978</v>
      </c>
      <c r="H1107" s="2">
        <v>48.146595738159448</v>
      </c>
    </row>
    <row r="1108" spans="1:8" x14ac:dyDescent="0.2">
      <c r="A1108" s="16">
        <f>DATE(2021,1,18)</f>
        <v>44214</v>
      </c>
      <c r="B1108" s="2">
        <v>120.24936496340217</v>
      </c>
      <c r="C1108" s="2">
        <v>104.91773991819588</v>
      </c>
      <c r="D1108" s="2">
        <v>39.728451271011366</v>
      </c>
      <c r="E1108" s="2">
        <v>39.170590691822717</v>
      </c>
      <c r="F1108" s="2">
        <v>43.870435599463221</v>
      </c>
      <c r="G1108" s="2">
        <v>44.051293810638057</v>
      </c>
      <c r="H1108" s="2">
        <v>48.198053235593427</v>
      </c>
    </row>
    <row r="1109" spans="1:8" x14ac:dyDescent="0.2">
      <c r="A1109" s="16">
        <f>DATE(2021,1,19)</f>
        <v>44215</v>
      </c>
      <c r="B1109" s="2">
        <v>120.4820136283311</v>
      </c>
      <c r="C1109" s="2">
        <v>103.89478754690153</v>
      </c>
      <c r="D1109" s="2">
        <v>39.744405669448973</v>
      </c>
      <c r="E1109" s="2">
        <v>39.211019472077901</v>
      </c>
      <c r="F1109" s="2">
        <v>43.916551360714237</v>
      </c>
      <c r="G1109" s="2">
        <v>44.097631223475922</v>
      </c>
      <c r="H1109" s="2">
        <v>48.249528606364493</v>
      </c>
    </row>
    <row r="1110" spans="1:8" x14ac:dyDescent="0.2">
      <c r="A1110" s="16">
        <f>DATE(2021,1,20)</f>
        <v>44216</v>
      </c>
      <c r="B1110" s="2">
        <v>120.41319595538664</v>
      </c>
      <c r="C1110" s="2">
        <v>102.22154615826615</v>
      </c>
      <c r="D1110" s="2">
        <v>39.760361889583052</v>
      </c>
      <c r="E1110" s="2">
        <v>39.251459996813473</v>
      </c>
      <c r="F1110" s="2">
        <v>43.962681903761315</v>
      </c>
      <c r="G1110" s="2">
        <v>44.143983541808687</v>
      </c>
      <c r="H1110" s="2">
        <v>48.301021856680769</v>
      </c>
    </row>
    <row r="1111" spans="1:8" x14ac:dyDescent="0.2">
      <c r="A1111" s="16">
        <f>DATE(2021,1,21)</f>
        <v>44217</v>
      </c>
      <c r="B1111" s="2">
        <v>117.73911032633322</v>
      </c>
      <c r="C1111" s="2">
        <v>99.994912618733338</v>
      </c>
      <c r="D1111" s="2">
        <v>39.776319931621629</v>
      </c>
      <c r="E1111" s="2">
        <v>39.291912269441177</v>
      </c>
      <c r="F1111" s="2">
        <v>44.008827233342537</v>
      </c>
      <c r="G1111" s="2">
        <v>44.190350770431074</v>
      </c>
      <c r="H1111" s="2">
        <v>48.352532992752593</v>
      </c>
    </row>
    <row r="1112" spans="1:8" x14ac:dyDescent="0.2">
      <c r="A1112" s="16">
        <f>DATE(2021,1,22)</f>
        <v>44218</v>
      </c>
      <c r="B1112" s="2">
        <v>116.83429223733611</v>
      </c>
      <c r="C1112" s="2">
        <v>98.391795963897806</v>
      </c>
      <c r="D1112" s="2">
        <v>39.792279795772735</v>
      </c>
      <c r="E1112" s="2">
        <v>39.332376293373763</v>
      </c>
      <c r="F1112" s="2">
        <v>44.05498735419755</v>
      </c>
      <c r="G1112" s="2">
        <v>44.236732914139317</v>
      </c>
      <c r="H1112" s="2">
        <v>48.404062020792438</v>
      </c>
    </row>
    <row r="1113" spans="1:8" x14ac:dyDescent="0.2">
      <c r="A1113" s="16">
        <f>DATE(2021,1,25)</f>
        <v>44221</v>
      </c>
      <c r="B1113" s="2">
        <v>116.82503822860535</v>
      </c>
      <c r="C1113" s="2">
        <v>98.391795963897806</v>
      </c>
      <c r="D1113" s="2">
        <v>39.808241482244419</v>
      </c>
      <c r="E1113" s="2">
        <v>39.372852072024941</v>
      </c>
      <c r="F1113" s="2">
        <v>44.101162271067487</v>
      </c>
      <c r="G1113" s="2">
        <v>44.283129977731207</v>
      </c>
      <c r="H1113" s="2">
        <v>48.455608947014902</v>
      </c>
    </row>
    <row r="1114" spans="1:8" x14ac:dyDescent="0.2">
      <c r="A1114" s="16">
        <f>DATE(2021,1,26)</f>
        <v>44222</v>
      </c>
      <c r="B1114" s="2">
        <v>116.90112445480683</v>
      </c>
      <c r="C1114" s="2">
        <v>96.842882736706486</v>
      </c>
      <c r="D1114" s="2">
        <v>39.824204991244748</v>
      </c>
      <c r="E1114" s="2">
        <v>39.41333960880948</v>
      </c>
      <c r="F1114" s="2">
        <v>44.147351988695043</v>
      </c>
      <c r="G1114" s="2">
        <v>44.32954196600609</v>
      </c>
      <c r="H1114" s="2">
        <v>48.507173777636851</v>
      </c>
    </row>
    <row r="1115" spans="1:8" x14ac:dyDescent="0.2">
      <c r="A1115" s="16">
        <f>DATE(2021,1,27)</f>
        <v>44223</v>
      </c>
      <c r="B1115" s="2">
        <v>115.36767956040217</v>
      </c>
      <c r="C1115" s="2">
        <v>95.859615319608849</v>
      </c>
      <c r="D1115" s="2">
        <v>39.840170322981841</v>
      </c>
      <c r="E1115" s="2">
        <v>39.453838907143002</v>
      </c>
      <c r="F1115" s="2">
        <v>44.193556511824305</v>
      </c>
      <c r="G1115" s="2">
        <v>44.375968883764742</v>
      </c>
      <c r="H1115" s="2">
        <v>48.55875651887709</v>
      </c>
    </row>
    <row r="1116" spans="1:8" x14ac:dyDescent="0.2">
      <c r="A1116" s="16">
        <f>DATE(2021,1,28)</f>
        <v>44224</v>
      </c>
      <c r="B1116" s="2">
        <v>119.82578280875846</v>
      </c>
      <c r="C1116" s="2">
        <v>100.93170063888005</v>
      </c>
      <c r="D1116" s="2">
        <v>39.856137477663793</v>
      </c>
      <c r="E1116" s="2">
        <v>39.4943499704423</v>
      </c>
      <c r="F1116" s="2">
        <v>44.239775845201088</v>
      </c>
      <c r="G1116" s="2">
        <v>44.422410735809663</v>
      </c>
      <c r="H1116" s="2">
        <v>48.610357176956853</v>
      </c>
    </row>
    <row r="1117" spans="1:8" x14ac:dyDescent="0.2">
      <c r="A1117" s="16">
        <f>DATE(2021,1,29)</f>
        <v>44225</v>
      </c>
      <c r="B1117" s="2">
        <v>115.36204608812361</v>
      </c>
      <c r="C1117" s="2">
        <v>94.482557549943863</v>
      </c>
      <c r="D1117" s="2">
        <v>39.872106455498773</v>
      </c>
      <c r="E1117" s="2">
        <v>39.534872802125065</v>
      </c>
      <c r="F1117" s="2">
        <v>44.286009993572598</v>
      </c>
      <c r="G1117" s="2">
        <v>44.468867526944763</v>
      </c>
      <c r="H1117" s="2">
        <v>48.661975758099338</v>
      </c>
    </row>
    <row r="1118" spans="1:8" x14ac:dyDescent="0.2">
      <c r="A1118" s="16">
        <f>DATE(2021,2,1)</f>
        <v>44228</v>
      </c>
      <c r="B1118" s="2">
        <v>118.48460420116869</v>
      </c>
      <c r="C1118" s="2">
        <v>98.623483081499131</v>
      </c>
      <c r="D1118" s="2">
        <v>39.88807725669492</v>
      </c>
      <c r="E1118" s="2">
        <v>39.619922287453278</v>
      </c>
      <c r="F1118" s="2">
        <v>44.378290949508937</v>
      </c>
      <c r="G1118" s="2">
        <v>44.561429639724558</v>
      </c>
      <c r="H1118" s="2">
        <v>48.761041604411417</v>
      </c>
    </row>
    <row r="1119" spans="1:8" x14ac:dyDescent="0.2">
      <c r="A1119" s="16">
        <f>DATE(2021,2,2)</f>
        <v>44229</v>
      </c>
      <c r="B1119" s="2">
        <v>120.3103713461263</v>
      </c>
      <c r="C1119" s="2">
        <v>99.834043200486363</v>
      </c>
      <c r="D1119" s="2">
        <v>39.904049881460459</v>
      </c>
      <c r="E1119" s="2">
        <v>39.705023612259382</v>
      </c>
      <c r="F1119" s="2">
        <v>44.470630925545883</v>
      </c>
      <c r="G1119" s="2">
        <v>44.654051057632628</v>
      </c>
      <c r="H1119" s="2">
        <v>48.860173466541283</v>
      </c>
    </row>
    <row r="1120" spans="1:8" x14ac:dyDescent="0.2">
      <c r="A1120" s="16">
        <f>DATE(2021,2,3)</f>
        <v>44230</v>
      </c>
      <c r="B1120" s="2">
        <v>123.68316554975053</v>
      </c>
      <c r="C1120" s="2">
        <v>102.35391948078245</v>
      </c>
      <c r="D1120" s="2">
        <v>39.920024330003613</v>
      </c>
      <c r="E1120" s="2">
        <v>39.790176808140657</v>
      </c>
      <c r="F1120" s="2">
        <v>44.563029959430935</v>
      </c>
      <c r="G1120" s="2">
        <v>44.746731818666149</v>
      </c>
      <c r="H1120" s="2">
        <v>48.95937138848079</v>
      </c>
    </row>
    <row r="1121" spans="1:8" x14ac:dyDescent="0.2">
      <c r="A1121" s="16">
        <f>DATE(2021,2,4)</f>
        <v>44231</v>
      </c>
      <c r="B1121" s="2">
        <v>124.46215110429097</v>
      </c>
      <c r="C1121" s="2">
        <v>101.56985430821712</v>
      </c>
      <c r="D1121" s="2">
        <v>39.936000602532594</v>
      </c>
      <c r="E1121" s="2">
        <v>39.875381906713628</v>
      </c>
      <c r="F1121" s="2">
        <v>44.65548808893567</v>
      </c>
      <c r="G1121" s="2">
        <v>44.839471960846652</v>
      </c>
      <c r="H1121" s="2">
        <v>49.058635414251086</v>
      </c>
    </row>
    <row r="1122" spans="1:8" x14ac:dyDescent="0.2">
      <c r="A1122" s="16">
        <f>DATE(2021,2,5)</f>
        <v>44232</v>
      </c>
      <c r="B1122" s="2">
        <v>126.36280908011295</v>
      </c>
      <c r="C1122" s="2">
        <v>103.22526451002219</v>
      </c>
      <c r="D1122" s="2">
        <v>39.951978699255683</v>
      </c>
      <c r="E1122" s="2">
        <v>39.960638939614078</v>
      </c>
      <c r="F1122" s="2">
        <v>44.74800535185588</v>
      </c>
      <c r="G1122" s="2">
        <v>44.932271522219992</v>
      </c>
      <c r="H1122" s="2">
        <v>49.157965587902638</v>
      </c>
    </row>
    <row r="1123" spans="1:8" x14ac:dyDescent="0.2">
      <c r="A1123" s="16">
        <f>DATE(2021,2,8)</f>
        <v>44235</v>
      </c>
      <c r="B1123" s="2">
        <v>126.39910375578091</v>
      </c>
      <c r="C1123" s="2">
        <v>102.30598654632685</v>
      </c>
      <c r="D1123" s="2">
        <v>39.967958620381182</v>
      </c>
      <c r="E1123" s="2">
        <v>40.045947938497122</v>
      </c>
      <c r="F1123" s="2">
        <v>44.840581786011491</v>
      </c>
      <c r="G1123" s="2">
        <v>45.025130540856438</v>
      </c>
      <c r="H1123" s="2">
        <v>49.257361953515307</v>
      </c>
    </row>
    <row r="1124" spans="1:8" x14ac:dyDescent="0.2">
      <c r="A1124" s="16">
        <f>DATE(2021,2,9)</f>
        <v>44236</v>
      </c>
      <c r="B1124" s="2">
        <v>125.6788986754057</v>
      </c>
      <c r="C1124" s="2">
        <v>101.9261400128448</v>
      </c>
      <c r="D1124" s="2">
        <v>39.983940366117388</v>
      </c>
      <c r="E1124" s="2">
        <v>40.131308935037111</v>
      </c>
      <c r="F1124" s="2">
        <v>44.933217429246632</v>
      </c>
      <c r="G1124" s="2">
        <v>45.118049054850623</v>
      </c>
      <c r="H1124" s="2">
        <v>49.356824555198301</v>
      </c>
    </row>
    <row r="1125" spans="1:8" x14ac:dyDescent="0.2">
      <c r="A1125" s="16">
        <f>DATE(2021,2,10)</f>
        <v>44237</v>
      </c>
      <c r="B1125" s="2">
        <v>121.35887732866784</v>
      </c>
      <c r="C1125" s="2">
        <v>100.17464422134292</v>
      </c>
      <c r="D1125" s="2">
        <v>39.999923936672602</v>
      </c>
      <c r="E1125" s="2">
        <v>40.216721960927735</v>
      </c>
      <c r="F1125" s="2">
        <v>45.025912319429651</v>
      </c>
      <c r="G1125" s="2">
        <v>45.211027102321587</v>
      </c>
      <c r="H1125" s="2">
        <v>49.456353437090208</v>
      </c>
    </row>
    <row r="1126" spans="1:8" x14ac:dyDescent="0.2">
      <c r="A1126" s="16">
        <f>DATE(2021,2,11)</f>
        <v>44238</v>
      </c>
      <c r="B1126" s="2">
        <v>123.188897058187</v>
      </c>
      <c r="C1126" s="2">
        <v>101.63578744549193</v>
      </c>
      <c r="D1126" s="2">
        <v>40.015909332255298</v>
      </c>
      <c r="E1126" s="2">
        <v>40.302187047882043</v>
      </c>
      <c r="F1126" s="2">
        <v>45.118666494453109</v>
      </c>
      <c r="G1126" s="2">
        <v>45.304064721412857</v>
      </c>
      <c r="H1126" s="2">
        <v>49.555948643359081</v>
      </c>
    </row>
    <row r="1127" spans="1:8" x14ac:dyDescent="0.2">
      <c r="A1127" s="16">
        <f>DATE(2021,2,12)</f>
        <v>44239</v>
      </c>
      <c r="B1127" s="2">
        <v>123.38326559197417</v>
      </c>
      <c r="C1127" s="2">
        <v>101.8536321536013</v>
      </c>
      <c r="D1127" s="2">
        <v>40.031896553073729</v>
      </c>
      <c r="E1127" s="2">
        <v>40.387704227632248</v>
      </c>
      <c r="F1127" s="2">
        <v>45.211479992233691</v>
      </c>
      <c r="G1127" s="2">
        <v>45.397161950292237</v>
      </c>
      <c r="H1127" s="2">
        <v>49.655610218202284</v>
      </c>
    </row>
    <row r="1128" spans="1:8" x14ac:dyDescent="0.2">
      <c r="A1128" s="16">
        <f>DATE(2021,2,17)</f>
        <v>44244</v>
      </c>
      <c r="B1128" s="2">
        <v>122.9087623440026</v>
      </c>
      <c r="C1128" s="2">
        <v>103.42052868201286</v>
      </c>
      <c r="D1128" s="2">
        <v>40.047885599336389</v>
      </c>
      <c r="E1128" s="2">
        <v>40.473273531930111</v>
      </c>
      <c r="F1128" s="2">
        <v>45.304352850712547</v>
      </c>
      <c r="G1128" s="2">
        <v>45.490318827152201</v>
      </c>
      <c r="H1128" s="2">
        <v>49.755338205846812</v>
      </c>
    </row>
    <row r="1129" spans="1:8" x14ac:dyDescent="0.2">
      <c r="A1129" s="16">
        <f>DATE(2021,2,18)</f>
        <v>44245</v>
      </c>
      <c r="B1129" s="2">
        <v>120.75964763043099</v>
      </c>
      <c r="C1129" s="2">
        <v>101.46531791907472</v>
      </c>
      <c r="D1129" s="2">
        <v>40.063876471251668</v>
      </c>
      <c r="E1129" s="2">
        <v>40.558894992546634</v>
      </c>
      <c r="F1129" s="2">
        <v>45.397285107854948</v>
      </c>
      <c r="G1129" s="2">
        <v>45.583535390209519</v>
      </c>
      <c r="H1129" s="2">
        <v>49.855132650549017</v>
      </c>
    </row>
    <row r="1130" spans="1:8" x14ac:dyDescent="0.2">
      <c r="A1130" s="16">
        <f>DATE(2021,2,19)</f>
        <v>44246</v>
      </c>
      <c r="B1130" s="2">
        <v>122.26160004078083</v>
      </c>
      <c r="C1130" s="2">
        <v>100.16653145387509</v>
      </c>
      <c r="D1130" s="2">
        <v>40.079869169028044</v>
      </c>
      <c r="E1130" s="2">
        <v>40.644568641272215</v>
      </c>
      <c r="F1130" s="2">
        <v>45.490276801650474</v>
      </c>
      <c r="G1130" s="2">
        <v>45.676811677705537</v>
      </c>
      <c r="H1130" s="2">
        <v>49.954993596594768</v>
      </c>
    </row>
    <row r="1131" spans="1:8" x14ac:dyDescent="0.2">
      <c r="A1131" s="16">
        <f>DATE(2021,2,22)</f>
        <v>44249</v>
      </c>
      <c r="B1131" s="2">
        <v>118.31266650517378</v>
      </c>
      <c r="C1131" s="2">
        <v>90.426427340025953</v>
      </c>
      <c r="D1131" s="2">
        <v>40.095863692873969</v>
      </c>
      <c r="E1131" s="2">
        <v>40.730294509916611</v>
      </c>
      <c r="F1131" s="2">
        <v>45.583327970112997</v>
      </c>
      <c r="G1131" s="2">
        <v>45.770147727906085</v>
      </c>
      <c r="H1131" s="2">
        <v>50.05492108829943</v>
      </c>
    </row>
    <row r="1132" spans="1:8" x14ac:dyDescent="0.2">
      <c r="A1132" s="16">
        <f>DATE(2021,2,23)</f>
        <v>44250</v>
      </c>
      <c r="B1132" s="2">
        <v>117.70873079655786</v>
      </c>
      <c r="C1132" s="2">
        <v>94.752831017813847</v>
      </c>
      <c r="D1132" s="2">
        <v>40.111860042997961</v>
      </c>
      <c r="E1132" s="2">
        <v>40.816072630308994</v>
      </c>
      <c r="F1132" s="2">
        <v>45.676438651280726</v>
      </c>
      <c r="G1132" s="2">
        <v>45.863543579101496</v>
      </c>
      <c r="H1132" s="2">
        <v>50.154915170007939</v>
      </c>
    </row>
    <row r="1133" spans="1:8" x14ac:dyDescent="0.2">
      <c r="A1133" s="16">
        <f>DATE(2021,2,24)</f>
        <v>44251</v>
      </c>
      <c r="B1133" s="2">
        <v>117.01695414092502</v>
      </c>
      <c r="C1133" s="2">
        <v>95.497042220193606</v>
      </c>
      <c r="D1133" s="2">
        <v>40.127858219608562</v>
      </c>
      <c r="E1133" s="2">
        <v>40.901903034297902</v>
      </c>
      <c r="F1133" s="2">
        <v>45.769608883216172</v>
      </c>
      <c r="G1133" s="2">
        <v>45.956999269606662</v>
      </c>
      <c r="H1133" s="2">
        <v>50.254975886094734</v>
      </c>
    </row>
    <row r="1134" spans="1:8" x14ac:dyDescent="0.2">
      <c r="A1134" s="16">
        <f>DATE(2021,2,25)</f>
        <v>44252</v>
      </c>
      <c r="B1134" s="2">
        <v>111.101560925247</v>
      </c>
      <c r="C1134" s="2">
        <v>89.731196971233061</v>
      </c>
      <c r="D1134" s="2">
        <v>40.143858222914311</v>
      </c>
      <c r="E1134" s="2">
        <v>40.987785753751325</v>
      </c>
      <c r="F1134" s="2">
        <v>45.862838704006201</v>
      </c>
      <c r="G1134" s="2">
        <v>46.050514837760971</v>
      </c>
      <c r="H1134" s="2">
        <v>50.35510328096386</v>
      </c>
    </row>
    <row r="1135" spans="1:8" x14ac:dyDescent="0.2">
      <c r="A1135" s="16">
        <f>DATE(2021,2,26)</f>
        <v>44253</v>
      </c>
      <c r="B1135" s="2">
        <v>107.92995038284938</v>
      </c>
      <c r="C1135" s="2">
        <v>85.977030727106381</v>
      </c>
      <c r="D1135" s="2">
        <v>40.159860053123772</v>
      </c>
      <c r="E1135" s="2">
        <v>41.073720820556623</v>
      </c>
      <c r="F1135" s="2">
        <v>45.956128151762044</v>
      </c>
      <c r="G1135" s="2">
        <v>46.144090321928431</v>
      </c>
      <c r="H1135" s="2">
        <v>50.455297399048952</v>
      </c>
    </row>
    <row r="1136" spans="1:8" x14ac:dyDescent="0.2">
      <c r="A1136" s="16">
        <f>DATE(2021,3,1)</f>
        <v>44256</v>
      </c>
      <c r="B1136" s="2">
        <v>110.29641407505184</v>
      </c>
      <c r="C1136" s="2">
        <v>86.483504039481744</v>
      </c>
      <c r="D1136" s="2">
        <v>40.175863710445569</v>
      </c>
      <c r="E1136" s="2">
        <v>41.148220655991793</v>
      </c>
      <c r="F1136" s="2">
        <v>46.037591723426473</v>
      </c>
      <c r="G1136" s="2">
        <v>46.225824899597434</v>
      </c>
      <c r="H1136" s="2">
        <v>50.543306037675343</v>
      </c>
    </row>
    <row r="1137" spans="1:8" x14ac:dyDescent="0.2">
      <c r="A1137" s="16">
        <f>DATE(2021,3,2)</f>
        <v>44257</v>
      </c>
      <c r="B1137" s="2">
        <v>110.584470000867</v>
      </c>
      <c r="C1137" s="2">
        <v>88.520096001081328</v>
      </c>
      <c r="D1137" s="2">
        <v>40.191869195088302</v>
      </c>
      <c r="E1137" s="2">
        <v>41.222759834158175</v>
      </c>
      <c r="F1137" s="2">
        <v>46.119100762955753</v>
      </c>
      <c r="G1137" s="2">
        <v>46.307605189283763</v>
      </c>
      <c r="H1137" s="2">
        <v>50.631366156845182</v>
      </c>
    </row>
    <row r="1138" spans="1:8" x14ac:dyDescent="0.2">
      <c r="A1138" s="16">
        <f>DATE(2021,3,3)</f>
        <v>44258</v>
      </c>
      <c r="B1138" s="2">
        <v>110.31696250869234</v>
      </c>
      <c r="C1138" s="2">
        <v>87.918652604536007</v>
      </c>
      <c r="D1138" s="2">
        <v>40.207876507260629</v>
      </c>
      <c r="E1138" s="2">
        <v>41.297338375832339</v>
      </c>
      <c r="F1138" s="2">
        <v>46.200655295727188</v>
      </c>
      <c r="G1138" s="2">
        <v>46.389431216552943</v>
      </c>
      <c r="H1138" s="2">
        <v>50.719477786671938</v>
      </c>
    </row>
    <row r="1139" spans="1:8" x14ac:dyDescent="0.2">
      <c r="A1139" s="16">
        <f>DATE(2021,3,4)</f>
        <v>44259</v>
      </c>
      <c r="B1139" s="2">
        <v>109.7656516752641</v>
      </c>
      <c r="C1139" s="2">
        <v>90.46440523273462</v>
      </c>
      <c r="D1139" s="2">
        <v>40.223885647171208</v>
      </c>
      <c r="E1139" s="2">
        <v>41.371956301801816</v>
      </c>
      <c r="F1139" s="2">
        <v>46.282255347132264</v>
      </c>
      <c r="G1139" s="2">
        <v>46.471303006984812</v>
      </c>
      <c r="H1139" s="2">
        <v>50.807640957286687</v>
      </c>
    </row>
    <row r="1140" spans="1:8" x14ac:dyDescent="0.2">
      <c r="A1140" s="16">
        <f>DATE(2021,3,5)</f>
        <v>44260</v>
      </c>
      <c r="B1140" s="2">
        <v>113.03228927687785</v>
      </c>
      <c r="C1140" s="2">
        <v>94.710188283811235</v>
      </c>
      <c r="D1140" s="2">
        <v>40.239896615028734</v>
      </c>
      <c r="E1140" s="2">
        <v>41.446613632865102</v>
      </c>
      <c r="F1140" s="2">
        <v>46.363900942576628</v>
      </c>
      <c r="G1140" s="2">
        <v>46.553220586173502</v>
      </c>
      <c r="H1140" s="2">
        <v>50.89585569883819</v>
      </c>
    </row>
    <row r="1141" spans="1:8" x14ac:dyDescent="0.2">
      <c r="A1141" s="16">
        <f>DATE(2021,3,8)</f>
        <v>44263</v>
      </c>
      <c r="B1141" s="2">
        <v>100.70420464508638</v>
      </c>
      <c r="C1141" s="2">
        <v>86.951255788797226</v>
      </c>
      <c r="D1141" s="2">
        <v>40.255909411041934</v>
      </c>
      <c r="E1141" s="2">
        <v>41.521310389831712</v>
      </c>
      <c r="F1141" s="2">
        <v>46.445592107480117</v>
      </c>
      <c r="G1141" s="2">
        <v>46.635183979727479</v>
      </c>
      <c r="H1141" s="2">
        <v>50.984122041492761</v>
      </c>
    </row>
    <row r="1142" spans="1:8" x14ac:dyDescent="0.2">
      <c r="A1142" s="16">
        <f>DATE(2021,3,9)</f>
        <v>44264</v>
      </c>
      <c r="B1142" s="2">
        <v>102.61226857592827</v>
      </c>
      <c r="C1142" s="2">
        <v>88.166548355474021</v>
      </c>
      <c r="D1142" s="2">
        <v>40.271924035419552</v>
      </c>
      <c r="E1142" s="2">
        <v>41.596046593522139</v>
      </c>
      <c r="F1142" s="2">
        <v>46.527328867276751</v>
      </c>
      <c r="G1142" s="2">
        <v>46.717193213269525</v>
      </c>
      <c r="H1142" s="2">
        <v>51.072440015434431</v>
      </c>
    </row>
    <row r="1143" spans="1:8" x14ac:dyDescent="0.2">
      <c r="A1143" s="16">
        <f>DATE(2021,3,10)</f>
        <v>44265</v>
      </c>
      <c r="B1143" s="2">
        <v>103.43698143715923</v>
      </c>
      <c r="C1143" s="2">
        <v>90.610299834363957</v>
      </c>
      <c r="D1143" s="2">
        <v>40.287940488370346</v>
      </c>
      <c r="E1143" s="2">
        <v>41.670822264767857</v>
      </c>
      <c r="F1143" s="2">
        <v>46.609111247414738</v>
      </c>
      <c r="G1143" s="2">
        <v>46.799248312436738</v>
      </c>
      <c r="H1143" s="2">
        <v>51.16080965086482</v>
      </c>
    </row>
    <row r="1144" spans="1:8" x14ac:dyDescent="0.2">
      <c r="A1144" s="16">
        <f>DATE(2021,3,11)</f>
        <v>44266</v>
      </c>
      <c r="B1144" s="2">
        <v>106.69850082310526</v>
      </c>
      <c r="C1144" s="2">
        <v>94.340939052833974</v>
      </c>
      <c r="D1144" s="2">
        <v>40.303958770103108</v>
      </c>
      <c r="E1144" s="2">
        <v>41.745637424411328</v>
      </c>
      <c r="F1144" s="2">
        <v>46.690939273356499</v>
      </c>
      <c r="G1144" s="2">
        <v>46.881349302880587</v>
      </c>
      <c r="H1144" s="2">
        <v>51.24923097800329</v>
      </c>
    </row>
    <row r="1145" spans="1:8" x14ac:dyDescent="0.2">
      <c r="A1145" s="16">
        <f>DATE(2021,3,12)</f>
        <v>44267</v>
      </c>
      <c r="B1145" s="2">
        <v>105.6389202584747</v>
      </c>
      <c r="C1145" s="2">
        <v>92.949329006523627</v>
      </c>
      <c r="D1145" s="2">
        <v>40.31997888082666</v>
      </c>
      <c r="E1145" s="2">
        <v>41.820492093306072</v>
      </c>
      <c r="F1145" s="2">
        <v>46.77281297057867</v>
      </c>
      <c r="G1145" s="2">
        <v>46.963496210266854</v>
      </c>
      <c r="H1145" s="2">
        <v>51.337704027086822</v>
      </c>
    </row>
    <row r="1146" spans="1:8" x14ac:dyDescent="0.2">
      <c r="A1146" s="16">
        <f>DATE(2021,3,15)</f>
        <v>44270</v>
      </c>
      <c r="B1146" s="2">
        <v>106.5279165344747</v>
      </c>
      <c r="C1146" s="2">
        <v>94.116113984382508</v>
      </c>
      <c r="D1146" s="2">
        <v>40.336000820749817</v>
      </c>
      <c r="E1146" s="2">
        <v>41.895386292316573</v>
      </c>
      <c r="F1146" s="2">
        <v>46.854732364572094</v>
      </c>
      <c r="G1146" s="2">
        <v>47.045689060275684</v>
      </c>
      <c r="H1146" s="2">
        <v>51.426228828370107</v>
      </c>
    </row>
    <row r="1147" spans="1:8" x14ac:dyDescent="0.2">
      <c r="A1147" s="16">
        <f>DATE(2021,3,16)</f>
        <v>44271</v>
      </c>
      <c r="B1147" s="2">
        <v>106.38378895528903</v>
      </c>
      <c r="C1147" s="2">
        <v>92.709968563025626</v>
      </c>
      <c r="D1147" s="2">
        <v>40.352024590081449</v>
      </c>
      <c r="E1147" s="2">
        <v>41.970320042318328</v>
      </c>
      <c r="F1147" s="2">
        <v>46.936697480841843</v>
      </c>
      <c r="G1147" s="2">
        <v>47.127927878601604</v>
      </c>
      <c r="H1147" s="2">
        <v>51.51480541212554</v>
      </c>
    </row>
    <row r="1148" spans="1:8" x14ac:dyDescent="0.2">
      <c r="A1148" s="16">
        <f>DATE(2021,3,17)</f>
        <v>44272</v>
      </c>
      <c r="B1148" s="2">
        <v>109.09741194161469</v>
      </c>
      <c r="C1148" s="2">
        <v>96.987188588039956</v>
      </c>
      <c r="D1148" s="2">
        <v>40.36805018903047</v>
      </c>
      <c r="E1148" s="2">
        <v>42.04529336419791</v>
      </c>
      <c r="F1148" s="2">
        <v>47.018708344907225</v>
      </c>
      <c r="G1148" s="2">
        <v>47.210212690953469</v>
      </c>
      <c r="H1148" s="2">
        <v>51.60343380864321</v>
      </c>
    </row>
    <row r="1149" spans="1:8" x14ac:dyDescent="0.2">
      <c r="A1149" s="16">
        <f>DATE(2021,3,18)</f>
        <v>44273</v>
      </c>
      <c r="B1149" s="2">
        <v>104.09460688462522</v>
      </c>
      <c r="C1149" s="2">
        <v>94.090237636479955</v>
      </c>
      <c r="D1149" s="2">
        <v>40.384077617805715</v>
      </c>
      <c r="E1149" s="2">
        <v>42.120306278852858</v>
      </c>
      <c r="F1149" s="2">
        <v>47.100764982301783</v>
      </c>
      <c r="G1149" s="2">
        <v>47.292543523054519</v>
      </c>
      <c r="H1149" s="2">
        <v>51.692114048230863</v>
      </c>
    </row>
    <row r="1150" spans="1:8" x14ac:dyDescent="0.2">
      <c r="A1150" s="16">
        <f>DATE(2021,3,19)</f>
        <v>44274</v>
      </c>
      <c r="B1150" s="2">
        <v>107.11177097544393</v>
      </c>
      <c r="C1150" s="2">
        <v>96.433052766791306</v>
      </c>
      <c r="D1150" s="2">
        <v>40.404192580976094</v>
      </c>
      <c r="E1150" s="2">
        <v>42.19535880719183</v>
      </c>
      <c r="F1150" s="2">
        <v>47.18286741857338</v>
      </c>
      <c r="G1150" s="2">
        <v>47.374920400642459</v>
      </c>
      <c r="H1150" s="2">
        <v>51.780846161214143</v>
      </c>
    </row>
    <row r="1151" spans="1:8" x14ac:dyDescent="0.2">
      <c r="A1151" s="16">
        <f>DATE(2021,3,22)</f>
        <v>44277</v>
      </c>
      <c r="B1151" s="2">
        <v>106.74336936877764</v>
      </c>
      <c r="C1151" s="2">
        <v>94.33265726937725</v>
      </c>
      <c r="D1151" s="2">
        <v>40.424310426323373</v>
      </c>
      <c r="E1151" s="2">
        <v>42.270450970134469</v>
      </c>
      <c r="F1151" s="2">
        <v>47.265015679284048</v>
      </c>
      <c r="G1151" s="2">
        <v>47.457343349469319</v>
      </c>
      <c r="H1151" s="2">
        <v>51.869630177936287</v>
      </c>
    </row>
    <row r="1152" spans="1:8" x14ac:dyDescent="0.2">
      <c r="A1152" s="16">
        <f>DATE(2021,3,23)</f>
        <v>44278</v>
      </c>
      <c r="B1152" s="2">
        <v>105.07162272993391</v>
      </c>
      <c r="C1152" s="2">
        <v>91.43055133015541</v>
      </c>
      <c r="D1152" s="2">
        <v>40.444431154260513</v>
      </c>
      <c r="E1152" s="2">
        <v>42.345582788611445</v>
      </c>
      <c r="F1152" s="2">
        <v>47.347209790010105</v>
      </c>
      <c r="G1152" s="2">
        <v>47.539812395301517</v>
      </c>
      <c r="H1152" s="2">
        <v>51.958466128758317</v>
      </c>
    </row>
    <row r="1153" spans="1:8" x14ac:dyDescent="0.2">
      <c r="A1153" s="16">
        <f>DATE(2021,3,24)</f>
        <v>44279</v>
      </c>
      <c r="B1153" s="2">
        <v>99.505065109886303</v>
      </c>
      <c r="C1153" s="2">
        <v>89.406398945339816</v>
      </c>
      <c r="D1153" s="2">
        <v>40.464554765200504</v>
      </c>
      <c r="E1153" s="2">
        <v>42.420754283564513</v>
      </c>
      <c r="F1153" s="2">
        <v>47.429449776342182</v>
      </c>
      <c r="G1153" s="2">
        <v>47.62232756391991</v>
      </c>
      <c r="H1153" s="2">
        <v>52.04735404405902</v>
      </c>
    </row>
    <row r="1154" spans="1:8" x14ac:dyDescent="0.2">
      <c r="A1154" s="16">
        <f>DATE(2021,3,25)</f>
        <v>44280</v>
      </c>
      <c r="B1154" s="2">
        <v>103.39997227232413</v>
      </c>
      <c r="C1154" s="2">
        <v>92.255518372037557</v>
      </c>
      <c r="D1154" s="2">
        <v>40.484681259556531</v>
      </c>
      <c r="E1154" s="2">
        <v>42.495965475946498</v>
      </c>
      <c r="F1154" s="2">
        <v>47.511735663885162</v>
      </c>
      <c r="G1154" s="2">
        <v>47.704888881119764</v>
      </c>
      <c r="H1154" s="2">
        <v>52.136293954234958</v>
      </c>
    </row>
    <row r="1155" spans="1:8" x14ac:dyDescent="0.2">
      <c r="A1155" s="16">
        <f>DATE(2021,3,26)</f>
        <v>44281</v>
      </c>
      <c r="B1155" s="2">
        <v>102.12244503139414</v>
      </c>
      <c r="C1155" s="2">
        <v>93.997599972957005</v>
      </c>
      <c r="D1155" s="2">
        <v>40.50481063774167</v>
      </c>
      <c r="E1155" s="2">
        <v>42.571216386721296</v>
      </c>
      <c r="F1155" s="2">
        <v>47.594067478258232</v>
      </c>
      <c r="G1155" s="2">
        <v>47.787496372710827</v>
      </c>
      <c r="H1155" s="2">
        <v>52.22528588970048</v>
      </c>
    </row>
    <row r="1156" spans="1:8" x14ac:dyDescent="0.2">
      <c r="A1156" s="16">
        <f>DATE(2021,3,29)</f>
        <v>44284</v>
      </c>
      <c r="B1156" s="2">
        <v>100.3654268584996</v>
      </c>
      <c r="C1156" s="2">
        <v>95.076090998207974</v>
      </c>
      <c r="D1156" s="2">
        <v>40.524942900169151</v>
      </c>
      <c r="E1156" s="2">
        <v>42.64650703686381</v>
      </c>
      <c r="F1156" s="2">
        <v>47.676445245094847</v>
      </c>
      <c r="G1156" s="2">
        <v>47.870150064517134</v>
      </c>
      <c r="H1156" s="2">
        <v>52.314329880887669</v>
      </c>
    </row>
    <row r="1157" spans="1:8" x14ac:dyDescent="0.2">
      <c r="A1157" s="16">
        <f>DATE(2021,3,30)</f>
        <v>44285</v>
      </c>
      <c r="B1157" s="2">
        <v>104.24747321593077</v>
      </c>
      <c r="C1157" s="2">
        <v>97.494625291552111</v>
      </c>
      <c r="D1157" s="2">
        <v>40.545078047252225</v>
      </c>
      <c r="E1157" s="2">
        <v>42.721837447360045</v>
      </c>
      <c r="F1157" s="2">
        <v>47.758868990042778</v>
      </c>
      <c r="G1157" s="2">
        <v>47.952849982377302</v>
      </c>
      <c r="H1157" s="2">
        <v>52.403425958246451</v>
      </c>
    </row>
    <row r="1158" spans="1:8" x14ac:dyDescent="0.2">
      <c r="A1158" s="16">
        <f>DATE(2021,3,31)</f>
        <v>44286</v>
      </c>
      <c r="B1158" s="2">
        <v>105.86644383764767</v>
      </c>
      <c r="C1158" s="2">
        <v>97.129635263495473</v>
      </c>
      <c r="D1158" s="2">
        <v>40.565216079404237</v>
      </c>
      <c r="E1158" s="2">
        <v>42.797207639207159</v>
      </c>
      <c r="F1158" s="2">
        <v>47.841338738764193</v>
      </c>
      <c r="G1158" s="2">
        <v>48.035596152144393</v>
      </c>
      <c r="H1158" s="2">
        <v>52.492574152244643</v>
      </c>
    </row>
    <row r="1159" spans="1:8" x14ac:dyDescent="0.2">
      <c r="A1159" s="16">
        <f>DATE(2021,4,1)</f>
        <v>44287</v>
      </c>
      <c r="B1159" s="2">
        <v>105.1137363702603</v>
      </c>
      <c r="C1159" s="2">
        <v>94.796521650947724</v>
      </c>
      <c r="D1159" s="2">
        <v>40.585356997038602</v>
      </c>
      <c r="E1159" s="2">
        <v>42.846520838161609</v>
      </c>
      <c r="F1159" s="2">
        <v>47.896835073965114</v>
      </c>
      <c r="G1159" s="2">
        <v>48.091333623551691</v>
      </c>
      <c r="H1159" s="2">
        <v>52.553904245072069</v>
      </c>
    </row>
    <row r="1160" spans="1:8" x14ac:dyDescent="0.2">
      <c r="A1160" s="16">
        <f>DATE(2021,4,5)</f>
        <v>44291</v>
      </c>
      <c r="B1160" s="2">
        <v>108.48484053220093</v>
      </c>
      <c r="C1160" s="2">
        <v>98.624953520602617</v>
      </c>
      <c r="D1160" s="2">
        <v>40.605500800568727</v>
      </c>
      <c r="E1160" s="2">
        <v>42.895851066801939</v>
      </c>
      <c r="F1160" s="2">
        <v>47.952352241250253</v>
      </c>
      <c r="G1160" s="2">
        <v>48.147092080896158</v>
      </c>
      <c r="H1160" s="2">
        <v>52.615259003889349</v>
      </c>
    </row>
    <row r="1161" spans="1:8" x14ac:dyDescent="0.2">
      <c r="A1161" s="16">
        <f>DATE(2021,4,6)</f>
        <v>44292</v>
      </c>
      <c r="B1161" s="2">
        <v>111.00485069443531</v>
      </c>
      <c r="C1161" s="2">
        <v>98.591877091572414</v>
      </c>
      <c r="D1161" s="2">
        <v>40.625647490408134</v>
      </c>
      <c r="E1161" s="2">
        <v>42.945198331009138</v>
      </c>
      <c r="F1161" s="2">
        <v>48.007890248439523</v>
      </c>
      <c r="G1161" s="2">
        <v>48.202871532079293</v>
      </c>
      <c r="H1161" s="2">
        <v>52.676638438616742</v>
      </c>
    </row>
    <row r="1162" spans="1:8" x14ac:dyDescent="0.2">
      <c r="A1162" s="16">
        <f>DATE(2021,4,7)</f>
        <v>44293</v>
      </c>
      <c r="B1162" s="2">
        <v>110.57428166014849</v>
      </c>
      <c r="C1162" s="2">
        <v>98.802656931345268</v>
      </c>
      <c r="D1162" s="2">
        <v>40.645797066970381</v>
      </c>
      <c r="E1162" s="2">
        <v>42.994562636666231</v>
      </c>
      <c r="F1162" s="2">
        <v>48.063449103355758</v>
      </c>
      <c r="G1162" s="2">
        <v>48.258671985005577</v>
      </c>
      <c r="H1162" s="2">
        <v>52.738042559178531</v>
      </c>
    </row>
    <row r="1163" spans="1:8" x14ac:dyDescent="0.2">
      <c r="A1163" s="16">
        <f>DATE(2021,4,8)</f>
        <v>44294</v>
      </c>
      <c r="B1163" s="2">
        <v>114.87147370398185</v>
      </c>
      <c r="C1163" s="2">
        <v>99.968275698880674</v>
      </c>
      <c r="D1163" s="2">
        <v>40.66594953066911</v>
      </c>
      <c r="E1163" s="2">
        <v>43.043943989658253</v>
      </c>
      <c r="F1163" s="2">
        <v>48.119028813824727</v>
      </c>
      <c r="G1163" s="2">
        <v>48.314493447582429</v>
      </c>
      <c r="H1163" s="2">
        <v>52.799471375502939</v>
      </c>
    </row>
    <row r="1164" spans="1:8" x14ac:dyDescent="0.2">
      <c r="A1164" s="16">
        <f>DATE(2021,4,9)</f>
        <v>44295</v>
      </c>
      <c r="B1164" s="2">
        <v>115.02014928151927</v>
      </c>
      <c r="C1164" s="2">
        <v>98.880945137409554</v>
      </c>
      <c r="D1164" s="2">
        <v>40.686104881917998</v>
      </c>
      <c r="E1164" s="2">
        <v>43.093342395872298</v>
      </c>
      <c r="F1164" s="2">
        <v>48.174629387675118</v>
      </c>
      <c r="G1164" s="2">
        <v>48.370335927720312</v>
      </c>
      <c r="H1164" s="2">
        <v>52.860924897522231</v>
      </c>
    </row>
    <row r="1165" spans="1:8" x14ac:dyDescent="0.2">
      <c r="A1165" s="16">
        <f>DATE(2021,4,12)</f>
        <v>44298</v>
      </c>
      <c r="B1165" s="2">
        <v>115.87153869501572</v>
      </c>
      <c r="C1165" s="2">
        <v>100.81083730520861</v>
      </c>
      <c r="D1165" s="2">
        <v>40.706263121130768</v>
      </c>
      <c r="E1165" s="2">
        <v>43.142757861197481</v>
      </c>
      <c r="F1165" s="2">
        <v>48.230250832738598</v>
      </c>
      <c r="G1165" s="2">
        <v>48.426199433332592</v>
      </c>
      <c r="H1165" s="2">
        <v>52.922403135172623</v>
      </c>
    </row>
    <row r="1166" spans="1:8" x14ac:dyDescent="0.2">
      <c r="A1166" s="16">
        <f>DATE(2021,4,13)</f>
        <v>44299</v>
      </c>
      <c r="B1166" s="2">
        <v>116.48795735379038</v>
      </c>
      <c r="C1166" s="2">
        <v>101.63122401379123</v>
      </c>
      <c r="D1166" s="2">
        <v>40.726424248721237</v>
      </c>
      <c r="E1166" s="2">
        <v>43.19219039152491</v>
      </c>
      <c r="F1166" s="2">
        <v>48.285893156849745</v>
      </c>
      <c r="G1166" s="2">
        <v>48.482083972335687</v>
      </c>
      <c r="H1166" s="2">
        <v>52.983906098394357</v>
      </c>
    </row>
    <row r="1167" spans="1:8" x14ac:dyDescent="0.2">
      <c r="A1167" s="16">
        <f>DATE(2021,4,14)</f>
        <v>44300</v>
      </c>
      <c r="B1167" s="2">
        <v>116.42243732315531</v>
      </c>
      <c r="C1167" s="2">
        <v>103.31724301118834</v>
      </c>
      <c r="D1167" s="2">
        <v>40.746588265103291</v>
      </c>
      <c r="E1167" s="2">
        <v>43.241639992747814</v>
      </c>
      <c r="F1167" s="2">
        <v>48.341556367846096</v>
      </c>
      <c r="G1167" s="2">
        <v>48.537989552648938</v>
      </c>
      <c r="H1167" s="2">
        <v>53.045433797131693</v>
      </c>
    </row>
    <row r="1168" spans="1:8" x14ac:dyDescent="0.2">
      <c r="A1168" s="16">
        <f>DATE(2021,4,15)</f>
        <v>44301</v>
      </c>
      <c r="B1168" s="2">
        <v>118.29949654620059</v>
      </c>
      <c r="C1168" s="2">
        <v>104.0034310245744</v>
      </c>
      <c r="D1168" s="2">
        <v>40.766755170690814</v>
      </c>
      <c r="E1168" s="2">
        <v>43.291106670761351</v>
      </c>
      <c r="F1168" s="2">
        <v>48.397240473568083</v>
      </c>
      <c r="G1168" s="2">
        <v>48.593916182194683</v>
      </c>
      <c r="H1168" s="2">
        <v>53.106986241332791</v>
      </c>
    </row>
    <row r="1169" spans="1:8" x14ac:dyDescent="0.2">
      <c r="A1169" s="16">
        <f>DATE(2021,4,16)</f>
        <v>44302</v>
      </c>
      <c r="B1169" s="2">
        <v>119.05496578902203</v>
      </c>
      <c r="C1169" s="2">
        <v>104.7019065003544</v>
      </c>
      <c r="D1169" s="2">
        <v>40.786924965897803</v>
      </c>
      <c r="E1169" s="2">
        <v>43.340590431462836</v>
      </c>
      <c r="F1169" s="2">
        <v>48.452945481859189</v>
      </c>
      <c r="G1169" s="2">
        <v>48.649863868898315</v>
      </c>
      <c r="H1169" s="2">
        <v>53.16856344094996</v>
      </c>
    </row>
    <row r="1170" spans="1:8" x14ac:dyDescent="0.2">
      <c r="A1170" s="16">
        <f>DATE(2021,4,19)</f>
        <v>44305</v>
      </c>
      <c r="B1170" s="2">
        <v>117.48273924704105</v>
      </c>
      <c r="C1170" s="2">
        <v>104.39742419632844</v>
      </c>
      <c r="D1170" s="2">
        <v>40.807097651138278</v>
      </c>
      <c r="E1170" s="2">
        <v>43.390091280751527</v>
      </c>
      <c r="F1170" s="2">
        <v>48.508671400565738</v>
      </c>
      <c r="G1170" s="2">
        <v>48.705832620688106</v>
      </c>
      <c r="H1170" s="2">
        <v>53.23016540593941</v>
      </c>
    </row>
    <row r="1171" spans="1:8" x14ac:dyDescent="0.2">
      <c r="A1171" s="16">
        <f>DATE(2021,4,20)</f>
        <v>44306</v>
      </c>
      <c r="B1171" s="2">
        <v>117.0404154919388</v>
      </c>
      <c r="C1171" s="2">
        <v>102.92395970658772</v>
      </c>
      <c r="D1171" s="2">
        <v>40.827273226826378</v>
      </c>
      <c r="E1171" s="2">
        <v>43.439609224528766</v>
      </c>
      <c r="F1171" s="2">
        <v>48.564418237537033</v>
      </c>
      <c r="G1171" s="2">
        <v>48.761822445495362</v>
      </c>
      <c r="H1171" s="2">
        <v>53.291792146261393</v>
      </c>
    </row>
    <row r="1172" spans="1:8" x14ac:dyDescent="0.2">
      <c r="A1172" s="16">
        <f>DATE(2021,4,22)</f>
        <v>44308</v>
      </c>
      <c r="B1172" s="2">
        <v>113.74311668693569</v>
      </c>
      <c r="C1172" s="2">
        <v>101.75688740154762</v>
      </c>
      <c r="D1172" s="2">
        <v>40.847451693376222</v>
      </c>
      <c r="E1172" s="2">
        <v>43.489144268697899</v>
      </c>
      <c r="F1172" s="2">
        <v>48.620186000625317</v>
      </c>
      <c r="G1172" s="2">
        <v>48.817833351254357</v>
      </c>
      <c r="H1172" s="2">
        <v>53.353443671880129</v>
      </c>
    </row>
    <row r="1173" spans="1:8" x14ac:dyDescent="0.2">
      <c r="A1173" s="16">
        <f>DATE(2021,4,23)</f>
        <v>44309</v>
      </c>
      <c r="B1173" s="2">
        <v>115.84412017323062</v>
      </c>
      <c r="C1173" s="2">
        <v>103.71507284589065</v>
      </c>
      <c r="D1173" s="2">
        <v>40.86763305120207</v>
      </c>
      <c r="E1173" s="2">
        <v>43.538696419164346</v>
      </c>
      <c r="F1173" s="2">
        <v>48.67597469768581</v>
      </c>
      <c r="G1173" s="2">
        <v>48.873865345902367</v>
      </c>
      <c r="H1173" s="2">
        <v>53.41511999276387</v>
      </c>
    </row>
    <row r="1174" spans="1:8" x14ac:dyDescent="0.2">
      <c r="A1174" s="16">
        <f>DATE(2021,4,26)</f>
        <v>44312</v>
      </c>
      <c r="B1174" s="2">
        <v>115.28165918674365</v>
      </c>
      <c r="C1174" s="2">
        <v>103.82417266673372</v>
      </c>
      <c r="D1174" s="2">
        <v>40.887817300718154</v>
      </c>
      <c r="E1174" s="2">
        <v>43.588265681835537</v>
      </c>
      <c r="F1174" s="2">
        <v>48.731784336576631</v>
      </c>
      <c r="G1174" s="2">
        <v>48.929918437379662</v>
      </c>
      <c r="H1174" s="2">
        <v>53.476821118884899</v>
      </c>
    </row>
    <row r="1175" spans="1:8" x14ac:dyDescent="0.2">
      <c r="A1175" s="16">
        <f>DATE(2021,4,27)</f>
        <v>44313</v>
      </c>
      <c r="B1175" s="2">
        <v>114.37858610013532</v>
      </c>
      <c r="C1175" s="2">
        <v>101.78543420207498</v>
      </c>
      <c r="D1175" s="2">
        <v>40.908004442338843</v>
      </c>
      <c r="E1175" s="2">
        <v>43.637852062620965</v>
      </c>
      <c r="F1175" s="2">
        <v>48.787614925158884</v>
      </c>
      <c r="G1175" s="2">
        <v>48.985992633629479</v>
      </c>
      <c r="H1175" s="2">
        <v>53.538547060219479</v>
      </c>
    </row>
    <row r="1176" spans="1:8" x14ac:dyDescent="0.2">
      <c r="A1176" s="16">
        <f>DATE(2021,4,28)</f>
        <v>44314</v>
      </c>
      <c r="B1176" s="2">
        <v>116.15000397778097</v>
      </c>
      <c r="C1176" s="2">
        <v>104.59811378156316</v>
      </c>
      <c r="D1176" s="2">
        <v>40.92819447647851</v>
      </c>
      <c r="E1176" s="2">
        <v>43.687455567432146</v>
      </c>
      <c r="F1176" s="2">
        <v>48.843466471296601</v>
      </c>
      <c r="G1176" s="2">
        <v>49.04208794259808</v>
      </c>
      <c r="H1176" s="2">
        <v>53.600297826747891</v>
      </c>
    </row>
    <row r="1177" spans="1:8" x14ac:dyDescent="0.2">
      <c r="A1177" s="16">
        <f>DATE(2021,4,29)</f>
        <v>44315</v>
      </c>
      <c r="B1177" s="2">
        <v>117.12152375257396</v>
      </c>
      <c r="C1177" s="2">
        <v>102.93031470777079</v>
      </c>
      <c r="D1177" s="2">
        <v>40.948387403551621</v>
      </c>
      <c r="E1177" s="2">
        <v>43.737076202182635</v>
      </c>
      <c r="F1177" s="2">
        <v>48.899338982856811</v>
      </c>
      <c r="G1177" s="2">
        <v>49.09820437223469</v>
      </c>
      <c r="H1177" s="2">
        <v>53.662073428454441</v>
      </c>
    </row>
    <row r="1178" spans="1:8" x14ac:dyDescent="0.2">
      <c r="A1178" s="16">
        <f>DATE(2021,4,30)</f>
        <v>44316</v>
      </c>
      <c r="B1178" s="2">
        <v>118.16599012328641</v>
      </c>
      <c r="C1178" s="2">
        <v>100.94959943210573</v>
      </c>
      <c r="D1178" s="2">
        <v>40.968583223972701</v>
      </c>
      <c r="E1178" s="2">
        <v>43.786713972788057</v>
      </c>
      <c r="F1178" s="2">
        <v>48.955232467709429</v>
      </c>
      <c r="G1178" s="2">
        <v>49.154341930491533</v>
      </c>
      <c r="H1178" s="2">
        <v>53.723873875327442</v>
      </c>
    </row>
    <row r="1179" spans="1:8" x14ac:dyDescent="0.2">
      <c r="A1179" s="16">
        <f>DATE(2021,5,3)</f>
        <v>44319</v>
      </c>
      <c r="B1179" s="2">
        <v>117.85422552328426</v>
      </c>
      <c r="C1179" s="2">
        <v>101.4830814995093</v>
      </c>
      <c r="D1179" s="2">
        <v>40.988781938156315</v>
      </c>
      <c r="E1179" s="2">
        <v>43.874536988110634</v>
      </c>
      <c r="F1179" s="2">
        <v>49.050688204409767</v>
      </c>
      <c r="G1179" s="2">
        <v>49.250094796063969</v>
      </c>
      <c r="H1179" s="2">
        <v>53.826507412738799</v>
      </c>
    </row>
    <row r="1180" spans="1:8" x14ac:dyDescent="0.2">
      <c r="A1180" s="16">
        <f>DATE(2021,5,4)</f>
        <v>44320</v>
      </c>
      <c r="B1180" s="2">
        <v>116.1452979674019</v>
      </c>
      <c r="C1180" s="2">
        <v>98.952100868741638</v>
      </c>
      <c r="D1180" s="2">
        <v>41.008983546517094</v>
      </c>
      <c r="E1180" s="2">
        <v>43.962413644564634</v>
      </c>
      <c r="F1180" s="2">
        <v>49.146205112493725</v>
      </c>
      <c r="G1180" s="2">
        <v>49.345909132265732</v>
      </c>
      <c r="H1180" s="2">
        <v>53.929209473293199</v>
      </c>
    </row>
    <row r="1181" spans="1:8" x14ac:dyDescent="0.2">
      <c r="A1181" s="16">
        <f>DATE(2021,5,5)</f>
        <v>44321</v>
      </c>
      <c r="B1181" s="2">
        <v>117.96012793203334</v>
      </c>
      <c r="C1181" s="2">
        <v>102.08302065375329</v>
      </c>
      <c r="D1181" s="2">
        <v>41.029188049469731</v>
      </c>
      <c r="E1181" s="2">
        <v>44.050343974913339</v>
      </c>
      <c r="F1181" s="2">
        <v>49.241783231162081</v>
      </c>
      <c r="G1181" s="2">
        <v>49.44178497855922</v>
      </c>
      <c r="H1181" s="2">
        <v>54.031980102740057</v>
      </c>
    </row>
    <row r="1182" spans="1:8" x14ac:dyDescent="0.2">
      <c r="A1182" s="16">
        <f>DATE(2021,5,6)</f>
        <v>44322</v>
      </c>
      <c r="B1182" s="2">
        <v>118.81987824280178</v>
      </c>
      <c r="C1182" s="2">
        <v>102.68500490146315</v>
      </c>
      <c r="D1182" s="2">
        <v>41.049395447428978</v>
      </c>
      <c r="E1182" s="2">
        <v>44.138328011940061</v>
      </c>
      <c r="F1182" s="2">
        <v>49.337422599640711</v>
      </c>
      <c r="G1182" s="2">
        <v>49.537722374432192</v>
      </c>
      <c r="H1182" s="2">
        <v>54.134819346859288</v>
      </c>
    </row>
    <row r="1183" spans="1:8" x14ac:dyDescent="0.2">
      <c r="A1183" s="16">
        <f>DATE(2021,5,7)</f>
        <v>44323</v>
      </c>
      <c r="B1183" s="2">
        <v>122.93334351938395</v>
      </c>
      <c r="C1183" s="2">
        <v>106.26391846668643</v>
      </c>
      <c r="D1183" s="2">
        <v>41.07368104229672</v>
      </c>
      <c r="E1183" s="2">
        <v>44.22636578844812</v>
      </c>
      <c r="F1183" s="2">
        <v>49.433123257180654</v>
      </c>
      <c r="G1183" s="2">
        <v>49.633721359397718</v>
      </c>
      <c r="H1183" s="2">
        <v>54.237727251461394</v>
      </c>
    </row>
    <row r="1184" spans="1:8" x14ac:dyDescent="0.2">
      <c r="A1184" s="16">
        <f>DATE(2021,5,10)</f>
        <v>44326</v>
      </c>
      <c r="B1184" s="2">
        <v>121.06152617359305</v>
      </c>
      <c r="C1184" s="2">
        <v>106.0457526281981</v>
      </c>
      <c r="D1184" s="2">
        <v>41.097970818608239</v>
      </c>
      <c r="E1184" s="2">
        <v>44.314457337260869</v>
      </c>
      <c r="F1184" s="2">
        <v>49.528885243058099</v>
      </c>
      <c r="G1184" s="2">
        <v>49.729781972994246</v>
      </c>
      <c r="H1184" s="2">
        <v>54.340703862387429</v>
      </c>
    </row>
    <row r="1185" spans="1:8" x14ac:dyDescent="0.2">
      <c r="A1185" s="16">
        <f>DATE(2021,5,11)</f>
        <v>44327</v>
      </c>
      <c r="B1185" s="2">
        <v>119.56643011121155</v>
      </c>
      <c r="C1185" s="2">
        <v>107.82883750802772</v>
      </c>
      <c r="D1185" s="2">
        <v>41.122264777083515</v>
      </c>
      <c r="E1185" s="2">
        <v>44.402602691221716</v>
      </c>
      <c r="F1185" s="2">
        <v>49.624708596574372</v>
      </c>
      <c r="G1185" s="2">
        <v>49.825904254785634</v>
      </c>
      <c r="H1185" s="2">
        <v>54.443749225509102</v>
      </c>
    </row>
    <row r="1186" spans="1:8" x14ac:dyDescent="0.2">
      <c r="A1186" s="16">
        <f>DATE(2021,5,12)</f>
        <v>44328</v>
      </c>
      <c r="B1186" s="2">
        <v>111.95922959930758</v>
      </c>
      <c r="C1186" s="2">
        <v>102.32909103201111</v>
      </c>
      <c r="D1186" s="2">
        <v>41.146562918442612</v>
      </c>
      <c r="E1186" s="2">
        <v>44.490801883194123</v>
      </c>
      <c r="F1186" s="2">
        <v>49.720593357056011</v>
      </c>
      <c r="G1186" s="2">
        <v>49.922088244361063</v>
      </c>
      <c r="H1186" s="2">
        <v>54.546863386728667</v>
      </c>
    </row>
    <row r="1187" spans="1:8" x14ac:dyDescent="0.2">
      <c r="A1187" s="16">
        <f>DATE(2021,5,13)</f>
        <v>44329</v>
      </c>
      <c r="B1187" s="2">
        <v>115.42763481964028</v>
      </c>
      <c r="C1187" s="2">
        <v>104.01228746239345</v>
      </c>
      <c r="D1187" s="2">
        <v>41.1708652434057</v>
      </c>
      <c r="E1187" s="2">
        <v>44.579054946061667</v>
      </c>
      <c r="F1187" s="2">
        <v>49.816539563854789</v>
      </c>
      <c r="G1187" s="2">
        <v>50.01833398133526</v>
      </c>
      <c r="H1187" s="2">
        <v>54.650046391979188</v>
      </c>
    </row>
    <row r="1188" spans="1:8" x14ac:dyDescent="0.2">
      <c r="A1188" s="16">
        <f>DATE(2021,5,14)</f>
        <v>44330</v>
      </c>
      <c r="B1188" s="2">
        <v>118.05344433930158</v>
      </c>
      <c r="C1188" s="2">
        <v>105.99807321772587</v>
      </c>
      <c r="D1188" s="2">
        <v>41.195171752693142</v>
      </c>
      <c r="E1188" s="2">
        <v>44.667361912727976</v>
      </c>
      <c r="F1188" s="2">
        <v>49.912547256347636</v>
      </c>
      <c r="G1188" s="2">
        <v>50.114641505348281</v>
      </c>
      <c r="H1188" s="2">
        <v>54.75329828722424</v>
      </c>
    </row>
    <row r="1189" spans="1:8" x14ac:dyDescent="0.2">
      <c r="A1189" s="16">
        <f>DATE(2021,5,17)</f>
        <v>44333</v>
      </c>
      <c r="B1189" s="2">
        <v>120.31607351928653</v>
      </c>
      <c r="C1189" s="2">
        <v>107.78465672852597</v>
      </c>
      <c r="D1189" s="2">
        <v>41.219482447025356</v>
      </c>
      <c r="E1189" s="2">
        <v>44.755722816116752</v>
      </c>
      <c r="F1189" s="2">
        <v>50.008616473936748</v>
      </c>
      <c r="G1189" s="2">
        <v>50.211010856065649</v>
      </c>
      <c r="H1189" s="2">
        <v>54.85661911845812</v>
      </c>
    </row>
    <row r="1190" spans="1:8" x14ac:dyDescent="0.2">
      <c r="A1190" s="16">
        <f>DATE(2021,5,18)</f>
        <v>44334</v>
      </c>
      <c r="B1190" s="2">
        <v>119.5538028892019</v>
      </c>
      <c r="C1190" s="2">
        <v>107.85579555825926</v>
      </c>
      <c r="D1190" s="2">
        <v>41.243797327122934</v>
      </c>
      <c r="E1190" s="2">
        <v>44.844137689171816</v>
      </c>
      <c r="F1190" s="2">
        <v>50.104747256049563</v>
      </c>
      <c r="G1190" s="2">
        <v>50.307442073178372</v>
      </c>
      <c r="H1190" s="2">
        <v>54.96000893170585</v>
      </c>
    </row>
    <row r="1191" spans="1:8" x14ac:dyDescent="0.2">
      <c r="A1191" s="16">
        <f>DATE(2021,5,19)</f>
        <v>44335</v>
      </c>
      <c r="B1191" s="2">
        <v>118.59827667960953</v>
      </c>
      <c r="C1191" s="2">
        <v>107.2749552107624</v>
      </c>
      <c r="D1191" s="2">
        <v>41.268116393706578</v>
      </c>
      <c r="E1191" s="2">
        <v>44.93260656485716</v>
      </c>
      <c r="F1191" s="2">
        <v>50.200939642138763</v>
      </c>
      <c r="G1191" s="2">
        <v>50.403935196402891</v>
      </c>
      <c r="H1191" s="2">
        <v>55.063467773023199</v>
      </c>
    </row>
    <row r="1192" spans="1:8" x14ac:dyDescent="0.2">
      <c r="A1192" s="16">
        <f>DATE(2021,5,20)</f>
        <v>44336</v>
      </c>
      <c r="B1192" s="2">
        <v>121.39475979904728</v>
      </c>
      <c r="C1192" s="2">
        <v>107.38395362201207</v>
      </c>
      <c r="D1192" s="2">
        <v>41.292439647497091</v>
      </c>
      <c r="E1192" s="2">
        <v>45.021129476156837</v>
      </c>
      <c r="F1192" s="2">
        <v>50.297193671682372</v>
      </c>
      <c r="G1192" s="2">
        <v>50.500490265481197</v>
      </c>
      <c r="H1192" s="2">
        <v>55.166995688496662</v>
      </c>
    </row>
    <row r="1193" spans="1:8" x14ac:dyDescent="0.2">
      <c r="A1193" s="16">
        <f>DATE(2021,5,21)</f>
        <v>44337</v>
      </c>
      <c r="B1193" s="2">
        <v>121.78753647845063</v>
      </c>
      <c r="C1193" s="2">
        <v>107.20087550282202</v>
      </c>
      <c r="D1193" s="2">
        <v>41.316767089215432</v>
      </c>
      <c r="E1193" s="2">
        <v>45.109706456075102</v>
      </c>
      <c r="F1193" s="2">
        <v>50.393509384183652</v>
      </c>
      <c r="G1193" s="2">
        <v>50.597107320180768</v>
      </c>
      <c r="H1193" s="2">
        <v>55.270592724243478</v>
      </c>
    </row>
    <row r="1194" spans="1:8" x14ac:dyDescent="0.2">
      <c r="A1194" s="16">
        <f>DATE(2021,5,24)</f>
        <v>44340</v>
      </c>
      <c r="B1194" s="2">
        <v>124.65542729406339</v>
      </c>
      <c r="C1194" s="2">
        <v>109.63326910725696</v>
      </c>
      <c r="D1194" s="2">
        <v>41.341098719582668</v>
      </c>
      <c r="E1194" s="2">
        <v>45.198337537636355</v>
      </c>
      <c r="F1194" s="2">
        <v>50.489886819171211</v>
      </c>
      <c r="G1194" s="2">
        <v>50.693786400294627</v>
      </c>
      <c r="H1194" s="2">
        <v>55.37425892641172</v>
      </c>
    </row>
    <row r="1195" spans="1:8" x14ac:dyDescent="0.2">
      <c r="A1195" s="16">
        <f>DATE(2021,5,25)</f>
        <v>44341</v>
      </c>
      <c r="B1195" s="2">
        <v>123.73078900076915</v>
      </c>
      <c r="C1195" s="2">
        <v>107.86889429739999</v>
      </c>
      <c r="D1195" s="2">
        <v>41.365434539319978</v>
      </c>
      <c r="E1195" s="2">
        <v>45.28702275388514</v>
      </c>
      <c r="F1195" s="2">
        <v>50.586326016198988</v>
      </c>
      <c r="G1195" s="2">
        <v>50.790527545641332</v>
      </c>
      <c r="H1195" s="2">
        <v>55.477994341180263</v>
      </c>
    </row>
    <row r="1196" spans="1:8" x14ac:dyDescent="0.2">
      <c r="A1196" s="16">
        <f>DATE(2021,5,26)</f>
        <v>44342</v>
      </c>
      <c r="B1196" s="2">
        <v>124.27314810934496</v>
      </c>
      <c r="C1196" s="2">
        <v>109.56152181996357</v>
      </c>
      <c r="D1196" s="2">
        <v>41.389774549148697</v>
      </c>
      <c r="E1196" s="2">
        <v>45.375762137886234</v>
      </c>
      <c r="F1196" s="2">
        <v>50.682827014846282</v>
      </c>
      <c r="G1196" s="2">
        <v>50.887330796065001</v>
      </c>
      <c r="H1196" s="2">
        <v>55.581799014758793</v>
      </c>
    </row>
    <row r="1197" spans="1:8" x14ac:dyDescent="0.2">
      <c r="A1197" s="16">
        <f>DATE(2021,5,27)</f>
        <v>44343</v>
      </c>
      <c r="B1197" s="2">
        <v>125.34530780536829</v>
      </c>
      <c r="C1197" s="2">
        <v>110.19938816211955</v>
      </c>
      <c r="D1197" s="2">
        <v>41.414118749790241</v>
      </c>
      <c r="E1197" s="2">
        <v>45.464555722724562</v>
      </c>
      <c r="F1197" s="2">
        <v>50.779389854717699</v>
      </c>
      <c r="G1197" s="2">
        <v>50.984196191435352</v>
      </c>
      <c r="H1197" s="2">
        <v>55.685672993387868</v>
      </c>
    </row>
    <row r="1198" spans="1:8" x14ac:dyDescent="0.2">
      <c r="A1198" s="16">
        <f>DATE(2021,5,28)</f>
        <v>44344</v>
      </c>
      <c r="B1198" s="2">
        <v>126.46535201575948</v>
      </c>
      <c r="C1198" s="2">
        <v>112.21879119764669</v>
      </c>
      <c r="D1198" s="2">
        <v>41.438467141966193</v>
      </c>
      <c r="E1198" s="2">
        <v>45.553403541505283</v>
      </c>
      <c r="F1198" s="2">
        <v>50.876014575443278</v>
      </c>
      <c r="G1198" s="2">
        <v>51.081123771647661</v>
      </c>
      <c r="H1198" s="2">
        <v>55.789616323338919</v>
      </c>
    </row>
    <row r="1199" spans="1:8" x14ac:dyDescent="0.2">
      <c r="A1199" s="16">
        <f>DATE(2021,5,31)</f>
        <v>44347</v>
      </c>
      <c r="B1199" s="2">
        <v>126.82083785671394</v>
      </c>
      <c r="C1199" s="2">
        <v>113.32476422269488</v>
      </c>
      <c r="D1199" s="2">
        <v>41.462819726398251</v>
      </c>
      <c r="E1199" s="2">
        <v>45.642305627353743</v>
      </c>
      <c r="F1199" s="2">
        <v>50.972701216678452</v>
      </c>
      <c r="G1199" s="2">
        <v>51.178113576622849</v>
      </c>
      <c r="H1199" s="2">
        <v>55.893629050914257</v>
      </c>
    </row>
    <row r="1200" spans="1:8" x14ac:dyDescent="0.2">
      <c r="A1200" s="16">
        <f>DATE(2021,6,1)</f>
        <v>44348</v>
      </c>
      <c r="B1200" s="2">
        <v>127.9118559446942</v>
      </c>
      <c r="C1200" s="2">
        <v>116.79182300645583</v>
      </c>
      <c r="D1200" s="2">
        <v>41.487176503808222</v>
      </c>
      <c r="E1200" s="2">
        <v>45.706474948564882</v>
      </c>
      <c r="F1200" s="2">
        <v>51.04375479427825</v>
      </c>
      <c r="G1200" s="2">
        <v>51.249435632792363</v>
      </c>
      <c r="H1200" s="2">
        <v>55.971177962999512</v>
      </c>
    </row>
    <row r="1201" spans="1:8" x14ac:dyDescent="0.2">
      <c r="A1201" s="16">
        <f>DATE(2021,6,2)</f>
        <v>44349</v>
      </c>
      <c r="B1201" s="2">
        <v>127.83065837291313</v>
      </c>
      <c r="C1201" s="2">
        <v>119.047155460906</v>
      </c>
      <c r="D1201" s="2">
        <v>41.511537474918072</v>
      </c>
      <c r="E1201" s="2">
        <v>45.77067254247995</v>
      </c>
      <c r="F1201" s="2">
        <v>51.114841812432871</v>
      </c>
      <c r="G1201" s="2">
        <v>51.320791336925687</v>
      </c>
      <c r="H1201" s="2">
        <v>56.048765451605178</v>
      </c>
    </row>
    <row r="1202" spans="1:8" x14ac:dyDescent="0.2">
      <c r="A1202" s="16">
        <f>DATE(2021,6,4)</f>
        <v>44351</v>
      </c>
      <c r="B1202" s="2">
        <v>128.7987705839864</v>
      </c>
      <c r="C1202" s="2">
        <v>119.93337389717006</v>
      </c>
      <c r="D1202" s="2">
        <v>41.53590264044977</v>
      </c>
      <c r="E1202" s="2">
        <v>45.834898421555749</v>
      </c>
      <c r="F1202" s="2">
        <v>51.185962286880702</v>
      </c>
      <c r="G1202" s="2">
        <v>51.392180704897108</v>
      </c>
      <c r="H1202" s="2">
        <v>56.126391535921073</v>
      </c>
    </row>
    <row r="1203" spans="1:8" x14ac:dyDescent="0.2">
      <c r="A1203" s="16">
        <f>DATE(2021,6,7)</f>
        <v>44354</v>
      </c>
      <c r="B1203" s="2">
        <v>130.07987714083976</v>
      </c>
      <c r="C1203" s="2">
        <v>121.03280600344735</v>
      </c>
      <c r="D1203" s="2">
        <v>41.560272001125597</v>
      </c>
      <c r="E1203" s="2">
        <v>45.899152598254588</v>
      </c>
      <c r="F1203" s="2">
        <v>51.257116233367597</v>
      </c>
      <c r="G1203" s="2">
        <v>51.463603752588376</v>
      </c>
      <c r="H1203" s="2">
        <v>56.204056235146531</v>
      </c>
    </row>
    <row r="1204" spans="1:8" x14ac:dyDescent="0.2">
      <c r="A1204" s="16">
        <f>DATE(2021,6,8)</f>
        <v>44355</v>
      </c>
      <c r="B1204" s="2">
        <v>129.47699942579811</v>
      </c>
      <c r="C1204" s="2">
        <v>119.36096744751995</v>
      </c>
      <c r="D1204" s="2">
        <v>41.584645557667827</v>
      </c>
      <c r="E1204" s="2">
        <v>45.963435085044281</v>
      </c>
      <c r="F1204" s="2">
        <v>51.328303667646757</v>
      </c>
      <c r="G1204" s="2">
        <v>51.535060495888743</v>
      </c>
      <c r="H1204" s="2">
        <v>56.281759568490443</v>
      </c>
    </row>
    <row r="1205" spans="1:8" x14ac:dyDescent="0.2">
      <c r="A1205" s="16">
        <f>DATE(2021,6,9)</f>
        <v>44356</v>
      </c>
      <c r="B1205" s="2">
        <v>129.36419257846364</v>
      </c>
      <c r="C1205" s="2">
        <v>119.5632626846494</v>
      </c>
      <c r="D1205" s="2">
        <v>41.609023310798918</v>
      </c>
      <c r="E1205" s="2">
        <v>46.027745894398151</v>
      </c>
      <c r="F1205" s="2">
        <v>51.399524605478867</v>
      </c>
      <c r="G1205" s="2">
        <v>51.606550950695002</v>
      </c>
      <c r="H1205" s="2">
        <v>56.359501555171313</v>
      </c>
    </row>
    <row r="1206" spans="1:8" x14ac:dyDescent="0.2">
      <c r="A1206" s="16">
        <f>DATE(2021,6,10)</f>
        <v>44357</v>
      </c>
      <c r="B1206" s="2">
        <v>129.1974555391941</v>
      </c>
      <c r="C1206" s="2">
        <v>119.84952506507058</v>
      </c>
      <c r="D1206" s="2">
        <v>41.633405261241421</v>
      </c>
      <c r="E1206" s="2">
        <v>46.092085038794941</v>
      </c>
      <c r="F1206" s="2">
        <v>51.470779062631962</v>
      </c>
      <c r="G1206" s="2">
        <v>51.678075132911289</v>
      </c>
      <c r="H1206" s="2">
        <v>56.43728221441706</v>
      </c>
    </row>
    <row r="1207" spans="1:8" x14ac:dyDescent="0.2">
      <c r="A1207" s="16">
        <f>DATE(2021,6,11)</f>
        <v>44358</v>
      </c>
      <c r="B1207" s="2">
        <v>127.14304499069588</v>
      </c>
      <c r="C1207" s="2">
        <v>118.77603691309142</v>
      </c>
      <c r="D1207" s="2">
        <v>41.657791409718037</v>
      </c>
      <c r="E1207" s="2">
        <v>46.156452530718958</v>
      </c>
      <c r="F1207" s="2">
        <v>51.542067054881542</v>
      </c>
      <c r="G1207" s="2">
        <v>51.749633058449461</v>
      </c>
      <c r="H1207" s="2">
        <v>56.515101565465351</v>
      </c>
    </row>
    <row r="1208" spans="1:8" x14ac:dyDescent="0.2">
      <c r="A1208" s="16">
        <f>DATE(2021,6,14)</f>
        <v>44361</v>
      </c>
      <c r="B1208" s="2">
        <v>130.20853328152376</v>
      </c>
      <c r="C1208" s="2">
        <v>120.07227123685844</v>
      </c>
      <c r="D1208" s="2">
        <v>41.682181756951486</v>
      </c>
      <c r="E1208" s="2">
        <v>46.220848382659959</v>
      </c>
      <c r="F1208" s="2">
        <v>51.613388598010481</v>
      </c>
      <c r="G1208" s="2">
        <v>51.821224743228697</v>
      </c>
      <c r="H1208" s="2">
        <v>56.59295962756326</v>
      </c>
    </row>
    <row r="1209" spans="1:8" x14ac:dyDescent="0.2">
      <c r="A1209" s="16">
        <f>DATE(2021,6,15)</f>
        <v>44362</v>
      </c>
      <c r="B1209" s="2">
        <v>130.24699890504542</v>
      </c>
      <c r="C1209" s="2">
        <v>119.87472534901742</v>
      </c>
      <c r="D1209" s="2">
        <v>41.706576303664811</v>
      </c>
      <c r="E1209" s="2">
        <v>46.285272607113257</v>
      </c>
      <c r="F1209" s="2">
        <v>51.684743707809162</v>
      </c>
      <c r="G1209" s="2">
        <v>51.892850203175797</v>
      </c>
      <c r="H1209" s="2">
        <v>56.670856419967521</v>
      </c>
    </row>
    <row r="1210" spans="1:8" x14ac:dyDescent="0.2">
      <c r="A1210" s="16">
        <f>DATE(2021,6,16)</f>
        <v>44363</v>
      </c>
      <c r="B1210" s="2">
        <v>129.31871946503458</v>
      </c>
      <c r="C1210" s="2">
        <v>118.46920528681957</v>
      </c>
      <c r="D1210" s="2">
        <v>41.730975050581009</v>
      </c>
      <c r="E1210" s="2">
        <v>46.34972521657965</v>
      </c>
      <c r="F1210" s="2">
        <v>51.75613240007533</v>
      </c>
      <c r="G1210" s="2">
        <v>51.964509454225038</v>
      </c>
      <c r="H1210" s="2">
        <v>56.748791961944441</v>
      </c>
    </row>
    <row r="1211" spans="1:8" x14ac:dyDescent="0.2">
      <c r="A1211" s="16">
        <f>DATE(2021,6,17)</f>
        <v>44364</v>
      </c>
      <c r="B1211" s="2">
        <v>130.75968610292469</v>
      </c>
      <c r="C1211" s="2">
        <v>116.43717675692065</v>
      </c>
      <c r="D1211" s="2">
        <v>41.755377998423278</v>
      </c>
      <c r="E1211" s="2">
        <v>46.414206223565493</v>
      </c>
      <c r="F1211" s="2">
        <v>51.827554690614221</v>
      </c>
      <c r="G1211" s="2">
        <v>52.036202512318262</v>
      </c>
      <c r="H1211" s="2">
        <v>56.826766272769952</v>
      </c>
    </row>
    <row r="1212" spans="1:8" x14ac:dyDescent="0.2">
      <c r="A1212" s="16">
        <f>DATE(2021,6,18)</f>
        <v>44365</v>
      </c>
      <c r="B1212" s="2">
        <v>132.65392054633148</v>
      </c>
      <c r="C1212" s="2">
        <v>117.02557211912192</v>
      </c>
      <c r="D1212" s="2">
        <v>41.783851363611113</v>
      </c>
      <c r="E1212" s="2">
        <v>46.478715640582479</v>
      </c>
      <c r="F1212" s="2">
        <v>51.89901059523838</v>
      </c>
      <c r="G1212" s="2">
        <v>52.107929393404667</v>
      </c>
      <c r="H1212" s="2">
        <v>56.904779371729369</v>
      </c>
    </row>
    <row r="1213" spans="1:8" x14ac:dyDescent="0.2">
      <c r="A1213" s="16">
        <f>DATE(2021,6,21)</f>
        <v>44368</v>
      </c>
      <c r="B1213" s="2">
        <v>133.41347062151084</v>
      </c>
      <c r="C1213" s="2">
        <v>118.4784504614131</v>
      </c>
      <c r="D1213" s="2">
        <v>41.812330448035382</v>
      </c>
      <c r="E1213" s="2">
        <v>46.543253480148053</v>
      </c>
      <c r="F1213" s="2">
        <v>51.970500129767998</v>
      </c>
      <c r="G1213" s="2">
        <v>52.179690113441211</v>
      </c>
      <c r="H1213" s="2">
        <v>56.982831278117921</v>
      </c>
    </row>
    <row r="1214" spans="1:8" x14ac:dyDescent="0.2">
      <c r="A1214" s="16">
        <f>DATE(2021,6,22)</f>
        <v>44369</v>
      </c>
      <c r="B1214" s="2">
        <v>133.63588285510431</v>
      </c>
      <c r="C1214" s="2">
        <v>117.63757901497424</v>
      </c>
      <c r="D1214" s="2">
        <v>41.840815252844891</v>
      </c>
      <c r="E1214" s="2">
        <v>46.607819754785005</v>
      </c>
      <c r="F1214" s="2">
        <v>52.042023310030601</v>
      </c>
      <c r="G1214" s="2">
        <v>52.251484688392217</v>
      </c>
      <c r="H1214" s="2">
        <v>57.060922011240201</v>
      </c>
    </row>
    <row r="1215" spans="1:8" x14ac:dyDescent="0.2">
      <c r="A1215" s="16">
        <f>DATE(2021,6,23)</f>
        <v>44370</v>
      </c>
      <c r="B1215" s="2">
        <v>133.21729525454168</v>
      </c>
      <c r="C1215" s="2">
        <v>117.06382043741282</v>
      </c>
      <c r="D1215" s="2">
        <v>41.869305779188636</v>
      </c>
      <c r="E1215" s="2">
        <v>46.672414477021704</v>
      </c>
      <c r="F1215" s="2">
        <v>52.113580151861143</v>
      </c>
      <c r="G1215" s="2">
        <v>52.323313134229622</v>
      </c>
      <c r="H1215" s="2">
        <v>57.139051590410482</v>
      </c>
    </row>
    <row r="1216" spans="1:8" x14ac:dyDescent="0.2">
      <c r="A1216" s="16">
        <f>DATE(2021,6,24)</f>
        <v>44371</v>
      </c>
      <c r="B1216" s="2">
        <v>134.70422965220737</v>
      </c>
      <c r="C1216" s="2">
        <v>118.89872561944301</v>
      </c>
      <c r="D1216" s="2">
        <v>41.897802028215892</v>
      </c>
      <c r="E1216" s="2">
        <v>46.73703765939203</v>
      </c>
      <c r="F1216" s="2">
        <v>52.185170671102043</v>
      </c>
      <c r="G1216" s="2">
        <v>52.39517546693282</v>
      </c>
      <c r="H1216" s="2">
        <v>57.217220034952639</v>
      </c>
    </row>
    <row r="1217" spans="1:8" x14ac:dyDescent="0.2">
      <c r="A1217" s="16">
        <f>DATE(2021,6,25)</f>
        <v>44372</v>
      </c>
      <c r="B1217" s="2">
        <v>132.16211154632362</v>
      </c>
      <c r="C1217" s="2">
        <v>115.08232768819875</v>
      </c>
      <c r="D1217" s="2">
        <v>41.926304001076112</v>
      </c>
      <c r="E1217" s="2">
        <v>46.801689314435379</v>
      </c>
      <c r="F1217" s="2">
        <v>52.256794883603199</v>
      </c>
      <c r="G1217" s="2">
        <v>52.467071702488809</v>
      </c>
      <c r="H1217" s="2">
        <v>57.295427364200172</v>
      </c>
    </row>
    <row r="1218" spans="1:8" x14ac:dyDescent="0.2">
      <c r="A1218" s="16">
        <f>DATE(2021,6,28)</f>
        <v>44375</v>
      </c>
      <c r="B1218" s="2">
        <v>135.2794346522025</v>
      </c>
      <c r="C1218" s="2">
        <v>115.37567183855538</v>
      </c>
      <c r="D1218" s="2">
        <v>41.954811698918988</v>
      </c>
      <c r="E1218" s="2">
        <v>46.866369454696688</v>
      </c>
      <c r="F1218" s="2">
        <v>52.328452805221957</v>
      </c>
      <c r="G1218" s="2">
        <v>52.539001856892114</v>
      </c>
      <c r="H1218" s="2">
        <v>57.373673597496172</v>
      </c>
    </row>
    <row r="1219" spans="1:8" x14ac:dyDescent="0.2">
      <c r="A1219" s="16">
        <f>DATE(2021,6,29)</f>
        <v>44376</v>
      </c>
      <c r="B1219" s="2">
        <v>135.13249720696572</v>
      </c>
      <c r="C1219" s="2">
        <v>115.20373187303466</v>
      </c>
      <c r="D1219" s="2">
        <v>41.983325122894463</v>
      </c>
      <c r="E1219" s="2">
        <v>46.931078092726409</v>
      </c>
      <c r="F1219" s="2">
        <v>52.400144451823152</v>
      </c>
      <c r="G1219" s="2">
        <v>52.610965946144781</v>
      </c>
      <c r="H1219" s="2">
        <v>57.451958754193363</v>
      </c>
    </row>
    <row r="1220" spans="1:8" x14ac:dyDescent="0.2">
      <c r="A1220" s="16">
        <f>DATE(2021,6,30)</f>
        <v>44377</v>
      </c>
      <c r="B1220" s="2">
        <v>134.72802076745211</v>
      </c>
      <c r="C1220" s="2">
        <v>114.31507960653025</v>
      </c>
      <c r="D1220" s="2">
        <v>42.011844274152701</v>
      </c>
      <c r="E1220" s="2">
        <v>46.995815241080521</v>
      </c>
      <c r="F1220" s="2">
        <v>52.47186983927903</v>
      </c>
      <c r="G1220" s="2">
        <v>52.682963986256453</v>
      </c>
      <c r="H1220" s="2">
        <v>57.530282853654093</v>
      </c>
    </row>
    <row r="1221" spans="1:8" x14ac:dyDescent="0.2">
      <c r="A1221" s="16">
        <f>DATE(2021,7,1)</f>
        <v>44378</v>
      </c>
      <c r="B1221" s="2">
        <v>130.58906746385347</v>
      </c>
      <c r="C1221" s="2">
        <v>112.3959537572249</v>
      </c>
      <c r="D1221" s="2">
        <v>42.040369153844104</v>
      </c>
      <c r="E1221" s="2">
        <v>47.086528690516595</v>
      </c>
      <c r="F1221" s="2">
        <v>52.570544205927547</v>
      </c>
      <c r="G1221" s="2">
        <v>52.781948509885908</v>
      </c>
      <c r="H1221" s="2">
        <v>57.636454823392953</v>
      </c>
    </row>
    <row r="1222" spans="1:8" x14ac:dyDescent="0.2">
      <c r="A1222" s="16">
        <f>DATE(2021,7,2)</f>
        <v>44379</v>
      </c>
      <c r="B1222" s="2">
        <v>135.91028049608093</v>
      </c>
      <c r="C1222" s="2">
        <v>115.70099381401424</v>
      </c>
      <c r="D1222" s="2">
        <v>42.06889976311929</v>
      </c>
      <c r="E1222" s="2">
        <v>47.177298120661362</v>
      </c>
      <c r="F1222" s="2">
        <v>52.669282431113658</v>
      </c>
      <c r="G1222" s="2">
        <v>52.880997205284537</v>
      </c>
      <c r="H1222" s="2">
        <v>57.742698350720303</v>
      </c>
    </row>
    <row r="1223" spans="1:8" x14ac:dyDescent="0.2">
      <c r="A1223" s="16">
        <f>DATE(2021,7,5)</f>
        <v>44382</v>
      </c>
      <c r="B1223" s="2">
        <v>133.91996786997186</v>
      </c>
      <c r="C1223" s="2">
        <v>114.51517763580379</v>
      </c>
      <c r="D1223" s="2">
        <v>42.097436103129148</v>
      </c>
      <c r="E1223" s="2">
        <v>47.268123566061362</v>
      </c>
      <c r="F1223" s="2">
        <v>52.768084556164347</v>
      </c>
      <c r="G1223" s="2">
        <v>52.980110114054952</v>
      </c>
      <c r="H1223" s="2">
        <v>57.849013483864418</v>
      </c>
    </row>
    <row r="1224" spans="1:8" x14ac:dyDescent="0.2">
      <c r="A1224" s="16">
        <f>DATE(2021,7,6)</f>
        <v>44383</v>
      </c>
      <c r="B1224" s="2">
        <v>131.6700071325256</v>
      </c>
      <c r="C1224" s="2">
        <v>111.43034851096861</v>
      </c>
      <c r="D1224" s="2">
        <v>42.125978175024748</v>
      </c>
      <c r="E1224" s="2">
        <v>47.359005061284499</v>
      </c>
      <c r="F1224" s="2">
        <v>52.866950622433301</v>
      </c>
      <c r="G1224" s="2">
        <v>53.079287277826673</v>
      </c>
      <c r="H1224" s="2">
        <v>57.955400271086013</v>
      </c>
    </row>
    <row r="1225" spans="1:8" x14ac:dyDescent="0.2">
      <c r="A1225" s="16">
        <f>DATE(2021,7,7)</f>
        <v>44384</v>
      </c>
      <c r="B1225" s="2">
        <v>135.05529115639669</v>
      </c>
      <c r="C1225" s="2">
        <v>114.68192881046492</v>
      </c>
      <c r="D1225" s="2">
        <v>42.154525979957413</v>
      </c>
      <c r="E1225" s="2">
        <v>47.449942640920057</v>
      </c>
      <c r="F1225" s="2">
        <v>52.965880671301058</v>
      </c>
      <c r="G1225" s="2">
        <v>53.178528738256389</v>
      </c>
      <c r="H1225" s="2">
        <v>58.06185876067844</v>
      </c>
    </row>
    <row r="1226" spans="1:8" x14ac:dyDescent="0.2">
      <c r="A1226" s="16">
        <f>DATE(2021,7,8)</f>
        <v>44385</v>
      </c>
      <c r="B1226" s="2">
        <v>132.66003492478018</v>
      </c>
      <c r="C1226" s="2">
        <v>111.99298583645958</v>
      </c>
      <c r="D1226" s="2">
        <v>42.183079519078689</v>
      </c>
      <c r="E1226" s="2">
        <v>47.540936339578593</v>
      </c>
      <c r="F1226" s="2">
        <v>53.064874744174851</v>
      </c>
      <c r="G1226" s="2">
        <v>53.277834537027658</v>
      </c>
      <c r="H1226" s="2">
        <v>58.168389000967501</v>
      </c>
    </row>
    <row r="1227" spans="1:8" x14ac:dyDescent="0.2">
      <c r="A1227" s="16">
        <f>DATE(2021,7,9)</f>
        <v>44386</v>
      </c>
      <c r="B1227" s="2">
        <v>132.64889164180963</v>
      </c>
      <c r="C1227" s="2">
        <v>111.99298583645958</v>
      </c>
      <c r="D1227" s="2">
        <v>42.211638793540374</v>
      </c>
      <c r="E1227" s="2">
        <v>47.631986191892018</v>
      </c>
      <c r="F1227" s="2">
        <v>53.16393288248873</v>
      </c>
      <c r="G1227" s="2">
        <v>53.377204715851079</v>
      </c>
      <c r="H1227" s="2">
        <v>58.274991040311598</v>
      </c>
    </row>
    <row r="1228" spans="1:8" x14ac:dyDescent="0.2">
      <c r="A1228" s="16">
        <f>DATE(2021,7,12)</f>
        <v>44389</v>
      </c>
      <c r="B1228" s="2">
        <v>134.87390708920285</v>
      </c>
      <c r="C1228" s="2">
        <v>115.65397356589875</v>
      </c>
      <c r="D1228" s="2">
        <v>42.24020380449447</v>
      </c>
      <c r="E1228" s="2">
        <v>47.723092232513672</v>
      </c>
      <c r="F1228" s="2">
        <v>53.263055127703574</v>
      </c>
      <c r="G1228" s="2">
        <v>53.476639316464308</v>
      </c>
      <c r="H1228" s="2">
        <v>58.381664927101731</v>
      </c>
    </row>
    <row r="1229" spans="1:8" x14ac:dyDescent="0.2">
      <c r="A1229" s="16">
        <f>DATE(2021,7,13)</f>
        <v>44390</v>
      </c>
      <c r="B1229" s="2">
        <v>135.02359943978567</v>
      </c>
      <c r="C1229" s="2">
        <v>116.6239732278668</v>
      </c>
      <c r="D1229" s="2">
        <v>42.268774553093238</v>
      </c>
      <c r="E1229" s="2">
        <v>47.814254496118245</v>
      </c>
      <c r="F1229" s="2">
        <v>53.362241521307091</v>
      </c>
      <c r="G1229" s="2">
        <v>53.576138380632067</v>
      </c>
      <c r="H1229" s="2">
        <v>58.488410709761503</v>
      </c>
    </row>
    <row r="1230" spans="1:8" x14ac:dyDescent="0.2">
      <c r="A1230" s="16">
        <f>DATE(2021,7,14)</f>
        <v>44391</v>
      </c>
      <c r="B1230" s="2">
        <v>136.33731143497329</v>
      </c>
      <c r="C1230" s="2">
        <v>117.02753270459327</v>
      </c>
      <c r="D1230" s="2">
        <v>42.297351040489147</v>
      </c>
      <c r="E1230" s="2">
        <v>47.905473017401825</v>
      </c>
      <c r="F1230" s="2">
        <v>53.461492104813807</v>
      </c>
      <c r="G1230" s="2">
        <v>53.675701950146149</v>
      </c>
      <c r="H1230" s="2">
        <v>58.595228436747163</v>
      </c>
    </row>
    <row r="1231" spans="1:8" x14ac:dyDescent="0.2">
      <c r="A1231" s="16">
        <f>DATE(2021,7,15)</f>
        <v>44392</v>
      </c>
      <c r="B1231" s="2">
        <v>136.0936774991012</v>
      </c>
      <c r="C1231" s="2">
        <v>115.44109792786341</v>
      </c>
      <c r="D1231" s="2">
        <v>42.325933267834912</v>
      </c>
      <c r="E1231" s="2">
        <v>47.996747831081919</v>
      </c>
      <c r="F1231" s="2">
        <v>53.560806919765191</v>
      </c>
      <c r="G1231" s="2">
        <v>53.775330066825418</v>
      </c>
      <c r="H1231" s="2">
        <v>58.702118156547598</v>
      </c>
    </row>
    <row r="1232" spans="1:8" x14ac:dyDescent="0.2">
      <c r="A1232" s="16">
        <f>DATE(2021,7,16)</f>
        <v>44393</v>
      </c>
      <c r="B1232" s="2">
        <v>134.11597148473749</v>
      </c>
      <c r="C1232" s="2">
        <v>112.89297907581999</v>
      </c>
      <c r="D1232" s="2">
        <v>42.354521236283468</v>
      </c>
      <c r="E1232" s="2">
        <v>48.08807897189746</v>
      </c>
      <c r="F1232" s="2">
        <v>53.6601860077295</v>
      </c>
      <c r="G1232" s="2">
        <v>53.875022772515877</v>
      </c>
      <c r="H1232" s="2">
        <v>58.809079917684429</v>
      </c>
    </row>
    <row r="1233" spans="1:8" x14ac:dyDescent="0.2">
      <c r="A1233" s="16">
        <f>DATE(2021,7,19)</f>
        <v>44396</v>
      </c>
      <c r="B1233" s="2">
        <v>131.22321095004131</v>
      </c>
      <c r="C1233" s="2">
        <v>110.2467126390151</v>
      </c>
      <c r="D1233" s="2">
        <v>42.383114946988009</v>
      </c>
      <c r="E1233" s="2">
        <v>48.179466474608823</v>
      </c>
      <c r="F1233" s="2">
        <v>53.75962941030199</v>
      </c>
      <c r="G1233" s="2">
        <v>53.974780109090652</v>
      </c>
      <c r="H1233" s="2">
        <v>58.916113768711909</v>
      </c>
    </row>
    <row r="1234" spans="1:8" x14ac:dyDescent="0.2">
      <c r="A1234" s="16">
        <f>DATE(2021,7,20)</f>
        <v>44397</v>
      </c>
      <c r="B1234" s="2">
        <v>130.49178014563779</v>
      </c>
      <c r="C1234" s="2">
        <v>111.94834871378778</v>
      </c>
      <c r="D1234" s="2">
        <v>42.411714401101918</v>
      </c>
      <c r="E1234" s="2">
        <v>48.270910373997822</v>
      </c>
      <c r="F1234" s="2">
        <v>53.859137169104748</v>
      </c>
      <c r="G1234" s="2">
        <v>54.074602118450009</v>
      </c>
      <c r="H1234" s="2">
        <v>59.023219758217053</v>
      </c>
    </row>
    <row r="1235" spans="1:8" x14ac:dyDescent="0.2">
      <c r="A1235" s="16">
        <f>DATE(2021,7,21)</f>
        <v>44398</v>
      </c>
      <c r="B1235" s="2">
        <v>130.31523949058584</v>
      </c>
      <c r="C1235" s="2">
        <v>112.84056721765828</v>
      </c>
      <c r="D1235" s="2">
        <v>42.440319599778832</v>
      </c>
      <c r="E1235" s="2">
        <v>48.362410704867756</v>
      </c>
      <c r="F1235" s="2">
        <v>53.958709325786842</v>
      </c>
      <c r="G1235" s="2">
        <v>54.174488842521377</v>
      </c>
      <c r="H1235" s="2">
        <v>59.130397934819619</v>
      </c>
    </row>
    <row r="1236" spans="1:8" x14ac:dyDescent="0.2">
      <c r="A1236" s="16">
        <f>DATE(2021,7,22)</f>
        <v>44399</v>
      </c>
      <c r="B1236" s="2">
        <v>133.35701910722668</v>
      </c>
      <c r="C1236" s="2">
        <v>113.20802487915307</v>
      </c>
      <c r="D1236" s="2">
        <v>42.468930544172622</v>
      </c>
      <c r="E1236" s="2">
        <v>48.453967502043362</v>
      </c>
      <c r="F1236" s="2">
        <v>54.05834592202428</v>
      </c>
      <c r="G1236" s="2">
        <v>54.274440323259391</v>
      </c>
      <c r="H1236" s="2">
        <v>59.237648347172161</v>
      </c>
    </row>
    <row r="1237" spans="1:8" x14ac:dyDescent="0.2">
      <c r="A1237" s="16">
        <f>DATE(2021,7,23)</f>
        <v>44400</v>
      </c>
      <c r="B1237" s="2">
        <v>132.02228464231655</v>
      </c>
      <c r="C1237" s="2">
        <v>111.35919277963646</v>
      </c>
      <c r="D1237" s="2">
        <v>42.497547235437416</v>
      </c>
      <c r="E1237" s="2">
        <v>48.545580800370921</v>
      </c>
      <c r="F1237" s="2">
        <v>54.158046999520067</v>
      </c>
      <c r="G1237" s="2">
        <v>54.374456602645843</v>
      </c>
      <c r="H1237" s="2">
        <v>59.344971043959973</v>
      </c>
    </row>
    <row r="1238" spans="1:8" x14ac:dyDescent="0.2">
      <c r="A1238" s="16">
        <f>DATE(2021,7,26)</f>
        <v>44403</v>
      </c>
      <c r="B1238" s="2">
        <v>131.28914318596503</v>
      </c>
      <c r="C1238" s="2">
        <v>112.96667004698593</v>
      </c>
      <c r="D1238" s="2">
        <v>42.526169674727512</v>
      </c>
      <c r="E1238" s="2">
        <v>48.637250634718178</v>
      </c>
      <c r="F1238" s="2">
        <v>54.257812600004172</v>
      </c>
      <c r="G1238" s="2">
        <v>54.474537722689782</v>
      </c>
      <c r="H1238" s="2">
        <v>59.452366073901189</v>
      </c>
    </row>
    <row r="1239" spans="1:8" x14ac:dyDescent="0.2">
      <c r="A1239" s="16">
        <f>DATE(2021,7,27)</f>
        <v>44404</v>
      </c>
      <c r="B1239" s="2">
        <v>127.87553378867376</v>
      </c>
      <c r="C1239" s="2">
        <v>110.61425480850438</v>
      </c>
      <c r="D1239" s="2">
        <v>42.554797863197493</v>
      </c>
      <c r="E1239" s="2">
        <v>48.728977039974389</v>
      </c>
      <c r="F1239" s="2">
        <v>54.357642765233578</v>
      </c>
      <c r="G1239" s="2">
        <v>54.574683725427441</v>
      </c>
      <c r="H1239" s="2">
        <v>59.559833485746779</v>
      </c>
    </row>
    <row r="1240" spans="1:8" x14ac:dyDescent="0.2">
      <c r="A1240" s="16">
        <f>DATE(2021,7,28)</f>
        <v>44405</v>
      </c>
      <c r="B1240" s="2">
        <v>126.49112858647813</v>
      </c>
      <c r="C1240" s="2">
        <v>113.44283879254924</v>
      </c>
      <c r="D1240" s="2">
        <v>42.583431802002124</v>
      </c>
      <c r="E1240" s="2">
        <v>48.820760051050378</v>
      </c>
      <c r="F1240" s="2">
        <v>54.45753753699227</v>
      </c>
      <c r="G1240" s="2">
        <v>54.674894652922369</v>
      </c>
      <c r="H1240" s="2">
        <v>59.667373328280561</v>
      </c>
    </row>
    <row r="1241" spans="1:8" x14ac:dyDescent="0.2">
      <c r="A1241" s="16">
        <f>DATE(2021,7,29)</f>
        <v>44406</v>
      </c>
      <c r="B1241" s="2">
        <v>126.390687897804</v>
      </c>
      <c r="C1241" s="2">
        <v>112.41140181861149</v>
      </c>
      <c r="D1241" s="2">
        <v>42.612071492296465</v>
      </c>
      <c r="E1241" s="2">
        <v>48.912599702878488</v>
      </c>
      <c r="F1241" s="2">
        <v>54.55749695709131</v>
      </c>
      <c r="G1241" s="2">
        <v>54.775170547265347</v>
      </c>
      <c r="H1241" s="2">
        <v>59.774985650319252</v>
      </c>
    </row>
    <row r="1242" spans="1:8" x14ac:dyDescent="0.2">
      <c r="A1242" s="16">
        <f>DATE(2021,7,30)</f>
        <v>44407</v>
      </c>
      <c r="B1242" s="2">
        <v>122.28857887692484</v>
      </c>
      <c r="C1242" s="2">
        <v>105.86280972179911</v>
      </c>
      <c r="D1242" s="2">
        <v>42.640716935235773</v>
      </c>
      <c r="E1242" s="2">
        <v>49.004496030412639</v>
      </c>
      <c r="F1242" s="2">
        <v>54.657521067368812</v>
      </c>
      <c r="G1242" s="2">
        <v>54.87551145057445</v>
      </c>
      <c r="H1242" s="2">
        <v>59.882670500712408</v>
      </c>
    </row>
    <row r="1243" spans="1:8" x14ac:dyDescent="0.2">
      <c r="A1243" s="16">
        <f>DATE(2021,8,2)</f>
        <v>44410</v>
      </c>
      <c r="B1243" s="2">
        <v>124.8655970305831</v>
      </c>
      <c r="C1243" s="2">
        <v>107.07118953452945</v>
      </c>
      <c r="D1243" s="2">
        <v>42.669368131975524</v>
      </c>
      <c r="E1243" s="2">
        <v>49.087050694851037</v>
      </c>
      <c r="F1243" s="2">
        <v>54.74785468163526</v>
      </c>
      <c r="G1243" s="2">
        <v>54.966148415811602</v>
      </c>
      <c r="H1243" s="2">
        <v>59.980342846827632</v>
      </c>
    </row>
    <row r="1244" spans="1:8" x14ac:dyDescent="0.2">
      <c r="A1244" s="16">
        <f>DATE(2021,8,3)</f>
        <v>44411</v>
      </c>
      <c r="B1244" s="2">
        <v>126.76083450685898</v>
      </c>
      <c r="C1244" s="2">
        <v>108.86414494811154</v>
      </c>
      <c r="D1244" s="2">
        <v>42.698025083671439</v>
      </c>
      <c r="E1244" s="2">
        <v>49.169651097994006</v>
      </c>
      <c r="F1244" s="2">
        <v>54.838241058688858</v>
      </c>
      <c r="G1244" s="2">
        <v>55.056838424033991</v>
      </c>
      <c r="H1244" s="2">
        <v>60.078074860992949</v>
      </c>
    </row>
    <row r="1245" spans="1:8" x14ac:dyDescent="0.2">
      <c r="A1245" s="16">
        <f>DATE(2021,8,4)</f>
        <v>44412</v>
      </c>
      <c r="B1245" s="2">
        <v>126.83317653502169</v>
      </c>
      <c r="C1245" s="2">
        <v>105.86351958895261</v>
      </c>
      <c r="D1245" s="2">
        <v>42.726687791479499</v>
      </c>
      <c r="E1245" s="2">
        <v>49.252297265182655</v>
      </c>
      <c r="F1245" s="2">
        <v>54.928680229347741</v>
      </c>
      <c r="G1245" s="2">
        <v>55.147581506283672</v>
      </c>
      <c r="H1245" s="2">
        <v>60.175866579659612</v>
      </c>
    </row>
    <row r="1246" spans="1:8" x14ac:dyDescent="0.2">
      <c r="A1246" s="16">
        <f>DATE(2021,8,5)</f>
        <v>44413</v>
      </c>
      <c r="B1246" s="2">
        <v>125.53386424458512</v>
      </c>
      <c r="C1246" s="2">
        <v>105.57908258121169</v>
      </c>
      <c r="D1246" s="2">
        <v>42.755356256555864</v>
      </c>
      <c r="E1246" s="2">
        <v>49.334989221772148</v>
      </c>
      <c r="F1246" s="2">
        <v>55.019172224448013</v>
      </c>
      <c r="G1246" s="2">
        <v>55.238377693620883</v>
      </c>
      <c r="H1246" s="2">
        <v>60.27371803930108</v>
      </c>
    </row>
    <row r="1247" spans="1:8" x14ac:dyDescent="0.2">
      <c r="A1247" s="16">
        <f>DATE(2021,8,6)</f>
        <v>44414</v>
      </c>
      <c r="B1247" s="2">
        <v>126.63208218494093</v>
      </c>
      <c r="C1247" s="2">
        <v>107.56914444106361</v>
      </c>
      <c r="D1247" s="2">
        <v>42.789444893338626</v>
      </c>
      <c r="E1247" s="2">
        <v>49.41772699313178</v>
      </c>
      <c r="F1247" s="2">
        <v>55.109717074843822</v>
      </c>
      <c r="G1247" s="2">
        <v>55.329227017124062</v>
      </c>
      <c r="H1247" s="2">
        <v>60.371629276413202</v>
      </c>
    </row>
    <row r="1248" spans="1:8" x14ac:dyDescent="0.2">
      <c r="A1248" s="16">
        <f>DATE(2021,8,9)</f>
        <v>44417</v>
      </c>
      <c r="B1248" s="2">
        <v>127.98202015491508</v>
      </c>
      <c r="C1248" s="2">
        <v>107.92242166108865</v>
      </c>
      <c r="D1248" s="2">
        <v>42.82354167016733</v>
      </c>
      <c r="E1248" s="2">
        <v>49.500510604644752</v>
      </c>
      <c r="F1248" s="2">
        <v>55.200314811407281</v>
      </c>
      <c r="G1248" s="2">
        <v>55.420129507889733</v>
      </c>
      <c r="H1248" s="2">
        <v>60.469600327513923</v>
      </c>
    </row>
    <row r="1249" spans="1:8" x14ac:dyDescent="0.2">
      <c r="A1249" s="16">
        <f>DATE(2021,8,10)</f>
        <v>44418</v>
      </c>
      <c r="B1249" s="2">
        <v>125.88366165255577</v>
      </c>
      <c r="C1249" s="2">
        <v>106.54171314606313</v>
      </c>
      <c r="D1249" s="2">
        <v>42.857646588985737</v>
      </c>
      <c r="E1249" s="2">
        <v>49.583340081708442</v>
      </c>
      <c r="F1249" s="2">
        <v>55.290965465028563</v>
      </c>
      <c r="G1249" s="2">
        <v>55.51108519703272</v>
      </c>
      <c r="H1249" s="2">
        <v>60.567631229143679</v>
      </c>
    </row>
    <row r="1250" spans="1:8" x14ac:dyDescent="0.2">
      <c r="A1250" s="16">
        <f>DATE(2021,8,11)</f>
        <v>44419</v>
      </c>
      <c r="B1250" s="2">
        <v>124.59986889123789</v>
      </c>
      <c r="C1250" s="2">
        <v>106.29473008146522</v>
      </c>
      <c r="D1250" s="2">
        <v>42.891759651738077</v>
      </c>
      <c r="E1250" s="2">
        <v>49.666215449734239</v>
      </c>
      <c r="F1250" s="2">
        <v>55.38166906661592</v>
      </c>
      <c r="G1250" s="2">
        <v>55.602094115686022</v>
      </c>
      <c r="H1250" s="2">
        <v>60.665722017865178</v>
      </c>
    </row>
    <row r="1251" spans="1:8" x14ac:dyDescent="0.2">
      <c r="A1251" s="16">
        <f>DATE(2021,8,12)</f>
        <v>44420</v>
      </c>
      <c r="B1251" s="2">
        <v>124.00890390903893</v>
      </c>
      <c r="C1251" s="2">
        <v>104.00395497414006</v>
      </c>
      <c r="D1251" s="2">
        <v>42.925880860369062</v>
      </c>
      <c r="E1251" s="2">
        <v>49.749136734147669</v>
      </c>
      <c r="F1251" s="2">
        <v>55.472425647095619</v>
      </c>
      <c r="G1251" s="2">
        <v>55.693156295000868</v>
      </c>
      <c r="H1251" s="2">
        <v>60.763872730263422</v>
      </c>
    </row>
    <row r="1252" spans="1:8" x14ac:dyDescent="0.2">
      <c r="A1252" s="16">
        <f>DATE(2021,8,13)</f>
        <v>44421</v>
      </c>
      <c r="B1252" s="2">
        <v>126.31035595712903</v>
      </c>
      <c r="C1252" s="2">
        <v>104.83681506270446</v>
      </c>
      <c r="D1252" s="2">
        <v>42.960010216823811</v>
      </c>
      <c r="E1252" s="2">
        <v>49.832103960388288</v>
      </c>
      <c r="F1252" s="2">
        <v>55.56323523741198</v>
      </c>
      <c r="G1252" s="2">
        <v>55.784271766146659</v>
      </c>
      <c r="H1252" s="2">
        <v>60.862083402945792</v>
      </c>
    </row>
    <row r="1253" spans="1:8" x14ac:dyDescent="0.2">
      <c r="A1253" s="16">
        <f>DATE(2021,8,16)</f>
        <v>44424</v>
      </c>
      <c r="B1253" s="2">
        <v>122.19951505421807</v>
      </c>
      <c r="C1253" s="2">
        <v>101.43330629077462</v>
      </c>
      <c r="D1253" s="2">
        <v>42.994147723047973</v>
      </c>
      <c r="E1253" s="2">
        <v>49.91511715390984</v>
      </c>
      <c r="F1253" s="2">
        <v>55.654097868527487</v>
      </c>
      <c r="G1253" s="2">
        <v>55.875440560311219</v>
      </c>
      <c r="H1253" s="2">
        <v>60.960354072542103</v>
      </c>
    </row>
    <row r="1254" spans="1:8" x14ac:dyDescent="0.2">
      <c r="A1254" s="16">
        <f>DATE(2021,8,17)</f>
        <v>44425</v>
      </c>
      <c r="B1254" s="2">
        <v>119.71869187476049</v>
      </c>
      <c r="C1254" s="2">
        <v>99.276290437074877</v>
      </c>
      <c r="D1254" s="2">
        <v>43.028293380987634</v>
      </c>
      <c r="E1254" s="2">
        <v>49.998176340180017</v>
      </c>
      <c r="F1254" s="2">
        <v>55.74501357142254</v>
      </c>
      <c r="G1254" s="2">
        <v>55.966662708700369</v>
      </c>
      <c r="H1254" s="2">
        <v>61.0586847757044</v>
      </c>
    </row>
    <row r="1255" spans="1:8" x14ac:dyDescent="0.2">
      <c r="A1255" s="16">
        <f>DATE(2021,8,18)</f>
        <v>44426</v>
      </c>
      <c r="B1255" s="2">
        <v>118.13127556789182</v>
      </c>
      <c r="C1255" s="2">
        <v>97.144677686508643</v>
      </c>
      <c r="D1255" s="2">
        <v>43.06244719258936</v>
      </c>
      <c r="E1255" s="2">
        <v>50.08128154468077</v>
      </c>
      <c r="F1255" s="2">
        <v>55.835982377095789</v>
      </c>
      <c r="G1255" s="2">
        <v>56.057938242538349</v>
      </c>
      <c r="H1255" s="2">
        <v>61.157075549107212</v>
      </c>
    </row>
    <row r="1256" spans="1:8" x14ac:dyDescent="0.2">
      <c r="A1256" s="16">
        <f>DATE(2021,8,19)</f>
        <v>44427</v>
      </c>
      <c r="B1256" s="2">
        <v>124.0753445314854</v>
      </c>
      <c r="C1256" s="2">
        <v>98.027059459824414</v>
      </c>
      <c r="D1256" s="2">
        <v>43.09660915980016</v>
      </c>
      <c r="E1256" s="2">
        <v>50.164432792908052</v>
      </c>
      <c r="F1256" s="2">
        <v>55.927004316563917</v>
      </c>
      <c r="G1256" s="2">
        <v>56.149267193067651</v>
      </c>
      <c r="H1256" s="2">
        <v>61.255526429447471</v>
      </c>
    </row>
    <row r="1257" spans="1:8" x14ac:dyDescent="0.2">
      <c r="A1257" s="16">
        <f>DATE(2021,8,20)</f>
        <v>44428</v>
      </c>
      <c r="B1257" s="2">
        <v>127.6988007711537</v>
      </c>
      <c r="C1257" s="2">
        <v>99.528056654158974</v>
      </c>
      <c r="D1257" s="2">
        <v>43.130779284567502</v>
      </c>
      <c r="E1257" s="2">
        <v>50.247630110372029</v>
      </c>
      <c r="F1257" s="2">
        <v>56.018079420861767</v>
      </c>
      <c r="G1257" s="2">
        <v>56.240649591549037</v>
      </c>
      <c r="H1257" s="2">
        <v>61.354037453444519</v>
      </c>
    </row>
    <row r="1258" spans="1:8" x14ac:dyDescent="0.2">
      <c r="A1258" s="16">
        <f>DATE(2021,8,23)</f>
        <v>44431</v>
      </c>
      <c r="B1258" s="2">
        <v>125.30455444249444</v>
      </c>
      <c r="C1258" s="2">
        <v>98.545904742588135</v>
      </c>
      <c r="D1258" s="2">
        <v>43.164957568839355</v>
      </c>
      <c r="E1258" s="2">
        <v>50.330873522596953</v>
      </c>
      <c r="F1258" s="2">
        <v>56.109207721042239</v>
      </c>
      <c r="G1258" s="2">
        <v>56.332085469261557</v>
      </c>
      <c r="H1258" s="2">
        <v>61.452608657840123</v>
      </c>
    </row>
    <row r="1259" spans="1:8" x14ac:dyDescent="0.2">
      <c r="A1259" s="16">
        <f>DATE(2021,8,24)</f>
        <v>44432</v>
      </c>
      <c r="B1259" s="2">
        <v>128.61646592498116</v>
      </c>
      <c r="C1259" s="2">
        <v>103.17538789169403</v>
      </c>
      <c r="D1259" s="2">
        <v>43.199144014564133</v>
      </c>
      <c r="E1259" s="2">
        <v>50.414163055121207</v>
      </c>
      <c r="F1259" s="2">
        <v>56.200389248176428</v>
      </c>
      <c r="G1259" s="2">
        <v>56.423574857502558</v>
      </c>
      <c r="H1259" s="2">
        <v>61.551240079398447</v>
      </c>
    </row>
    <row r="1260" spans="1:8" x14ac:dyDescent="0.2">
      <c r="A1260" s="16">
        <f>DATE(2021,8,25)</f>
        <v>44433</v>
      </c>
      <c r="B1260" s="2">
        <v>131.91828524798345</v>
      </c>
      <c r="C1260" s="2">
        <v>104.20124733799767</v>
      </c>
      <c r="D1260" s="2">
        <v>43.233338623690678</v>
      </c>
      <c r="E1260" s="2">
        <v>50.497498733497451</v>
      </c>
      <c r="F1260" s="2">
        <v>56.291624033353642</v>
      </c>
      <c r="G1260" s="2">
        <v>56.515117787587798</v>
      </c>
      <c r="H1260" s="2">
        <v>61.649931754906298</v>
      </c>
    </row>
    <row r="1261" spans="1:8" x14ac:dyDescent="0.2">
      <c r="A1261" s="16">
        <f>DATE(2021,8,26)</f>
        <v>44434</v>
      </c>
      <c r="B1261" s="2">
        <v>127.36139700219589</v>
      </c>
      <c r="C1261" s="2">
        <v>100.66249197174004</v>
      </c>
      <c r="D1261" s="2">
        <v>43.267541398168376</v>
      </c>
      <c r="E1261" s="2">
        <v>50.580880583292291</v>
      </c>
      <c r="F1261" s="2">
        <v>56.382912107681143</v>
      </c>
      <c r="G1261" s="2">
        <v>56.60671429085118</v>
      </c>
      <c r="H1261" s="2">
        <v>61.748683721172682</v>
      </c>
    </row>
    <row r="1262" spans="1:8" x14ac:dyDescent="0.2">
      <c r="A1262" s="16">
        <f>DATE(2021,8,27)</f>
        <v>44435</v>
      </c>
      <c r="B1262" s="2">
        <v>130.21740943540658</v>
      </c>
      <c r="C1262" s="2">
        <v>103.9644390359323</v>
      </c>
      <c r="D1262" s="2">
        <v>43.301752339947022</v>
      </c>
      <c r="E1262" s="2">
        <v>50.664308630086637</v>
      </c>
      <c r="F1262" s="2">
        <v>56.47425350228454</v>
      </c>
      <c r="G1262" s="2">
        <v>56.698364398645111</v>
      </c>
      <c r="H1262" s="2">
        <v>61.847496015029279</v>
      </c>
    </row>
    <row r="1263" spans="1:8" x14ac:dyDescent="0.2">
      <c r="A1263" s="16">
        <f>DATE(2021,8,30)</f>
        <v>44438</v>
      </c>
      <c r="B1263" s="2">
        <v>128.30804018781726</v>
      </c>
      <c r="C1263" s="2">
        <v>102.37967751749264</v>
      </c>
      <c r="D1263" s="2">
        <v>43.335971450976871</v>
      </c>
      <c r="E1263" s="2">
        <v>50.747782899475553</v>
      </c>
      <c r="F1263" s="2">
        <v>56.565648248307589</v>
      </c>
      <c r="G1263" s="2">
        <v>56.790068142340239</v>
      </c>
      <c r="H1263" s="2">
        <v>61.946368673330227</v>
      </c>
    </row>
    <row r="1264" spans="1:8" x14ac:dyDescent="0.2">
      <c r="A1264" s="16">
        <f>DATE(2021,8,31)</f>
        <v>44439</v>
      </c>
      <c r="B1264" s="2">
        <v>125.26294918869074</v>
      </c>
      <c r="C1264" s="2">
        <v>100.7589324950135</v>
      </c>
      <c r="D1264" s="2">
        <v>43.370198733208689</v>
      </c>
      <c r="E1264" s="2">
        <v>50.831303417068213</v>
      </c>
      <c r="F1264" s="2">
        <v>56.657096376912158</v>
      </c>
      <c r="G1264" s="2">
        <v>56.88182555332564</v>
      </c>
      <c r="H1264" s="2">
        <v>62.045301732952147</v>
      </c>
    </row>
    <row r="1265" spans="1:8" x14ac:dyDescent="0.2">
      <c r="A1265" s="16">
        <f>DATE(2021,9,1)</f>
        <v>44440</v>
      </c>
      <c r="B1265" s="2">
        <v>126.40585705242722</v>
      </c>
      <c r="C1265" s="2">
        <v>101.79765405807341</v>
      </c>
      <c r="D1265" s="2">
        <v>43.404434188593676</v>
      </c>
      <c r="E1265" s="2">
        <v>50.940494246423548</v>
      </c>
      <c r="F1265" s="2">
        <v>56.775212473655159</v>
      </c>
      <c r="G1265" s="2">
        <v>57.00028942701509</v>
      </c>
      <c r="H1265" s="2">
        <v>62.171825927844033</v>
      </c>
    </row>
    <row r="1266" spans="1:8" x14ac:dyDescent="0.2">
      <c r="A1266" s="16">
        <f>DATE(2021,9,2)</f>
        <v>44441</v>
      </c>
      <c r="B1266" s="2">
        <v>123.20755621758784</v>
      </c>
      <c r="C1266" s="2">
        <v>97.202920596287925</v>
      </c>
      <c r="D1266" s="2">
        <v>43.438677819083502</v>
      </c>
      <c r="E1266" s="2">
        <v>51.049764121951299</v>
      </c>
      <c r="F1266" s="2">
        <v>56.893417627406301</v>
      </c>
      <c r="G1266" s="2">
        <v>57.118842754593288</v>
      </c>
      <c r="H1266" s="2">
        <v>62.298448912220827</v>
      </c>
    </row>
    <row r="1267" spans="1:8" x14ac:dyDescent="0.2">
      <c r="A1267" s="16">
        <f>DATE(2021,9,3)</f>
        <v>44442</v>
      </c>
      <c r="B1267" s="2">
        <v>123.04270158246986</v>
      </c>
      <c r="C1267" s="2">
        <v>97.635871953486316</v>
      </c>
      <c r="D1267" s="2">
        <v>43.472929626630318</v>
      </c>
      <c r="E1267" s="2">
        <v>51.159113100875111</v>
      </c>
      <c r="F1267" s="2">
        <v>57.011711905312673</v>
      </c>
      <c r="G1267" s="2">
        <v>57.237485603608242</v>
      </c>
      <c r="H1267" s="2">
        <v>62.425170763216897</v>
      </c>
    </row>
    <row r="1268" spans="1:8" x14ac:dyDescent="0.2">
      <c r="A1268" s="16">
        <f>DATE(2021,9,6)</f>
        <v>44445</v>
      </c>
      <c r="B1268" s="2">
        <v>124.16234732774871</v>
      </c>
      <c r="C1268" s="2">
        <v>99.216830612175414</v>
      </c>
      <c r="D1268" s="2">
        <v>43.507189613186711</v>
      </c>
      <c r="E1268" s="2">
        <v>51.268541240460053</v>
      </c>
      <c r="F1268" s="2">
        <v>57.130095374571987</v>
      </c>
      <c r="G1268" s="2">
        <v>57.356218041658941</v>
      </c>
      <c r="H1268" s="2">
        <v>62.551991558026842</v>
      </c>
    </row>
    <row r="1269" spans="1:8" x14ac:dyDescent="0.2">
      <c r="A1269" s="16">
        <f>DATE(2021,9,8)</f>
        <v>44447</v>
      </c>
      <c r="B1269" s="2">
        <v>117.12322753443397</v>
      </c>
      <c r="C1269" s="2">
        <v>91.685833079808845</v>
      </c>
      <c r="D1269" s="2">
        <v>43.541457780705748</v>
      </c>
      <c r="E1269" s="2">
        <v>51.378048598012647</v>
      </c>
      <c r="F1269" s="2">
        <v>57.248568102432621</v>
      </c>
      <c r="G1269" s="2">
        <v>57.475040136395457</v>
      </c>
      <c r="H1269" s="2">
        <v>62.678911373905507</v>
      </c>
    </row>
    <row r="1270" spans="1:8" x14ac:dyDescent="0.2">
      <c r="A1270" s="16">
        <f>DATE(2021,9,9)</f>
        <v>44448</v>
      </c>
      <c r="B1270" s="2">
        <v>121.60358299829066</v>
      </c>
      <c r="C1270" s="2">
        <v>94.978298347023113</v>
      </c>
      <c r="D1270" s="2">
        <v>43.575734131140976</v>
      </c>
      <c r="E1270" s="2">
        <v>51.487635230880933</v>
      </c>
      <c r="F1270" s="2">
        <v>57.367130156193639</v>
      </c>
      <c r="G1270" s="2">
        <v>57.593951955518932</v>
      </c>
      <c r="H1270" s="2">
        <v>62.805930288168078</v>
      </c>
    </row>
    <row r="1271" spans="1:8" x14ac:dyDescent="0.2">
      <c r="A1271" s="16">
        <f>DATE(2021,9,10)</f>
        <v>44449</v>
      </c>
      <c r="B1271" s="2">
        <v>119.43945714212312</v>
      </c>
      <c r="C1271" s="2">
        <v>93.161494777405423</v>
      </c>
      <c r="D1271" s="2">
        <v>43.6100186664464</v>
      </c>
      <c r="E1271" s="2">
        <v>51.597301196454403</v>
      </c>
      <c r="F1271" s="2">
        <v>57.485781603204863</v>
      </c>
      <c r="G1271" s="2">
        <v>57.712953566781628</v>
      </c>
      <c r="H1271" s="2">
        <v>62.933048378190072</v>
      </c>
    </row>
    <row r="1272" spans="1:8" x14ac:dyDescent="0.2">
      <c r="A1272" s="16">
        <f>DATE(2021,9,13)</f>
        <v>44452</v>
      </c>
      <c r="B1272" s="2">
        <v>122.25388493179459</v>
      </c>
      <c r="C1272" s="2">
        <v>96.740898488996564</v>
      </c>
      <c r="D1272" s="2">
        <v>43.644311388576497</v>
      </c>
      <c r="E1272" s="2">
        <v>51.707046552164158</v>
      </c>
      <c r="F1272" s="2">
        <v>57.604522510866872</v>
      </c>
      <c r="G1272" s="2">
        <v>57.83204503798698</v>
      </c>
      <c r="H1272" s="2">
        <v>63.060265721407461</v>
      </c>
    </row>
    <row r="1273" spans="1:8" x14ac:dyDescent="0.2">
      <c r="A1273" s="16">
        <f>DATE(2021,9,14)</f>
        <v>44453</v>
      </c>
      <c r="B1273" s="2">
        <v>122.71562355599346</v>
      </c>
      <c r="C1273" s="2">
        <v>96.363705506540427</v>
      </c>
      <c r="D1273" s="2">
        <v>43.678612299486176</v>
      </c>
      <c r="E1273" s="2">
        <v>51.81687135548281</v>
      </c>
      <c r="F1273" s="2">
        <v>57.723352946631067</v>
      </c>
      <c r="G1273" s="2">
        <v>57.951226436989529</v>
      </c>
      <c r="H1273" s="2">
        <v>63.187582395316632</v>
      </c>
    </row>
    <row r="1274" spans="1:8" x14ac:dyDescent="0.2">
      <c r="A1274" s="16">
        <f>DATE(2021,9,15)</f>
        <v>44454</v>
      </c>
      <c r="B1274" s="2">
        <v>121.23584779017445</v>
      </c>
      <c r="C1274" s="2">
        <v>94.474089848899197</v>
      </c>
      <c r="D1274" s="2">
        <v>43.712921401130856</v>
      </c>
      <c r="E1274" s="2">
        <v>51.926775663924673</v>
      </c>
      <c r="F1274" s="2">
        <v>57.842272977999777</v>
      </c>
      <c r="G1274" s="2">
        <v>58.070497831695242</v>
      </c>
      <c r="H1274" s="2">
        <v>63.314998477474589</v>
      </c>
    </row>
    <row r="1275" spans="1:8" x14ac:dyDescent="0.2">
      <c r="A1275" s="16">
        <f>DATE(2021,9,16)</f>
        <v>44455</v>
      </c>
      <c r="B1275" s="2">
        <v>119.79513534554567</v>
      </c>
      <c r="C1275" s="2">
        <v>92.330527667916897</v>
      </c>
      <c r="D1275" s="2">
        <v>43.747238695466415</v>
      </c>
      <c r="E1275" s="2">
        <v>52.036759535045611</v>
      </c>
      <c r="F1275" s="2">
        <v>57.961282672526139</v>
      </c>
      <c r="G1275" s="2">
        <v>58.189859290061221</v>
      </c>
      <c r="H1275" s="2">
        <v>63.44251404549879</v>
      </c>
    </row>
    <row r="1276" spans="1:8" x14ac:dyDescent="0.2">
      <c r="A1276" s="16">
        <f>DATE(2021,9,17)</f>
        <v>44456</v>
      </c>
      <c r="B1276" s="2">
        <v>117.54962642521707</v>
      </c>
      <c r="C1276" s="2">
        <v>88.350353243416365</v>
      </c>
      <c r="D1276" s="2">
        <v>43.781564184449181</v>
      </c>
      <c r="E1276" s="2">
        <v>52.14682302644318</v>
      </c>
      <c r="F1276" s="2">
        <v>58.080382097814251</v>
      </c>
      <c r="G1276" s="2">
        <v>58.3093108800959</v>
      </c>
      <c r="H1276" s="2">
        <v>63.570129177067301</v>
      </c>
    </row>
    <row r="1277" spans="1:8" x14ac:dyDescent="0.2">
      <c r="A1277" s="16">
        <f>DATE(2021,9,20)</f>
        <v>44459</v>
      </c>
      <c r="B1277" s="2">
        <v>112.56359125338862</v>
      </c>
      <c r="C1277" s="2">
        <v>83.963323530405546</v>
      </c>
      <c r="D1277" s="2">
        <v>43.815897870035968</v>
      </c>
      <c r="E1277" s="2">
        <v>52.25696619575664</v>
      </c>
      <c r="F1277" s="2">
        <v>58.19957132151918</v>
      </c>
      <c r="G1277" s="2">
        <v>58.428852669859111</v>
      </c>
      <c r="H1277" s="2">
        <v>63.697843949918862</v>
      </c>
    </row>
    <row r="1278" spans="1:8" x14ac:dyDescent="0.2">
      <c r="A1278" s="16">
        <f>DATE(2021,9,21)</f>
        <v>44460</v>
      </c>
      <c r="B1278" s="2">
        <v>115.92764670489287</v>
      </c>
      <c r="C1278" s="2">
        <v>86.3396714329171</v>
      </c>
      <c r="D1278" s="2">
        <v>43.850239754184031</v>
      </c>
      <c r="E1278" s="2">
        <v>52.367189100666977</v>
      </c>
      <c r="F1278" s="2">
        <v>58.318850411347029</v>
      </c>
      <c r="G1278" s="2">
        <v>58.548484727462039</v>
      </c>
      <c r="H1278" s="2">
        <v>63.825658441852909</v>
      </c>
    </row>
    <row r="1279" spans="1:8" x14ac:dyDescent="0.2">
      <c r="A1279" s="16">
        <f>DATE(2021,9,22)</f>
        <v>44461</v>
      </c>
      <c r="B1279" s="2">
        <v>118.92597988410722</v>
      </c>
      <c r="C1279" s="2">
        <v>89.775005915559163</v>
      </c>
      <c r="D1279" s="2">
        <v>43.884589838851127</v>
      </c>
      <c r="E1279" s="2">
        <v>52.477491798896942</v>
      </c>
      <c r="F1279" s="2">
        <v>58.438219435054918</v>
      </c>
      <c r="G1279" s="2">
        <v>58.668207121067312</v>
      </c>
      <c r="H1279" s="2">
        <v>63.95357273072964</v>
      </c>
    </row>
    <row r="1280" spans="1:8" x14ac:dyDescent="0.2">
      <c r="A1280" s="16">
        <f>DATE(2021,9,23)</f>
        <v>44462</v>
      </c>
      <c r="B1280" s="2">
        <v>119.78331192384877</v>
      </c>
      <c r="C1280" s="2">
        <v>92.78700605077195</v>
      </c>
      <c r="D1280" s="2">
        <v>43.918948125995463</v>
      </c>
      <c r="E1280" s="2">
        <v>52.587874348211038</v>
      </c>
      <c r="F1280" s="2">
        <v>58.557678460451079</v>
      </c>
      <c r="G1280" s="2">
        <v>58.78801991888902</v>
      </c>
      <c r="H1280" s="2">
        <v>64.081586894470007</v>
      </c>
    </row>
    <row r="1281" spans="1:8" x14ac:dyDescent="0.2">
      <c r="A1281" s="16">
        <f>DATE(2021,9,24)</f>
        <v>44463</v>
      </c>
      <c r="B1281" s="2">
        <v>117.5941514664823</v>
      </c>
      <c r="C1281" s="2">
        <v>91.465824967041428</v>
      </c>
      <c r="D1281" s="2">
        <v>43.958721700445587</v>
      </c>
      <c r="E1281" s="2">
        <v>52.698336806415597</v>
      </c>
      <c r="F1281" s="2">
        <v>58.677227555394843</v>
      </c>
      <c r="G1281" s="2">
        <v>58.907923189192779</v>
      </c>
      <c r="H1281" s="2">
        <v>64.209701011055856</v>
      </c>
    </row>
    <row r="1282" spans="1:8" x14ac:dyDescent="0.2">
      <c r="A1282" s="16">
        <f>DATE(2021,9,27)</f>
        <v>44466</v>
      </c>
      <c r="B1282" s="2">
        <v>115.60099462388136</v>
      </c>
      <c r="C1282" s="2">
        <v>91.973447588141397</v>
      </c>
      <c r="D1282" s="2">
        <v>43.998506266757765</v>
      </c>
      <c r="E1282" s="2">
        <v>52.808879231358837</v>
      </c>
      <c r="F1282" s="2">
        <v>58.796866787796723</v>
      </c>
      <c r="G1282" s="2">
        <v>59.027917000295773</v>
      </c>
      <c r="H1282" s="2">
        <v>64.337915158529853</v>
      </c>
    </row>
    <row r="1283" spans="1:8" x14ac:dyDescent="0.2">
      <c r="A1283" s="16">
        <f>DATE(2021,9,28)</f>
        <v>44467</v>
      </c>
      <c r="B1283" s="2">
        <v>107.6023433595859</v>
      </c>
      <c r="C1283" s="2">
        <v>86.126914106074025</v>
      </c>
      <c r="D1283" s="2">
        <v>44.038301827969732</v>
      </c>
      <c r="E1283" s="2">
        <v>52.919501680930821</v>
      </c>
      <c r="F1283" s="2">
        <v>58.916596225618449</v>
      </c>
      <c r="G1283" s="2">
        <v>59.148001420566708</v>
      </c>
      <c r="H1283" s="2">
        <v>64.466229414995652</v>
      </c>
    </row>
    <row r="1284" spans="1:8" x14ac:dyDescent="0.2">
      <c r="A1284" s="16">
        <f>DATE(2021,9,29)</f>
        <v>44468</v>
      </c>
      <c r="B1284" s="2">
        <v>107.18656562507438</v>
      </c>
      <c r="C1284" s="2">
        <v>87.788307473886618</v>
      </c>
      <c r="D1284" s="2">
        <v>44.078108387120011</v>
      </c>
      <c r="E1284" s="2">
        <v>53.030204213063527</v>
      </c>
      <c r="F1284" s="2">
        <v>59.03641593687297</v>
      </c>
      <c r="G1284" s="2">
        <v>59.268176518426003</v>
      </c>
      <c r="H1284" s="2">
        <v>64.594643858617886</v>
      </c>
    </row>
    <row r="1285" spans="1:8" x14ac:dyDescent="0.2">
      <c r="A1285" s="16">
        <f>DATE(2021,9,30)</f>
        <v>44469</v>
      </c>
      <c r="B1285" s="2">
        <v>106.9708517274219</v>
      </c>
      <c r="C1285" s="2">
        <v>87.572423351248617</v>
      </c>
      <c r="D1285" s="2">
        <v>44.11792594724804</v>
      </c>
      <c r="E1285" s="2">
        <v>53.140986885730861</v>
      </c>
      <c r="F1285" s="2">
        <v>59.156325989624499</v>
      </c>
      <c r="G1285" s="2">
        <v>59.388442362345657</v>
      </c>
      <c r="H1285" s="2">
        <v>64.723158567622193</v>
      </c>
    </row>
    <row r="1286" spans="1:8" x14ac:dyDescent="0.2">
      <c r="A1286" s="16">
        <f>DATE(2021,10,1)</f>
        <v>44470</v>
      </c>
      <c r="B1286" s="2">
        <v>111.10199374080015</v>
      </c>
      <c r="C1286" s="2">
        <v>90.818443024709737</v>
      </c>
      <c r="D1286" s="2">
        <v>44.157754511394032</v>
      </c>
      <c r="E1286" s="2">
        <v>53.25317303209858</v>
      </c>
      <c r="F1286" s="2">
        <v>59.277701746349429</v>
      </c>
      <c r="G1286" s="2">
        <v>59.51017632252811</v>
      </c>
      <c r="H1286" s="2">
        <v>64.853197056656995</v>
      </c>
    </row>
    <row r="1287" spans="1:8" x14ac:dyDescent="0.2">
      <c r="A1287" s="16">
        <f>DATE(2021,10,4)</f>
        <v>44473</v>
      </c>
      <c r="B1287" s="2">
        <v>102.8494102785038</v>
      </c>
      <c r="C1287" s="2">
        <v>86.581972754622186</v>
      </c>
      <c r="D1287" s="2">
        <v>44.197594082599089</v>
      </c>
      <c r="E1287" s="2">
        <v>53.365441362417762</v>
      </c>
      <c r="F1287" s="2">
        <v>59.399170066622993</v>
      </c>
      <c r="G1287" s="2">
        <v>59.632003257814901</v>
      </c>
      <c r="H1287" s="2">
        <v>64.983338202833508</v>
      </c>
    </row>
    <row r="1288" spans="1:8" x14ac:dyDescent="0.2">
      <c r="A1288" s="16">
        <f>DATE(2021,10,5)</f>
        <v>44474</v>
      </c>
      <c r="B1288" s="2">
        <v>100.1171418729537</v>
      </c>
      <c r="C1288" s="2">
        <v>86.691072575465242</v>
      </c>
      <c r="D1288" s="2">
        <v>44.237444663905109</v>
      </c>
      <c r="E1288" s="2">
        <v>53.477791936893773</v>
      </c>
      <c r="F1288" s="2">
        <v>59.520731021035971</v>
      </c>
      <c r="G1288" s="2">
        <v>59.753923239216398</v>
      </c>
      <c r="H1288" s="2">
        <v>65.113582087193024</v>
      </c>
    </row>
    <row r="1289" spans="1:8" x14ac:dyDescent="0.2">
      <c r="A1289" s="16">
        <f>DATE(2021,10,6)</f>
        <v>44475</v>
      </c>
      <c r="B1289" s="2">
        <v>99.292944268333613</v>
      </c>
      <c r="C1289" s="2">
        <v>86.863350572963824</v>
      </c>
      <c r="D1289" s="2">
        <v>44.277306258354884</v>
      </c>
      <c r="E1289" s="2">
        <v>53.590224815775983</v>
      </c>
      <c r="F1289" s="2">
        <v>59.642384680233</v>
      </c>
      <c r="G1289" s="2">
        <v>59.875936337797178</v>
      </c>
      <c r="H1289" s="2">
        <v>65.243928790840826</v>
      </c>
    </row>
    <row r="1290" spans="1:8" x14ac:dyDescent="0.2">
      <c r="A1290" s="16">
        <f>DATE(2021,10,7)</f>
        <v>44476</v>
      </c>
      <c r="B1290" s="2">
        <v>98.937424076938441</v>
      </c>
      <c r="C1290" s="2">
        <v>86.907058107696585</v>
      </c>
      <c r="D1290" s="2">
        <v>44.317178868992002</v>
      </c>
      <c r="E1290" s="2">
        <v>53.702740059357957</v>
      </c>
      <c r="F1290" s="2">
        <v>59.764131114912573</v>
      </c>
      <c r="G1290" s="2">
        <v>59.998042624676067</v>
      </c>
      <c r="H1290" s="2">
        <v>65.37437839494622</v>
      </c>
    </row>
    <row r="1291" spans="1:8" x14ac:dyDescent="0.2">
      <c r="A1291" s="16">
        <f>DATE(2021,10,8)</f>
        <v>44477</v>
      </c>
      <c r="B1291" s="2">
        <v>104.3038422891574</v>
      </c>
      <c r="C1291" s="2">
        <v>90.70614880167625</v>
      </c>
      <c r="D1291" s="2">
        <v>44.357062498860891</v>
      </c>
      <c r="E1291" s="2">
        <v>53.815337727977422</v>
      </c>
      <c r="F1291" s="2">
        <v>59.885970395827101</v>
      </c>
      <c r="G1291" s="2">
        <v>60.120242171026248</v>
      </c>
      <c r="H1291" s="2">
        <v>65.504930980742586</v>
      </c>
    </row>
    <row r="1292" spans="1:8" x14ac:dyDescent="0.2">
      <c r="A1292" s="16">
        <f>DATE(2021,10,11)</f>
        <v>44480</v>
      </c>
      <c r="B1292" s="2">
        <v>100.85412370857804</v>
      </c>
      <c r="C1292" s="2">
        <v>89.602947638846246</v>
      </c>
      <c r="D1292" s="2">
        <v>44.396957151006866</v>
      </c>
      <c r="E1292" s="2">
        <v>53.928017882016292</v>
      </c>
      <c r="F1292" s="2">
        <v>60.007902593782973</v>
      </c>
      <c r="G1292" s="2">
        <v>60.242535048075261</v>
      </c>
      <c r="H1292" s="2">
        <v>65.635586629527467</v>
      </c>
    </row>
    <row r="1293" spans="1:8" x14ac:dyDescent="0.2">
      <c r="A1293" s="16">
        <f>DATE(2021,10,13)</f>
        <v>44482</v>
      </c>
      <c r="B1293" s="2">
        <v>106.54916571710601</v>
      </c>
      <c r="C1293" s="2">
        <v>91.758645167832483</v>
      </c>
      <c r="D1293" s="2">
        <v>44.436862828476031</v>
      </c>
      <c r="E1293" s="2">
        <v>54.040780581900741</v>
      </c>
      <c r="F1293" s="2">
        <v>60.129927779640518</v>
      </c>
      <c r="G1293" s="2">
        <v>60.36492132710503</v>
      </c>
      <c r="H1293" s="2">
        <v>65.766345422662525</v>
      </c>
    </row>
    <row r="1294" spans="1:8" x14ac:dyDescent="0.2">
      <c r="A1294" s="16">
        <f>DATE(2021,10,14)</f>
        <v>44483</v>
      </c>
      <c r="B1294" s="2">
        <v>106.56722717883818</v>
      </c>
      <c r="C1294" s="2">
        <v>91.301558327417354</v>
      </c>
      <c r="D1294" s="2">
        <v>44.476779534315369</v>
      </c>
      <c r="E1294" s="2">
        <v>54.153625888101182</v>
      </c>
      <c r="F1294" s="2">
        <v>60.252046024314197</v>
      </c>
      <c r="G1294" s="2">
        <v>60.487401079451899</v>
      </c>
      <c r="H1294" s="2">
        <v>65.897207441573698</v>
      </c>
    </row>
    <row r="1295" spans="1:8" x14ac:dyDescent="0.2">
      <c r="A1295" s="16">
        <f>DATE(2021,10,15)</f>
        <v>44484</v>
      </c>
      <c r="B1295" s="2">
        <v>108.3811640320108</v>
      </c>
      <c r="C1295" s="2">
        <v>93.773434066862322</v>
      </c>
      <c r="D1295" s="2">
        <v>44.516707271572685</v>
      </c>
      <c r="E1295" s="2">
        <v>54.26655386113233</v>
      </c>
      <c r="F1295" s="2">
        <v>60.374257398772471</v>
      </c>
      <c r="G1295" s="2">
        <v>60.609974376506749</v>
      </c>
      <c r="H1295" s="2">
        <v>66.028172767751187</v>
      </c>
    </row>
    <row r="1296" spans="1:8" x14ac:dyDescent="0.2">
      <c r="A1296" s="16">
        <f>DATE(2021,10,18)</f>
        <v>44487</v>
      </c>
      <c r="B1296" s="2">
        <v>106.55062904588083</v>
      </c>
      <c r="C1296" s="2">
        <v>93.401920021633629</v>
      </c>
      <c r="D1296" s="2">
        <v>44.556646043296631</v>
      </c>
      <c r="E1296" s="2">
        <v>54.379564561553281</v>
      </c>
      <c r="F1296" s="2">
        <v>60.496561974037988</v>
      </c>
      <c r="G1296" s="2">
        <v>60.732641289714977</v>
      </c>
      <c r="H1296" s="2">
        <v>66.159241482749593</v>
      </c>
    </row>
    <row r="1297" spans="1:8" x14ac:dyDescent="0.2">
      <c r="A1297" s="16">
        <f>DATE(2021,10,19)</f>
        <v>44488</v>
      </c>
      <c r="B1297" s="2">
        <v>98.09271925920666</v>
      </c>
      <c r="C1297" s="2">
        <v>87.054659770813899</v>
      </c>
      <c r="D1297" s="2">
        <v>44.596595852536701</v>
      </c>
      <c r="E1297" s="2">
        <v>54.492658049967353</v>
      </c>
      <c r="F1297" s="2">
        <v>60.61895982118741</v>
      </c>
      <c r="G1297" s="2">
        <v>60.855401890576452</v>
      </c>
      <c r="H1297" s="2">
        <v>66.290413668187696</v>
      </c>
    </row>
    <row r="1298" spans="1:8" x14ac:dyDescent="0.2">
      <c r="A1298" s="16">
        <f>DATE(2021,10,20)</f>
        <v>44489</v>
      </c>
      <c r="B1298" s="2">
        <v>96.512695167181576</v>
      </c>
      <c r="C1298" s="2">
        <v>87.246780245410775</v>
      </c>
      <c r="D1298" s="2">
        <v>44.636556702343235</v>
      </c>
      <c r="E1298" s="2">
        <v>54.605834387022441</v>
      </c>
      <c r="F1298" s="2">
        <v>60.741451011351842</v>
      </c>
      <c r="G1298" s="2">
        <v>60.978256250645813</v>
      </c>
      <c r="H1298" s="2">
        <v>66.42168940574895</v>
      </c>
    </row>
    <row r="1299" spans="1:8" x14ac:dyDescent="0.2">
      <c r="A1299" s="16">
        <f>DATE(2021,10,21)</f>
        <v>44490</v>
      </c>
      <c r="B1299" s="2">
        <v>91.058903173939541</v>
      </c>
      <c r="C1299" s="2">
        <v>82.089392556535401</v>
      </c>
      <c r="D1299" s="2">
        <v>44.676528595767408</v>
      </c>
      <c r="E1299" s="2">
        <v>54.719093633410793</v>
      </c>
      <c r="F1299" s="2">
        <v>60.864035615716467</v>
      </c>
      <c r="G1299" s="2">
        <v>61.101204441532239</v>
      </c>
      <c r="H1299" s="2">
        <v>66.553068777181167</v>
      </c>
    </row>
    <row r="1300" spans="1:8" x14ac:dyDescent="0.2">
      <c r="A1300" s="16">
        <f>DATE(2021,10,22)</f>
        <v>44491</v>
      </c>
      <c r="B1300" s="2">
        <v>89.064983751554564</v>
      </c>
      <c r="C1300" s="2">
        <v>79.657539803264953</v>
      </c>
      <c r="D1300" s="2">
        <v>44.716511535861251</v>
      </c>
      <c r="E1300" s="2">
        <v>54.832435849869078</v>
      </c>
      <c r="F1300" s="2">
        <v>60.98671370552082</v>
      </c>
      <c r="G1300" s="2">
        <v>61.224246534899621</v>
      </c>
      <c r="H1300" s="2">
        <v>66.684551864296708</v>
      </c>
    </row>
    <row r="1301" spans="1:8" x14ac:dyDescent="0.2">
      <c r="A1301" s="16">
        <f>DATE(2021,10,25)</f>
        <v>44494</v>
      </c>
      <c r="B1301" s="2">
        <v>93.910759203822749</v>
      </c>
      <c r="C1301" s="2">
        <v>83.7449717743294</v>
      </c>
      <c r="D1301" s="2">
        <v>44.756505525677625</v>
      </c>
      <c r="E1301" s="2">
        <v>54.945861097178472</v>
      </c>
      <c r="F1301" s="2">
        <v>61.109485352058691</v>
      </c>
      <c r="G1301" s="2">
        <v>61.347382602466553</v>
      </c>
      <c r="H1301" s="2">
        <v>66.81613874897252</v>
      </c>
    </row>
    <row r="1302" spans="1:8" x14ac:dyDescent="0.2">
      <c r="A1302" s="16">
        <f>DATE(2021,10,26)</f>
        <v>44495</v>
      </c>
      <c r="B1302" s="2">
        <v>89.226520134098621</v>
      </c>
      <c r="C1302" s="2">
        <v>79.866021025588566</v>
      </c>
      <c r="D1302" s="2">
        <v>44.796510568270257</v>
      </c>
      <c r="E1302" s="2">
        <v>55.059369436164758</v>
      </c>
      <c r="F1302" s="2">
        <v>61.232350626678361</v>
      </c>
      <c r="G1302" s="2">
        <v>61.470612716006507</v>
      </c>
      <c r="H1302" s="2">
        <v>66.947829513150239</v>
      </c>
    </row>
    <row r="1303" spans="1:8" x14ac:dyDescent="0.2">
      <c r="A1303" s="16">
        <f>DATE(2021,10,27)</f>
        <v>44496</v>
      </c>
      <c r="B1303" s="2">
        <v>89.311132139687587</v>
      </c>
      <c r="C1303" s="2">
        <v>79.770645303045256</v>
      </c>
      <c r="D1303" s="2">
        <v>44.836526666693644</v>
      </c>
      <c r="E1303" s="2">
        <v>55.172960927698192</v>
      </c>
      <c r="F1303" s="2">
        <v>61.355309600782391</v>
      </c>
      <c r="G1303" s="2">
        <v>61.593936947347693</v>
      </c>
      <c r="H1303" s="2">
        <v>67.079624238836104</v>
      </c>
    </row>
    <row r="1304" spans="1:8" x14ac:dyDescent="0.2">
      <c r="A1304" s="16">
        <f>DATE(2021,10,28)</f>
        <v>44497</v>
      </c>
      <c r="B1304" s="2">
        <v>86.31866601574869</v>
      </c>
      <c r="C1304" s="2">
        <v>78.658283473616194</v>
      </c>
      <c r="D1304" s="2">
        <v>44.87655382400326</v>
      </c>
      <c r="E1304" s="2">
        <v>55.286635632693631</v>
      </c>
      <c r="F1304" s="2">
        <v>61.478362345827911</v>
      </c>
      <c r="G1304" s="2">
        <v>61.717355368373198</v>
      </c>
      <c r="H1304" s="2">
        <v>67.211523008101153</v>
      </c>
    </row>
    <row r="1305" spans="1:8" x14ac:dyDescent="0.2">
      <c r="A1305" s="16">
        <f>DATE(2021,10,29)</f>
        <v>44498</v>
      </c>
      <c r="B1305" s="2">
        <v>82.479482138251711</v>
      </c>
      <c r="C1305" s="2">
        <v>74.932748538011282</v>
      </c>
      <c r="D1305" s="2">
        <v>44.924661612315496</v>
      </c>
      <c r="E1305" s="2">
        <v>55.400393612110577</v>
      </c>
      <c r="F1305" s="2">
        <v>61.60150893332645</v>
      </c>
      <c r="G1305" s="2">
        <v>61.840868051020983</v>
      </c>
      <c r="H1305" s="2">
        <v>67.343525903081186</v>
      </c>
    </row>
    <row r="1306" spans="1:8" x14ac:dyDescent="0.2">
      <c r="A1306" s="16">
        <f>DATE(2021,11,1)</f>
        <v>44501</v>
      </c>
      <c r="B1306" s="2">
        <v>85.966148052872725</v>
      </c>
      <c r="C1306" s="2">
        <v>78.397829834701923</v>
      </c>
      <c r="D1306" s="2">
        <v>44.97278537532641</v>
      </c>
      <c r="E1306" s="2">
        <v>55.48960093920055</v>
      </c>
      <c r="F1306" s="2">
        <v>61.699131680310273</v>
      </c>
      <c r="G1306" s="2">
        <v>61.938819339388409</v>
      </c>
      <c r="H1306" s="2">
        <v>67.449104291777331</v>
      </c>
    </row>
    <row r="1307" spans="1:8" x14ac:dyDescent="0.2">
      <c r="A1307" s="16">
        <f>DATE(2021,11,3)</f>
        <v>44503</v>
      </c>
      <c r="B1307" s="2">
        <v>91.315281123319835</v>
      </c>
      <c r="C1307" s="2">
        <v>78.509414190581964</v>
      </c>
      <c r="D1307" s="2">
        <v>45.020925118340571</v>
      </c>
      <c r="E1307" s="2">
        <v>55.57885947560235</v>
      </c>
      <c r="F1307" s="2">
        <v>61.796813400757912</v>
      </c>
      <c r="G1307" s="2">
        <v>62.036829911019822</v>
      </c>
      <c r="H1307" s="2">
        <v>67.554749290735856</v>
      </c>
    </row>
    <row r="1308" spans="1:8" x14ac:dyDescent="0.2">
      <c r="A1308" s="16">
        <f>DATE(2021,11,4)</f>
        <v>44504</v>
      </c>
      <c r="B1308" s="2">
        <v>89.50878457560782</v>
      </c>
      <c r="C1308" s="2">
        <v>74.782966568636937</v>
      </c>
      <c r="D1308" s="2">
        <v>45.069080846664342</v>
      </c>
      <c r="E1308" s="2">
        <v>55.668169250712523</v>
      </c>
      <c r="F1308" s="2">
        <v>61.89455413029485</v>
      </c>
      <c r="G1308" s="2">
        <v>62.13489980179525</v>
      </c>
      <c r="H1308" s="2">
        <v>67.66046094198164</v>
      </c>
    </row>
    <row r="1309" spans="1:8" x14ac:dyDescent="0.2">
      <c r="A1309" s="16">
        <f>DATE(2021,11,5)</f>
        <v>44505</v>
      </c>
      <c r="B1309" s="2">
        <v>92.562579976413616</v>
      </c>
      <c r="C1309" s="2">
        <v>77.169708954466614</v>
      </c>
      <c r="D1309" s="2">
        <v>45.117252565605789</v>
      </c>
      <c r="E1309" s="2">
        <v>55.757530293944569</v>
      </c>
      <c r="F1309" s="2">
        <v>61.992353904568283</v>
      </c>
      <c r="G1309" s="2">
        <v>62.233029047616583</v>
      </c>
      <c r="H1309" s="2">
        <v>67.766239287566179</v>
      </c>
    </row>
    <row r="1310" spans="1:8" x14ac:dyDescent="0.2">
      <c r="A1310" s="16">
        <f>DATE(2021,11,8)</f>
        <v>44508</v>
      </c>
      <c r="B1310" s="2">
        <v>89.884276113239366</v>
      </c>
      <c r="C1310" s="2">
        <v>77.096863063245323</v>
      </c>
      <c r="D1310" s="2">
        <v>45.165440280474797</v>
      </c>
      <c r="E1310" s="2">
        <v>55.84694263472889</v>
      </c>
      <c r="F1310" s="2">
        <v>62.090212759246839</v>
      </c>
      <c r="G1310" s="2">
        <v>62.331217684407392</v>
      </c>
      <c r="H1310" s="2">
        <v>67.87208436956746</v>
      </c>
    </row>
    <row r="1311" spans="1:8" x14ac:dyDescent="0.2">
      <c r="A1311" s="16">
        <f>DATE(2021,11,9)</f>
        <v>44509</v>
      </c>
      <c r="B1311" s="2">
        <v>92.431237631265034</v>
      </c>
      <c r="C1311" s="2">
        <v>78.371159111651508</v>
      </c>
      <c r="D1311" s="2">
        <v>45.213643996582967</v>
      </c>
      <c r="E1311" s="2">
        <v>55.936406302512729</v>
      </c>
      <c r="F1311" s="2">
        <v>62.18813073002076</v>
      </c>
      <c r="G1311" s="2">
        <v>62.429465748112989</v>
      </c>
      <c r="H1311" s="2">
        <v>67.977996230090071</v>
      </c>
    </row>
    <row r="1312" spans="1:8" x14ac:dyDescent="0.2">
      <c r="A1312" s="16">
        <f>DATE(2021,11,10)</f>
        <v>44510</v>
      </c>
      <c r="B1312" s="2">
        <v>94.86468468287741</v>
      </c>
      <c r="C1312" s="2">
        <v>79.102034952506045</v>
      </c>
      <c r="D1312" s="2">
        <v>45.261863719243657</v>
      </c>
      <c r="E1312" s="2">
        <v>56.025921326760297</v>
      </c>
      <c r="F1312" s="2">
        <v>62.286107852601802</v>
      </c>
      <c r="G1312" s="2">
        <v>62.527773274700472</v>
      </c>
      <c r="H1312" s="2">
        <v>68.083974911265074</v>
      </c>
    </row>
    <row r="1313" spans="1:8" x14ac:dyDescent="0.2">
      <c r="A1313" s="16">
        <f>DATE(2021,11,11)</f>
        <v>44511</v>
      </c>
      <c r="B1313" s="2">
        <v>100.63111377731602</v>
      </c>
      <c r="C1313" s="2">
        <v>81.852195517695506</v>
      </c>
      <c r="D1313" s="2">
        <v>45.310099453772047</v>
      </c>
      <c r="E1313" s="2">
        <v>56.115487736952652</v>
      </c>
      <c r="F1313" s="2">
        <v>62.384144162723288</v>
      </c>
      <c r="G1313" s="2">
        <v>62.626140300158667</v>
      </c>
      <c r="H1313" s="2">
        <v>68.190020455250206</v>
      </c>
    </row>
    <row r="1314" spans="1:8" x14ac:dyDescent="0.2">
      <c r="A1314" s="16">
        <f>DATE(2021,11,12)</f>
        <v>44512</v>
      </c>
      <c r="B1314" s="2">
        <v>94.048133486362275</v>
      </c>
      <c r="C1314" s="2">
        <v>79.722374336611779</v>
      </c>
      <c r="D1314" s="2">
        <v>45.358351205485015</v>
      </c>
      <c r="E1314" s="2">
        <v>56.205105562587782</v>
      </c>
      <c r="F1314" s="2">
        <v>62.482239696140127</v>
      </c>
      <c r="G1314" s="2">
        <v>62.724566860498193</v>
      </c>
      <c r="H1314" s="2">
        <v>68.296132904229665</v>
      </c>
    </row>
    <row r="1315" spans="1:8" x14ac:dyDescent="0.2">
      <c r="A1315" s="16">
        <f>DATE(2021,11,16)</f>
        <v>44516</v>
      </c>
      <c r="B1315" s="2">
        <v>87.629719286824411</v>
      </c>
      <c r="C1315" s="2">
        <v>76.458878409897139</v>
      </c>
      <c r="D1315" s="2">
        <v>45.406618979701264</v>
      </c>
      <c r="E1315" s="2">
        <v>56.294774833180703</v>
      </c>
      <c r="F1315" s="2">
        <v>62.580394488628912</v>
      </c>
      <c r="G1315" s="2">
        <v>62.823052991751503</v>
      </c>
      <c r="H1315" s="2">
        <v>68.402312300414465</v>
      </c>
    </row>
    <row r="1316" spans="1:8" x14ac:dyDescent="0.2">
      <c r="A1316" s="16">
        <f>DATE(2021,11,17)</f>
        <v>44517</v>
      </c>
      <c r="B1316" s="2">
        <v>84.422288104840845</v>
      </c>
      <c r="C1316" s="2">
        <v>73.999340837642791</v>
      </c>
      <c r="D1316" s="2">
        <v>45.454902781741197</v>
      </c>
      <c r="E1316" s="2">
        <v>56.384495578263262</v>
      </c>
      <c r="F1316" s="2">
        <v>62.678608575987752</v>
      </c>
      <c r="G1316" s="2">
        <v>62.921598729972828</v>
      </c>
      <c r="H1316" s="2">
        <v>68.508558686042107</v>
      </c>
    </row>
    <row r="1317" spans="1:8" x14ac:dyDescent="0.2">
      <c r="A1317" s="16">
        <f>DATE(2021,11,18)</f>
        <v>44518</v>
      </c>
      <c r="B1317" s="2">
        <v>85.972743337491565</v>
      </c>
      <c r="C1317" s="2">
        <v>73.116316803569177</v>
      </c>
      <c r="D1317" s="2">
        <v>45.503202616927062</v>
      </c>
      <c r="E1317" s="2">
        <v>56.474267827384317</v>
      </c>
      <c r="F1317" s="2">
        <v>62.776881994036387</v>
      </c>
      <c r="G1317" s="2">
        <v>63.020204111238193</v>
      </c>
      <c r="H1317" s="2">
        <v>68.614872103376754</v>
      </c>
    </row>
    <row r="1318" spans="1:8" x14ac:dyDescent="0.2">
      <c r="A1318" s="16">
        <f>DATE(2021,11,19)</f>
        <v>44519</v>
      </c>
      <c r="B1318" s="2">
        <v>87.127405922043494</v>
      </c>
      <c r="C1318" s="2">
        <v>74.145657979244405</v>
      </c>
      <c r="D1318" s="2">
        <v>45.551518490582829</v>
      </c>
      <c r="E1318" s="2">
        <v>56.564091610109649</v>
      </c>
      <c r="F1318" s="2">
        <v>62.875214778616261</v>
      </c>
      <c r="G1318" s="2">
        <v>63.118869171645493</v>
      </c>
      <c r="H1318" s="2">
        <v>68.72125259470927</v>
      </c>
    </row>
    <row r="1319" spans="1:8" x14ac:dyDescent="0.2">
      <c r="A1319" s="16">
        <f>DATE(2021,11,22)</f>
        <v>44522</v>
      </c>
      <c r="B1319" s="2">
        <v>81.588438575984654</v>
      </c>
      <c r="C1319" s="2">
        <v>72.603133556434003</v>
      </c>
      <c r="D1319" s="2">
        <v>45.599850408034229</v>
      </c>
      <c r="E1319" s="2">
        <v>56.653966956022103</v>
      </c>
      <c r="F1319" s="2">
        <v>62.973606965590449</v>
      </c>
      <c r="G1319" s="2">
        <v>63.217593947314477</v>
      </c>
      <c r="H1319" s="2">
        <v>68.827700202357221</v>
      </c>
    </row>
    <row r="1320" spans="1:8" x14ac:dyDescent="0.2">
      <c r="A1320" s="16">
        <f>DATE(2021,11,23)</f>
        <v>44523</v>
      </c>
      <c r="B1320" s="2">
        <v>78.879604041095817</v>
      </c>
      <c r="C1320" s="2">
        <v>75.191528918635285</v>
      </c>
      <c r="D1320" s="2">
        <v>45.648198374608761</v>
      </c>
      <c r="E1320" s="2">
        <v>56.743893894721303</v>
      </c>
      <c r="F1320" s="2">
        <v>63.072058590843547</v>
      </c>
      <c r="G1320" s="2">
        <v>63.316378474386653</v>
      </c>
      <c r="H1320" s="2">
        <v>68.934214968664719</v>
      </c>
    </row>
    <row r="1321" spans="1:8" x14ac:dyDescent="0.2">
      <c r="A1321" s="16">
        <f>DATE(2021,11,24)</f>
        <v>44524</v>
      </c>
      <c r="B1321" s="2">
        <v>78.612543104650584</v>
      </c>
      <c r="C1321" s="2">
        <v>76.645691782442185</v>
      </c>
      <c r="D1321" s="2">
        <v>45.696562395635731</v>
      </c>
      <c r="E1321" s="2">
        <v>56.833872455824142</v>
      </c>
      <c r="F1321" s="2">
        <v>63.170569690282122</v>
      </c>
      <c r="G1321" s="2">
        <v>63.415222789025627</v>
      </c>
      <c r="H1321" s="2">
        <v>69.040796936002849</v>
      </c>
    </row>
    <row r="1322" spans="1:8" x14ac:dyDescent="0.2">
      <c r="A1322" s="16">
        <f>DATE(2021,11,25)</f>
        <v>44525</v>
      </c>
      <c r="B1322" s="2">
        <v>80.788815276657786</v>
      </c>
      <c r="C1322" s="2">
        <v>78.837930568231315</v>
      </c>
      <c r="D1322" s="2">
        <v>45.744942476446177</v>
      </c>
      <c r="E1322" s="2">
        <v>56.923902668964281</v>
      </c>
      <c r="F1322" s="2">
        <v>63.269140299834149</v>
      </c>
      <c r="G1322" s="2">
        <v>63.514126927416648</v>
      </c>
      <c r="H1322" s="2">
        <v>69.147446146769184</v>
      </c>
    </row>
    <row r="1323" spans="1:8" x14ac:dyDescent="0.2">
      <c r="A1323" s="16">
        <f>DATE(2021,11,26)</f>
        <v>44526</v>
      </c>
      <c r="B1323" s="2">
        <v>75.466578601296803</v>
      </c>
      <c r="C1323" s="2">
        <v>72.775343947536996</v>
      </c>
      <c r="D1323" s="2">
        <v>45.793338622372936</v>
      </c>
      <c r="E1323" s="2">
        <v>57.01398456379254</v>
      </c>
      <c r="F1323" s="2">
        <v>63.367770455449481</v>
      </c>
      <c r="G1323" s="2">
        <v>63.61309092576704</v>
      </c>
      <c r="H1323" s="2">
        <v>69.254162643388213</v>
      </c>
    </row>
    <row r="1324" spans="1:8" x14ac:dyDescent="0.2">
      <c r="A1324" s="16">
        <f>DATE(2021,11,29)</f>
        <v>44529</v>
      </c>
      <c r="B1324" s="2">
        <v>75.152423210620299</v>
      </c>
      <c r="C1324" s="2">
        <v>73.772149545346537</v>
      </c>
      <c r="D1324" s="2">
        <v>45.841750838750571</v>
      </c>
      <c r="E1324" s="2">
        <v>57.10411816997663</v>
      </c>
      <c r="F1324" s="2">
        <v>63.466460193099557</v>
      </c>
      <c r="G1324" s="2">
        <v>63.712114820305899</v>
      </c>
      <c r="H1324" s="2">
        <v>69.360946468311084</v>
      </c>
    </row>
    <row r="1325" spans="1:8" x14ac:dyDescent="0.2">
      <c r="A1325" s="16">
        <f>DATE(2021,11,30)</f>
        <v>44530</v>
      </c>
      <c r="B1325" s="2">
        <v>70.981627048471395</v>
      </c>
      <c r="C1325" s="2">
        <v>72.253405672176143</v>
      </c>
      <c r="D1325" s="2">
        <v>45.890179130915463</v>
      </c>
      <c r="E1325" s="2">
        <v>57.194303517201412</v>
      </c>
      <c r="F1325" s="2">
        <v>63.565209548777673</v>
      </c>
      <c r="G1325" s="2">
        <v>63.81119864728435</v>
      </c>
      <c r="H1325" s="2">
        <v>69.467797664015762</v>
      </c>
    </row>
    <row r="1326" spans="1:8" x14ac:dyDescent="0.2">
      <c r="A1326" s="16">
        <f>DATE(2021,12,1)</f>
        <v>44531</v>
      </c>
      <c r="B1326" s="2">
        <v>69.046920915804748</v>
      </c>
      <c r="C1326" s="2">
        <v>70.325136057870651</v>
      </c>
      <c r="D1326" s="2">
        <v>45.938623504205744</v>
      </c>
      <c r="E1326" s="2">
        <v>57.268497269036821</v>
      </c>
      <c r="F1326" s="2">
        <v>63.647324471707108</v>
      </c>
      <c r="G1326" s="2">
        <v>63.893623230610388</v>
      </c>
      <c r="H1326" s="2">
        <v>69.557419282159145</v>
      </c>
    </row>
    <row r="1327" spans="1:8" x14ac:dyDescent="0.2">
      <c r="A1327" s="16">
        <f>DATE(2021,12,2)</f>
        <v>44532</v>
      </c>
      <c r="B1327" s="2">
        <v>72.311586802121013</v>
      </c>
      <c r="C1327" s="2">
        <v>76.564648615758614</v>
      </c>
      <c r="D1327" s="2">
        <v>45.987083963961318</v>
      </c>
      <c r="E1327" s="2">
        <v>57.342726039398272</v>
      </c>
      <c r="F1327" s="2">
        <v>63.729480618932271</v>
      </c>
      <c r="G1327" s="2">
        <v>63.97608928736431</v>
      </c>
      <c r="H1327" s="2">
        <v>69.647088295940819</v>
      </c>
    </row>
    <row r="1328" spans="1:8" x14ac:dyDescent="0.2">
      <c r="A1328" s="16">
        <f>DATE(2021,12,3)</f>
        <v>44533</v>
      </c>
      <c r="B1328" s="2">
        <v>75.385628352688954</v>
      </c>
      <c r="C1328" s="2">
        <v>77.584575600851394</v>
      </c>
      <c r="D1328" s="2">
        <v>46.035560515523869</v>
      </c>
      <c r="E1328" s="2">
        <v>57.416989844814069</v>
      </c>
      <c r="F1328" s="2">
        <v>63.811678011149041</v>
      </c>
      <c r="G1328" s="2">
        <v>64.05859683841426</v>
      </c>
      <c r="H1328" s="2">
        <v>69.736804730425547</v>
      </c>
    </row>
    <row r="1329" spans="1:8" x14ac:dyDescent="0.2">
      <c r="A1329" s="16">
        <f>DATE(2021,12,6)</f>
        <v>44536</v>
      </c>
      <c r="B1329" s="2">
        <v>76.929357769046149</v>
      </c>
      <c r="C1329" s="2">
        <v>80.60857587127694</v>
      </c>
      <c r="D1329" s="2">
        <v>46.084053164236849</v>
      </c>
      <c r="E1329" s="2">
        <v>57.491288701820338</v>
      </c>
      <c r="F1329" s="2">
        <v>63.893916669063742</v>
      </c>
      <c r="G1329" s="2">
        <v>64.141145904638819</v>
      </c>
      <c r="H1329" s="2">
        <v>69.826568610691353</v>
      </c>
    </row>
    <row r="1330" spans="1:8" x14ac:dyDescent="0.2">
      <c r="A1330" s="16">
        <f>DATE(2021,12,7)</f>
        <v>44537</v>
      </c>
      <c r="B1330" s="2">
        <v>78.167416353585367</v>
      </c>
      <c r="C1330" s="2">
        <v>81.789659601797851</v>
      </c>
      <c r="D1330" s="2">
        <v>46.132561915445478</v>
      </c>
      <c r="E1330" s="2">
        <v>57.565622626960987</v>
      </c>
      <c r="F1330" s="2">
        <v>63.976196613393043</v>
      </c>
      <c r="G1330" s="2">
        <v>64.223736506927125</v>
      </c>
      <c r="H1330" s="2">
        <v>69.916379961829605</v>
      </c>
    </row>
    <row r="1331" spans="1:8" x14ac:dyDescent="0.2">
      <c r="A1331" s="16">
        <f>DATE(2021,12,8)</f>
        <v>44538</v>
      </c>
      <c r="B1331" s="2">
        <v>82.812420349915627</v>
      </c>
      <c r="C1331" s="2">
        <v>82.698728999762892</v>
      </c>
      <c r="D1331" s="2">
        <v>46.181086774496769</v>
      </c>
      <c r="E1331" s="2">
        <v>57.639991636787677</v>
      </c>
      <c r="F1331" s="2">
        <v>64.058517864864015</v>
      </c>
      <c r="G1331" s="2">
        <v>64.306368666178741</v>
      </c>
      <c r="H1331" s="2">
        <v>70.006238808944786</v>
      </c>
    </row>
    <row r="1332" spans="1:8" x14ac:dyDescent="0.2">
      <c r="A1332" s="16">
        <f>DATE(2021,12,9)</f>
        <v>44539</v>
      </c>
      <c r="B1332" s="2">
        <v>79.526628942554737</v>
      </c>
      <c r="C1332" s="2">
        <v>79.649190413412654</v>
      </c>
      <c r="D1332" s="2">
        <v>46.22962774673951</v>
      </c>
      <c r="E1332" s="2">
        <v>57.714395747860038</v>
      </c>
      <c r="F1332" s="2">
        <v>64.140880444214204</v>
      </c>
      <c r="G1332" s="2">
        <v>64.389042403303904</v>
      </c>
      <c r="H1332" s="2">
        <v>70.096145177154824</v>
      </c>
    </row>
    <row r="1333" spans="1:8" x14ac:dyDescent="0.2">
      <c r="A1333" s="16">
        <f>DATE(2021,12,10)</f>
        <v>44540</v>
      </c>
      <c r="B1333" s="2">
        <v>83.359629740721573</v>
      </c>
      <c r="C1333" s="2">
        <v>82.128823986748685</v>
      </c>
      <c r="D1333" s="2">
        <v>46.286217506177671</v>
      </c>
      <c r="E1333" s="2">
        <v>57.788834976745378</v>
      </c>
      <c r="F1333" s="2">
        <v>64.223284372191486</v>
      </c>
      <c r="G1333" s="2">
        <v>64.471757739223222</v>
      </c>
      <c r="H1333" s="2">
        <v>70.186099091590833</v>
      </c>
    </row>
    <row r="1334" spans="1:8" x14ac:dyDescent="0.2">
      <c r="A1334" s="16">
        <f>DATE(2021,12,13)</f>
        <v>44543</v>
      </c>
      <c r="B1334" s="2">
        <v>82.899457496619647</v>
      </c>
      <c r="C1334" s="2">
        <v>81.494980225128842</v>
      </c>
      <c r="D1334" s="2">
        <v>46.34282916542454</v>
      </c>
      <c r="E1334" s="2">
        <v>57.863309340018859</v>
      </c>
      <c r="F1334" s="2">
        <v>64.305729669554211</v>
      </c>
      <c r="G1334" s="2">
        <v>64.554514694867905</v>
      </c>
      <c r="H1334" s="2">
        <v>70.276100577397216</v>
      </c>
    </row>
    <row r="1335" spans="1:8" x14ac:dyDescent="0.2">
      <c r="A1335" s="16">
        <f>DATE(2021,12,14)</f>
        <v>44544</v>
      </c>
      <c r="B1335" s="2">
        <v>78.981453097839619</v>
      </c>
      <c r="C1335" s="2">
        <v>80.441334550248001</v>
      </c>
      <c r="D1335" s="2">
        <v>46.399462732955165</v>
      </c>
      <c r="E1335" s="2">
        <v>57.937818854263497</v>
      </c>
      <c r="F1335" s="2">
        <v>64.388216357071073</v>
      </c>
      <c r="G1335" s="2">
        <v>64.637313291179652</v>
      </c>
      <c r="H1335" s="2">
        <v>70.36614965973169</v>
      </c>
    </row>
    <row r="1336" spans="1:8" x14ac:dyDescent="0.2">
      <c r="A1336" s="16">
        <f>DATE(2021,12,15)</f>
        <v>44545</v>
      </c>
      <c r="B1336" s="2">
        <v>82.059122054947878</v>
      </c>
      <c r="C1336" s="2">
        <v>81.57587127742238</v>
      </c>
      <c r="D1336" s="2">
        <v>46.456118217247891</v>
      </c>
      <c r="E1336" s="2">
        <v>58.01236353607009</v>
      </c>
      <c r="F1336" s="2">
        <v>64.470744455521285</v>
      </c>
      <c r="G1336" s="2">
        <v>64.720153549110734</v>
      </c>
      <c r="H1336" s="2">
        <v>70.456246363765317</v>
      </c>
    </row>
    <row r="1337" spans="1:8" x14ac:dyDescent="0.2">
      <c r="A1337" s="16">
        <f>DATE(2021,12,16)</f>
        <v>44546</v>
      </c>
      <c r="B1337" s="2">
        <v>79.847908614637177</v>
      </c>
      <c r="C1337" s="2">
        <v>83.088817902173105</v>
      </c>
      <c r="D1337" s="2">
        <v>46.512795626784317</v>
      </c>
      <c r="E1337" s="2">
        <v>58.086943402037299</v>
      </c>
      <c r="F1337" s="2">
        <v>64.553313985694416</v>
      </c>
      <c r="G1337" s="2">
        <v>64.803035489623966</v>
      </c>
      <c r="H1337" s="2">
        <v>70.54639071468236</v>
      </c>
    </row>
    <row r="1338" spans="1:8" x14ac:dyDescent="0.2">
      <c r="A1338" s="16">
        <f>DATE(2021,12,17)</f>
        <v>44547</v>
      </c>
      <c r="B1338" s="2">
        <v>79.045482319347343</v>
      </c>
      <c r="C1338" s="2">
        <v>81.186086603792276</v>
      </c>
      <c r="D1338" s="2">
        <v>46.569494970049362</v>
      </c>
      <c r="E1338" s="2">
        <v>58.161558468771617</v>
      </c>
      <c r="F1338" s="2">
        <v>64.635924968390526</v>
      </c>
      <c r="G1338" s="2">
        <v>64.88595913369268</v>
      </c>
      <c r="H1338" s="2">
        <v>70.636582737680541</v>
      </c>
    </row>
    <row r="1339" spans="1:8" x14ac:dyDescent="0.2">
      <c r="A1339" s="16">
        <f>DATE(2021,12,20)</f>
        <v>44550</v>
      </c>
      <c r="B1339" s="2">
        <v>75.331093592997107</v>
      </c>
      <c r="C1339" s="2">
        <v>77.50021972078514</v>
      </c>
      <c r="D1339" s="2">
        <v>46.626216255531233</v>
      </c>
      <c r="E1339" s="2">
        <v>58.23620875288735</v>
      </c>
      <c r="F1339" s="2">
        <v>64.71857742442009</v>
      </c>
      <c r="G1339" s="2">
        <v>64.96892450230078</v>
      </c>
      <c r="H1339" s="2">
        <v>70.726822457970798</v>
      </c>
    </row>
    <row r="1340" spans="1:8" x14ac:dyDescent="0.2">
      <c r="A1340" s="16">
        <f>DATE(2021,12,21)</f>
        <v>44551</v>
      </c>
      <c r="B1340" s="2">
        <v>74.928774361160848</v>
      </c>
      <c r="C1340" s="2">
        <v>78.311665483554336</v>
      </c>
      <c r="D1340" s="2">
        <v>46.682959491721363</v>
      </c>
      <c r="E1340" s="2">
        <v>58.31089427100666</v>
      </c>
      <c r="F1340" s="2">
        <v>64.801271374604028</v>
      </c>
      <c r="G1340" s="2">
        <v>65.051931616442744</v>
      </c>
      <c r="H1340" s="2">
        <v>70.817109900777453</v>
      </c>
    </row>
    <row r="1341" spans="1:8" x14ac:dyDescent="0.2">
      <c r="A1341" s="16">
        <f>DATE(2021,12,22)</f>
        <v>44552</v>
      </c>
      <c r="B1341" s="2">
        <v>74.474874507534963</v>
      </c>
      <c r="C1341" s="2">
        <v>77.878714126355916</v>
      </c>
      <c r="D1341" s="2">
        <v>46.739724687114538</v>
      </c>
      <c r="E1341" s="2">
        <v>58.385615039759593</v>
      </c>
      <c r="F1341" s="2">
        <v>64.884006839773761</v>
      </c>
      <c r="G1341" s="2">
        <v>65.134980497123564</v>
      </c>
      <c r="H1341" s="2">
        <v>70.907445091338175</v>
      </c>
    </row>
    <row r="1342" spans="1:8" x14ac:dyDescent="0.2">
      <c r="A1342" s="16">
        <f>DATE(2021,12,23)</f>
        <v>44553</v>
      </c>
      <c r="B1342" s="2">
        <v>71.944174488147581</v>
      </c>
      <c r="C1342" s="2">
        <v>77.283101781428101</v>
      </c>
      <c r="D1342" s="2">
        <v>46.796511850208788</v>
      </c>
      <c r="E1342" s="2">
        <v>58.460371075783989</v>
      </c>
      <c r="F1342" s="2">
        <v>64.9667838407711</v>
      </c>
      <c r="G1342" s="2">
        <v>65.218071165358893</v>
      </c>
      <c r="H1342" s="2">
        <v>70.997828054903977</v>
      </c>
    </row>
    <row r="1343" spans="1:8" x14ac:dyDescent="0.2">
      <c r="A1343" s="16">
        <f>DATE(2021,12,24)</f>
        <v>44554</v>
      </c>
      <c r="B1343" s="2">
        <v>71.937166998240087</v>
      </c>
      <c r="C1343" s="2">
        <v>77.283101781428101</v>
      </c>
      <c r="D1343" s="2">
        <v>46.853320989505455</v>
      </c>
      <c r="E1343" s="2">
        <v>58.535162395725493</v>
      </c>
      <c r="F1343" s="2">
        <v>65.0496023984483</v>
      </c>
      <c r="G1343" s="2">
        <v>65.301203642174784</v>
      </c>
      <c r="H1343" s="2">
        <v>71.088258816739099</v>
      </c>
    </row>
    <row r="1344" spans="1:8" x14ac:dyDescent="0.2">
      <c r="A1344" s="16">
        <f>DATE(2021,12,27)</f>
        <v>44557</v>
      </c>
      <c r="B1344" s="2">
        <v>72.616584365300781</v>
      </c>
      <c r="C1344" s="2">
        <v>78.403813000709434</v>
      </c>
      <c r="D1344" s="2">
        <v>46.910152113509177</v>
      </c>
      <c r="E1344" s="2">
        <v>58.609989016237769</v>
      </c>
      <c r="F1344" s="2">
        <v>65.132462533668203</v>
      </c>
      <c r="G1344" s="2">
        <v>65.384377948608105</v>
      </c>
      <c r="H1344" s="2">
        <v>71.178737402121371</v>
      </c>
    </row>
    <row r="1345" spans="1:8" x14ac:dyDescent="0.2">
      <c r="A1345" s="16">
        <f>DATE(2021,12,28)</f>
        <v>44558</v>
      </c>
      <c r="B1345" s="2">
        <v>70.967880002094063</v>
      </c>
      <c r="C1345" s="2">
        <v>77.237213940438338</v>
      </c>
      <c r="D1345" s="2">
        <v>46.967005230727857</v>
      </c>
      <c r="E1345" s="2">
        <v>58.684850953982242</v>
      </c>
      <c r="F1345" s="2">
        <v>65.215364267304025</v>
      </c>
      <c r="G1345" s="2">
        <v>65.467594105706127</v>
      </c>
      <c r="H1345" s="2">
        <v>71.26926383634185</v>
      </c>
    </row>
    <row r="1346" spans="1:8" x14ac:dyDescent="0.2">
      <c r="A1346" s="16">
        <f>DATE(2021,12,29)</f>
        <v>44559</v>
      </c>
      <c r="B1346" s="2">
        <v>68.623428072306893</v>
      </c>
      <c r="C1346" s="2">
        <v>75.957881215562594</v>
      </c>
      <c r="D1346" s="2">
        <v>47.023880349672687</v>
      </c>
      <c r="E1346" s="2">
        <v>58.759748225628151</v>
      </c>
      <c r="F1346" s="2">
        <v>65.298307620239527</v>
      </c>
      <c r="G1346" s="2">
        <v>65.550852134526778</v>
      </c>
      <c r="H1346" s="2">
        <v>71.359838144704966</v>
      </c>
    </row>
    <row r="1347" spans="1:8" x14ac:dyDescent="0.2">
      <c r="A1347" s="16">
        <f>DATE(2021,12,30)</f>
        <v>44560</v>
      </c>
      <c r="B1347" s="2">
        <v>71.027711599745444</v>
      </c>
      <c r="C1347" s="2">
        <v>77.166683568265171</v>
      </c>
      <c r="D1347" s="2">
        <v>47.080777478858195</v>
      </c>
      <c r="E1347" s="2">
        <v>58.834680847852681</v>
      </c>
      <c r="F1347" s="2">
        <v>65.381292613368856</v>
      </c>
      <c r="G1347" s="2">
        <v>65.634152056138603</v>
      </c>
      <c r="H1347" s="2">
        <v>71.450460352528566</v>
      </c>
    </row>
    <row r="1348" spans="1:8" x14ac:dyDescent="0.2">
      <c r="A1348" s="16">
        <f>DATE(2021,12,31)</f>
        <v>44561</v>
      </c>
      <c r="B1348" s="2">
        <v>71.021068224509605</v>
      </c>
      <c r="C1348" s="2">
        <v>77.166683568265171</v>
      </c>
      <c r="D1348" s="2">
        <v>47.13769662680216</v>
      </c>
      <c r="E1348" s="2">
        <v>58.909648837340889</v>
      </c>
      <c r="F1348" s="2">
        <v>65.464319267596736</v>
      </c>
      <c r="G1348" s="2">
        <v>65.717493891620691</v>
      </c>
      <c r="H1348" s="2">
        <v>71.541130485143853</v>
      </c>
    </row>
    <row r="1349" spans="1:8" x14ac:dyDescent="0.2">
      <c r="A1349" s="16">
        <f>DATE(2022,1,3)</f>
        <v>44564</v>
      </c>
      <c r="B1349" s="2">
        <v>65.639460247402951</v>
      </c>
      <c r="C1349" s="2">
        <v>75.644103032146447</v>
      </c>
      <c r="D1349" s="2">
        <v>47.194637802025682</v>
      </c>
      <c r="E1349" s="2">
        <v>58.984929659333908</v>
      </c>
      <c r="F1349" s="2">
        <v>65.547676505199107</v>
      </c>
      <c r="G1349" s="2">
        <v>65.801167005796103</v>
      </c>
      <c r="H1349" s="2">
        <v>71.632148087418656</v>
      </c>
    </row>
    <row r="1350" spans="1:8" x14ac:dyDescent="0.2">
      <c r="A1350" s="16">
        <f>DATE(2022,1,4)</f>
        <v>44565</v>
      </c>
      <c r="B1350" s="2">
        <v>63.110024324234161</v>
      </c>
      <c r="C1350" s="2">
        <v>74.954602305377691</v>
      </c>
      <c r="D1350" s="2">
        <v>47.251601013053147</v>
      </c>
      <c r="E1350" s="2">
        <v>59.060246144373203</v>
      </c>
      <c r="F1350" s="2">
        <v>65.631075736320625</v>
      </c>
      <c r="G1350" s="2">
        <v>65.88488236771417</v>
      </c>
      <c r="H1350" s="2">
        <v>71.723213982507545</v>
      </c>
    </row>
    <row r="1351" spans="1:8" x14ac:dyDescent="0.2">
      <c r="A1351" s="16">
        <f>DATE(2022,1,5)</f>
        <v>44566</v>
      </c>
      <c r="B1351" s="2">
        <v>56.84680541588294</v>
      </c>
      <c r="C1351" s="2">
        <v>70.715681303450936</v>
      </c>
      <c r="D1351" s="2">
        <v>47.308586268412235</v>
      </c>
      <c r="E1351" s="2">
        <v>59.135598309353547</v>
      </c>
      <c r="F1351" s="2">
        <v>65.71451698211672</v>
      </c>
      <c r="G1351" s="2">
        <v>65.968639998706365</v>
      </c>
      <c r="H1351" s="2">
        <v>71.814328196034083</v>
      </c>
    </row>
    <row r="1352" spans="1:8" x14ac:dyDescent="0.2">
      <c r="A1352" s="16">
        <f>DATE(2022,1,6)</f>
        <v>44567</v>
      </c>
      <c r="B1352" s="2">
        <v>58.613984449143388</v>
      </c>
      <c r="C1352" s="2">
        <v>71.654413007470154</v>
      </c>
      <c r="D1352" s="2">
        <v>47.365593576633948</v>
      </c>
      <c r="E1352" s="2">
        <v>59.210986171177751</v>
      </c>
      <c r="F1352" s="2">
        <v>65.798000263753423</v>
      </c>
      <c r="G1352" s="2">
        <v>66.052439920114978</v>
      </c>
      <c r="H1352" s="2">
        <v>71.905490753635462</v>
      </c>
    </row>
    <row r="1353" spans="1:8" x14ac:dyDescent="0.2">
      <c r="A1353" s="16">
        <f>DATE(2022,1,7)</f>
        <v>44568</v>
      </c>
      <c r="B1353" s="2">
        <v>57.951632381033868</v>
      </c>
      <c r="C1353" s="2">
        <v>73.612328026230927</v>
      </c>
      <c r="D1353" s="2">
        <v>47.422622946252588</v>
      </c>
      <c r="E1353" s="2">
        <v>59.286409746756561</v>
      </c>
      <c r="F1353" s="2">
        <v>65.88152560240745</v>
      </c>
      <c r="G1353" s="2">
        <v>66.13628215329301</v>
      </c>
      <c r="H1353" s="2">
        <v>71.996701680962445</v>
      </c>
    </row>
    <row r="1354" spans="1:8" x14ac:dyDescent="0.2">
      <c r="A1354" s="16">
        <f>DATE(2022,1,10)</f>
        <v>44571</v>
      </c>
      <c r="B1354" s="2">
        <v>55.269096543562533</v>
      </c>
      <c r="C1354" s="2">
        <v>72.303687928877707</v>
      </c>
      <c r="D1354" s="2">
        <v>47.479674385805737</v>
      </c>
      <c r="E1354" s="2">
        <v>59.361869053008803</v>
      </c>
      <c r="F1354" s="2">
        <v>65.965093019266206</v>
      </c>
      <c r="G1354" s="2">
        <v>66.220166719604293</v>
      </c>
      <c r="H1354" s="2">
        <v>72.087961003679396</v>
      </c>
    </row>
    <row r="1355" spans="1:8" x14ac:dyDescent="0.2">
      <c r="A1355" s="16">
        <f>DATE(2022,1,11)</f>
        <v>44572</v>
      </c>
      <c r="B1355" s="2">
        <v>59.040754324686212</v>
      </c>
      <c r="C1355" s="2">
        <v>75.403069330358264</v>
      </c>
      <c r="D1355" s="2">
        <v>47.536747903834289</v>
      </c>
      <c r="E1355" s="2">
        <v>59.437364106861288</v>
      </c>
      <c r="F1355" s="2">
        <v>66.048702535527724</v>
      </c>
      <c r="G1355" s="2">
        <v>66.304093640423403</v>
      </c>
      <c r="H1355" s="2">
        <v>72.17926874746432</v>
      </c>
    </row>
    <row r="1356" spans="1:8" x14ac:dyDescent="0.2">
      <c r="A1356" s="16">
        <f>DATE(2022,1,12)</f>
        <v>44573</v>
      </c>
      <c r="B1356" s="2">
        <v>63.12134622949646</v>
      </c>
      <c r="C1356" s="2">
        <v>78.62566338775612</v>
      </c>
      <c r="D1356" s="2">
        <v>47.593843508882451</v>
      </c>
      <c r="E1356" s="2">
        <v>59.512894925248872</v>
      </c>
      <c r="F1356" s="2">
        <v>66.132354172400781</v>
      </c>
      <c r="G1356" s="2">
        <v>66.388062937135743</v>
      </c>
      <c r="H1356" s="2">
        <v>72.270624938008837</v>
      </c>
    </row>
    <row r="1357" spans="1:8" x14ac:dyDescent="0.2">
      <c r="A1357" s="16">
        <f>DATE(2022,1,13)</f>
        <v>44574</v>
      </c>
      <c r="B1357" s="2">
        <v>61.492125436267848</v>
      </c>
      <c r="C1357" s="2">
        <v>78.361728019470277</v>
      </c>
      <c r="D1357" s="2">
        <v>47.650961209497723</v>
      </c>
      <c r="E1357" s="2">
        <v>59.58846152511439</v>
      </c>
      <c r="F1357" s="2">
        <v>66.216047951104784</v>
      </c>
      <c r="G1357" s="2">
        <v>66.472074631137517</v>
      </c>
      <c r="H1357" s="2">
        <v>72.362029601018207</v>
      </c>
    </row>
    <row r="1358" spans="1:8" x14ac:dyDescent="0.2">
      <c r="A1358" s="16">
        <f>DATE(2022,1,14)</f>
        <v>44575</v>
      </c>
      <c r="B1358" s="2">
        <v>63.494948492888241</v>
      </c>
      <c r="C1358" s="2">
        <v>80.725061690835574</v>
      </c>
      <c r="D1358" s="2">
        <v>47.708101014230927</v>
      </c>
      <c r="E1358" s="2">
        <v>59.664063923408733</v>
      </c>
      <c r="F1358" s="2">
        <v>66.299783892869854</v>
      </c>
      <c r="G1358" s="2">
        <v>66.5561287438357</v>
      </c>
      <c r="H1358" s="2">
        <v>72.453482762211294</v>
      </c>
    </row>
    <row r="1359" spans="1:8" x14ac:dyDescent="0.2">
      <c r="A1359" s="16">
        <f>DATE(2022,1,17)</f>
        <v>44578</v>
      </c>
      <c r="B1359" s="2">
        <v>62.935482864832331</v>
      </c>
      <c r="C1359" s="2">
        <v>79.788848325051177</v>
      </c>
      <c r="D1359" s="2">
        <v>47.765262931636208</v>
      </c>
      <c r="E1359" s="2">
        <v>59.739702137090767</v>
      </c>
      <c r="F1359" s="2">
        <v>66.383562018936757</v>
      </c>
      <c r="G1359" s="2">
        <v>66.640225296648055</v>
      </c>
      <c r="H1359" s="2">
        <v>72.544984447320601</v>
      </c>
    </row>
    <row r="1360" spans="1:8" x14ac:dyDescent="0.2">
      <c r="A1360" s="16">
        <f>DATE(2022,1,18)</f>
        <v>44579</v>
      </c>
      <c r="B1360" s="2">
        <v>59.71927858028814</v>
      </c>
      <c r="C1360" s="2">
        <v>80.285400398877357</v>
      </c>
      <c r="D1360" s="2">
        <v>47.822446970270981</v>
      </c>
      <c r="E1360" s="2">
        <v>59.815376183127512</v>
      </c>
      <c r="F1360" s="2">
        <v>66.467382350557088</v>
      </c>
      <c r="G1360" s="2">
        <v>66.724364311003299</v>
      </c>
      <c r="H1360" s="2">
        <v>72.636534682092403</v>
      </c>
    </row>
    <row r="1361" spans="1:8" x14ac:dyDescent="0.2">
      <c r="A1361" s="16">
        <f>DATE(2022,1,19)</f>
        <v>44580</v>
      </c>
      <c r="B1361" s="2">
        <v>63.333989197748288</v>
      </c>
      <c r="C1361" s="2">
        <v>82.560034479261347</v>
      </c>
      <c r="D1361" s="2">
        <v>47.879653138696</v>
      </c>
      <c r="E1361" s="2">
        <v>59.891086078493942</v>
      </c>
      <c r="F1361" s="2">
        <v>66.551244908993013</v>
      </c>
      <c r="G1361" s="2">
        <v>66.80854580834081</v>
      </c>
      <c r="H1361" s="2">
        <v>72.728133492286531</v>
      </c>
    </row>
    <row r="1362" spans="1:8" x14ac:dyDescent="0.2">
      <c r="A1362" s="16">
        <f>DATE(2022,1,20)</f>
        <v>44581</v>
      </c>
      <c r="B1362" s="2">
        <v>69.789996519613396</v>
      </c>
      <c r="C1362" s="2">
        <v>84.399807321772244</v>
      </c>
      <c r="D1362" s="2">
        <v>47.936881445475343</v>
      </c>
      <c r="E1362" s="2">
        <v>59.966831840173057</v>
      </c>
      <c r="F1362" s="2">
        <v>66.635149715517485</v>
      </c>
      <c r="G1362" s="2">
        <v>66.892769810110849</v>
      </c>
      <c r="H1362" s="2">
        <v>72.819780903676488</v>
      </c>
    </row>
    <row r="1363" spans="1:8" x14ac:dyDescent="0.2">
      <c r="A1363" s="16">
        <f>DATE(2022,1,21)</f>
        <v>44582</v>
      </c>
      <c r="B1363" s="2">
        <v>71.349850032845964</v>
      </c>
      <c r="C1363" s="2">
        <v>84.128857789946494</v>
      </c>
      <c r="D1363" s="2">
        <v>47.994131899176359</v>
      </c>
      <c r="E1363" s="2">
        <v>60.042613485155961</v>
      </c>
      <c r="F1363" s="2">
        <v>66.719096791414145</v>
      </c>
      <c r="G1363" s="2">
        <v>66.977036337774521</v>
      </c>
      <c r="H1363" s="2">
        <v>72.911476942049475</v>
      </c>
    </row>
    <row r="1364" spans="1:8" x14ac:dyDescent="0.2">
      <c r="A1364" s="16">
        <f>DATE(2022,1,24)</f>
        <v>44585</v>
      </c>
      <c r="B1364" s="2">
        <v>67.942272572945654</v>
      </c>
      <c r="C1364" s="2">
        <v>82.430973870127701</v>
      </c>
      <c r="D1364" s="2">
        <v>48.051404508369757</v>
      </c>
      <c r="E1364" s="2">
        <v>60.118431030441741</v>
      </c>
      <c r="F1364" s="2">
        <v>66.803086157977333</v>
      </c>
      <c r="G1364" s="2">
        <v>67.061345412803732</v>
      </c>
      <c r="H1364" s="2">
        <v>73.003221633206337</v>
      </c>
    </row>
    <row r="1365" spans="1:8" x14ac:dyDescent="0.2">
      <c r="A1365" s="16">
        <f>DATE(2022,1,25)</f>
        <v>44586</v>
      </c>
      <c r="B1365" s="2">
        <v>72.698001779902526</v>
      </c>
      <c r="C1365" s="2">
        <v>86.261991684412905</v>
      </c>
      <c r="D1365" s="2">
        <v>48.108699281629526</v>
      </c>
      <c r="E1365" s="2">
        <v>60.194284493037607</v>
      </c>
      <c r="F1365" s="2">
        <v>66.887117836512175</v>
      </c>
      <c r="G1365" s="2">
        <v>67.145697056681243</v>
      </c>
      <c r="H1365" s="2">
        <v>73.095015002961674</v>
      </c>
    </row>
    <row r="1366" spans="1:8" x14ac:dyDescent="0.2">
      <c r="A1366" s="16">
        <f>DATE(2022,1,26)</f>
        <v>44587</v>
      </c>
      <c r="B1366" s="2">
        <v>78.312595056257209</v>
      </c>
      <c r="C1366" s="2">
        <v>88.096508129668578</v>
      </c>
      <c r="D1366" s="2">
        <v>48.166016227533028</v>
      </c>
      <c r="E1366" s="2">
        <v>60.27017388995877</v>
      </c>
      <c r="F1366" s="2">
        <v>66.971191848334485</v>
      </c>
      <c r="G1366" s="2">
        <v>67.230091290900717</v>
      </c>
      <c r="H1366" s="2">
        <v>73.186857077143713</v>
      </c>
    </row>
    <row r="1367" spans="1:8" x14ac:dyDescent="0.2">
      <c r="A1367" s="16">
        <f>DATE(2022,1,27)</f>
        <v>44588</v>
      </c>
      <c r="B1367" s="2">
        <v>80.521816171005923</v>
      </c>
      <c r="C1367" s="2">
        <v>90.331693878240387</v>
      </c>
      <c r="D1367" s="2">
        <v>48.223355354660868</v>
      </c>
      <c r="E1367" s="2">
        <v>60.346099238228533</v>
      </c>
      <c r="F1367" s="2">
        <v>67.055308214770847</v>
      </c>
      <c r="G1367" s="2">
        <v>67.314528136966572</v>
      </c>
      <c r="H1367" s="2">
        <v>73.278747881594455</v>
      </c>
    </row>
    <row r="1368" spans="1:8" x14ac:dyDescent="0.2">
      <c r="A1368" s="16">
        <f>DATE(2022,1,28)</f>
        <v>44589</v>
      </c>
      <c r="B1368" s="2">
        <v>80.247981327650123</v>
      </c>
      <c r="C1368" s="2">
        <v>89.145962208024415</v>
      </c>
      <c r="D1368" s="2">
        <v>48.280716671597034</v>
      </c>
      <c r="E1368" s="2">
        <v>60.422060554878271</v>
      </c>
      <c r="F1368" s="2">
        <v>67.139466957158533</v>
      </c>
      <c r="G1368" s="2">
        <v>67.399007616394144</v>
      </c>
      <c r="H1368" s="2">
        <v>73.370687442169569</v>
      </c>
    </row>
    <row r="1369" spans="1:8" x14ac:dyDescent="0.2">
      <c r="A1369" s="16">
        <f>DATE(2022,1,31)</f>
        <v>44592</v>
      </c>
      <c r="B1369" s="2">
        <v>84.304246250340341</v>
      </c>
      <c r="C1369" s="2">
        <v>89.540462427745183</v>
      </c>
      <c r="D1369" s="2">
        <v>48.338100186928813</v>
      </c>
      <c r="E1369" s="2">
        <v>60.498057856947369</v>
      </c>
      <c r="F1369" s="2">
        <v>67.223668096845628</v>
      </c>
      <c r="G1369" s="2">
        <v>67.483529750709664</v>
      </c>
      <c r="H1369" s="2">
        <v>73.462675784738437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84.304246250340256</v>
      </c>
      <c r="D3" s="5">
        <v>7.766983427090457</v>
      </c>
    </row>
    <row r="4" spans="1:4" x14ac:dyDescent="0.2">
      <c r="A4" s="7"/>
      <c r="B4" s="3" t="s">
        <v>2</v>
      </c>
      <c r="C4" s="4">
        <v>89.540462427745652</v>
      </c>
      <c r="D4" s="5">
        <v>6.9842583324715601</v>
      </c>
    </row>
    <row r="5" spans="1:4" x14ac:dyDescent="0.2">
      <c r="A5" s="8"/>
      <c r="B5" s="3" t="s">
        <v>3</v>
      </c>
      <c r="C5" s="4">
        <v>48.338100186928813</v>
      </c>
      <c r="D5" s="5">
        <v>0.81583685734278877</v>
      </c>
    </row>
    <row r="6" spans="1:4" x14ac:dyDescent="0.2">
      <c r="A6" s="9"/>
      <c r="B6" s="3" t="s">
        <v>4</v>
      </c>
      <c r="C6" s="4">
        <v>60.498057856947376</v>
      </c>
      <c r="D6" s="5">
        <v>0.99956738387378952</v>
      </c>
    </row>
    <row r="7" spans="1:4" x14ac:dyDescent="0.2">
      <c r="A7" s="10"/>
      <c r="B7" s="3" t="s">
        <v>5</v>
      </c>
      <c r="C7" s="4">
        <v>67.223668096845628</v>
      </c>
      <c r="D7" s="5">
        <v>1.0632798883991601</v>
      </c>
    </row>
    <row r="8" spans="1:4" x14ac:dyDescent="0.2">
      <c r="A8" s="11"/>
      <c r="B8" s="3" t="s">
        <v>6</v>
      </c>
      <c r="C8" s="4">
        <v>67.483529750709664</v>
      </c>
      <c r="D8" s="5">
        <v>1.0656906628361051</v>
      </c>
    </row>
    <row r="9" spans="1:4" x14ac:dyDescent="0.2">
      <c r="A9" s="12"/>
      <c r="B9" s="3" t="s">
        <v>7</v>
      </c>
      <c r="C9" s="4">
        <v>73.462675784738437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2022-02-17T18:21:17Z</dcterms:created>
  <dcterms:modified xsi:type="dcterms:W3CDTF">2022-02-17T20:31:53Z</dcterms:modified>
</cp:coreProperties>
</file>