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Retorno\del\"/>
    </mc:Choice>
  </mc:AlternateContent>
  <xr:revisionPtr revIDLastSave="0" documentId="13_ncr:1_{71DB3561-9F11-40DF-A227-92BC17C95F0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dos" sheetId="1" r:id="rId1"/>
    <sheet name="Gráfico" sheetId="2" r:id="rId2"/>
  </sheets>
  <calcPr calcId="191029"/>
</workbook>
</file>

<file path=xl/calcChain.xml><?xml version="1.0" encoding="utf-8"?>
<calcChain xmlns="http://schemas.openxmlformats.org/spreadsheetml/2006/main">
  <c r="A1211" i="1" l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<sst xmlns="http://schemas.openxmlformats.org/spreadsheetml/2006/main" count="19" uniqueCount="12">
  <si>
    <t/>
  </si>
  <si>
    <t>NOVUS MACRO FIC MULTIMERCADO</t>
  </si>
  <si>
    <t>CDI</t>
  </si>
  <si>
    <t>CDI +1,00%</t>
  </si>
  <si>
    <t>Índice INPC +4,00%</t>
  </si>
  <si>
    <t>Índice INPC +4,79%</t>
  </si>
  <si>
    <t>Índice INPC +4,82%</t>
  </si>
  <si>
    <t>Índice INPC +5,500%</t>
  </si>
  <si>
    <t>Retorno acumulado - 06/04/2017 até 31/01/2022 (diária)</t>
  </si>
  <si>
    <t>Ativo</t>
  </si>
  <si>
    <t>Retorno</t>
  </si>
  <si>
    <t>Retorno YTD*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</si>
</sst>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\ \%"/>
    <numFmt numFmtId="166" formatCode="#,##0.00\ \%"/>
  </numFmts>
  <fonts count="2" x14ac:knownFonts="1">
    <font>
      <sz val="9"/>
      <color indexed="8"/>
      <name val="Calibri"/>
      <family val="2"/>
      <scheme val="minor"/>
    </font>
    <font>
      <b/>
      <sz val="9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4E80A6"/>
        <bgColor rgb="FF4E80A6"/>
      </patternFill>
    </fill>
    <fill>
      <patternFill patternType="solid">
        <fgColor rgb="FF4F94EF"/>
        <bgColor rgb="FF4F94EF"/>
      </patternFill>
    </fill>
    <fill>
      <patternFill patternType="solid">
        <fgColor rgb="FFA2A2A2"/>
        <bgColor rgb="FFA2A2A2"/>
      </patternFill>
    </fill>
    <fill>
      <patternFill patternType="solid">
        <fgColor rgb="FFFF6A6A"/>
        <bgColor rgb="FFFF6A6A"/>
      </patternFill>
    </fill>
    <fill>
      <patternFill patternType="solid">
        <fgColor rgb="FFF0C484"/>
        <bgColor rgb="FFF0C484"/>
      </patternFill>
    </fill>
    <fill>
      <patternFill patternType="solid">
        <fgColor rgb="FF96D7FA"/>
        <bgColor rgb="FF96D7FA"/>
      </patternFill>
    </fill>
    <fill>
      <patternFill patternType="solid">
        <fgColor rgb="FF6DBA82"/>
        <bgColor rgb="FF6DBA82"/>
      </patternFill>
    </fill>
    <fill>
      <patternFill patternType="solid">
        <fgColor rgb="FFC3C6D5"/>
        <bgColor rgb="FFC3C6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14" fontId="1" fillId="2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36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36289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1"/>
  <sheetViews>
    <sheetView tabSelected="1" workbookViewId="0">
      <selection sqref="A1:A1048576"/>
    </sheetView>
  </sheetViews>
  <sheetFormatPr defaultRowHeight="12" x14ac:dyDescent="0.2"/>
  <cols>
    <col min="1" max="1" width="20.33203125" style="17" customWidth="1"/>
    <col min="2" max="9" width="20.33203125" customWidth="1"/>
  </cols>
  <sheetData>
    <row r="1" spans="1:8" ht="33.75" x14ac:dyDescent="0.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6">
        <f>DATE(2017,4,5)</f>
        <v>42830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s="16">
        <f>DATE(2017,4,6)</f>
        <v>42831</v>
      </c>
      <c r="B3" s="2">
        <v>-0.48850534834761206</v>
      </c>
      <c r="C3" s="2">
        <v>4.544235623111792E-2</v>
      </c>
      <c r="D3" s="2">
        <v>4.9392772523337847E-2</v>
      </c>
      <c r="E3" s="2">
        <v>2.0008444097263656E-2</v>
      </c>
      <c r="F3" s="2">
        <v>2.3012045732828668E-2</v>
      </c>
      <c r="G3" s="2">
        <v>2.3125661574407985E-2</v>
      </c>
      <c r="H3" s="2">
        <v>2.5692303603919164E-2</v>
      </c>
    </row>
    <row r="4" spans="1:8" x14ac:dyDescent="0.2">
      <c r="A4" s="16">
        <f>DATE(2017,4,7)</f>
        <v>42832</v>
      </c>
      <c r="B4" s="2">
        <v>-0.1025616942856411</v>
      </c>
      <c r="C4" s="2">
        <v>9.0905362539639434E-2</v>
      </c>
      <c r="D4" s="2">
        <v>9.8809941506461385E-2</v>
      </c>
      <c r="E4" s="2">
        <v>4.0020891572889461E-2</v>
      </c>
      <c r="F4" s="2">
        <v>4.6029387008150735E-2</v>
      </c>
      <c r="G4" s="2">
        <v>4.6256671111044589E-2</v>
      </c>
      <c r="H4" s="2">
        <v>5.1391208152473673E-2</v>
      </c>
    </row>
    <row r="5" spans="1:8" x14ac:dyDescent="0.2">
      <c r="A5" s="16">
        <f>DATE(2017,4,10)</f>
        <v>42835</v>
      </c>
      <c r="B5" s="2">
        <v>0.42376530062533391</v>
      </c>
      <c r="C5" s="2">
        <v>0.136389028309436</v>
      </c>
      <c r="D5" s="2">
        <v>0.14825151899944267</v>
      </c>
      <c r="E5" s="2">
        <v>6.0037343227881117E-2</v>
      </c>
      <c r="F5" s="2">
        <v>6.9052025044569199E-2</v>
      </c>
      <c r="G5" s="2">
        <v>6.9393029846676058E-2</v>
      </c>
      <c r="H5" s="2">
        <v>7.7096715341617994E-2</v>
      </c>
    </row>
    <row r="6" spans="1:8" x14ac:dyDescent="0.2">
      <c r="A6" s="16">
        <f>DATE(2017,4,11)</f>
        <v>42836</v>
      </c>
      <c r="B6" s="2">
        <v>0.56408678340422735</v>
      </c>
      <c r="C6" s="2">
        <v>0.18189336292866454</v>
      </c>
      <c r="D6" s="2">
        <v>0.19771751705832674</v>
      </c>
      <c r="E6" s="2">
        <v>8.0057799863397783E-2</v>
      </c>
      <c r="F6" s="2">
        <v>9.2079961060975712E-2</v>
      </c>
      <c r="G6" s="2">
        <v>9.2534739018312884E-2</v>
      </c>
      <c r="H6" s="2">
        <v>0.10280882686770632</v>
      </c>
    </row>
    <row r="7" spans="1:8" x14ac:dyDescent="0.2">
      <c r="A7" s="16">
        <f>DATE(2017,4,12)</f>
        <v>42837</v>
      </c>
      <c r="B7" s="2">
        <v>0.29942601643240252</v>
      </c>
      <c r="C7" s="2">
        <v>0.22741837578972299</v>
      </c>
      <c r="D7" s="2">
        <v>0.24720794774510946</v>
      </c>
      <c r="E7" s="2">
        <v>0.10008226228079842</v>
      </c>
      <c r="F7" s="2">
        <v>0.11511319627655059</v>
      </c>
      <c r="G7" s="2">
        <v>0.11568179986329863</v>
      </c>
      <c r="H7" s="2">
        <v>0.12852754442755909</v>
      </c>
    </row>
    <row r="8" spans="1:8" x14ac:dyDescent="0.2">
      <c r="A8" s="16">
        <f>DATE(2017,4,13)</f>
        <v>42838</v>
      </c>
      <c r="B8" s="2">
        <v>-0.32520004329457119</v>
      </c>
      <c r="C8" s="2">
        <v>0.27296407628929487</v>
      </c>
      <c r="D8" s="2">
        <v>0.29672282312773746</v>
      </c>
      <c r="E8" s="2">
        <v>0.12011073128155303</v>
      </c>
      <c r="F8" s="2">
        <v>0.13815173191074059</v>
      </c>
      <c r="G8" s="2">
        <v>0.13883421361924331</v>
      </c>
      <c r="H8" s="2">
        <v>0.15425286971839647</v>
      </c>
    </row>
    <row r="9" spans="1:8" x14ac:dyDescent="0.2">
      <c r="A9" s="16">
        <f>DATE(2017,4,17)</f>
        <v>42842</v>
      </c>
      <c r="B9" s="2">
        <v>-3.1379787706242723E-2</v>
      </c>
      <c r="C9" s="2">
        <v>0.31496436262932193</v>
      </c>
      <c r="D9" s="2">
        <v>0.34269505827857483</v>
      </c>
      <c r="E9" s="2">
        <v>0.14014320766733146</v>
      </c>
      <c r="F9" s="2">
        <v>0.16119556918330336</v>
      </c>
      <c r="G9" s="2">
        <v>0.16199198152404559</v>
      </c>
      <c r="H9" s="2">
        <v>0.17998480443792708</v>
      </c>
    </row>
    <row r="10" spans="1:8" x14ac:dyDescent="0.2">
      <c r="A10" s="16">
        <f>DATE(2017,4,18)</f>
        <v>42843</v>
      </c>
      <c r="B10" s="2">
        <v>0.14142428034005228</v>
      </c>
      <c r="C10" s="2">
        <v>0.35698224118942967</v>
      </c>
      <c r="D10" s="2">
        <v>0.38868836536820606</v>
      </c>
      <c r="E10" s="2">
        <v>0.16017969223995898</v>
      </c>
      <c r="F10" s="2">
        <v>0.18424470931424075</v>
      </c>
      <c r="G10" s="2">
        <v>0.18515510481587061</v>
      </c>
      <c r="H10" s="2">
        <v>0.20572335028423705</v>
      </c>
    </row>
    <row r="11" spans="1:8" x14ac:dyDescent="0.2">
      <c r="A11" s="16">
        <f>DATE(2017,4,19)</f>
        <v>42844</v>
      </c>
      <c r="B11" s="2">
        <v>-8.5531457741538919E-2</v>
      </c>
      <c r="C11" s="2">
        <v>0.39901771933830155</v>
      </c>
      <c r="D11" s="2">
        <v>0.43470275405521619</v>
      </c>
      <c r="E11" s="2">
        <v>0.18022018580139409</v>
      </c>
      <c r="F11" s="2">
        <v>0.20729915352384329</v>
      </c>
      <c r="G11" s="2">
        <v>0.20832358473321655</v>
      </c>
      <c r="H11" s="2">
        <v>0.23146850895590099</v>
      </c>
    </row>
    <row r="12" spans="1:8" x14ac:dyDescent="0.2">
      <c r="A12" s="16">
        <f>DATE(2017,4,20)</f>
        <v>42845</v>
      </c>
      <c r="B12" s="2">
        <v>-6.7812162859237635E-2</v>
      </c>
      <c r="C12" s="2">
        <v>0.44107080444768521</v>
      </c>
      <c r="D12" s="2">
        <v>0.48073823400260896</v>
      </c>
      <c r="E12" s="2">
        <v>0.20026468915379514</v>
      </c>
      <c r="F12" s="2">
        <v>0.23035890303269024</v>
      </c>
      <c r="G12" s="2">
        <v>0.23149742251480365</v>
      </c>
      <c r="H12" s="2">
        <v>0.25722028215189319</v>
      </c>
    </row>
    <row r="13" spans="1:8" x14ac:dyDescent="0.2">
      <c r="A13" s="16">
        <f>DATE(2017,4,24)</f>
        <v>42849</v>
      </c>
      <c r="B13" s="2">
        <v>6.8745104244327671E-2</v>
      </c>
      <c r="C13" s="2">
        <v>0.48314150389239252</v>
      </c>
      <c r="D13" s="2">
        <v>0.52679481487780677</v>
      </c>
      <c r="E13" s="2">
        <v>0.22031320309943148</v>
      </c>
      <c r="F13" s="2">
        <v>0.25342395906162718</v>
      </c>
      <c r="G13" s="2">
        <v>0.25467661939968522</v>
      </c>
      <c r="H13" s="2">
        <v>0.28297867157163203</v>
      </c>
    </row>
    <row r="14" spans="1:8" x14ac:dyDescent="0.2">
      <c r="A14" s="16">
        <f>DATE(2017,4,25)</f>
        <v>42850</v>
      </c>
      <c r="B14" s="2">
        <v>-0.16505964048362243</v>
      </c>
      <c r="C14" s="2">
        <v>0.52522982505043281</v>
      </c>
      <c r="D14" s="2">
        <v>0.57287250635276177</v>
      </c>
      <c r="E14" s="2">
        <v>0.24036572844077231</v>
      </c>
      <c r="F14" s="2">
        <v>0.27649432283181063</v>
      </c>
      <c r="G14" s="2">
        <v>0.27786117662720322</v>
      </c>
      <c r="H14" s="2">
        <v>0.30874367891498</v>
      </c>
    </row>
    <row r="15" spans="1:8" x14ac:dyDescent="0.2">
      <c r="A15" s="16">
        <f>DATE(2017,4,26)</f>
        <v>42851</v>
      </c>
      <c r="B15" s="2">
        <v>-0.37212953012948358</v>
      </c>
      <c r="C15" s="2">
        <v>0.56733577530274637</v>
      </c>
      <c r="D15" s="2">
        <v>0.61897131810368933</v>
      </c>
      <c r="E15" s="2">
        <v>0.26042226598044227</v>
      </c>
      <c r="F15" s="2">
        <v>0.29956999556466357</v>
      </c>
      <c r="G15" s="2">
        <v>0.30105109543696607</v>
      </c>
      <c r="H15" s="2">
        <v>0.33451530588224365</v>
      </c>
    </row>
    <row r="16" spans="1:8" x14ac:dyDescent="0.2">
      <c r="A16" s="16">
        <f>DATE(2017,4,27)</f>
        <v>42852</v>
      </c>
      <c r="B16" s="2">
        <v>-0.44206362760637052</v>
      </c>
      <c r="C16" s="2">
        <v>0.60945936203347095</v>
      </c>
      <c r="D16" s="2">
        <v>0.66509125981133455</v>
      </c>
      <c r="E16" s="2">
        <v>0.28048281652122142</v>
      </c>
      <c r="F16" s="2">
        <v>0.32265097848187541</v>
      </c>
      <c r="G16" s="2">
        <v>0.32424637706887083</v>
      </c>
      <c r="H16" s="2">
        <v>0.36029355417415143</v>
      </c>
    </row>
    <row r="17" spans="1:8" x14ac:dyDescent="0.2">
      <c r="A17" s="16">
        <f>DATE(2017,4,28)</f>
        <v>42853</v>
      </c>
      <c r="B17" s="2">
        <v>-0.25492167016524236</v>
      </c>
      <c r="C17" s="2">
        <v>0.65160059262985293</v>
      </c>
      <c r="D17" s="2">
        <v>0.71123234116092782</v>
      </c>
      <c r="E17" s="2">
        <v>0.30054738086600086</v>
      </c>
      <c r="F17" s="2">
        <v>0.34573727280540201</v>
      </c>
      <c r="G17" s="2">
        <v>0.34744702276308104</v>
      </c>
      <c r="H17" s="2">
        <v>0.38607842549185367</v>
      </c>
    </row>
    <row r="18" spans="1:8" x14ac:dyDescent="0.2">
      <c r="A18" s="16">
        <f>DATE(2017,5,2)</f>
        <v>42857</v>
      </c>
      <c r="B18" s="2">
        <v>9.0367541942981688E-2</v>
      </c>
      <c r="C18" s="2">
        <v>0.69375947448215847</v>
      </c>
      <c r="D18" s="2">
        <v>0.75739457184202941</v>
      </c>
      <c r="E18" s="2">
        <v>0.33254638018491711</v>
      </c>
      <c r="F18" s="2">
        <v>0.38076503374562254</v>
      </c>
      <c r="G18" s="2">
        <v>0.38258940468192115</v>
      </c>
      <c r="H18" s="2">
        <v>0.42381119409131696</v>
      </c>
    </row>
    <row r="19" spans="1:8" x14ac:dyDescent="0.2">
      <c r="A19" s="16">
        <f>DATE(2017,5,3)</f>
        <v>42858</v>
      </c>
      <c r="B19" s="2">
        <v>7.0444680071868326E-2</v>
      </c>
      <c r="C19" s="2">
        <v>0.73593601498378458</v>
      </c>
      <c r="D19" s="2">
        <v>0.80357796154870709</v>
      </c>
      <c r="E19" s="2">
        <v>0.36455558818149214</v>
      </c>
      <c r="F19" s="2">
        <v>0.41580502185232238</v>
      </c>
      <c r="G19" s="2">
        <v>0.41774409371013732</v>
      </c>
      <c r="H19" s="2">
        <v>0.46155814555206565</v>
      </c>
    </row>
    <row r="20" spans="1:8" x14ac:dyDescent="0.2">
      <c r="A20" s="16">
        <f>DATE(2017,5,4)</f>
        <v>42859</v>
      </c>
      <c r="B20" s="2">
        <v>-0.26771767110793654</v>
      </c>
      <c r="C20" s="2">
        <v>0.7781302215312369</v>
      </c>
      <c r="D20" s="2">
        <v>0.84978251997946952</v>
      </c>
      <c r="E20" s="2">
        <v>0.39657500811260959</v>
      </c>
      <c r="F20" s="2">
        <v>0.45085724139366512</v>
      </c>
      <c r="G20" s="2">
        <v>0.45291109415777075</v>
      </c>
      <c r="H20" s="2">
        <v>0.49931928520512425</v>
      </c>
    </row>
    <row r="21" spans="1:8" x14ac:dyDescent="0.2">
      <c r="A21" s="16">
        <f>DATE(2017,5,5)</f>
        <v>42860</v>
      </c>
      <c r="B21" s="2">
        <v>-1.6280334202511959E-2</v>
      </c>
      <c r="C21" s="2">
        <v>0.82034210152410747</v>
      </c>
      <c r="D21" s="2">
        <v>0.89600825683726626</v>
      </c>
      <c r="E21" s="2">
        <v>0.42860464323619668</v>
      </c>
      <c r="F21" s="2">
        <v>0.48592169663927992</v>
      </c>
      <c r="G21" s="2">
        <v>0.48809041033637263</v>
      </c>
      <c r="H21" s="2">
        <v>0.53709461838349348</v>
      </c>
    </row>
    <row r="22" spans="1:8" x14ac:dyDescent="0.2">
      <c r="A22" s="16">
        <f>DATE(2017,5,8)</f>
        <v>42863</v>
      </c>
      <c r="B22" s="2">
        <v>-0.11666939053438519</v>
      </c>
      <c r="C22" s="2">
        <v>0.86257166236505256</v>
      </c>
      <c r="D22" s="2">
        <v>0.94225518182944334</v>
      </c>
      <c r="E22" s="2">
        <v>0.46064449681122438</v>
      </c>
      <c r="F22" s="2">
        <v>0.52099839186030561</v>
      </c>
      <c r="G22" s="2">
        <v>0.52328204655900379</v>
      </c>
      <c r="H22" s="2">
        <v>0.57488415042217245</v>
      </c>
    </row>
    <row r="23" spans="1:8" x14ac:dyDescent="0.2">
      <c r="A23" s="16">
        <f>DATE(2017,5,9)</f>
        <v>42864</v>
      </c>
      <c r="B23" s="2">
        <v>0.32647421813185584</v>
      </c>
      <c r="C23" s="2">
        <v>0.90481891145990367</v>
      </c>
      <c r="D23" s="2">
        <v>0.98852330466789873</v>
      </c>
      <c r="E23" s="2">
        <v>0.49269457209768502</v>
      </c>
      <c r="F23" s="2">
        <v>0.55608733132934685</v>
      </c>
      <c r="G23" s="2">
        <v>0.55848600714021313</v>
      </c>
      <c r="H23" s="2">
        <v>0.61268788665820306</v>
      </c>
    </row>
    <row r="24" spans="1:8" x14ac:dyDescent="0.2">
      <c r="A24" s="16">
        <f>DATE(2017,5,10)</f>
        <v>42865</v>
      </c>
      <c r="B24" s="2">
        <v>0.83881672590091505</v>
      </c>
      <c r="C24" s="2">
        <v>0.94708385621755653</v>
      </c>
      <c r="D24" s="2">
        <v>1.0348126350689046</v>
      </c>
      <c r="E24" s="2">
        <v>0.52475487235663643</v>
      </c>
      <c r="F24" s="2">
        <v>0.59118851932051797</v>
      </c>
      <c r="G24" s="2">
        <v>0.59370229639608141</v>
      </c>
      <c r="H24" s="2">
        <v>0.65050583243058124</v>
      </c>
    </row>
    <row r="25" spans="1:8" x14ac:dyDescent="0.2">
      <c r="A25" s="16">
        <f>DATE(2017,5,11)</f>
        <v>42866</v>
      </c>
      <c r="B25" s="2">
        <v>1.0278184817118063</v>
      </c>
      <c r="C25" s="2">
        <v>0.98936650404999327</v>
      </c>
      <c r="D25" s="2">
        <v>1.0811231827532186</v>
      </c>
      <c r="E25" s="2">
        <v>0.5568254008501583</v>
      </c>
      <c r="F25" s="2">
        <v>0.62630196010942107</v>
      </c>
      <c r="G25" s="2">
        <v>0.62893091864422157</v>
      </c>
      <c r="H25" s="2">
        <v>0.68833799308034571</v>
      </c>
    </row>
    <row r="26" spans="1:8" x14ac:dyDescent="0.2">
      <c r="A26" s="16">
        <f>DATE(2017,5,12)</f>
        <v>42867</v>
      </c>
      <c r="B26" s="2">
        <v>1.2935759618444509</v>
      </c>
      <c r="C26" s="2">
        <v>1.0316668623723046</v>
      </c>
      <c r="D26" s="2">
        <v>1.1274549574460391</v>
      </c>
      <c r="E26" s="2">
        <v>0.5889061608413737</v>
      </c>
      <c r="F26" s="2">
        <v>0.66142765797314595</v>
      </c>
      <c r="G26" s="2">
        <v>0.66417187820371204</v>
      </c>
      <c r="H26" s="2">
        <v>0.72618437395055579</v>
      </c>
    </row>
    <row r="27" spans="1:8" x14ac:dyDescent="0.2">
      <c r="A27" s="16">
        <f>DATE(2017,5,15)</f>
        <v>42870</v>
      </c>
      <c r="B27" s="2">
        <v>1.9150087254610648</v>
      </c>
      <c r="C27" s="2">
        <v>1.0739849386027123</v>
      </c>
      <c r="D27" s="2">
        <v>1.1738079688770053</v>
      </c>
      <c r="E27" s="2">
        <v>0.62099715559444935</v>
      </c>
      <c r="F27" s="2">
        <v>0.6965656171902701</v>
      </c>
      <c r="G27" s="2">
        <v>0.69942517939516335</v>
      </c>
      <c r="H27" s="2">
        <v>0.76404498038624702</v>
      </c>
    </row>
    <row r="28" spans="1:8" x14ac:dyDescent="0.2">
      <c r="A28" s="16">
        <f>DATE(2017,5,16)</f>
        <v>42871</v>
      </c>
      <c r="B28" s="2">
        <v>2.0946121108843085</v>
      </c>
      <c r="C28" s="2">
        <v>1.1163207401625241</v>
      </c>
      <c r="D28" s="2">
        <v>1.2201822267802642</v>
      </c>
      <c r="E28" s="2">
        <v>0.65309838837459555</v>
      </c>
      <c r="F28" s="2">
        <v>0.73171584204088091</v>
      </c>
      <c r="G28" s="2">
        <v>0.73469082654071816</v>
      </c>
      <c r="H28" s="2">
        <v>0.80191981773445331</v>
      </c>
    </row>
    <row r="29" spans="1:8" x14ac:dyDescent="0.2">
      <c r="A29" s="16">
        <f>DATE(2017,5,17)</f>
        <v>42872</v>
      </c>
      <c r="B29" s="2">
        <v>1.9886036038075705</v>
      </c>
      <c r="C29" s="2">
        <v>1.1586742744761791</v>
      </c>
      <c r="D29" s="2">
        <v>1.2665777408943812</v>
      </c>
      <c r="E29" s="2">
        <v>0.68520986244806625</v>
      </c>
      <c r="F29" s="2">
        <v>0.76687833680655348</v>
      </c>
      <c r="G29" s="2">
        <v>0.76996882396400679</v>
      </c>
      <c r="H29" s="2">
        <v>0.83980889134427361</v>
      </c>
    </row>
    <row r="30" spans="1:8" x14ac:dyDescent="0.2">
      <c r="A30" s="16">
        <f>DATE(2017,5,18)</f>
        <v>42873</v>
      </c>
      <c r="B30" s="2">
        <v>-4.3774055976006361</v>
      </c>
      <c r="C30" s="2">
        <v>1.2010455489712246</v>
      </c>
      <c r="D30" s="2">
        <v>1.3129945209624294</v>
      </c>
      <c r="E30" s="2">
        <v>0.717331581082159</v>
      </c>
      <c r="F30" s="2">
        <v>0.80205310577035061</v>
      </c>
      <c r="G30" s="2">
        <v>0.8052591759901695</v>
      </c>
      <c r="H30" s="2">
        <v>0.87771220656676086</v>
      </c>
    </row>
    <row r="31" spans="1:8" x14ac:dyDescent="0.2">
      <c r="A31" s="16">
        <f>DATE(2017,5,19)</f>
        <v>42874</v>
      </c>
      <c r="B31" s="2">
        <v>-2.4853568638457224</v>
      </c>
      <c r="C31" s="2">
        <v>1.243434571078228</v>
      </c>
      <c r="D31" s="2">
        <v>1.359432576731856</v>
      </c>
      <c r="E31" s="2">
        <v>0.74946354754519273</v>
      </c>
      <c r="F31" s="2">
        <v>0.83724015321684497</v>
      </c>
      <c r="G31" s="2">
        <v>0.84056188694590084</v>
      </c>
      <c r="H31" s="2">
        <v>0.91562976875501079</v>
      </c>
    </row>
    <row r="32" spans="1:8" x14ac:dyDescent="0.2">
      <c r="A32" s="16">
        <f>DATE(2017,5,22)</f>
        <v>42877</v>
      </c>
      <c r="B32" s="2">
        <v>-2.9779052962174757</v>
      </c>
      <c r="C32" s="2">
        <v>1.2858413482310205</v>
      </c>
      <c r="D32" s="2">
        <v>1.4058919179547047</v>
      </c>
      <c r="E32" s="2">
        <v>0.78160576510655222</v>
      </c>
      <c r="F32" s="2">
        <v>0.87243948343209698</v>
      </c>
      <c r="G32" s="2">
        <v>0.87587696115936087</v>
      </c>
      <c r="H32" s="2">
        <v>0.95356158326413976</v>
      </c>
    </row>
    <row r="33" spans="1:8" x14ac:dyDescent="0.2">
      <c r="A33" s="16">
        <f>DATE(2017,5,23)</f>
        <v>42878</v>
      </c>
      <c r="B33" s="2">
        <v>-2.2083498345228159</v>
      </c>
      <c r="C33" s="2">
        <v>1.3282658878664755</v>
      </c>
      <c r="D33" s="2">
        <v>1.4523725543874377</v>
      </c>
      <c r="E33" s="2">
        <v>0.81375823703664363</v>
      </c>
      <c r="F33" s="2">
        <v>0.90765110070365473</v>
      </c>
      <c r="G33" s="2">
        <v>0.91120440296026395</v>
      </c>
      <c r="H33" s="2">
        <v>0.99150765545124031</v>
      </c>
    </row>
    <row r="34" spans="1:8" x14ac:dyDescent="0.2">
      <c r="A34" s="16">
        <f>DATE(2017,5,24)</f>
        <v>42879</v>
      </c>
      <c r="B34" s="2">
        <v>-1.9524810260383885</v>
      </c>
      <c r="C34" s="2">
        <v>1.3707081974245083</v>
      </c>
      <c r="D34" s="2">
        <v>1.4988744957909139</v>
      </c>
      <c r="E34" s="2">
        <v>0.84592096660693905</v>
      </c>
      <c r="F34" s="2">
        <v>0.94287500932057622</v>
      </c>
      <c r="G34" s="2">
        <v>0.94654421667983435</v>
      </c>
      <c r="H34" s="2">
        <v>1.0294679906754256</v>
      </c>
    </row>
    <row r="35" spans="1:8" x14ac:dyDescent="0.2">
      <c r="A35" s="16">
        <f>DATE(2017,5,25)</f>
        <v>42880</v>
      </c>
      <c r="B35" s="2">
        <v>-1.9135652014810378</v>
      </c>
      <c r="C35" s="2">
        <v>1.4131682843482762</v>
      </c>
      <c r="D35" s="2">
        <v>1.545397751930544</v>
      </c>
      <c r="E35" s="2">
        <v>0.87809395708995375</v>
      </c>
      <c r="F35" s="2">
        <v>0.97811121357340713</v>
      </c>
      <c r="G35" s="2">
        <v>0.98189640665078404</v>
      </c>
      <c r="H35" s="2">
        <v>1.0674425942978738</v>
      </c>
    </row>
    <row r="36" spans="1:8" x14ac:dyDescent="0.2">
      <c r="A36" s="16">
        <f>DATE(2017,5,26)</f>
        <v>42881</v>
      </c>
      <c r="B36" s="2">
        <v>-1.4022666754031854</v>
      </c>
      <c r="C36" s="2">
        <v>1.4556461560840006</v>
      </c>
      <c r="D36" s="2">
        <v>1.5919423325762461</v>
      </c>
      <c r="E36" s="2">
        <v>0.91027721175922505</v>
      </c>
      <c r="F36" s="2">
        <v>1.0133597177541809</v>
      </c>
      <c r="G36" s="2">
        <v>1.0172609772073793</v>
      </c>
      <c r="H36" s="2">
        <v>1.1054314716817171</v>
      </c>
    </row>
    <row r="37" spans="1:8" x14ac:dyDescent="0.2">
      <c r="A37" s="16">
        <f>DATE(2017,5,29)</f>
        <v>42884</v>
      </c>
      <c r="B37" s="2">
        <v>-1.2841172544867607</v>
      </c>
      <c r="C37" s="2">
        <v>1.4981418200809671</v>
      </c>
      <c r="D37" s="2">
        <v>1.6385082475022905</v>
      </c>
      <c r="E37" s="2">
        <v>0.94247073388935565</v>
      </c>
      <c r="F37" s="2">
        <v>1.048620526156463</v>
      </c>
      <c r="G37" s="2">
        <v>1.0526379326853741</v>
      </c>
      <c r="H37" s="2">
        <v>1.1434346281921304</v>
      </c>
    </row>
    <row r="38" spans="1:8" x14ac:dyDescent="0.2">
      <c r="A38" s="16">
        <f>DATE(2017,5,30)</f>
        <v>42885</v>
      </c>
      <c r="B38" s="2">
        <v>-1.4316289773642632</v>
      </c>
      <c r="C38" s="2">
        <v>1.5406552837917031</v>
      </c>
      <c r="D38" s="2">
        <v>1.6850955064875883</v>
      </c>
      <c r="E38" s="2">
        <v>0.97467452675599198</v>
      </c>
      <c r="F38" s="2">
        <v>1.0838936430752844</v>
      </c>
      <c r="G38" s="2">
        <v>1.0880272774220767</v>
      </c>
      <c r="H38" s="2">
        <v>1.1814520691962871</v>
      </c>
    </row>
    <row r="39" spans="1:8" x14ac:dyDescent="0.2">
      <c r="A39" s="16">
        <f>DATE(2017,5,31)</f>
        <v>42886</v>
      </c>
      <c r="B39" s="2">
        <v>-1.1853299165436648</v>
      </c>
      <c r="C39" s="2">
        <v>1.5831865546717117</v>
      </c>
      <c r="D39" s="2">
        <v>1.7317041193153579</v>
      </c>
      <c r="E39" s="2">
        <v>1.0068885936358019</v>
      </c>
      <c r="F39" s="2">
        <v>1.119179072807186</v>
      </c>
      <c r="G39" s="2">
        <v>1.1234290157562832</v>
      </c>
      <c r="H39" s="2">
        <v>1.2194838000634034</v>
      </c>
    </row>
    <row r="40" spans="1:8" x14ac:dyDescent="0.2">
      <c r="A40" s="16">
        <f>DATE(2017,6,1)</f>
        <v>42887</v>
      </c>
      <c r="B40" s="2">
        <v>-1.206282056138519</v>
      </c>
      <c r="C40" s="2">
        <v>1.6257356401797596</v>
      </c>
      <c r="D40" s="2">
        <v>1.7783340957734817</v>
      </c>
      <c r="E40" s="2">
        <v>1.0081578433140947</v>
      </c>
      <c r="F40" s="2">
        <v>1.1234863814205465</v>
      </c>
      <c r="G40" s="2">
        <v>1.1278513760965225</v>
      </c>
      <c r="H40" s="2">
        <v>1.2265078158491205</v>
      </c>
    </row>
    <row r="41" spans="1:8" x14ac:dyDescent="0.2">
      <c r="A41" s="16">
        <f>DATE(2017,6,2)</f>
        <v>42888</v>
      </c>
      <c r="B41" s="2">
        <v>-1.1950162818806565</v>
      </c>
      <c r="C41" s="2">
        <v>1.6646924175081956</v>
      </c>
      <c r="D41" s="2">
        <v>1.8213697517463381</v>
      </c>
      <c r="E41" s="2">
        <v>1.0094271089417628</v>
      </c>
      <c r="F41" s="2">
        <v>1.1277938735095416</v>
      </c>
      <c r="G41" s="2">
        <v>1.132273929836769</v>
      </c>
      <c r="H41" s="2">
        <v>1.2335323190587388</v>
      </c>
    </row>
    <row r="42" spans="1:8" x14ac:dyDescent="0.2">
      <c r="A42" s="16">
        <f>DATE(2017,6,5)</f>
        <v>42891</v>
      </c>
      <c r="B42" s="2">
        <v>-1.1116513776925574</v>
      </c>
      <c r="C42" s="2">
        <v>1.7036641283619813</v>
      </c>
      <c r="D42" s="2">
        <v>1.8644236047913101</v>
      </c>
      <c r="E42" s="2">
        <v>1.0106963905189836</v>
      </c>
      <c r="F42" s="2">
        <v>1.1321015490820097</v>
      </c>
      <c r="G42" s="2">
        <v>1.1366966769854603</v>
      </c>
      <c r="H42" s="2">
        <v>1.2405573097261202</v>
      </c>
    </row>
    <row r="43" spans="1:8" x14ac:dyDescent="0.2">
      <c r="A43" s="16">
        <f>DATE(2017,6,6)</f>
        <v>42892</v>
      </c>
      <c r="B43" s="2">
        <v>-1.2536754784991833</v>
      </c>
      <c r="C43" s="2">
        <v>1.7426507784656486</v>
      </c>
      <c r="D43" s="2">
        <v>1.9074956626027759</v>
      </c>
      <c r="E43" s="2">
        <v>1.0119656880459571</v>
      </c>
      <c r="F43" s="2">
        <v>1.1364094081457443</v>
      </c>
      <c r="G43" s="2">
        <v>1.1411196175510785</v>
      </c>
      <c r="H43" s="2">
        <v>1.2475827878850598</v>
      </c>
    </row>
    <row r="44" spans="1:8" x14ac:dyDescent="0.2">
      <c r="A44" s="16">
        <f>DATE(2017,6,7)</f>
        <v>42893</v>
      </c>
      <c r="B44" s="2">
        <v>-1.2911883417454195</v>
      </c>
      <c r="C44" s="2">
        <v>1.7816523735460166</v>
      </c>
      <c r="D44" s="2">
        <v>1.9505859328784461</v>
      </c>
      <c r="E44" s="2">
        <v>1.0132350015229052</v>
      </c>
      <c r="F44" s="2">
        <v>1.140717450708606</v>
      </c>
      <c r="G44" s="2">
        <v>1.1455427515420835</v>
      </c>
      <c r="H44" s="2">
        <v>1.2546087535694417</v>
      </c>
    </row>
    <row r="45" spans="1:8" x14ac:dyDescent="0.2">
      <c r="A45" s="16">
        <f>DATE(2017,6,8)</f>
        <v>42894</v>
      </c>
      <c r="B45" s="2">
        <v>-1.234677952512675</v>
      </c>
      <c r="C45" s="2">
        <v>1.820668919331947</v>
      </c>
      <c r="D45" s="2">
        <v>1.9936944233191367</v>
      </c>
      <c r="E45" s="2">
        <v>1.0145043309499835</v>
      </c>
      <c r="F45" s="2">
        <v>1.1450256767783884</v>
      </c>
      <c r="G45" s="2">
        <v>1.1499660789668908</v>
      </c>
      <c r="H45" s="2">
        <v>1.2616352068130166</v>
      </c>
    </row>
    <row r="46" spans="1:8" x14ac:dyDescent="0.2">
      <c r="A46" s="16">
        <f>DATE(2017,6,9)</f>
        <v>42895</v>
      </c>
      <c r="B46" s="2">
        <v>-1.3128107794440846</v>
      </c>
      <c r="C46" s="2">
        <v>1.8597004215546553</v>
      </c>
      <c r="D46" s="2">
        <v>2.036821141629086</v>
      </c>
      <c r="E46" s="2">
        <v>1.0157736763274139</v>
      </c>
      <c r="F46" s="2">
        <v>1.1493340863628854</v>
      </c>
      <c r="G46" s="2">
        <v>1.1543895998340048</v>
      </c>
      <c r="H46" s="2">
        <v>1.2686621476496684</v>
      </c>
    </row>
    <row r="47" spans="1:8" x14ac:dyDescent="0.2">
      <c r="A47" s="16">
        <f>DATE(2017,6,12)</f>
        <v>42898</v>
      </c>
      <c r="B47" s="2">
        <v>-1.2542600879649202</v>
      </c>
      <c r="C47" s="2">
        <v>1.8987468859473999</v>
      </c>
      <c r="D47" s="2">
        <v>2.0799660955156396</v>
      </c>
      <c r="E47" s="2">
        <v>1.0170430376554407</v>
      </c>
      <c r="F47" s="2">
        <v>1.1536426794699572</v>
      </c>
      <c r="G47" s="2">
        <v>1.1588133141518853</v>
      </c>
      <c r="H47" s="2">
        <v>1.275689576113237</v>
      </c>
    </row>
    <row r="48" spans="1:8" x14ac:dyDescent="0.2">
      <c r="A48" s="16">
        <f>DATE(2017,6,13)</f>
        <v>42899</v>
      </c>
      <c r="B48" s="2">
        <v>-1.323310426292823</v>
      </c>
      <c r="C48" s="2">
        <v>1.9378083182457928</v>
      </c>
      <c r="D48" s="2">
        <v>2.1231292926895629</v>
      </c>
      <c r="E48" s="2">
        <v>1.0183124149341971</v>
      </c>
      <c r="F48" s="2">
        <v>1.1579514561073978</v>
      </c>
      <c r="G48" s="2">
        <v>1.1632372219289477</v>
      </c>
      <c r="H48" s="2">
        <v>1.2827174922375395</v>
      </c>
    </row>
    <row r="49" spans="1:8" x14ac:dyDescent="0.2">
      <c r="A49" s="16">
        <f>DATE(2017,6,14)</f>
        <v>42900</v>
      </c>
      <c r="B49" s="2">
        <v>-1.5457530604242264</v>
      </c>
      <c r="C49" s="2">
        <v>1.9768847241875109</v>
      </c>
      <c r="D49" s="2">
        <v>2.1663107408647297</v>
      </c>
      <c r="E49" s="2">
        <v>1.0195818081639052</v>
      </c>
      <c r="F49" s="2">
        <v>1.162260416283023</v>
      </c>
      <c r="G49" s="2">
        <v>1.1676613231736965</v>
      </c>
      <c r="H49" s="2">
        <v>1.2897458960564157</v>
      </c>
    </row>
    <row r="50" spans="1:8" x14ac:dyDescent="0.2">
      <c r="A50" s="16">
        <f>DATE(2017,6,16)</f>
        <v>42902</v>
      </c>
      <c r="B50" s="2">
        <v>-1.6080405877772264</v>
      </c>
      <c r="C50" s="2">
        <v>2.0159761095125184</v>
      </c>
      <c r="D50" s="2">
        <v>2.2095104477583671</v>
      </c>
      <c r="E50" s="2">
        <v>1.0208512173448092</v>
      </c>
      <c r="F50" s="2">
        <v>1.166569560004671</v>
      </c>
      <c r="G50" s="2">
        <v>1.1720856178945915</v>
      </c>
      <c r="H50" s="2">
        <v>1.2967747876037272</v>
      </c>
    </row>
    <row r="51" spans="1:8" x14ac:dyDescent="0.2">
      <c r="A51" s="16">
        <f>DATE(2017,6,19)</f>
        <v>42905</v>
      </c>
      <c r="B51" s="2">
        <v>-1.6004639882572169</v>
      </c>
      <c r="C51" s="2">
        <v>2.055082479962933</v>
      </c>
      <c r="D51" s="2">
        <v>2.2527284210909215</v>
      </c>
      <c r="E51" s="2">
        <v>1.0221206424770202</v>
      </c>
      <c r="F51" s="2">
        <v>1.1708788872800913</v>
      </c>
      <c r="G51" s="2">
        <v>1.176510106100026</v>
      </c>
      <c r="H51" s="2">
        <v>1.3038041669132694</v>
      </c>
    </row>
    <row r="52" spans="1:8" x14ac:dyDescent="0.2">
      <c r="A52" s="16">
        <f>DATE(2017,6,20)</f>
        <v>42906</v>
      </c>
      <c r="B52" s="2">
        <v>-1.4065779800755629</v>
      </c>
      <c r="C52" s="2">
        <v>2.0942038412830932</v>
      </c>
      <c r="D52" s="2">
        <v>2.2959646685861479</v>
      </c>
      <c r="E52" s="2">
        <v>1.0233900835608267</v>
      </c>
      <c r="F52" s="2">
        <v>1.1751883981171884</v>
      </c>
      <c r="G52" s="2">
        <v>1.180934787798571</v>
      </c>
      <c r="H52" s="2">
        <v>1.3108340340189706</v>
      </c>
    </row>
    <row r="53" spans="1:8" x14ac:dyDescent="0.2">
      <c r="A53" s="16">
        <f>DATE(2017,6,21)</f>
        <v>42907</v>
      </c>
      <c r="B53" s="2">
        <v>-1.3326175306754728</v>
      </c>
      <c r="C53" s="2">
        <v>2.1333401992195355</v>
      </c>
      <c r="D53" s="2">
        <v>2.3392191979710208</v>
      </c>
      <c r="E53" s="2">
        <v>1.0246595405963843</v>
      </c>
      <c r="F53" s="2">
        <v>1.1794980925237342</v>
      </c>
      <c r="G53" s="2">
        <v>1.1853596629985974</v>
      </c>
      <c r="H53" s="2">
        <v>1.317864388954626</v>
      </c>
    </row>
    <row r="54" spans="1:8" x14ac:dyDescent="0.2">
      <c r="A54" s="16">
        <f>DATE(2017,6,22)</f>
        <v>42908</v>
      </c>
      <c r="B54" s="2">
        <v>-1.2516209793186461</v>
      </c>
      <c r="C54" s="2">
        <v>2.1724915595209726</v>
      </c>
      <c r="D54" s="2">
        <v>2.3824920169757791</v>
      </c>
      <c r="E54" s="2">
        <v>1.0259290135838928</v>
      </c>
      <c r="F54" s="2">
        <v>1.1838079705075666</v>
      </c>
      <c r="G54" s="2">
        <v>1.1897847317086097</v>
      </c>
      <c r="H54" s="2">
        <v>1.3248952317540974</v>
      </c>
    </row>
    <row r="55" spans="1:8" x14ac:dyDescent="0.2">
      <c r="A55" s="16">
        <f>DATE(2017,6,23)</f>
        <v>42909</v>
      </c>
      <c r="B55" s="2">
        <v>-1.3549077313111502</v>
      </c>
      <c r="C55" s="2">
        <v>2.2116579279384041</v>
      </c>
      <c r="D55" s="2">
        <v>2.4257831333340141</v>
      </c>
      <c r="E55" s="2">
        <v>1.0271985025235741</v>
      </c>
      <c r="F55" s="2">
        <v>1.1881180320765017</v>
      </c>
      <c r="G55" s="2">
        <v>1.1942099939370676</v>
      </c>
      <c r="H55" s="2">
        <v>1.3319265624512466</v>
      </c>
    </row>
    <row r="56" spans="1:8" x14ac:dyDescent="0.2">
      <c r="A56" s="16">
        <f>DATE(2017,6,26)</f>
        <v>42912</v>
      </c>
      <c r="B56" s="2">
        <v>-1.3304641599894196</v>
      </c>
      <c r="C56" s="2">
        <v>2.2508393102249391</v>
      </c>
      <c r="D56" s="2">
        <v>2.4690925547824705</v>
      </c>
      <c r="E56" s="2">
        <v>1.0284680074156061</v>
      </c>
      <c r="F56" s="2">
        <v>1.1924282772383332</v>
      </c>
      <c r="G56" s="2">
        <v>1.1986354496924312</v>
      </c>
      <c r="H56" s="2">
        <v>1.3389583810799355</v>
      </c>
    </row>
    <row r="57" spans="1:8" x14ac:dyDescent="0.2">
      <c r="A57" s="16">
        <f>DATE(2017,6,27)</f>
        <v>42913</v>
      </c>
      <c r="B57" s="2">
        <v>-1.2297931931085859</v>
      </c>
      <c r="C57" s="2">
        <v>2.2900357121359294</v>
      </c>
      <c r="D57" s="2">
        <v>2.5124202890612457</v>
      </c>
      <c r="E57" s="2">
        <v>1.0297375282602328</v>
      </c>
      <c r="F57" s="2">
        <v>1.1967387060009438</v>
      </c>
      <c r="G57" s="2">
        <v>1.2030610989831825</v>
      </c>
      <c r="H57" s="2">
        <v>1.3459906876740257</v>
      </c>
    </row>
    <row r="58" spans="1:8" x14ac:dyDescent="0.2">
      <c r="A58" s="16">
        <f>DATE(2017,6,28)</f>
        <v>42914</v>
      </c>
      <c r="B58" s="2">
        <v>-1.4657487733557684</v>
      </c>
      <c r="C58" s="2">
        <v>2.3292471394289249</v>
      </c>
      <c r="D58" s="2">
        <v>2.5557663439136569</v>
      </c>
      <c r="E58" s="2">
        <v>1.0310070650575875</v>
      </c>
      <c r="F58" s="2">
        <v>1.2010493183720827</v>
      </c>
      <c r="G58" s="2">
        <v>1.207486941817737</v>
      </c>
      <c r="H58" s="2">
        <v>1.353023482267357</v>
      </c>
    </row>
    <row r="59" spans="1:8" x14ac:dyDescent="0.2">
      <c r="A59" s="16">
        <f>DATE(2017,6,29)</f>
        <v>42915</v>
      </c>
      <c r="B59" s="2">
        <v>-1.2428356122649586</v>
      </c>
      <c r="C59" s="2">
        <v>2.3684735978637406</v>
      </c>
      <c r="D59" s="2">
        <v>2.5991307270863739</v>
      </c>
      <c r="E59" s="2">
        <v>1.0322766178079146</v>
      </c>
      <c r="F59" s="2">
        <v>1.2053601143595882</v>
      </c>
      <c r="G59" s="2">
        <v>1.211912978204599</v>
      </c>
      <c r="H59" s="2">
        <v>1.3600567648937911</v>
      </c>
    </row>
    <row r="60" spans="1:8" x14ac:dyDescent="0.2">
      <c r="A60" s="16">
        <f>DATE(2017,6,30)</f>
        <v>42916</v>
      </c>
      <c r="B60" s="2">
        <v>-1.1312401045785125</v>
      </c>
      <c r="C60" s="2">
        <v>2.407715093202345</v>
      </c>
      <c r="D60" s="2">
        <v>2.6425134463292865</v>
      </c>
      <c r="E60" s="2">
        <v>1.0335461865114359</v>
      </c>
      <c r="F60" s="2">
        <v>1.2096710939713207</v>
      </c>
      <c r="G60" s="2">
        <v>1.2163392081522284</v>
      </c>
      <c r="H60" s="2">
        <v>1.3670905355872343</v>
      </c>
    </row>
    <row r="61" spans="1:8" x14ac:dyDescent="0.2">
      <c r="A61" s="16">
        <f>DATE(2017,7,3)</f>
        <v>42919</v>
      </c>
      <c r="B61" s="2">
        <v>-0.78226374586587433</v>
      </c>
      <c r="C61" s="2">
        <v>2.4469716312088385</v>
      </c>
      <c r="D61" s="2">
        <v>2.6859145093954817</v>
      </c>
      <c r="E61" s="2">
        <v>1.057445608545482</v>
      </c>
      <c r="F61" s="2">
        <v>1.236652224407031</v>
      </c>
      <c r="G61" s="2">
        <v>1.2434371182052262</v>
      </c>
      <c r="H61" s="2">
        <v>1.3968306303929978</v>
      </c>
    </row>
    <row r="62" spans="1:8" x14ac:dyDescent="0.2">
      <c r="A62" s="16">
        <f>DATE(2017,7,4)</f>
        <v>42920</v>
      </c>
      <c r="B62" s="2">
        <v>-0.71050584938787686</v>
      </c>
      <c r="C62" s="2">
        <v>2.4862432176497196</v>
      </c>
      <c r="D62" s="2">
        <v>2.7293339240415104</v>
      </c>
      <c r="E62" s="2">
        <v>1.0813506839728371</v>
      </c>
      <c r="F62" s="2">
        <v>1.2636405476474488</v>
      </c>
      <c r="G62" s="2">
        <v>1.2705422829834445</v>
      </c>
      <c r="H62" s="2">
        <v>1.4265794506463925</v>
      </c>
    </row>
    <row r="63" spans="1:8" x14ac:dyDescent="0.2">
      <c r="A63" s="16">
        <f>DATE(2017,7,5)</f>
        <v>42921</v>
      </c>
      <c r="B63" s="2">
        <v>-0.69906362752023554</v>
      </c>
      <c r="C63" s="2">
        <v>2.5255298582934849</v>
      </c>
      <c r="D63" s="2">
        <v>2.7727716980270101</v>
      </c>
      <c r="E63" s="2">
        <v>1.1052614141308092</v>
      </c>
      <c r="F63" s="2">
        <v>1.2906360656101068</v>
      </c>
      <c r="G63" s="2">
        <v>1.297654704429152</v>
      </c>
      <c r="H63" s="2">
        <v>1.4563369989073705</v>
      </c>
    </row>
    <row r="64" spans="1:8" x14ac:dyDescent="0.2">
      <c r="A64" s="16">
        <f>DATE(2017,7,6)</f>
        <v>42922</v>
      </c>
      <c r="B64" s="2">
        <v>-0.48644476476676912</v>
      </c>
      <c r="C64" s="2">
        <v>2.5648315589110293</v>
      </c>
      <c r="D64" s="2">
        <v>2.8162278391150597</v>
      </c>
      <c r="E64" s="2">
        <v>1.1291778003570396</v>
      </c>
      <c r="F64" s="2">
        <v>1.3176387802130041</v>
      </c>
      <c r="G64" s="2">
        <v>1.3247743844851279</v>
      </c>
      <c r="H64" s="2">
        <v>1.4861032777366612</v>
      </c>
    </row>
    <row r="65" spans="1:8" x14ac:dyDescent="0.2">
      <c r="A65" s="16">
        <f>DATE(2017,7,7)</f>
        <v>42923</v>
      </c>
      <c r="B65" s="2">
        <v>-0.41706181255375402</v>
      </c>
      <c r="C65" s="2">
        <v>2.604148325275335</v>
      </c>
      <c r="D65" s="2">
        <v>2.8597023550719136</v>
      </c>
      <c r="E65" s="2">
        <v>1.1530998439893914</v>
      </c>
      <c r="F65" s="2">
        <v>1.3446486933746282</v>
      </c>
      <c r="G65" s="2">
        <v>1.3519013250946177</v>
      </c>
      <c r="H65" s="2">
        <v>1.5158782896956602</v>
      </c>
    </row>
    <row r="66" spans="1:8" x14ac:dyDescent="0.2">
      <c r="A66" s="16">
        <f>DATE(2017,7,10)</f>
        <v>42926</v>
      </c>
      <c r="B66" s="2">
        <v>-0.73319153604549658</v>
      </c>
      <c r="C66" s="2">
        <v>2.6434801631616933</v>
      </c>
      <c r="D66" s="2">
        <v>2.903195253667179</v>
      </c>
      <c r="E66" s="2">
        <v>1.1770275463661717</v>
      </c>
      <c r="F66" s="2">
        <v>1.3716658070140664</v>
      </c>
      <c r="G66" s="2">
        <v>1.3790355282014666</v>
      </c>
      <c r="H66" s="2">
        <v>1.545662037346629</v>
      </c>
    </row>
    <row r="67" spans="1:8" x14ac:dyDescent="0.2">
      <c r="A67" s="16">
        <f>DATE(2017,7,11)</f>
        <v>42927</v>
      </c>
      <c r="B67" s="2">
        <v>-0.82195685256631901</v>
      </c>
      <c r="C67" s="2">
        <v>2.6828270783475494</v>
      </c>
      <c r="D67" s="2">
        <v>2.9467065426737271</v>
      </c>
      <c r="E67" s="2">
        <v>1.2009609088259987</v>
      </c>
      <c r="F67" s="2">
        <v>1.3986901230508941</v>
      </c>
      <c r="G67" s="2">
        <v>1.4061769957500525</v>
      </c>
      <c r="H67" s="2">
        <v>1.5754545232525621</v>
      </c>
    </row>
    <row r="68" spans="1:8" x14ac:dyDescent="0.2">
      <c r="A68" s="16">
        <f>DATE(2017,7,12)</f>
        <v>42928</v>
      </c>
      <c r="B68" s="2">
        <v>-1.1378472563114528</v>
      </c>
      <c r="C68" s="2">
        <v>2.7221890766125023</v>
      </c>
      <c r="D68" s="2">
        <v>2.9902362298676488</v>
      </c>
      <c r="E68" s="2">
        <v>1.2248999327076904</v>
      </c>
      <c r="F68" s="2">
        <v>1.425721643405109</v>
      </c>
      <c r="G68" s="2">
        <v>1.4333257296851754</v>
      </c>
      <c r="H68" s="2">
        <v>1.6052557499771414</v>
      </c>
    </row>
    <row r="69" spans="1:8" x14ac:dyDescent="0.2">
      <c r="A69" s="16">
        <f>DATE(2017,7,13)</f>
        <v>42929</v>
      </c>
      <c r="B69" s="2">
        <v>-1.0473108722591107</v>
      </c>
      <c r="C69" s="2">
        <v>2.7615661637385047</v>
      </c>
      <c r="D69" s="2">
        <v>3.0337843230284323</v>
      </c>
      <c r="E69" s="2">
        <v>1.2488446193504865</v>
      </c>
      <c r="F69" s="2">
        <v>1.452760369997308</v>
      </c>
      <c r="G69" s="2">
        <v>1.4604817319522345</v>
      </c>
      <c r="H69" s="2">
        <v>1.6350657200848273</v>
      </c>
    </row>
    <row r="70" spans="1:8" x14ac:dyDescent="0.2">
      <c r="A70" s="16">
        <f>DATE(2017,7,14)</f>
        <v>42930</v>
      </c>
      <c r="B70" s="2">
        <v>-1.13865749562303</v>
      </c>
      <c r="C70" s="2">
        <v>2.8009583455096188</v>
      </c>
      <c r="D70" s="2">
        <v>3.0773508299387853</v>
      </c>
      <c r="E70" s="2">
        <v>1.2727949700939156</v>
      </c>
      <c r="F70" s="2">
        <v>1.4798063047485988</v>
      </c>
      <c r="G70" s="2">
        <v>1.4876450044971401</v>
      </c>
      <c r="H70" s="2">
        <v>1.6648844361408788</v>
      </c>
    </row>
    <row r="71" spans="1:8" x14ac:dyDescent="0.2">
      <c r="A71" s="16">
        <f>DATE(2017,7,17)</f>
        <v>42933</v>
      </c>
      <c r="B71" s="2">
        <v>-1.1685760131815881</v>
      </c>
      <c r="C71" s="2">
        <v>2.8403656277121492</v>
      </c>
      <c r="D71" s="2">
        <v>3.1209357583847019</v>
      </c>
      <c r="E71" s="2">
        <v>1.2967509862777948</v>
      </c>
      <c r="F71" s="2">
        <v>1.5068594495805554</v>
      </c>
      <c r="G71" s="2">
        <v>1.5148155492662685</v>
      </c>
      <c r="H71" s="2">
        <v>1.694711900711221</v>
      </c>
    </row>
    <row r="72" spans="1:8" x14ac:dyDescent="0.2">
      <c r="A72" s="16">
        <f>DATE(2017,7,18)</f>
        <v>42934</v>
      </c>
      <c r="B72" s="2">
        <v>-1.2480017751846595</v>
      </c>
      <c r="C72" s="2">
        <v>2.87978801613471</v>
      </c>
      <c r="D72" s="2">
        <v>3.1645391161555514</v>
      </c>
      <c r="E72" s="2">
        <v>1.3207126692422522</v>
      </c>
      <c r="F72" s="2">
        <v>1.5339198064152626</v>
      </c>
      <c r="G72" s="2">
        <v>1.5419933682065512</v>
      </c>
      <c r="H72" s="2">
        <v>1.7245481163625787</v>
      </c>
    </row>
    <row r="73" spans="1:8" x14ac:dyDescent="0.2">
      <c r="A73" s="16">
        <f>DATE(2017,7,19)</f>
        <v>42935</v>
      </c>
      <c r="B73" s="2">
        <v>-1.1241822001872182</v>
      </c>
      <c r="C73" s="2">
        <v>2.9192255165679803</v>
      </c>
      <c r="D73" s="2">
        <v>3.208160911043878</v>
      </c>
      <c r="E73" s="2">
        <v>1.3446800203278597</v>
      </c>
      <c r="F73" s="2">
        <v>1.5609873771754268</v>
      </c>
      <c r="G73" s="2">
        <v>1.5691784632655414</v>
      </c>
      <c r="H73" s="2">
        <v>1.7543930856624981</v>
      </c>
    </row>
    <row r="74" spans="1:8" x14ac:dyDescent="0.2">
      <c r="A74" s="16">
        <f>DATE(2017,7,20)</f>
        <v>42936</v>
      </c>
      <c r="B74" s="2">
        <v>-0.88237190571548441</v>
      </c>
      <c r="C74" s="2">
        <v>2.9586781348049485</v>
      </c>
      <c r="D74" s="2">
        <v>3.2518011508456008</v>
      </c>
      <c r="E74" s="2">
        <v>1.3686530408753006</v>
      </c>
      <c r="F74" s="2">
        <v>1.5880621637840653</v>
      </c>
      <c r="G74" s="2">
        <v>1.5963708363911033</v>
      </c>
      <c r="H74" s="2">
        <v>1.7842468111791243</v>
      </c>
    </row>
    <row r="75" spans="1:8" x14ac:dyDescent="0.2">
      <c r="A75" s="16">
        <f>DATE(2017,7,21)</f>
        <v>42937</v>
      </c>
      <c r="B75" s="2">
        <v>-0.96858278816137622</v>
      </c>
      <c r="C75" s="2">
        <v>2.9981458766408453</v>
      </c>
      <c r="D75" s="2">
        <v>3.2954598433599269</v>
      </c>
      <c r="E75" s="2">
        <v>1.3926317322257464</v>
      </c>
      <c r="F75" s="2">
        <v>1.6151441681649279</v>
      </c>
      <c r="G75" s="2">
        <v>1.6235704895318337</v>
      </c>
      <c r="H75" s="2">
        <v>1.8141092954815139</v>
      </c>
    </row>
    <row r="76" spans="1:8" x14ac:dyDescent="0.2">
      <c r="A76" s="16">
        <f>DATE(2017,7,24)</f>
        <v>42940</v>
      </c>
      <c r="B76" s="2">
        <v>-0.9350800517707647</v>
      </c>
      <c r="C76" s="2">
        <v>3.0376287478730113</v>
      </c>
      <c r="D76" s="2">
        <v>3.3391369963892799</v>
      </c>
      <c r="E76" s="2">
        <v>1.4166160957205909</v>
      </c>
      <c r="F76" s="2">
        <v>1.6422333922421428</v>
      </c>
      <c r="G76" s="2">
        <v>1.6507774246367071</v>
      </c>
      <c r="H76" s="2">
        <v>1.8439805411393895</v>
      </c>
    </row>
    <row r="77" spans="1:8" x14ac:dyDescent="0.2">
      <c r="A77" s="16">
        <f>DATE(2017,7,25)</f>
        <v>42941</v>
      </c>
      <c r="B77" s="2">
        <v>-0.91578591126784126</v>
      </c>
      <c r="C77" s="2">
        <v>3.0771267543011627</v>
      </c>
      <c r="D77" s="2">
        <v>3.3828326177395285</v>
      </c>
      <c r="E77" s="2">
        <v>1.4406061327016051</v>
      </c>
      <c r="F77" s="2">
        <v>1.6693298379403698</v>
      </c>
      <c r="G77" s="2">
        <v>1.6779916436552966</v>
      </c>
      <c r="H77" s="2">
        <v>1.8738605507232498</v>
      </c>
    </row>
    <row r="78" spans="1:8" x14ac:dyDescent="0.2">
      <c r="A78" s="16">
        <f>DATE(2017,7,26)</f>
        <v>42942</v>
      </c>
      <c r="B78" s="2">
        <v>-0.91633705653172415</v>
      </c>
      <c r="C78" s="2">
        <v>3.1166399017271251</v>
      </c>
      <c r="D78" s="2">
        <v>3.426546715219736</v>
      </c>
      <c r="E78" s="2">
        <v>1.4646018445108266</v>
      </c>
      <c r="F78" s="2">
        <v>1.6964335071848025</v>
      </c>
      <c r="G78" s="2">
        <v>1.7052131485376429</v>
      </c>
      <c r="H78" s="2">
        <v>1.9037493268043271</v>
      </c>
    </row>
    <row r="79" spans="1:8" x14ac:dyDescent="0.2">
      <c r="A79" s="16">
        <f>DATE(2017,7,27)</f>
        <v>42943</v>
      </c>
      <c r="B79" s="2">
        <v>-0.10051682873897239</v>
      </c>
      <c r="C79" s="2">
        <v>3.1561681959549892</v>
      </c>
      <c r="D79" s="2">
        <v>3.470279296642298</v>
      </c>
      <c r="E79" s="2">
        <v>1.4886032324906484</v>
      </c>
      <c r="F79" s="2">
        <v>1.7235444019011448</v>
      </c>
      <c r="G79" s="2">
        <v>1.7324419412343639</v>
      </c>
      <c r="H79" s="2">
        <v>1.9336468719546307</v>
      </c>
    </row>
    <row r="80" spans="1:8" x14ac:dyDescent="0.2">
      <c r="A80" s="16">
        <f>DATE(2017,7,28)</f>
        <v>42944</v>
      </c>
      <c r="B80" s="2">
        <v>-8.0702472007188053E-2</v>
      </c>
      <c r="C80" s="2">
        <v>3.191976671791763</v>
      </c>
      <c r="D80" s="2">
        <v>3.5102838778873879</v>
      </c>
      <c r="E80" s="2">
        <v>1.5126102979837519</v>
      </c>
      <c r="F80" s="2">
        <v>1.7506625240156115</v>
      </c>
      <c r="G80" s="2">
        <v>1.7596780236965648</v>
      </c>
      <c r="H80" s="2">
        <v>1.9635531887469251</v>
      </c>
    </row>
    <row r="81" spans="1:8" x14ac:dyDescent="0.2">
      <c r="A81" s="16">
        <f>DATE(2017,7,31)</f>
        <v>42947</v>
      </c>
      <c r="B81" s="2">
        <v>-6.6826997037983116E-2</v>
      </c>
      <c r="C81" s="2">
        <v>3.2277975777813994</v>
      </c>
      <c r="D81" s="2">
        <v>3.5503039260523339</v>
      </c>
      <c r="E81" s="2">
        <v>1.5366230423331517</v>
      </c>
      <c r="F81" s="2">
        <v>1.7777878754549059</v>
      </c>
      <c r="G81" s="2">
        <v>1.7869213978758847</v>
      </c>
      <c r="H81" s="2">
        <v>1.9934682797547065</v>
      </c>
    </row>
    <row r="82" spans="1:8" x14ac:dyDescent="0.2">
      <c r="A82" s="16">
        <f>DATE(2017,8,1)</f>
        <v>42948</v>
      </c>
      <c r="B82" s="2">
        <v>-5.7843886973318881E-2</v>
      </c>
      <c r="C82" s="2">
        <v>3.2636309182388024</v>
      </c>
      <c r="D82" s="2">
        <v>3.5903394471171302</v>
      </c>
      <c r="E82" s="2">
        <v>1.5511024168133769</v>
      </c>
      <c r="F82" s="2">
        <v>1.7953584642530496</v>
      </c>
      <c r="G82" s="2">
        <v>1.8046092028770166</v>
      </c>
      <c r="H82" s="2">
        <v>2.0138096337769751</v>
      </c>
    </row>
    <row r="83" spans="1:8" x14ac:dyDescent="0.2">
      <c r="A83" s="16">
        <f>DATE(2017,8,2)</f>
        <v>42949</v>
      </c>
      <c r="B83" s="2">
        <v>-3.1420350375166439E-2</v>
      </c>
      <c r="C83" s="2">
        <v>3.2994766974803409</v>
      </c>
      <c r="D83" s="2">
        <v>3.630390447064058</v>
      </c>
      <c r="E83" s="2">
        <v>1.5655838560883151</v>
      </c>
      <c r="F83" s="2">
        <v>1.8129320863809359</v>
      </c>
      <c r="G83" s="2">
        <v>1.8223000815386747</v>
      </c>
      <c r="H83" s="2">
        <v>2.0341550446343337</v>
      </c>
    </row>
    <row r="84" spans="1:8" x14ac:dyDescent="0.2">
      <c r="A84" s="16">
        <f>DATE(2017,8,3)</f>
        <v>42950</v>
      </c>
      <c r="B84" s="2">
        <v>5.7892055142660943E-2</v>
      </c>
      <c r="C84" s="2">
        <v>3.3353349198238735</v>
      </c>
      <c r="D84" s="2">
        <v>3.6704569318777081</v>
      </c>
      <c r="E84" s="2">
        <v>1.5800673604524418</v>
      </c>
      <c r="F84" s="2">
        <v>1.8305087423621913</v>
      </c>
      <c r="G84" s="2">
        <v>1.8399940343950094</v>
      </c>
      <c r="H84" s="2">
        <v>2.0545045131358908</v>
      </c>
    </row>
    <row r="85" spans="1:8" x14ac:dyDescent="0.2">
      <c r="A85" s="16">
        <f>DATE(2017,8,4)</f>
        <v>42951</v>
      </c>
      <c r="B85" s="2">
        <v>-3.5005583273894914E-2</v>
      </c>
      <c r="C85" s="2">
        <v>3.3712055895886994</v>
      </c>
      <c r="D85" s="2">
        <v>3.7105389075449136</v>
      </c>
      <c r="E85" s="2">
        <v>1.5945529302002548</v>
      </c>
      <c r="F85" s="2">
        <v>1.8480884327206404</v>
      </c>
      <c r="G85" s="2">
        <v>1.85769106198026</v>
      </c>
      <c r="H85" s="2">
        <v>2.07485804009091</v>
      </c>
    </row>
    <row r="86" spans="1:8" x14ac:dyDescent="0.2">
      <c r="A86" s="16">
        <f>DATE(2017,8,7)</f>
        <v>42954</v>
      </c>
      <c r="B86" s="2">
        <v>-0.30319479540799055</v>
      </c>
      <c r="C86" s="2">
        <v>3.4070887110957182</v>
      </c>
      <c r="D86" s="2">
        <v>3.7506363800549058</v>
      </c>
      <c r="E86" s="2">
        <v>1.6090405656262741</v>
      </c>
      <c r="F86" s="2">
        <v>1.8656711579801091</v>
      </c>
      <c r="G86" s="2">
        <v>1.8753911648287103</v>
      </c>
      <c r="H86" s="2">
        <v>2.0952156263087884</v>
      </c>
    </row>
    <row r="87" spans="1:8" x14ac:dyDescent="0.2">
      <c r="A87" s="16">
        <f>DATE(2017,8,8)</f>
        <v>42955</v>
      </c>
      <c r="B87" s="2">
        <v>-0.13121972690766093</v>
      </c>
      <c r="C87" s="2">
        <v>3.4429842886672946</v>
      </c>
      <c r="D87" s="2">
        <v>3.7907493553992255</v>
      </c>
      <c r="E87" s="2">
        <v>1.6235302670250418</v>
      </c>
      <c r="F87" s="2">
        <v>1.8832569186644665</v>
      </c>
      <c r="G87" s="2">
        <v>1.8930943434747327</v>
      </c>
      <c r="H87" s="2">
        <v>2.1155772725990785</v>
      </c>
    </row>
    <row r="88" spans="1:8" x14ac:dyDescent="0.2">
      <c r="A88" s="16">
        <f>DATE(2017,8,9)</f>
        <v>42956</v>
      </c>
      <c r="B88" s="2">
        <v>-0.20668961462476654</v>
      </c>
      <c r="C88" s="2">
        <v>3.4788923266272591</v>
      </c>
      <c r="D88" s="2">
        <v>3.8308778395716998</v>
      </c>
      <c r="E88" s="2">
        <v>1.6380220346912111</v>
      </c>
      <c r="F88" s="2">
        <v>1.9008457152978053</v>
      </c>
      <c r="G88" s="2">
        <v>1.9108005984528329</v>
      </c>
      <c r="H88" s="2">
        <v>2.1359429797715324</v>
      </c>
    </row>
    <row r="89" spans="1:8" x14ac:dyDescent="0.2">
      <c r="A89" s="16">
        <f>DATE(2017,8,10)</f>
        <v>42957</v>
      </c>
      <c r="B89" s="2">
        <v>-3.4037656586904941E-2</v>
      </c>
      <c r="C89" s="2">
        <v>3.5148128293010168</v>
      </c>
      <c r="D89" s="2">
        <v>3.8710218385685109</v>
      </c>
      <c r="E89" s="2">
        <v>1.6525158689194352</v>
      </c>
      <c r="F89" s="2">
        <v>1.9184375484042393</v>
      </c>
      <c r="G89" s="2">
        <v>1.9285099302976061</v>
      </c>
      <c r="H89" s="2">
        <v>2.1563127486360578</v>
      </c>
    </row>
    <row r="90" spans="1:8" x14ac:dyDescent="0.2">
      <c r="A90" s="16">
        <f>DATE(2017,8,11)</f>
        <v>42958</v>
      </c>
      <c r="B90" s="2">
        <v>4.061844258518299E-3</v>
      </c>
      <c r="C90" s="2">
        <v>3.5507458010153536</v>
      </c>
      <c r="D90" s="2">
        <v>3.9111813583880606</v>
      </c>
      <c r="E90" s="2">
        <v>1.6670117700043674</v>
      </c>
      <c r="F90" s="2">
        <v>1.9360324185079489</v>
      </c>
      <c r="G90" s="2">
        <v>1.9462223395437128</v>
      </c>
      <c r="H90" s="2">
        <v>2.1766865800026736</v>
      </c>
    </row>
    <row r="91" spans="1:8" x14ac:dyDescent="0.2">
      <c r="A91" s="16">
        <f>DATE(2017,8,14)</f>
        <v>42961</v>
      </c>
      <c r="B91" s="2">
        <v>-0.1063431490952671</v>
      </c>
      <c r="C91" s="2">
        <v>3.5866912460987166</v>
      </c>
      <c r="D91" s="2">
        <v>3.9513564050312588</v>
      </c>
      <c r="E91" s="2">
        <v>1.681509738240794</v>
      </c>
      <c r="F91" s="2">
        <v>1.9536303261332491</v>
      </c>
      <c r="G91" s="2">
        <v>1.9639378267259255</v>
      </c>
      <c r="H91" s="2">
        <v>2.1970644746815982</v>
      </c>
    </row>
    <row r="92" spans="1:8" x14ac:dyDescent="0.2">
      <c r="A92" s="16">
        <f>DATE(2017,8,15)</f>
        <v>42962</v>
      </c>
      <c r="B92" s="2">
        <v>1.6068901290799964E-2</v>
      </c>
      <c r="C92" s="2">
        <v>3.6226491688809088</v>
      </c>
      <c r="D92" s="2">
        <v>3.9915469845011038</v>
      </c>
      <c r="E92" s="2">
        <v>1.696009773923457</v>
      </c>
      <c r="F92" s="2">
        <v>1.9712312718044966</v>
      </c>
      <c r="G92" s="2">
        <v>1.9816563923791053</v>
      </c>
      <c r="H92" s="2">
        <v>2.2174464334832278</v>
      </c>
    </row>
    <row r="93" spans="1:8" x14ac:dyDescent="0.2">
      <c r="A93" s="16">
        <f>DATE(2017,8,16)</f>
        <v>42963</v>
      </c>
      <c r="B93" s="2">
        <v>-3.6842565142414241E-2</v>
      </c>
      <c r="C93" s="2">
        <v>3.6586195736933336</v>
      </c>
      <c r="D93" s="2">
        <v>4.0317531028031262</v>
      </c>
      <c r="E93" s="2">
        <v>1.7105118773472316</v>
      </c>
      <c r="F93" s="2">
        <v>1.9888352560462286</v>
      </c>
      <c r="G93" s="2">
        <v>1.9993780370382463</v>
      </c>
      <c r="H93" s="2">
        <v>2.2378324572181141</v>
      </c>
    </row>
    <row r="94" spans="1:8" x14ac:dyDescent="0.2">
      <c r="A94" s="16">
        <f>DATE(2017,8,17)</f>
        <v>42964</v>
      </c>
      <c r="B94" s="2">
        <v>-0.1149586599728858</v>
      </c>
      <c r="C94" s="2">
        <v>3.6946024648688791</v>
      </c>
      <c r="D94" s="2">
        <v>4.0719747659450745</v>
      </c>
      <c r="E94" s="2">
        <v>1.7250160488069266</v>
      </c>
      <c r="F94" s="2">
        <v>2.0064422793829806</v>
      </c>
      <c r="G94" s="2">
        <v>2.0171027612383208</v>
      </c>
      <c r="H94" s="2">
        <v>2.2582225466969197</v>
      </c>
    </row>
    <row r="95" spans="1:8" x14ac:dyDescent="0.2">
      <c r="A95" s="16">
        <f>DATE(2017,8,18)</f>
        <v>42965</v>
      </c>
      <c r="B95" s="2">
        <v>0.32800444481668745</v>
      </c>
      <c r="C95" s="2">
        <v>3.7305978467418792</v>
      </c>
      <c r="D95" s="2">
        <v>4.1122119799369861</v>
      </c>
      <c r="E95" s="2">
        <v>1.7395222885974837</v>
      </c>
      <c r="F95" s="2">
        <v>2.0240523423393997</v>
      </c>
      <c r="G95" s="2">
        <v>2.0348305655145227</v>
      </c>
      <c r="H95" s="2">
        <v>2.2786167027305515</v>
      </c>
    </row>
    <row r="96" spans="1:8" x14ac:dyDescent="0.2">
      <c r="A96" s="16">
        <f>DATE(2017,8,21)</f>
        <v>42968</v>
      </c>
      <c r="B96" s="2">
        <v>0.29263176938909563</v>
      </c>
      <c r="C96" s="2">
        <v>3.7666057236482202</v>
      </c>
      <c r="D96" s="2">
        <v>4.1524647507912738</v>
      </c>
      <c r="E96" s="2">
        <v>1.7540305970138448</v>
      </c>
      <c r="F96" s="2">
        <v>2.0416654454402217</v>
      </c>
      <c r="G96" s="2">
        <v>2.0525614504020684</v>
      </c>
      <c r="H96" s="2">
        <v>2.2990149261300052</v>
      </c>
    </row>
    <row r="97" spans="1:8" x14ac:dyDescent="0.2">
      <c r="A97" s="16">
        <f>DATE(2017,8,22)</f>
        <v>42969</v>
      </c>
      <c r="B97" s="2">
        <v>0.33303928609580424</v>
      </c>
      <c r="C97" s="2">
        <v>3.8026260999252992</v>
      </c>
      <c r="D97" s="2">
        <v>4.1927330845226818</v>
      </c>
      <c r="E97" s="2">
        <v>1.7685409743509961</v>
      </c>
      <c r="F97" s="2">
        <v>2.0592815892103378</v>
      </c>
      <c r="G97" s="2">
        <v>2.0702954164362852</v>
      </c>
      <c r="H97" s="2">
        <v>2.3194172177064765</v>
      </c>
    </row>
    <row r="98" spans="1:8" x14ac:dyDescent="0.2">
      <c r="A98" s="16">
        <f>DATE(2017,8,23)</f>
        <v>42970</v>
      </c>
      <c r="B98" s="2">
        <v>0.85675201699519921</v>
      </c>
      <c r="C98" s="2">
        <v>3.8386589799120019</v>
      </c>
      <c r="D98" s="2">
        <v>4.2330169871482637</v>
      </c>
      <c r="E98" s="2">
        <v>1.7830534209039683</v>
      </c>
      <c r="F98" s="2">
        <v>2.0769007741746615</v>
      </c>
      <c r="G98" s="2">
        <v>2.0880324641525894</v>
      </c>
      <c r="H98" s="2">
        <v>2.3398235782713162</v>
      </c>
    </row>
    <row r="99" spans="1:8" x14ac:dyDescent="0.2">
      <c r="A99" s="16">
        <f>DATE(2017,8,24)</f>
        <v>42971</v>
      </c>
      <c r="B99" s="2">
        <v>1.3270827545019293</v>
      </c>
      <c r="C99" s="2">
        <v>3.8747043679487452</v>
      </c>
      <c r="D99" s="2">
        <v>4.2733164646874044</v>
      </c>
      <c r="E99" s="2">
        <v>1.7975679369678366</v>
      </c>
      <c r="F99" s="2">
        <v>2.0945230008582172</v>
      </c>
      <c r="G99" s="2">
        <v>2.105772594086508</v>
      </c>
      <c r="H99" s="2">
        <v>2.3602340086360307</v>
      </c>
    </row>
    <row r="100" spans="1:8" x14ac:dyDescent="0.2">
      <c r="A100" s="16">
        <f>DATE(2017,8,25)</f>
        <v>42972</v>
      </c>
      <c r="B100" s="2">
        <v>1.6853023313936344</v>
      </c>
      <c r="C100" s="2">
        <v>3.9107622683773879</v>
      </c>
      <c r="D100" s="2">
        <v>4.3136315231617761</v>
      </c>
      <c r="E100" s="2">
        <v>1.8120845228377203</v>
      </c>
      <c r="F100" s="2">
        <v>2.112148269786096</v>
      </c>
      <c r="G100" s="2">
        <v>2.1235158067736348</v>
      </c>
      <c r="H100" s="2">
        <v>2.380648509612282</v>
      </c>
    </row>
    <row r="101" spans="1:8" x14ac:dyDescent="0.2">
      <c r="A101" s="16">
        <f>DATE(2017,8,28)</f>
        <v>42975</v>
      </c>
      <c r="B101" s="2">
        <v>1.6163888920732949</v>
      </c>
      <c r="C101" s="2">
        <v>3.9468326855413904</v>
      </c>
      <c r="D101" s="2">
        <v>4.353962168595471</v>
      </c>
      <c r="E101" s="2">
        <v>1.8266031788087833</v>
      </c>
      <c r="F101" s="2">
        <v>2.1297765814835223</v>
      </c>
      <c r="G101" s="2">
        <v>2.1412621027496748</v>
      </c>
      <c r="H101" s="2">
        <v>2.4010670820119318</v>
      </c>
    </row>
    <row r="102" spans="1:8" x14ac:dyDescent="0.2">
      <c r="A102" s="16">
        <f>DATE(2017,8,29)</f>
        <v>42976</v>
      </c>
      <c r="B102" s="2">
        <v>1.9869141686471803</v>
      </c>
      <c r="C102" s="2">
        <v>3.9829156237856544</v>
      </c>
      <c r="D102" s="2">
        <v>4.3943084070148242</v>
      </c>
      <c r="E102" s="2">
        <v>1.841123905176234</v>
      </c>
      <c r="F102" s="2">
        <v>2.1474079364757648</v>
      </c>
      <c r="G102" s="2">
        <v>2.1590114825504214</v>
      </c>
      <c r="H102" s="2">
        <v>2.4214897266469526</v>
      </c>
    </row>
    <row r="103" spans="1:8" x14ac:dyDescent="0.2">
      <c r="A103" s="16">
        <f>DATE(2017,8,30)</f>
        <v>42977</v>
      </c>
      <c r="B103" s="2">
        <v>1.8670651719032041</v>
      </c>
      <c r="C103" s="2">
        <v>4.0190110874566143</v>
      </c>
      <c r="D103" s="2">
        <v>4.4346702444485464</v>
      </c>
      <c r="E103" s="2">
        <v>1.8556467022353029</v>
      </c>
      <c r="F103" s="2">
        <v>2.1650423352882475</v>
      </c>
      <c r="G103" s="2">
        <v>2.1767639467117572</v>
      </c>
      <c r="H103" s="2">
        <v>2.4419164443295172</v>
      </c>
    </row>
    <row r="104" spans="1:8" x14ac:dyDescent="0.2">
      <c r="A104" s="16">
        <f>DATE(2017,8,31)</f>
        <v>42978</v>
      </c>
      <c r="B104" s="2">
        <v>1.7616458375924626</v>
      </c>
      <c r="C104" s="2">
        <v>4.055119080902192</v>
      </c>
      <c r="D104" s="2">
        <v>4.4750476869276579</v>
      </c>
      <c r="E104" s="2">
        <v>1.8701715702812871</v>
      </c>
      <c r="F104" s="2">
        <v>2.1826797784463947</v>
      </c>
      <c r="G104" s="2">
        <v>2.1945194957696534</v>
      </c>
      <c r="H104" s="2">
        <v>2.4623472358719312</v>
      </c>
    </row>
    <row r="105" spans="1:8" x14ac:dyDescent="0.2">
      <c r="A105" s="16">
        <f>DATE(2017,9,1)</f>
        <v>42979</v>
      </c>
      <c r="B105" s="2">
        <v>1.8643500082526687</v>
      </c>
      <c r="C105" s="2">
        <v>4.0912396084718416</v>
      </c>
      <c r="D105" s="2">
        <v>4.5154407404855101</v>
      </c>
      <c r="E105" s="2">
        <v>1.8850086914279363</v>
      </c>
      <c r="F105" s="2">
        <v>2.2006314091856494</v>
      </c>
      <c r="G105" s="2">
        <v>2.2125893093750237</v>
      </c>
      <c r="H105" s="2">
        <v>2.483094104734529</v>
      </c>
    </row>
    <row r="106" spans="1:8" x14ac:dyDescent="0.2">
      <c r="A106" s="16">
        <f>DATE(2017,9,4)</f>
        <v>42982</v>
      </c>
      <c r="B106" s="2">
        <v>2.0074551041858957</v>
      </c>
      <c r="C106" s="2">
        <v>4.1273726745165273</v>
      </c>
      <c r="D106" s="2">
        <v>4.5558494111578085</v>
      </c>
      <c r="E106" s="2">
        <v>1.899847973562041</v>
      </c>
      <c r="F106" s="2">
        <v>2.2185861936985685</v>
      </c>
      <c r="G106" s="2">
        <v>2.2306623180456953</v>
      </c>
      <c r="H106" s="2">
        <v>2.503845174482433</v>
      </c>
    </row>
    <row r="107" spans="1:8" x14ac:dyDescent="0.2">
      <c r="A107" s="16">
        <f>DATE(2017,9,5)</f>
        <v>42983</v>
      </c>
      <c r="B107" s="2">
        <v>2.2475419922621143</v>
      </c>
      <c r="C107" s="2">
        <v>4.1635182833887008</v>
      </c>
      <c r="D107" s="2">
        <v>4.5962737049825675</v>
      </c>
      <c r="E107" s="2">
        <v>1.9146894169983497</v>
      </c>
      <c r="F107" s="2">
        <v>2.2365441325392199</v>
      </c>
      <c r="G107" s="2">
        <v>2.2487385223465939</v>
      </c>
      <c r="H107" s="2">
        <v>2.5246004459662075</v>
      </c>
    </row>
    <row r="108" spans="1:8" x14ac:dyDescent="0.2">
      <c r="A108" s="16">
        <f>DATE(2017,9,6)</f>
        <v>42984</v>
      </c>
      <c r="B108" s="2">
        <v>3.2121891874719481</v>
      </c>
      <c r="C108" s="2">
        <v>4.1996764394423458</v>
      </c>
      <c r="D108" s="2">
        <v>4.6367136280001553</v>
      </c>
      <c r="E108" s="2">
        <v>1.9295330220516771</v>
      </c>
      <c r="F108" s="2">
        <v>2.2545052262617826</v>
      </c>
      <c r="G108" s="2">
        <v>2.2668179228428009</v>
      </c>
      <c r="H108" s="2">
        <v>2.5453599200366828</v>
      </c>
    </row>
    <row r="109" spans="1:8" x14ac:dyDescent="0.2">
      <c r="A109" s="16">
        <f>DATE(2017,9,8)</f>
        <v>42986</v>
      </c>
      <c r="B109" s="2">
        <v>3.1932702516564988</v>
      </c>
      <c r="C109" s="2">
        <v>4.235847147032934</v>
      </c>
      <c r="D109" s="2">
        <v>4.6771691862532494</v>
      </c>
      <c r="E109" s="2">
        <v>1.9443787890368158</v>
      </c>
      <c r="F109" s="2">
        <v>2.2724694754204799</v>
      </c>
      <c r="G109" s="2">
        <v>2.2849005200994421</v>
      </c>
      <c r="H109" s="2">
        <v>2.5661235975447783</v>
      </c>
    </row>
    <row r="110" spans="1:8" x14ac:dyDescent="0.2">
      <c r="A110" s="16">
        <f>DATE(2017,9,11)</f>
        <v>42989</v>
      </c>
      <c r="B110" s="2">
        <v>2.9763867312999404</v>
      </c>
      <c r="C110" s="2">
        <v>4.2682217464616645</v>
      </c>
      <c r="D110" s="2">
        <v>4.7138154452791126</v>
      </c>
      <c r="E110" s="2">
        <v>1.9592267182686696</v>
      </c>
      <c r="F110" s="2">
        <v>2.2904368805696906</v>
      </c>
      <c r="G110" s="2">
        <v>2.3029863146817764</v>
      </c>
      <c r="H110" s="2">
        <v>2.5868914793416353</v>
      </c>
    </row>
    <row r="111" spans="1:8" x14ac:dyDescent="0.2">
      <c r="A111" s="16">
        <f>DATE(2017,9,12)</f>
        <v>42990</v>
      </c>
      <c r="B111" s="2">
        <v>2.9355700386705319</v>
      </c>
      <c r="C111" s="2">
        <v>4.3006064011134271</v>
      </c>
      <c r="D111" s="2">
        <v>4.7504745337339171</v>
      </c>
      <c r="E111" s="2">
        <v>1.9740768100621864</v>
      </c>
      <c r="F111" s="2">
        <v>2.3084074422638823</v>
      </c>
      <c r="G111" s="2">
        <v>2.3210753071551515</v>
      </c>
      <c r="H111" s="2">
        <v>2.607663566278573</v>
      </c>
    </row>
    <row r="112" spans="1:8" x14ac:dyDescent="0.2">
      <c r="A112" s="16">
        <f>DATE(2017,9,13)</f>
        <v>42991</v>
      </c>
      <c r="B112" s="2">
        <v>3.1507179838308641</v>
      </c>
      <c r="C112" s="2">
        <v>4.3330011141112568</v>
      </c>
      <c r="D112" s="2">
        <v>4.7871464561090704</v>
      </c>
      <c r="E112" s="2">
        <v>1.9889290647322699</v>
      </c>
      <c r="F112" s="2">
        <v>2.3263811610575669</v>
      </c>
      <c r="G112" s="2">
        <v>2.3391674980849597</v>
      </c>
      <c r="H112" s="2">
        <v>2.6284398592069769</v>
      </c>
    </row>
    <row r="113" spans="1:8" x14ac:dyDescent="0.2">
      <c r="A113" s="16">
        <f>DATE(2017,9,14)</f>
        <v>42992</v>
      </c>
      <c r="B113" s="2">
        <v>3.3305764070349131</v>
      </c>
      <c r="C113" s="2">
        <v>4.3654058885791436</v>
      </c>
      <c r="D113" s="2">
        <v>4.8238312168975783</v>
      </c>
      <c r="E113" s="2">
        <v>2.0037834825940015</v>
      </c>
      <c r="F113" s="2">
        <v>2.3443580375053896</v>
      </c>
      <c r="G113" s="2">
        <v>2.3572628880368152</v>
      </c>
      <c r="H113" s="2">
        <v>2.6492203589785657</v>
      </c>
    </row>
    <row r="114" spans="1:8" x14ac:dyDescent="0.2">
      <c r="A114" s="16">
        <f>DATE(2017,9,15)</f>
        <v>42993</v>
      </c>
      <c r="B114" s="2">
        <v>3.4679332657494566</v>
      </c>
      <c r="C114" s="2">
        <v>4.3978207276420989</v>
      </c>
      <c r="D114" s="2">
        <v>4.8605288205940012</v>
      </c>
      <c r="E114" s="2">
        <v>2.018640063962418</v>
      </c>
      <c r="F114" s="2">
        <v>2.3623380721621068</v>
      </c>
      <c r="G114" s="2">
        <v>2.3753614775763321</v>
      </c>
      <c r="H114" s="2">
        <v>2.6700050664451469</v>
      </c>
    </row>
    <row r="115" spans="1:8" x14ac:dyDescent="0.2">
      <c r="A115" s="16">
        <f>DATE(2017,9,18)</f>
        <v>42996</v>
      </c>
      <c r="B115" s="2">
        <v>3.6346519193917182</v>
      </c>
      <c r="C115" s="2">
        <v>4.4302456344260666</v>
      </c>
      <c r="D115" s="2">
        <v>4.8972392716944979</v>
      </c>
      <c r="E115" s="2">
        <v>2.0334988091526229</v>
      </c>
      <c r="F115" s="2">
        <v>2.3803212655825634</v>
      </c>
      <c r="G115" s="2">
        <v>2.393463267269258</v>
      </c>
      <c r="H115" s="2">
        <v>2.6907939824586835</v>
      </c>
    </row>
    <row r="116" spans="1:8" x14ac:dyDescent="0.2">
      <c r="A116" s="16">
        <f>DATE(2017,9,19)</f>
        <v>42997</v>
      </c>
      <c r="B116" s="2">
        <v>3.6572230165096364</v>
      </c>
      <c r="C116" s="2">
        <v>4.4626806120580342</v>
      </c>
      <c r="D116" s="2">
        <v>4.9339625746968485</v>
      </c>
      <c r="E116" s="2">
        <v>2.0483597184797864</v>
      </c>
      <c r="F116" s="2">
        <v>2.3983076183216934</v>
      </c>
      <c r="G116" s="2">
        <v>2.411568257681429</v>
      </c>
      <c r="H116" s="2">
        <v>2.7115871078713383</v>
      </c>
    </row>
    <row r="117" spans="1:8" x14ac:dyDescent="0.2">
      <c r="A117" s="16">
        <f>DATE(2017,9,20)</f>
        <v>42998</v>
      </c>
      <c r="B117" s="2">
        <v>3.8809606138461739</v>
      </c>
      <c r="C117" s="2">
        <v>4.4951256636658554</v>
      </c>
      <c r="D117" s="2">
        <v>4.9706987341002762</v>
      </c>
      <c r="E117" s="2">
        <v>2.0632227922591229</v>
      </c>
      <c r="F117" s="2">
        <v>2.4162971309345416</v>
      </c>
      <c r="G117" s="2">
        <v>2.4296764493788148</v>
      </c>
      <c r="H117" s="2">
        <v>2.7323844435354738</v>
      </c>
    </row>
    <row r="118" spans="1:8" x14ac:dyDescent="0.2">
      <c r="A118" s="16">
        <f>DATE(2017,9,21)</f>
        <v>42999</v>
      </c>
      <c r="B118" s="2">
        <v>3.9610982506887105</v>
      </c>
      <c r="C118" s="2">
        <v>4.5275807923784051</v>
      </c>
      <c r="D118" s="2">
        <v>5.0074477544056917</v>
      </c>
      <c r="E118" s="2">
        <v>2.0780880308057803</v>
      </c>
      <c r="F118" s="2">
        <v>2.4342898039761751</v>
      </c>
      <c r="G118" s="2">
        <v>2.4477878429273625</v>
      </c>
      <c r="H118" s="2">
        <v>2.7531859903034972</v>
      </c>
    </row>
    <row r="119" spans="1:8" x14ac:dyDescent="0.2">
      <c r="A119" s="16">
        <f>DATE(2017,9,22)</f>
        <v>43000</v>
      </c>
      <c r="B119" s="2">
        <v>4.1256244920760965</v>
      </c>
      <c r="C119" s="2">
        <v>4.5600460013255351</v>
      </c>
      <c r="D119" s="2">
        <v>5.0442096401155379</v>
      </c>
      <c r="E119" s="2">
        <v>2.0929554344351953</v>
      </c>
      <c r="F119" s="2">
        <v>2.4522856380019276</v>
      </c>
      <c r="G119" s="2">
        <v>2.4659024388933526</v>
      </c>
      <c r="H119" s="2">
        <v>2.7739917490282151</v>
      </c>
    </row>
    <row r="120" spans="1:8" x14ac:dyDescent="0.2">
      <c r="A120" s="16">
        <f>DATE(2017,9,25)</f>
        <v>43003</v>
      </c>
      <c r="B120" s="2">
        <v>3.9528919157337579</v>
      </c>
      <c r="C120" s="2">
        <v>4.5925212936380744</v>
      </c>
      <c r="D120" s="2">
        <v>5.0809843957338563</v>
      </c>
      <c r="E120" s="2">
        <v>2.1078250034626267</v>
      </c>
      <c r="F120" s="2">
        <v>2.4702846335670658</v>
      </c>
      <c r="G120" s="2">
        <v>2.4840202378429543</v>
      </c>
      <c r="H120" s="2">
        <v>2.7948017205623898</v>
      </c>
    </row>
    <row r="121" spans="1:8" x14ac:dyDescent="0.2">
      <c r="A121" s="16">
        <f>DATE(2017,9,26)</f>
        <v>43004</v>
      </c>
      <c r="B121" s="2">
        <v>4.1138871767920859</v>
      </c>
      <c r="C121" s="2">
        <v>4.6250066724478067</v>
      </c>
      <c r="D121" s="2">
        <v>5.1177720257662429</v>
      </c>
      <c r="E121" s="2">
        <v>2.1226967382034667</v>
      </c>
      <c r="F121" s="2">
        <v>2.4882867912269901</v>
      </c>
      <c r="G121" s="2">
        <v>2.5021412403425369</v>
      </c>
      <c r="H121" s="2">
        <v>2.8156159057590724</v>
      </c>
    </row>
    <row r="122" spans="1:8" x14ac:dyDescent="0.2">
      <c r="A122" s="16">
        <f>DATE(2017,9,27)</f>
        <v>43005</v>
      </c>
      <c r="B122" s="2">
        <v>3.8803389909450199</v>
      </c>
      <c r="C122" s="2">
        <v>4.657502140887515</v>
      </c>
      <c r="D122" s="2">
        <v>5.1545725347198923</v>
      </c>
      <c r="E122" s="2">
        <v>2.1375706389731519</v>
      </c>
      <c r="F122" s="2">
        <v>2.5062921115372561</v>
      </c>
      <c r="G122" s="2">
        <v>2.5202654469585362</v>
      </c>
      <c r="H122" s="2">
        <v>2.8364343054714469</v>
      </c>
    </row>
    <row r="123" spans="1:8" x14ac:dyDescent="0.2">
      <c r="A123" s="16">
        <f>DATE(2017,9,28)</f>
        <v>43006</v>
      </c>
      <c r="B123" s="2">
        <v>3.8054709518279495</v>
      </c>
      <c r="C123" s="2">
        <v>4.6900077020908926</v>
      </c>
      <c r="D123" s="2">
        <v>5.1913859271035312</v>
      </c>
      <c r="E123" s="2">
        <v>2.1524467060871633</v>
      </c>
      <c r="F123" s="2">
        <v>2.524300595053508</v>
      </c>
      <c r="G123" s="2">
        <v>2.5383928582574766</v>
      </c>
      <c r="H123" s="2">
        <v>2.8572569205528753</v>
      </c>
    </row>
    <row r="124" spans="1:8" x14ac:dyDescent="0.2">
      <c r="A124" s="16">
        <f>DATE(2017,9,29)</f>
        <v>43007</v>
      </c>
      <c r="B124" s="2">
        <v>4.0552284872069189</v>
      </c>
      <c r="C124" s="2">
        <v>4.7225233591927207</v>
      </c>
      <c r="D124" s="2">
        <v>5.2282122074275739</v>
      </c>
      <c r="E124" s="2">
        <v>2.1673249398610039</v>
      </c>
      <c r="F124" s="2">
        <v>2.5423122423314126</v>
      </c>
      <c r="G124" s="2">
        <v>2.5565234748060384</v>
      </c>
      <c r="H124" s="2">
        <v>2.8780837518569191</v>
      </c>
    </row>
    <row r="125" spans="1:8" x14ac:dyDescent="0.2">
      <c r="A125" s="16">
        <f>DATE(2017,10,2)</f>
        <v>43010</v>
      </c>
      <c r="B125" s="2">
        <v>4.3263072824678783</v>
      </c>
      <c r="C125" s="2">
        <v>4.7550491153286245</v>
      </c>
      <c r="D125" s="2">
        <v>5.2650513802038557</v>
      </c>
      <c r="E125" s="2">
        <v>2.2011993367897942</v>
      </c>
      <c r="F125" s="2">
        <v>2.5793913367316401</v>
      </c>
      <c r="G125" s="2">
        <v>2.5937242437329866</v>
      </c>
      <c r="H125" s="2">
        <v>2.9180420209512725</v>
      </c>
    </row>
    <row r="126" spans="1:8" x14ac:dyDescent="0.2">
      <c r="A126" s="16">
        <f>DATE(2017,10,3)</f>
        <v>43011</v>
      </c>
      <c r="B126" s="2">
        <v>4.4160942712119899</v>
      </c>
      <c r="C126" s="2">
        <v>4.7875849736352727</v>
      </c>
      <c r="D126" s="2">
        <v>5.3019034499459217</v>
      </c>
      <c r="E126" s="2">
        <v>2.2350849650468962</v>
      </c>
      <c r="F126" s="2">
        <v>2.6164838388580414</v>
      </c>
      <c r="G126" s="2">
        <v>2.6309385066549007</v>
      </c>
      <c r="H126" s="2">
        <v>2.9580158100010134</v>
      </c>
    </row>
    <row r="127" spans="1:8" x14ac:dyDescent="0.2">
      <c r="A127" s="16">
        <f>DATE(2017,10,4)</f>
        <v>43012</v>
      </c>
      <c r="B127" s="2">
        <v>4.3353086457335266</v>
      </c>
      <c r="C127" s="2">
        <v>4.8201309372502665</v>
      </c>
      <c r="D127" s="2">
        <v>5.3387684211688047</v>
      </c>
      <c r="E127" s="2">
        <v>2.2689818283561092</v>
      </c>
      <c r="F127" s="2">
        <v>2.6535897535587827</v>
      </c>
      <c r="G127" s="2">
        <v>2.6681662684664653</v>
      </c>
      <c r="H127" s="2">
        <v>2.9980051250341422</v>
      </c>
    </row>
    <row r="128" spans="1:8" x14ac:dyDescent="0.2">
      <c r="A128" s="16">
        <f>DATE(2017,10,5)</f>
        <v>43013</v>
      </c>
      <c r="B128" s="2">
        <v>4.2507628608466019</v>
      </c>
      <c r="C128" s="2">
        <v>4.8526870093122731</v>
      </c>
      <c r="D128" s="2">
        <v>5.375646298389225</v>
      </c>
      <c r="E128" s="2">
        <v>2.3028899304425199</v>
      </c>
      <c r="F128" s="2">
        <v>2.6907090856838289</v>
      </c>
      <c r="G128" s="2">
        <v>2.7054075340642081</v>
      </c>
      <c r="H128" s="2">
        <v>3.0380099720810128</v>
      </c>
    </row>
    <row r="129" spans="1:8" x14ac:dyDescent="0.2">
      <c r="A129" s="16">
        <f>DATE(2017,10,6)</f>
        <v>43014</v>
      </c>
      <c r="B129" s="2">
        <v>4.2668687755728074</v>
      </c>
      <c r="C129" s="2">
        <v>4.8852531929608478</v>
      </c>
      <c r="D129" s="2">
        <v>5.4125370861253908</v>
      </c>
      <c r="E129" s="2">
        <v>2.3368092750324587</v>
      </c>
      <c r="F129" s="2">
        <v>2.7278418400849214</v>
      </c>
      <c r="G129" s="2">
        <v>2.7426623083464108</v>
      </c>
      <c r="H129" s="2">
        <v>3.0780303571743106</v>
      </c>
    </row>
    <row r="130" spans="1:8" x14ac:dyDescent="0.2">
      <c r="A130" s="16">
        <f>DATE(2017,10,9)</f>
        <v>43017</v>
      </c>
      <c r="B130" s="2">
        <v>3.9729826056474904</v>
      </c>
      <c r="C130" s="2">
        <v>4.9178294913365672</v>
      </c>
      <c r="D130" s="2">
        <v>5.4494407888971308</v>
      </c>
      <c r="E130" s="2">
        <v>2.3707398658534551</v>
      </c>
      <c r="F130" s="2">
        <v>2.7649880216155331</v>
      </c>
      <c r="G130" s="2">
        <v>2.779930596213176</v>
      </c>
      <c r="H130" s="2">
        <v>3.1180662863491193</v>
      </c>
    </row>
    <row r="131" spans="1:8" x14ac:dyDescent="0.2">
      <c r="A131" s="16">
        <f>DATE(2017,10,10)</f>
        <v>43018</v>
      </c>
      <c r="B131" s="2">
        <v>4.2753570210767089</v>
      </c>
      <c r="C131" s="2">
        <v>4.9504159075809406</v>
      </c>
      <c r="D131" s="2">
        <v>5.4863574112258284</v>
      </c>
      <c r="E131" s="2">
        <v>2.4046817066342374</v>
      </c>
      <c r="F131" s="2">
        <v>2.802147635130825</v>
      </c>
      <c r="G131" s="2">
        <v>2.8172124025662715</v>
      </c>
      <c r="H131" s="2">
        <v>3.158117765642765</v>
      </c>
    </row>
    <row r="132" spans="1:8" x14ac:dyDescent="0.2">
      <c r="A132" s="16">
        <f>DATE(2017,10,11)</f>
        <v>43019</v>
      </c>
      <c r="B132" s="2">
        <v>4.214309697325791</v>
      </c>
      <c r="C132" s="2">
        <v>4.9830124448364765</v>
      </c>
      <c r="D132" s="2">
        <v>5.5232869576344878</v>
      </c>
      <c r="E132" s="2">
        <v>2.4386348011048886</v>
      </c>
      <c r="F132" s="2">
        <v>2.839320685487845</v>
      </c>
      <c r="G132" s="2">
        <v>2.854507732309397</v>
      </c>
      <c r="H132" s="2">
        <v>3.1981848010950165</v>
      </c>
    </row>
    <row r="133" spans="1:8" x14ac:dyDescent="0.2">
      <c r="A133" s="16">
        <f>DATE(2017,10,13)</f>
        <v>43021</v>
      </c>
      <c r="B133" s="2">
        <v>4.3468796540749866</v>
      </c>
      <c r="C133" s="2">
        <v>5.0156191062466382</v>
      </c>
      <c r="D133" s="2">
        <v>5.5602294326476454</v>
      </c>
      <c r="E133" s="2">
        <v>2.4725991529966462</v>
      </c>
      <c r="F133" s="2">
        <v>2.8765071775453066</v>
      </c>
      <c r="G133" s="2">
        <v>2.8918165903478954</v>
      </c>
      <c r="H133" s="2">
        <v>3.2382673987479516</v>
      </c>
    </row>
    <row r="134" spans="1:8" x14ac:dyDescent="0.2">
      <c r="A134" s="16">
        <f>DATE(2017,10,16)</f>
        <v>43024</v>
      </c>
      <c r="B134" s="2">
        <v>4.1020732994704989</v>
      </c>
      <c r="C134" s="2">
        <v>5.0482358949559547</v>
      </c>
      <c r="D134" s="2">
        <v>5.5971848407915248</v>
      </c>
      <c r="E134" s="2">
        <v>2.5065747660419913</v>
      </c>
      <c r="F134" s="2">
        <v>2.9137071161636774</v>
      </c>
      <c r="G134" s="2">
        <v>2.9291389815889746</v>
      </c>
      <c r="H134" s="2">
        <v>3.2783655646459802</v>
      </c>
    </row>
    <row r="135" spans="1:8" x14ac:dyDescent="0.2">
      <c r="A135" s="16">
        <f>DATE(2017,10,17)</f>
        <v>43025</v>
      </c>
      <c r="B135" s="2">
        <v>4.1554350115286853</v>
      </c>
      <c r="C135" s="2">
        <v>5.0808628141097767</v>
      </c>
      <c r="D135" s="2">
        <v>5.6341531865937933</v>
      </c>
      <c r="E135" s="2">
        <v>2.5405616439746481</v>
      </c>
      <c r="F135" s="2">
        <v>2.9509205062052457</v>
      </c>
      <c r="G135" s="2">
        <v>2.9664749109415744</v>
      </c>
      <c r="H135" s="2">
        <v>3.3184793048358858</v>
      </c>
    </row>
    <row r="136" spans="1:8" x14ac:dyDescent="0.2">
      <c r="A136" s="16">
        <f>DATE(2017,10,18)</f>
        <v>43026</v>
      </c>
      <c r="B136" s="2">
        <v>4.3427093046771503</v>
      </c>
      <c r="C136" s="2">
        <v>5.113499866854565</v>
      </c>
      <c r="D136" s="2">
        <v>5.6711344745838055</v>
      </c>
      <c r="E136" s="2">
        <v>2.5745597905295625</v>
      </c>
      <c r="F136" s="2">
        <v>2.9881473525339874</v>
      </c>
      <c r="G136" s="2">
        <v>3.0038243833164335</v>
      </c>
      <c r="H136" s="2">
        <v>3.3586086253667662</v>
      </c>
    </row>
    <row r="137" spans="1:8" x14ac:dyDescent="0.2">
      <c r="A137" s="16">
        <f>DATE(2017,10,19)</f>
        <v>43027</v>
      </c>
      <c r="B137" s="2">
        <v>4.2939864408427786</v>
      </c>
      <c r="C137" s="2">
        <v>5.1461470563377132</v>
      </c>
      <c r="D137" s="2">
        <v>5.7081287092924704</v>
      </c>
      <c r="E137" s="2">
        <v>2.608569209442968</v>
      </c>
      <c r="F137" s="2">
        <v>3.025387660015677</v>
      </c>
      <c r="G137" s="2">
        <v>3.0411874036260667</v>
      </c>
      <c r="H137" s="2">
        <v>3.3987535322901108</v>
      </c>
    </row>
    <row r="138" spans="1:8" x14ac:dyDescent="0.2">
      <c r="A138" s="16">
        <f>DATE(2017,10,20)</f>
        <v>43028</v>
      </c>
      <c r="B138" s="2">
        <v>4.260718967931898</v>
      </c>
      <c r="C138" s="2">
        <v>5.1788043857075472</v>
      </c>
      <c r="D138" s="2">
        <v>5.7451358952522735</v>
      </c>
      <c r="E138" s="2">
        <v>2.6425899044522971</v>
      </c>
      <c r="F138" s="2">
        <v>3.0626414335178875</v>
      </c>
      <c r="G138" s="2">
        <v>3.0785639767848094</v>
      </c>
      <c r="H138" s="2">
        <v>3.4389140316597455</v>
      </c>
    </row>
    <row r="139" spans="1:8" x14ac:dyDescent="0.2">
      <c r="A139" s="16">
        <f>DATE(2017,10,23)</f>
        <v>43031</v>
      </c>
      <c r="B139" s="2">
        <v>3.9129579681866256</v>
      </c>
      <c r="C139" s="2">
        <v>5.2114718581134811</v>
      </c>
      <c r="D139" s="2">
        <v>5.7821560369973435</v>
      </c>
      <c r="E139" s="2">
        <v>2.6766218792961816</v>
      </c>
      <c r="F139" s="2">
        <v>3.0999086779098128</v>
      </c>
      <c r="G139" s="2">
        <v>3.1159541077086628</v>
      </c>
      <c r="H139" s="2">
        <v>3.4790901295317811</v>
      </c>
    </row>
    <row r="140" spans="1:8" x14ac:dyDescent="0.2">
      <c r="A140" s="16">
        <f>DATE(2017,10,24)</f>
        <v>43032</v>
      </c>
      <c r="B140" s="2">
        <v>4.0111140495947106</v>
      </c>
      <c r="C140" s="2">
        <v>5.2441494767057728</v>
      </c>
      <c r="D140" s="2">
        <v>5.8191891390632744</v>
      </c>
      <c r="E140" s="2">
        <v>2.7106651377146296</v>
      </c>
      <c r="F140" s="2">
        <v>3.1371893980626009</v>
      </c>
      <c r="G140" s="2">
        <v>3.1533578013156038</v>
      </c>
      <c r="H140" s="2">
        <v>3.5192818319648378</v>
      </c>
    </row>
    <row r="141" spans="1:8" x14ac:dyDescent="0.2">
      <c r="A141" s="16">
        <f>DATE(2017,10,25)</f>
        <v>43033</v>
      </c>
      <c r="B141" s="2">
        <v>4.1110756768028889</v>
      </c>
      <c r="C141" s="2">
        <v>5.2768372446357903</v>
      </c>
      <c r="D141" s="2">
        <v>5.8562352059874145</v>
      </c>
      <c r="E141" s="2">
        <v>2.7447196834487153</v>
      </c>
      <c r="F141" s="2">
        <v>3.1744835988489539</v>
      </c>
      <c r="G141" s="2">
        <v>3.1907750625251858</v>
      </c>
      <c r="H141" s="2">
        <v>3.5594891450196902</v>
      </c>
    </row>
    <row r="142" spans="1:8" x14ac:dyDescent="0.2">
      <c r="A142" s="16">
        <f>DATE(2017,10,26)</f>
        <v>43034</v>
      </c>
      <c r="B142" s="2">
        <v>3.5892511381415027</v>
      </c>
      <c r="C142" s="2">
        <v>5.3095351650557676</v>
      </c>
      <c r="D142" s="2">
        <v>5.8932942423085333</v>
      </c>
      <c r="E142" s="2">
        <v>2.7787855202408895</v>
      </c>
      <c r="F142" s="2">
        <v>3.2117912851435282</v>
      </c>
      <c r="G142" s="2">
        <v>3.2282058962588955</v>
      </c>
      <c r="H142" s="2">
        <v>3.5997120747596201</v>
      </c>
    </row>
    <row r="143" spans="1:8" x14ac:dyDescent="0.2">
      <c r="A143" s="16">
        <f>DATE(2017,10,27)</f>
        <v>43035</v>
      </c>
      <c r="B143" s="2">
        <v>3.7278334964906619</v>
      </c>
      <c r="C143" s="2">
        <v>5.3393339893464509</v>
      </c>
      <c r="D143" s="2">
        <v>5.9274407585173883</v>
      </c>
      <c r="E143" s="2">
        <v>2.8128626518347799</v>
      </c>
      <c r="F143" s="2">
        <v>3.249112461822623</v>
      </c>
      <c r="G143" s="2">
        <v>3.265650307439949</v>
      </c>
      <c r="H143" s="2">
        <v>3.6399506272502209</v>
      </c>
    </row>
    <row r="144" spans="1:8" x14ac:dyDescent="0.2">
      <c r="A144" s="16">
        <f>DATE(2017,10,30)</f>
        <v>43038</v>
      </c>
      <c r="B144" s="2">
        <v>3.2737754876860148</v>
      </c>
      <c r="C144" s="2">
        <v>5.3691412456364551</v>
      </c>
      <c r="D144" s="2">
        <v>5.9615982856649374</v>
      </c>
      <c r="E144" s="2">
        <v>2.8469510819752797</v>
      </c>
      <c r="F144" s="2">
        <v>3.2864471337643364</v>
      </c>
      <c r="G144" s="2">
        <v>3.3031083009933404</v>
      </c>
      <c r="H144" s="2">
        <v>3.6802048085594175</v>
      </c>
    </row>
    <row r="145" spans="1:8" x14ac:dyDescent="0.2">
      <c r="A145" s="16">
        <f>DATE(2017,10,31)</f>
        <v>43039</v>
      </c>
      <c r="B145" s="2">
        <v>3.2558330981246941</v>
      </c>
      <c r="C145" s="2">
        <v>5.3989569363117607</v>
      </c>
      <c r="D145" s="2">
        <v>5.995766827301785</v>
      </c>
      <c r="E145" s="2">
        <v>2.8810508144085034</v>
      </c>
      <c r="F145" s="2">
        <v>3.3237953058485199</v>
      </c>
      <c r="G145" s="2">
        <v>3.3405798818458621</v>
      </c>
      <c r="H145" s="2">
        <v>3.720474624757486</v>
      </c>
    </row>
    <row r="146" spans="1:8" x14ac:dyDescent="0.2">
      <c r="A146" s="16">
        <f>DATE(2017,11,1)</f>
        <v>43040</v>
      </c>
      <c r="B146" s="2">
        <v>3.1737763400090824</v>
      </c>
      <c r="C146" s="2">
        <v>5.4287810637589473</v>
      </c>
      <c r="D146" s="2">
        <v>6.0299463869796455</v>
      </c>
      <c r="E146" s="2">
        <v>2.9063170629554325</v>
      </c>
      <c r="F146" s="2">
        <v>3.3522738630782372</v>
      </c>
      <c r="G146" s="2">
        <v>3.3691804819249604</v>
      </c>
      <c r="H146" s="2">
        <v>3.7518426191351262</v>
      </c>
    </row>
    <row r="147" spans="1:8" x14ac:dyDescent="0.2">
      <c r="A147" s="16">
        <f>DATE(2017,11,3)</f>
        <v>43042</v>
      </c>
      <c r="B147" s="2">
        <v>2.7643220560104265</v>
      </c>
      <c r="C147" s="2">
        <v>5.4586136303653277</v>
      </c>
      <c r="D147" s="2">
        <v>6.0641369682513879</v>
      </c>
      <c r="E147" s="2">
        <v>2.9315895165644923</v>
      </c>
      <c r="F147" s="2">
        <v>3.3807602696926731</v>
      </c>
      <c r="G147" s="2">
        <v>3.3977889975230546</v>
      </c>
      <c r="H147" s="2">
        <v>3.7832201000782106</v>
      </c>
    </row>
    <row r="148" spans="1:8" x14ac:dyDescent="0.2">
      <c r="A148" s="16">
        <f>DATE(2017,11,6)</f>
        <v>43045</v>
      </c>
      <c r="B148" s="2">
        <v>2.9653379673206803</v>
      </c>
      <c r="C148" s="2">
        <v>5.4884546385189248</v>
      </c>
      <c r="D148" s="2">
        <v>6.0983385746711249</v>
      </c>
      <c r="E148" s="2">
        <v>2.9568681767595972</v>
      </c>
      <c r="F148" s="2">
        <v>3.409254527855321</v>
      </c>
      <c r="G148" s="2">
        <v>3.4264054308308589</v>
      </c>
      <c r="H148" s="2">
        <v>3.8146070704557329</v>
      </c>
    </row>
    <row r="149" spans="1:8" x14ac:dyDescent="0.2">
      <c r="A149" s="16">
        <f>DATE(2017,11,7)</f>
        <v>43046</v>
      </c>
      <c r="B149" s="2">
        <v>2.5866879881630389</v>
      </c>
      <c r="C149" s="2">
        <v>5.5183040906083614</v>
      </c>
      <c r="D149" s="2">
        <v>6.1325512097940127</v>
      </c>
      <c r="E149" s="2">
        <v>2.9821530450650169</v>
      </c>
      <c r="F149" s="2">
        <v>3.4377566397302721</v>
      </c>
      <c r="G149" s="2">
        <v>3.4550297840396871</v>
      </c>
      <c r="H149" s="2">
        <v>3.8460035331375986</v>
      </c>
    </row>
    <row r="150" spans="1:8" x14ac:dyDescent="0.2">
      <c r="A150" s="16">
        <f>DATE(2017,11,8)</f>
        <v>43047</v>
      </c>
      <c r="B150" s="2">
        <v>2.97217024186609</v>
      </c>
      <c r="C150" s="2">
        <v>5.5481619890229705</v>
      </c>
      <c r="D150" s="2">
        <v>6.1667748771763842</v>
      </c>
      <c r="E150" s="2">
        <v>3.0074441230053539</v>
      </c>
      <c r="F150" s="2">
        <v>3.4662666074821935</v>
      </c>
      <c r="G150" s="2">
        <v>3.4836620593414751</v>
      </c>
      <c r="H150" s="2">
        <v>3.8774094909945318</v>
      </c>
    </row>
    <row r="151" spans="1:8" x14ac:dyDescent="0.2">
      <c r="A151" s="16">
        <f>DATE(2017,11,9)</f>
        <v>43048</v>
      </c>
      <c r="B151" s="2">
        <v>2.7072199588448864</v>
      </c>
      <c r="C151" s="2">
        <v>5.5780283361527294</v>
      </c>
      <c r="D151" s="2">
        <v>6.2010095803757048</v>
      </c>
      <c r="E151" s="2">
        <v>3.0327414121056329</v>
      </c>
      <c r="F151" s="2">
        <v>3.4947844332763545</v>
      </c>
      <c r="G151" s="2">
        <v>3.5123022589287118</v>
      </c>
      <c r="H151" s="2">
        <v>3.9088249468981484</v>
      </c>
    </row>
    <row r="152" spans="1:8" x14ac:dyDescent="0.2">
      <c r="A152" s="16">
        <f>DATE(2017,11,10)</f>
        <v>43049</v>
      </c>
      <c r="B152" s="2">
        <v>2.5709364897564813</v>
      </c>
      <c r="C152" s="2">
        <v>5.6079031343883923</v>
      </c>
      <c r="D152" s="2">
        <v>6.2352553229506391</v>
      </c>
      <c r="E152" s="2">
        <v>3.0580449138912336</v>
      </c>
      <c r="F152" s="2">
        <v>3.523310119278622</v>
      </c>
      <c r="G152" s="2">
        <v>3.5409503849945572</v>
      </c>
      <c r="H152" s="2">
        <v>3.9402499037209049</v>
      </c>
    </row>
    <row r="153" spans="1:8" x14ac:dyDescent="0.2">
      <c r="A153" s="16">
        <f>DATE(2017,11,13)</f>
        <v>43052</v>
      </c>
      <c r="B153" s="2">
        <v>2.6524273986407332</v>
      </c>
      <c r="C153" s="2">
        <v>5.6377863861212907</v>
      </c>
      <c r="D153" s="2">
        <v>6.2695121084609617</v>
      </c>
      <c r="E153" s="2">
        <v>3.0833546298879133</v>
      </c>
      <c r="F153" s="2">
        <v>3.5518436676554854</v>
      </c>
      <c r="G153" s="2">
        <v>3.5696064397327198</v>
      </c>
      <c r="H153" s="2">
        <v>3.9716843643361699</v>
      </c>
    </row>
    <row r="154" spans="1:8" x14ac:dyDescent="0.2">
      <c r="A154" s="16">
        <f>DATE(2017,11,14)</f>
        <v>43053</v>
      </c>
      <c r="B154" s="2">
        <v>2.3219663771878229</v>
      </c>
      <c r="C154" s="2">
        <v>5.6676780937434224</v>
      </c>
      <c r="D154" s="2">
        <v>6.3037799404675576</v>
      </c>
      <c r="E154" s="2">
        <v>3.1086705616217847</v>
      </c>
      <c r="F154" s="2">
        <v>3.580385080573989</v>
      </c>
      <c r="G154" s="2">
        <v>3.5982704253375801</v>
      </c>
      <c r="H154" s="2">
        <v>4.0031283316181554</v>
      </c>
    </row>
    <row r="155" spans="1:8" x14ac:dyDescent="0.2">
      <c r="A155" s="16">
        <f>DATE(2017,11,16)</f>
        <v>43055</v>
      </c>
      <c r="B155" s="2">
        <v>2.6250379634890075</v>
      </c>
      <c r="C155" s="2">
        <v>5.6975782596475399</v>
      </c>
      <c r="D155" s="2">
        <v>6.3380588225325107</v>
      </c>
      <c r="E155" s="2">
        <v>3.1339927106193821</v>
      </c>
      <c r="F155" s="2">
        <v>3.6089343602017765</v>
      </c>
      <c r="G155" s="2">
        <v>3.6269423440040689</v>
      </c>
      <c r="H155" s="2">
        <v>4.0345818084419394</v>
      </c>
    </row>
    <row r="156" spans="1:8" x14ac:dyDescent="0.2">
      <c r="A156" s="16">
        <f>DATE(2017,11,17)</f>
        <v>43056</v>
      </c>
      <c r="B156" s="2">
        <v>3.0712318848576947</v>
      </c>
      <c r="C156" s="2">
        <v>5.7274868862270178</v>
      </c>
      <c r="D156" s="2">
        <v>6.3723487582190366</v>
      </c>
      <c r="E156" s="2">
        <v>3.1593210784075509</v>
      </c>
      <c r="F156" s="2">
        <v>3.6374915087071136</v>
      </c>
      <c r="G156" s="2">
        <v>3.6556221979277441</v>
      </c>
      <c r="H156" s="2">
        <v>4.0660447976834657</v>
      </c>
    </row>
    <row r="157" spans="1:8" x14ac:dyDescent="0.2">
      <c r="A157" s="16">
        <f>DATE(2017,11,20)</f>
        <v>43059</v>
      </c>
      <c r="B157" s="2">
        <v>3.0746320505795399</v>
      </c>
      <c r="C157" s="2">
        <v>5.757403975875941</v>
      </c>
      <c r="D157" s="2">
        <v>6.4066497510915088</v>
      </c>
      <c r="E157" s="2">
        <v>3.1846556665135584</v>
      </c>
      <c r="F157" s="2">
        <v>3.6660565282588649</v>
      </c>
      <c r="G157" s="2">
        <v>3.6843099893047571</v>
      </c>
      <c r="H157" s="2">
        <v>4.0975173022195666</v>
      </c>
    </row>
    <row r="158" spans="1:8" x14ac:dyDescent="0.2">
      <c r="A158" s="16">
        <f>DATE(2017,11,21)</f>
        <v>43060</v>
      </c>
      <c r="B158" s="2">
        <v>3.3248890138195102</v>
      </c>
      <c r="C158" s="2">
        <v>5.7873295309890382</v>
      </c>
      <c r="D158" s="2">
        <v>6.4409618047154282</v>
      </c>
      <c r="E158" s="2">
        <v>3.209996476465049</v>
      </c>
      <c r="F158" s="2">
        <v>3.6946294210264741</v>
      </c>
      <c r="G158" s="2">
        <v>3.7130057203319078</v>
      </c>
      <c r="H158" s="2">
        <v>4.12899932492794</v>
      </c>
    </row>
    <row r="159" spans="1:8" x14ac:dyDescent="0.2">
      <c r="A159" s="16">
        <f>DATE(2017,11,22)</f>
        <v>43061</v>
      </c>
      <c r="B159" s="2">
        <v>3.2892085691415218</v>
      </c>
      <c r="C159" s="2">
        <v>5.817263553961749</v>
      </c>
      <c r="D159" s="2">
        <v>6.475284922657476</v>
      </c>
      <c r="E159" s="2">
        <v>3.2353435097900012</v>
      </c>
      <c r="F159" s="2">
        <v>3.723210189180004</v>
      </c>
      <c r="G159" s="2">
        <v>3.7417093932065715</v>
      </c>
      <c r="H159" s="2">
        <v>4.16049086868715</v>
      </c>
    </row>
    <row r="160" spans="1:8" x14ac:dyDescent="0.2">
      <c r="A160" s="16">
        <f>DATE(2017,11,23)</f>
        <v>43062</v>
      </c>
      <c r="B160" s="2">
        <v>3.592096609365858</v>
      </c>
      <c r="C160" s="2">
        <v>5.8472060471901566</v>
      </c>
      <c r="D160" s="2">
        <v>6.5096191084854871</v>
      </c>
      <c r="E160" s="2">
        <v>3.2606967680168131</v>
      </c>
      <c r="F160" s="2">
        <v>3.7517988348900966</v>
      </c>
      <c r="G160" s="2">
        <v>3.7704210101267228</v>
      </c>
      <c r="H160" s="2">
        <v>4.1919919363766267</v>
      </c>
    </row>
    <row r="161" spans="1:8" x14ac:dyDescent="0.2">
      <c r="A161" s="16">
        <f>DATE(2017,11,24)</f>
        <v>43063</v>
      </c>
      <c r="B161" s="2">
        <v>3.53066647542708</v>
      </c>
      <c r="C161" s="2">
        <v>5.8771570130710327</v>
      </c>
      <c r="D161" s="2">
        <v>6.5439643657684066</v>
      </c>
      <c r="E161" s="2">
        <v>3.2860562526742192</v>
      </c>
      <c r="F161" s="2">
        <v>3.7803953603279705</v>
      </c>
      <c r="G161" s="2">
        <v>3.79914057329096</v>
      </c>
      <c r="H161" s="2">
        <v>4.2235025308766661</v>
      </c>
    </row>
    <row r="162" spans="1:8" x14ac:dyDescent="0.2">
      <c r="A162" s="16">
        <f>DATE(2017,11,27)</f>
        <v>43066</v>
      </c>
      <c r="B162" s="2">
        <v>3.5631003854917691</v>
      </c>
      <c r="C162" s="2">
        <v>5.9071164540018595</v>
      </c>
      <c r="D162" s="2">
        <v>6.5783206980763564</v>
      </c>
      <c r="E162" s="2">
        <v>3.3114219652913719</v>
      </c>
      <c r="F162" s="2">
        <v>3.8089997676655112</v>
      </c>
      <c r="G162" s="2">
        <v>3.8278680848985225</v>
      </c>
      <c r="H162" s="2">
        <v>4.2550226550684744</v>
      </c>
    </row>
    <row r="163" spans="1:8" x14ac:dyDescent="0.2">
      <c r="A163" s="16">
        <f>DATE(2017,11,28)</f>
        <v>43067</v>
      </c>
      <c r="B163" s="2">
        <v>3.662678188445323</v>
      </c>
      <c r="C163" s="2">
        <v>5.9370843723807853</v>
      </c>
      <c r="D163" s="2">
        <v>6.6126881089806364</v>
      </c>
      <c r="E163" s="2">
        <v>3.3367939073978059</v>
      </c>
      <c r="F163" s="2">
        <v>3.8376120590751794</v>
      </c>
      <c r="G163" s="2">
        <v>3.8566035471492288</v>
      </c>
      <c r="H163" s="2">
        <v>4.286552311834102</v>
      </c>
    </row>
    <row r="164" spans="1:8" x14ac:dyDescent="0.2">
      <c r="A164" s="16">
        <f>DATE(2017,11,29)</f>
        <v>43068</v>
      </c>
      <c r="B164" s="2">
        <v>3.1998784174560591</v>
      </c>
      <c r="C164" s="2">
        <v>5.9670607706065804</v>
      </c>
      <c r="D164" s="2">
        <v>6.6470666020536084</v>
      </c>
      <c r="E164" s="2">
        <v>3.3621720805233402</v>
      </c>
      <c r="F164" s="2">
        <v>3.8662322367299495</v>
      </c>
      <c r="G164" s="2">
        <v>3.8853469622434744</v>
      </c>
      <c r="H164" s="2">
        <v>4.3180915040564205</v>
      </c>
    </row>
    <row r="165" spans="1:8" x14ac:dyDescent="0.2">
      <c r="A165" s="16">
        <f>DATE(2017,11,30)</f>
        <v>43069</v>
      </c>
      <c r="B165" s="2">
        <v>2.9799161905288196</v>
      </c>
      <c r="C165" s="2">
        <v>5.9970456510787473</v>
      </c>
      <c r="D165" s="2">
        <v>6.6814561808688833</v>
      </c>
      <c r="E165" s="2">
        <v>3.3875564861982621</v>
      </c>
      <c r="F165" s="2">
        <v>3.8948603028035045</v>
      </c>
      <c r="G165" s="2">
        <v>3.9140983323822987</v>
      </c>
      <c r="H165" s="2">
        <v>4.3496402346192342</v>
      </c>
    </row>
    <row r="166" spans="1:8" x14ac:dyDescent="0.2">
      <c r="A166" s="16">
        <f>DATE(2017,12,1)</f>
        <v>43070</v>
      </c>
      <c r="B166" s="2">
        <v>3.093841009477738</v>
      </c>
      <c r="C166" s="2">
        <v>6.0270390161974774</v>
      </c>
      <c r="D166" s="2">
        <v>6.7158568490011783</v>
      </c>
      <c r="E166" s="2">
        <v>3.4170746460634889</v>
      </c>
      <c r="F166" s="2">
        <v>3.9276441571237664</v>
      </c>
      <c r="G166" s="2">
        <v>3.9470063301924259</v>
      </c>
      <c r="H166" s="2">
        <v>4.385364672326908</v>
      </c>
    </row>
    <row r="167" spans="1:8" x14ac:dyDescent="0.2">
      <c r="A167" s="16">
        <f>DATE(2017,12,4)</f>
        <v>43073</v>
      </c>
      <c r="B167" s="2">
        <v>3.3328022834915316</v>
      </c>
      <c r="C167" s="2">
        <v>6.0570408683636279</v>
      </c>
      <c r="D167" s="2">
        <v>6.7502686100263887</v>
      </c>
      <c r="E167" s="2">
        <v>3.4466012336524354</v>
      </c>
      <c r="F167" s="2">
        <v>3.9604383563359935</v>
      </c>
      <c r="G167" s="2">
        <v>3.9799247494596734</v>
      </c>
      <c r="H167" s="2">
        <v>4.4211013404116706</v>
      </c>
    </row>
    <row r="168" spans="1:8" x14ac:dyDescent="0.2">
      <c r="A168" s="16">
        <f>DATE(2017,12,5)</f>
        <v>43074</v>
      </c>
      <c r="B168" s="2">
        <v>3.3605532334299641</v>
      </c>
      <c r="C168" s="2">
        <v>6.0870512099786778</v>
      </c>
      <c r="D168" s="2">
        <v>6.7846914675214984</v>
      </c>
      <c r="E168" s="2">
        <v>3.476136251371309</v>
      </c>
      <c r="F168" s="2">
        <v>3.9932429037044859</v>
      </c>
      <c r="G168" s="2">
        <v>4.0128535934843557</v>
      </c>
      <c r="H168" s="2">
        <v>4.4568502430606394</v>
      </c>
    </row>
    <row r="169" spans="1:8" x14ac:dyDescent="0.2">
      <c r="A169" s="16">
        <f>DATE(2017,12,6)</f>
        <v>43075</v>
      </c>
      <c r="B169" s="2">
        <v>3.5124928786529401</v>
      </c>
      <c r="C169" s="2">
        <v>6.1170700434448833</v>
      </c>
      <c r="D169" s="2">
        <v>6.8191254250647537</v>
      </c>
      <c r="E169" s="2">
        <v>3.5056797016269852</v>
      </c>
      <c r="F169" s="2">
        <v>4.026057802494587</v>
      </c>
      <c r="G169" s="2">
        <v>4.0457928655678321</v>
      </c>
      <c r="H169" s="2">
        <v>4.4926113844623528</v>
      </c>
    </row>
    <row r="170" spans="1:8" x14ac:dyDescent="0.2">
      <c r="A170" s="16">
        <f>DATE(2017,12,7)</f>
        <v>43076</v>
      </c>
      <c r="B170" s="2">
        <v>3.166222556990328</v>
      </c>
      <c r="C170" s="2">
        <v>6.1470973711651222</v>
      </c>
      <c r="D170" s="2">
        <v>6.8535704862354496</v>
      </c>
      <c r="E170" s="2">
        <v>3.5352315868270257</v>
      </c>
      <c r="F170" s="2">
        <v>4.0588830559726619</v>
      </c>
      <c r="G170" s="2">
        <v>4.0787425690125056</v>
      </c>
      <c r="H170" s="2">
        <v>4.5283847688067924</v>
      </c>
    </row>
    <row r="171" spans="1:8" x14ac:dyDescent="0.2">
      <c r="A171" s="16">
        <f>DATE(2017,12,8)</f>
        <v>43077</v>
      </c>
      <c r="B171" s="2">
        <v>3.2748265678442579</v>
      </c>
      <c r="C171" s="2">
        <v>6.1751669145393207</v>
      </c>
      <c r="D171" s="2">
        <v>6.8860472086636806</v>
      </c>
      <c r="E171" s="2">
        <v>3.564791909379661</v>
      </c>
      <c r="F171" s="2">
        <v>4.0917186674060968</v>
      </c>
      <c r="G171" s="2">
        <v>4.1117027071218004</v>
      </c>
      <c r="H171" s="2">
        <v>4.5641704002853389</v>
      </c>
    </row>
    <row r="172" spans="1:8" x14ac:dyDescent="0.2">
      <c r="A172" s="16">
        <f>DATE(2017,12,11)</f>
        <v>43080</v>
      </c>
      <c r="B172" s="2">
        <v>3.300813041684858</v>
      </c>
      <c r="C172" s="2">
        <v>6.2032438806248758</v>
      </c>
      <c r="D172" s="2">
        <v>6.918533801960014</v>
      </c>
      <c r="E172" s="2">
        <v>3.5943606716938969</v>
      </c>
      <c r="F172" s="2">
        <v>4.1245646400633884</v>
      </c>
      <c r="G172" s="2">
        <v>4.1446732832002731</v>
      </c>
      <c r="H172" s="2">
        <v>4.5999682830908828</v>
      </c>
    </row>
    <row r="173" spans="1:8" x14ac:dyDescent="0.2">
      <c r="A173" s="16">
        <f>DATE(2017,12,12)</f>
        <v>43081</v>
      </c>
      <c r="B173" s="2">
        <v>3.3288053395033268</v>
      </c>
      <c r="C173" s="2">
        <v>6.2313282713846174</v>
      </c>
      <c r="D173" s="2">
        <v>6.9510302691245363</v>
      </c>
      <c r="E173" s="2">
        <v>3.6239378761793839</v>
      </c>
      <c r="F173" s="2">
        <v>4.1574209772139881</v>
      </c>
      <c r="G173" s="2">
        <v>4.1776543005534572</v>
      </c>
      <c r="H173" s="2">
        <v>4.6357784214177133</v>
      </c>
    </row>
    <row r="174" spans="1:8" x14ac:dyDescent="0.2">
      <c r="A174" s="16">
        <f>DATE(2017,12,13)</f>
        <v>43082</v>
      </c>
      <c r="B174" s="2">
        <v>3.1301557528909059</v>
      </c>
      <c r="C174" s="2">
        <v>6.2594200887819973</v>
      </c>
      <c r="D174" s="2">
        <v>6.9835366131583587</v>
      </c>
      <c r="E174" s="2">
        <v>3.6535235252463716</v>
      </c>
      <c r="F174" s="2">
        <v>4.1902876821283686</v>
      </c>
      <c r="G174" s="2">
        <v>4.2106457624879079</v>
      </c>
      <c r="H174" s="2">
        <v>4.6716008194614966</v>
      </c>
    </row>
    <row r="175" spans="1:8" x14ac:dyDescent="0.2">
      <c r="A175" s="16">
        <f>DATE(2017,12,14)</f>
        <v>43083</v>
      </c>
      <c r="B175" s="2">
        <v>2.9192582683995161</v>
      </c>
      <c r="C175" s="2">
        <v>6.2875193347808436</v>
      </c>
      <c r="D175" s="2">
        <v>7.0160528370633024</v>
      </c>
      <c r="E175" s="2">
        <v>3.6831176213059091</v>
      </c>
      <c r="F175" s="2">
        <v>4.2231647580780685</v>
      </c>
      <c r="G175" s="2">
        <v>4.2436476723112904</v>
      </c>
      <c r="H175" s="2">
        <v>4.7074354814194086</v>
      </c>
    </row>
    <row r="176" spans="1:8" x14ac:dyDescent="0.2">
      <c r="A176" s="16">
        <f>DATE(2017,12,15)</f>
        <v>43084</v>
      </c>
      <c r="B176" s="2">
        <v>3.0178843697336477</v>
      </c>
      <c r="C176" s="2">
        <v>6.3156260113456542</v>
      </c>
      <c r="D176" s="2">
        <v>7.048578943842343</v>
      </c>
      <c r="E176" s="2">
        <v>3.7127201667696896</v>
      </c>
      <c r="F176" s="2">
        <v>4.2560522083356478</v>
      </c>
      <c r="G176" s="2">
        <v>4.2766600333322691</v>
      </c>
      <c r="H176" s="2">
        <v>4.7432824114900463</v>
      </c>
    </row>
    <row r="177" spans="1:8" x14ac:dyDescent="0.2">
      <c r="A177" s="16">
        <f>DATE(2017,12,18)</f>
        <v>43087</v>
      </c>
      <c r="B177" s="2">
        <v>3.1241955757271622</v>
      </c>
      <c r="C177" s="2">
        <v>6.3437401204412991</v>
      </c>
      <c r="D177" s="2">
        <v>7.0811149364991666</v>
      </c>
      <c r="E177" s="2">
        <v>3.7423311640500945</v>
      </c>
      <c r="F177" s="2">
        <v>4.2889500361747102</v>
      </c>
      <c r="G177" s="2">
        <v>4.3096828488605965</v>
      </c>
      <c r="H177" s="2">
        <v>4.7791416138734277</v>
      </c>
    </row>
    <row r="178" spans="1:8" x14ac:dyDescent="0.2">
      <c r="A178" s="16">
        <f>DATE(2017,12,19)</f>
        <v>43088</v>
      </c>
      <c r="B178" s="2">
        <v>3.0807270986174196</v>
      </c>
      <c r="C178" s="2">
        <v>6.3718616640332737</v>
      </c>
      <c r="D178" s="2">
        <v>7.1136608180384808</v>
      </c>
      <c r="E178" s="2">
        <v>3.7719506155602156</v>
      </c>
      <c r="F178" s="2">
        <v>4.3218582448698806</v>
      </c>
      <c r="G178" s="2">
        <v>4.3427161222070465</v>
      </c>
      <c r="H178" s="2">
        <v>4.8150130927710366</v>
      </c>
    </row>
    <row r="179" spans="1:8" x14ac:dyDescent="0.2">
      <c r="A179" s="16">
        <f>DATE(2017,12,20)</f>
        <v>43089</v>
      </c>
      <c r="B179" s="2">
        <v>3.2767877728863142</v>
      </c>
      <c r="C179" s="2">
        <v>6.3999906440875387</v>
      </c>
      <c r="D179" s="2">
        <v>7.1462165914659037</v>
      </c>
      <c r="E179" s="2">
        <v>3.8015785237138111</v>
      </c>
      <c r="F179" s="2">
        <v>4.3547768376968277</v>
      </c>
      <c r="G179" s="2">
        <v>4.3757598566834588</v>
      </c>
      <c r="H179" s="2">
        <v>4.8508968523857554</v>
      </c>
    </row>
    <row r="180" spans="1:8" x14ac:dyDescent="0.2">
      <c r="A180" s="16">
        <f>DATE(2017,12,21)</f>
        <v>43090</v>
      </c>
      <c r="B180" s="2">
        <v>3.5463525665299755</v>
      </c>
      <c r="C180" s="2">
        <v>6.42812706257061</v>
      </c>
      <c r="D180" s="2">
        <v>7.1787822597879192</v>
      </c>
      <c r="E180" s="2">
        <v>3.8312148909253274</v>
      </c>
      <c r="F180" s="2">
        <v>4.3877058179322415</v>
      </c>
      <c r="G180" s="2">
        <v>4.4088140556027167</v>
      </c>
      <c r="H180" s="2">
        <v>4.8867928969219543</v>
      </c>
    </row>
    <row r="181" spans="1:8" x14ac:dyDescent="0.2">
      <c r="A181" s="16">
        <f>DATE(2017,12,22)</f>
        <v>43091</v>
      </c>
      <c r="B181" s="2">
        <v>3.5059313599224984</v>
      </c>
      <c r="C181" s="2">
        <v>6.4562709214494696</v>
      </c>
      <c r="D181" s="2">
        <v>7.2113578260119224</v>
      </c>
      <c r="E181" s="2">
        <v>3.8608597196099215</v>
      </c>
      <c r="F181" s="2">
        <v>4.4206451888538334</v>
      </c>
      <c r="G181" s="2">
        <v>4.4418787222787248</v>
      </c>
      <c r="H181" s="2">
        <v>4.9227012305853801</v>
      </c>
    </row>
    <row r="182" spans="1:8" x14ac:dyDescent="0.2">
      <c r="A182" s="16">
        <f>DATE(2017,12,26)</f>
        <v>43095</v>
      </c>
      <c r="B182" s="2">
        <v>3.7455685094071045</v>
      </c>
      <c r="C182" s="2">
        <v>6.4844222226917214</v>
      </c>
      <c r="D182" s="2">
        <v>7.2439432931463266</v>
      </c>
      <c r="E182" s="2">
        <v>3.8905130121834164</v>
      </c>
      <c r="F182" s="2">
        <v>4.4535949537404029</v>
      </c>
      <c r="G182" s="2">
        <v>4.474953860026476</v>
      </c>
      <c r="H182" s="2">
        <v>4.9586218575832897</v>
      </c>
    </row>
    <row r="183" spans="1:8" x14ac:dyDescent="0.2">
      <c r="A183" s="16">
        <f>DATE(2017,12,27)</f>
        <v>43096</v>
      </c>
      <c r="B183" s="2">
        <v>3.7682090700955406</v>
      </c>
      <c r="C183" s="2">
        <v>6.512580968265369</v>
      </c>
      <c r="D183" s="2">
        <v>7.2765386642003049</v>
      </c>
      <c r="E183" s="2">
        <v>3.9201747710623458</v>
      </c>
      <c r="F183" s="2">
        <v>4.4865551158717265</v>
      </c>
      <c r="G183" s="2">
        <v>4.5080394721620065</v>
      </c>
      <c r="H183" s="2">
        <v>4.9945547821243164</v>
      </c>
    </row>
    <row r="184" spans="1:8" x14ac:dyDescent="0.2">
      <c r="A184" s="16">
        <f>DATE(2017,12,28)</f>
        <v>43097</v>
      </c>
      <c r="B184" s="2">
        <v>3.8998861410952435</v>
      </c>
      <c r="C184" s="2">
        <v>6.5407471601389933</v>
      </c>
      <c r="D184" s="2">
        <v>7.3091439421840487</v>
      </c>
      <c r="E184" s="2">
        <v>3.9498449986639321</v>
      </c>
      <c r="F184" s="2">
        <v>4.5195256785286686</v>
      </c>
      <c r="G184" s="2">
        <v>4.5411355620023963</v>
      </c>
      <c r="H184" s="2">
        <v>5.0305000084186036</v>
      </c>
    </row>
    <row r="185" spans="1:8" x14ac:dyDescent="0.2">
      <c r="A185" s="16">
        <f>DATE(2017,12,29)</f>
        <v>43098</v>
      </c>
      <c r="B185" s="2">
        <v>3.9623222292231248</v>
      </c>
      <c r="C185" s="2">
        <v>6.5689208002817079</v>
      </c>
      <c r="D185" s="2">
        <v>7.3417591301086382</v>
      </c>
      <c r="E185" s="2">
        <v>3.9795236974060182</v>
      </c>
      <c r="F185" s="2">
        <v>4.5525066449930263</v>
      </c>
      <c r="G185" s="2">
        <v>4.5742421328657246</v>
      </c>
      <c r="H185" s="2">
        <v>5.0664575406776269</v>
      </c>
    </row>
    <row r="186" spans="1:8" x14ac:dyDescent="0.2">
      <c r="A186" s="16">
        <f>DATE(2018,1,2)</f>
        <v>43102</v>
      </c>
      <c r="B186" s="2">
        <v>4.5183329852463316</v>
      </c>
      <c r="C186" s="2">
        <v>6.5971018906631373</v>
      </c>
      <c r="D186" s="2">
        <v>7.3743842309860641</v>
      </c>
      <c r="E186" s="2">
        <v>4.006568457633386</v>
      </c>
      <c r="F186" s="2">
        <v>4.5828409655770841</v>
      </c>
      <c r="G186" s="2">
        <v>4.6047015797053614</v>
      </c>
      <c r="H186" s="2">
        <v>5.099757197264676</v>
      </c>
    </row>
    <row r="187" spans="1:8" x14ac:dyDescent="0.2">
      <c r="A187" s="16">
        <f>DATE(2018,1,3)</f>
        <v>43103</v>
      </c>
      <c r="B187" s="2">
        <v>4.6250214240607379</v>
      </c>
      <c r="C187" s="2">
        <v>6.6252904332534168</v>
      </c>
      <c r="D187" s="2">
        <v>7.4070192478292496</v>
      </c>
      <c r="E187" s="2">
        <v>4.0336202521212394</v>
      </c>
      <c r="F187" s="2">
        <v>4.6131840872031926</v>
      </c>
      <c r="G187" s="2">
        <v>4.635169898499325</v>
      </c>
      <c r="H187" s="2">
        <v>5.1330674078111427</v>
      </c>
    </row>
    <row r="188" spans="1:8" x14ac:dyDescent="0.2">
      <c r="A188" s="16">
        <f>DATE(2018,1,4)</f>
        <v>43104</v>
      </c>
      <c r="B188" s="2">
        <v>4.8114712809635085</v>
      </c>
      <c r="C188" s="2">
        <v>6.6534864300232366</v>
      </c>
      <c r="D188" s="2">
        <v>7.4396641836520283</v>
      </c>
      <c r="E188" s="2">
        <v>4.0606790826991812</v>
      </c>
      <c r="F188" s="2">
        <v>4.6435360124247982</v>
      </c>
      <c r="G188" s="2">
        <v>4.6656470918317927</v>
      </c>
      <c r="H188" s="2">
        <v>5.1663881756619734</v>
      </c>
    </row>
    <row r="189" spans="1:8" x14ac:dyDescent="0.2">
      <c r="A189" s="16">
        <f>DATE(2018,1,5)</f>
        <v>43105</v>
      </c>
      <c r="B189" s="2">
        <v>4.8128869181086609</v>
      </c>
      <c r="C189" s="2">
        <v>6.681689882943731</v>
      </c>
      <c r="D189" s="2">
        <v>7.4723190414690999</v>
      </c>
      <c r="E189" s="2">
        <v>4.0877449511972808</v>
      </c>
      <c r="F189" s="2">
        <v>4.6738967437961687</v>
      </c>
      <c r="G189" s="2">
        <v>4.6961331622876301</v>
      </c>
      <c r="H189" s="2">
        <v>5.1997195041632027</v>
      </c>
    </row>
    <row r="190" spans="1:8" x14ac:dyDescent="0.2">
      <c r="A190" s="16">
        <f>DATE(2018,1,8)</f>
        <v>43108</v>
      </c>
      <c r="B190" s="2">
        <v>4.8805408865591815</v>
      </c>
      <c r="C190" s="2">
        <v>6.7099007939866118</v>
      </c>
      <c r="D190" s="2">
        <v>7.5049838242961409</v>
      </c>
      <c r="E190" s="2">
        <v>4.1148178594460738</v>
      </c>
      <c r="F190" s="2">
        <v>4.7042662838722604</v>
      </c>
      <c r="G190" s="2">
        <v>4.7266281124525023</v>
      </c>
      <c r="H190" s="2">
        <v>5.2330613966619088</v>
      </c>
    </row>
    <row r="191" spans="1:8" x14ac:dyDescent="0.2">
      <c r="A191" s="16">
        <f>DATE(2018,1,9)</f>
        <v>43109</v>
      </c>
      <c r="B191" s="2">
        <v>4.7775147497144399</v>
      </c>
      <c r="C191" s="2">
        <v>6.7381191651241457</v>
      </c>
      <c r="D191" s="2">
        <v>7.5376585351497596</v>
      </c>
      <c r="E191" s="2">
        <v>4.1418978092765624</v>
      </c>
      <c r="F191" s="2">
        <v>4.7346446352087623</v>
      </c>
      <c r="G191" s="2">
        <v>4.7571319449128069</v>
      </c>
      <c r="H191" s="2">
        <v>5.2664138565062357</v>
      </c>
    </row>
    <row r="192" spans="1:8" x14ac:dyDescent="0.2">
      <c r="A192" s="16">
        <f>DATE(2018,1,10)</f>
        <v>43110</v>
      </c>
      <c r="B192" s="2">
        <v>4.7394705155054062</v>
      </c>
      <c r="C192" s="2">
        <v>6.7663449983290658</v>
      </c>
      <c r="D192" s="2">
        <v>7.5703431770474117</v>
      </c>
      <c r="E192" s="2">
        <v>4.1689848025202592</v>
      </c>
      <c r="F192" s="2">
        <v>4.7650318003621628</v>
      </c>
      <c r="G192" s="2">
        <v>4.7876446622556967</v>
      </c>
      <c r="H192" s="2">
        <v>5.2997768870453932</v>
      </c>
    </row>
    <row r="193" spans="1:8" x14ac:dyDescent="0.2">
      <c r="A193" s="16">
        <f>DATE(2018,1,11)</f>
        <v>43111</v>
      </c>
      <c r="B193" s="2">
        <v>4.8524142248999036</v>
      </c>
      <c r="C193" s="2">
        <v>6.7945782955746381</v>
      </c>
      <c r="D193" s="2">
        <v>7.6030377530075244</v>
      </c>
      <c r="E193" s="2">
        <v>4.196078841009121</v>
      </c>
      <c r="F193" s="2">
        <v>4.7954277818896385</v>
      </c>
      <c r="G193" s="2">
        <v>4.8181662670691017</v>
      </c>
      <c r="H193" s="2">
        <v>5.3331504916296346</v>
      </c>
    </row>
    <row r="194" spans="1:8" x14ac:dyDescent="0.2">
      <c r="A194" s="16">
        <f>DATE(2018,1,12)</f>
        <v>43112</v>
      </c>
      <c r="B194" s="2">
        <v>4.928483933083605</v>
      </c>
      <c r="C194" s="2">
        <v>6.8228190588346402</v>
      </c>
      <c r="D194" s="2">
        <v>7.6357422660494167</v>
      </c>
      <c r="E194" s="2">
        <v>4.2231799265755932</v>
      </c>
      <c r="F194" s="2">
        <v>4.8258325823490988</v>
      </c>
      <c r="G194" s="2">
        <v>4.8486967619416399</v>
      </c>
      <c r="H194" s="2">
        <v>5.3665346736102792</v>
      </c>
    </row>
    <row r="195" spans="1:8" x14ac:dyDescent="0.2">
      <c r="A195" s="16">
        <f>DATE(2018,1,15)</f>
        <v>43115</v>
      </c>
      <c r="B195" s="2">
        <v>4.9971321939558777</v>
      </c>
      <c r="C195" s="2">
        <v>6.8510672900834013</v>
      </c>
      <c r="D195" s="2">
        <v>7.6684567191933404</v>
      </c>
      <c r="E195" s="2">
        <v>4.2502880610526317</v>
      </c>
      <c r="F195" s="2">
        <v>4.8562462042992749</v>
      </c>
      <c r="G195" s="2">
        <v>4.8792361494627734</v>
      </c>
      <c r="H195" s="2">
        <v>5.3999294363397565</v>
      </c>
    </row>
    <row r="196" spans="1:8" x14ac:dyDescent="0.2">
      <c r="A196" s="16">
        <f>DATE(2018,1,16)</f>
        <v>43116</v>
      </c>
      <c r="B196" s="2">
        <v>4.9738218421969682</v>
      </c>
      <c r="C196" s="2">
        <v>6.8793229912957443</v>
      </c>
      <c r="D196" s="2">
        <v>7.7011811154604306</v>
      </c>
      <c r="E196" s="2">
        <v>4.2774032462736145</v>
      </c>
      <c r="F196" s="2">
        <v>4.8866686502995638</v>
      </c>
      <c r="G196" s="2">
        <v>4.9097844322226525</v>
      </c>
      <c r="H196" s="2">
        <v>5.4333347831714951</v>
      </c>
    </row>
    <row r="197" spans="1:8" x14ac:dyDescent="0.2">
      <c r="A197" s="16">
        <f>DATE(2018,1,17)</f>
        <v>43117</v>
      </c>
      <c r="B197" s="2">
        <v>5.1677889757164586</v>
      </c>
      <c r="C197" s="2">
        <v>6.9075861644470438</v>
      </c>
      <c r="D197" s="2">
        <v>7.7339154578727856</v>
      </c>
      <c r="E197" s="2">
        <v>4.3045254840724523</v>
      </c>
      <c r="F197" s="2">
        <v>4.917099922910162</v>
      </c>
      <c r="G197" s="2">
        <v>4.9403416128122268</v>
      </c>
      <c r="H197" s="2">
        <v>5.4667507174600338</v>
      </c>
    </row>
    <row r="198" spans="1:8" x14ac:dyDescent="0.2">
      <c r="A198" s="16">
        <f>DATE(2018,1,18)</f>
        <v>43118</v>
      </c>
      <c r="B198" s="2">
        <v>5.1800576619632777</v>
      </c>
      <c r="C198" s="2">
        <v>6.9358568115131636</v>
      </c>
      <c r="D198" s="2">
        <v>7.7666597494534084</v>
      </c>
      <c r="E198" s="2">
        <v>4.3316547762834112</v>
      </c>
      <c r="F198" s="2">
        <v>4.9475400246919099</v>
      </c>
      <c r="G198" s="2">
        <v>4.9709076938231123</v>
      </c>
      <c r="H198" s="2">
        <v>5.5001772425608664</v>
      </c>
    </row>
    <row r="199" spans="1:8" x14ac:dyDescent="0.2">
      <c r="A199" s="16">
        <f>DATE(2018,1,19)</f>
        <v>43119</v>
      </c>
      <c r="B199" s="2">
        <v>5.2213301775846155</v>
      </c>
      <c r="C199" s="2">
        <v>6.9641349344704997</v>
      </c>
      <c r="D199" s="2">
        <v>7.7994139932262119</v>
      </c>
      <c r="E199" s="2">
        <v>4.3587911247414013</v>
      </c>
      <c r="F199" s="2">
        <v>4.977988958206514</v>
      </c>
      <c r="G199" s="2">
        <v>5.0014826778478128</v>
      </c>
      <c r="H199" s="2">
        <v>5.5336143618307299</v>
      </c>
    </row>
    <row r="200" spans="1:8" x14ac:dyDescent="0.2">
      <c r="A200" s="16">
        <f>DATE(2018,1,22)</f>
        <v>43122</v>
      </c>
      <c r="B200" s="2">
        <v>5.1748149370059782</v>
      </c>
      <c r="C200" s="2">
        <v>6.9924205352959854</v>
      </c>
      <c r="D200" s="2">
        <v>7.8321781922160438</v>
      </c>
      <c r="E200" s="2">
        <v>4.38593453128171</v>
      </c>
      <c r="F200" s="2">
        <v>5.0084467260163468</v>
      </c>
      <c r="G200" s="2">
        <v>5.0320665674794984</v>
      </c>
      <c r="H200" s="2">
        <v>5.567062078627294</v>
      </c>
    </row>
    <row r="201" spans="1:8" x14ac:dyDescent="0.2">
      <c r="A201" s="16">
        <f>DATE(2018,1,23)</f>
        <v>43123</v>
      </c>
      <c r="B201" s="2">
        <v>4.9582092709314685</v>
      </c>
      <c r="C201" s="2">
        <v>7.0207136159671002</v>
      </c>
      <c r="D201" s="2">
        <v>7.8649523494486617</v>
      </c>
      <c r="E201" s="2">
        <v>4.4130849977401132</v>
      </c>
      <c r="F201" s="2">
        <v>5.0389133306845357</v>
      </c>
      <c r="G201" s="2">
        <v>5.0626593653120944</v>
      </c>
      <c r="H201" s="2">
        <v>5.6005203963093164</v>
      </c>
    </row>
    <row r="202" spans="1:8" x14ac:dyDescent="0.2">
      <c r="A202" s="16">
        <f>DATE(2018,1,24)</f>
        <v>43124</v>
      </c>
      <c r="B202" s="2">
        <v>5.5025486260076528</v>
      </c>
      <c r="C202" s="2">
        <v>7.0490141784617544</v>
      </c>
      <c r="D202" s="2">
        <v>7.8977364679507112</v>
      </c>
      <c r="E202" s="2">
        <v>4.4402425259528977</v>
      </c>
      <c r="F202" s="2">
        <v>5.0693887747749855</v>
      </c>
      <c r="G202" s="2">
        <v>5.093261073940325</v>
      </c>
      <c r="H202" s="2">
        <v>5.633989318236643</v>
      </c>
    </row>
    <row r="203" spans="1:8" x14ac:dyDescent="0.2">
      <c r="A203" s="16">
        <f>DATE(2018,1,25)</f>
        <v>43125</v>
      </c>
      <c r="B203" s="2">
        <v>5.4212529249675789</v>
      </c>
      <c r="C203" s="2">
        <v>7.0773222247584746</v>
      </c>
      <c r="D203" s="2">
        <v>7.9305305507498147</v>
      </c>
      <c r="E203" s="2">
        <v>4.467407117756772</v>
      </c>
      <c r="F203" s="2">
        <v>5.0998730608522891</v>
      </c>
      <c r="G203" s="2">
        <v>5.1238716959596253</v>
      </c>
      <c r="H203" s="2">
        <v>5.6674688477701629</v>
      </c>
    </row>
    <row r="204" spans="1:8" x14ac:dyDescent="0.2">
      <c r="A204" s="16">
        <f>DATE(2018,1,26)</f>
        <v>43126</v>
      </c>
      <c r="B204" s="2">
        <v>6.1644492433009956</v>
      </c>
      <c r="C204" s="2">
        <v>7.1056377568362796</v>
      </c>
      <c r="D204" s="2">
        <v>7.9633346008744832</v>
      </c>
      <c r="E204" s="2">
        <v>4.4945787749889776</v>
      </c>
      <c r="F204" s="2">
        <v>5.1303661914818388</v>
      </c>
      <c r="G204" s="2">
        <v>5.1544912339662297</v>
      </c>
      <c r="H204" s="2">
        <v>5.7009589882718537</v>
      </c>
    </row>
    <row r="205" spans="1:8" x14ac:dyDescent="0.2">
      <c r="A205" s="16">
        <f>DATE(2018,1,29)</f>
        <v>43129</v>
      </c>
      <c r="B205" s="2">
        <v>5.921023540539716</v>
      </c>
      <c r="C205" s="2">
        <v>7.1339607766747193</v>
      </c>
      <c r="D205" s="2">
        <v>7.9961486213541377</v>
      </c>
      <c r="E205" s="2">
        <v>4.5217574994872001</v>
      </c>
      <c r="F205" s="2">
        <v>5.1608681692297376</v>
      </c>
      <c r="G205" s="2">
        <v>5.1851196905571051</v>
      </c>
      <c r="H205" s="2">
        <v>5.7344597431047362</v>
      </c>
    </row>
    <row r="206" spans="1:8" x14ac:dyDescent="0.2">
      <c r="A206" s="16">
        <f>DATE(2018,1,30)</f>
        <v>43130</v>
      </c>
      <c r="B206" s="2">
        <v>5.7694048474345117</v>
      </c>
      <c r="C206" s="2">
        <v>7.1622912862538302</v>
      </c>
      <c r="D206" s="2">
        <v>8.0289726152191534</v>
      </c>
      <c r="E206" s="2">
        <v>4.5489432930896356</v>
      </c>
      <c r="F206" s="2">
        <v>5.1913789966628432</v>
      </c>
      <c r="G206" s="2">
        <v>5.2157570683299515</v>
      </c>
      <c r="H206" s="2">
        <v>5.7679711156329194</v>
      </c>
    </row>
    <row r="207" spans="1:8" x14ac:dyDescent="0.2">
      <c r="A207" s="16">
        <f>DATE(2018,1,31)</f>
        <v>43131</v>
      </c>
      <c r="B207" s="2">
        <v>5.814399494962208</v>
      </c>
      <c r="C207" s="2">
        <v>7.1906292875542288</v>
      </c>
      <c r="D207" s="2">
        <v>8.061806585500797</v>
      </c>
      <c r="E207" s="2">
        <v>4.5761361576349024</v>
      </c>
      <c r="F207" s="2">
        <v>5.2218986763487685</v>
      </c>
      <c r="G207" s="2">
        <v>5.2464033698832679</v>
      </c>
      <c r="H207" s="2">
        <v>5.801493109221556</v>
      </c>
    </row>
    <row r="208" spans="1:8" x14ac:dyDescent="0.2">
      <c r="A208" s="16">
        <f>DATE(2018,2,1)</f>
        <v>43132</v>
      </c>
      <c r="B208" s="2">
        <v>6.255193003998194</v>
      </c>
      <c r="C208" s="2">
        <v>7.2189747825569972</v>
      </c>
      <c r="D208" s="2">
        <v>8.0946505352312634</v>
      </c>
      <c r="E208" s="2">
        <v>4.6028637802241867</v>
      </c>
      <c r="F208" s="2">
        <v>5.2519519652811431</v>
      </c>
      <c r="G208" s="2">
        <v>5.2765832410236468</v>
      </c>
      <c r="H208" s="2">
        <v>5.8345478510590132</v>
      </c>
    </row>
    <row r="209" spans="1:8" x14ac:dyDescent="0.2">
      <c r="A209" s="16">
        <f>DATE(2018,2,2)</f>
        <v>43133</v>
      </c>
      <c r="B209" s="2">
        <v>5.7563928502798678</v>
      </c>
      <c r="C209" s="2">
        <v>7.2473277732437946</v>
      </c>
      <c r="D209" s="2">
        <v>8.1275044674436803</v>
      </c>
      <c r="E209" s="2">
        <v>4.6295982338729891</v>
      </c>
      <c r="F209" s="2">
        <v>5.2820138379797044</v>
      </c>
      <c r="G209" s="2">
        <v>5.3067717663753955</v>
      </c>
      <c r="H209" s="2">
        <v>5.8676129199336957</v>
      </c>
    </row>
    <row r="210" spans="1:8" x14ac:dyDescent="0.2">
      <c r="A210" s="16">
        <f>DATE(2018,2,5)</f>
        <v>43136</v>
      </c>
      <c r="B210" s="2">
        <v>5.1974260897594826</v>
      </c>
      <c r="C210" s="2">
        <v>7.2756882615967688</v>
      </c>
      <c r="D210" s="2">
        <v>8.1603683851720898</v>
      </c>
      <c r="E210" s="2">
        <v>4.6563395203271796</v>
      </c>
      <c r="F210" s="2">
        <v>5.3120842968961135</v>
      </c>
      <c r="G210" s="2">
        <v>5.3369689484201732</v>
      </c>
      <c r="H210" s="2">
        <v>5.9006883190720005</v>
      </c>
    </row>
    <row r="211" spans="1:8" x14ac:dyDescent="0.2">
      <c r="A211" s="16">
        <f>DATE(2018,2,6)</f>
        <v>43137</v>
      </c>
      <c r="B211" s="2">
        <v>5.7493790577910708</v>
      </c>
      <c r="C211" s="2">
        <v>7.3040562495985997</v>
      </c>
      <c r="D211" s="2">
        <v>8.1932422914514635</v>
      </c>
      <c r="E211" s="2">
        <v>4.6830876413330946</v>
      </c>
      <c r="F211" s="2">
        <v>5.3421633444827643</v>
      </c>
      <c r="G211" s="2">
        <v>5.3671747896403055</v>
      </c>
      <c r="H211" s="2">
        <v>5.9337740517013238</v>
      </c>
    </row>
    <row r="212" spans="1:8" x14ac:dyDescent="0.2">
      <c r="A212" s="16">
        <f>DATE(2018,2,7)</f>
        <v>43138</v>
      </c>
      <c r="B212" s="2">
        <v>5.4241881410970416</v>
      </c>
      <c r="C212" s="2">
        <v>7.3324317392325034</v>
      </c>
      <c r="D212" s="2">
        <v>8.226126189317684</v>
      </c>
      <c r="E212" s="2">
        <v>4.7098425986375148</v>
      </c>
      <c r="F212" s="2">
        <v>5.372250983192739</v>
      </c>
      <c r="G212" s="2">
        <v>5.3973892925188505</v>
      </c>
      <c r="H212" s="2">
        <v>5.9668701210501052</v>
      </c>
    </row>
    <row r="213" spans="1:8" x14ac:dyDescent="0.2">
      <c r="A213" s="16">
        <f>DATE(2018,2,8)</f>
        <v>43139</v>
      </c>
      <c r="B213" s="2">
        <v>4.9866665183424308</v>
      </c>
      <c r="C213" s="2">
        <v>7.3608147324822024</v>
      </c>
      <c r="D213" s="2">
        <v>8.2590200818075665</v>
      </c>
      <c r="E213" s="2">
        <v>4.7366043939876645</v>
      </c>
      <c r="F213" s="2">
        <v>5.4023472154798302</v>
      </c>
      <c r="G213" s="2">
        <v>5.4276124595395991</v>
      </c>
      <c r="H213" s="2">
        <v>5.9999765303477393</v>
      </c>
    </row>
    <row r="214" spans="1:8" x14ac:dyDescent="0.2">
      <c r="A214" s="16">
        <f>DATE(2018,2,9)</f>
        <v>43140</v>
      </c>
      <c r="B214" s="2">
        <v>4.5953711271504494</v>
      </c>
      <c r="C214" s="2">
        <v>7.3882073718868124</v>
      </c>
      <c r="D214" s="2">
        <v>8.2909177244599555</v>
      </c>
      <c r="E214" s="2">
        <v>4.7633730291311904</v>
      </c>
      <c r="F214" s="2">
        <v>5.4324520437984747</v>
      </c>
      <c r="G214" s="2">
        <v>5.4578442931869864</v>
      </c>
      <c r="H214" s="2">
        <v>6.033093282824642</v>
      </c>
    </row>
    <row r="215" spans="1:8" x14ac:dyDescent="0.2">
      <c r="A215" s="16">
        <f>DATE(2018,2,14)</f>
        <v>43145</v>
      </c>
      <c r="B215" s="2">
        <v>5.6434278454841946</v>
      </c>
      <c r="C215" s="2">
        <v>7.4156070004028019</v>
      </c>
      <c r="D215" s="2">
        <v>8.3228247654941736</v>
      </c>
      <c r="E215" s="2">
        <v>4.7901485058162718</v>
      </c>
      <c r="F215" s="2">
        <v>5.4625654706039528</v>
      </c>
      <c r="G215" s="2">
        <v>5.4880847959462686</v>
      </c>
      <c r="H215" s="2">
        <v>6.0662203817123173</v>
      </c>
    </row>
    <row r="216" spans="1:8" x14ac:dyDescent="0.2">
      <c r="A216" s="16">
        <f>DATE(2018,2,15)</f>
        <v>43146</v>
      </c>
      <c r="B216" s="2">
        <v>5.9661839879766365</v>
      </c>
      <c r="C216" s="2">
        <v>7.4430136198134322</v>
      </c>
      <c r="D216" s="2">
        <v>8.3547412076793837</v>
      </c>
      <c r="E216" s="2">
        <v>4.8169308257914212</v>
      </c>
      <c r="F216" s="2">
        <v>5.4926874983520557</v>
      </c>
      <c r="G216" s="2">
        <v>5.5183339703033019</v>
      </c>
      <c r="H216" s="2">
        <v>6.0993578302431573</v>
      </c>
    </row>
    <row r="217" spans="1:8" x14ac:dyDescent="0.2">
      <c r="A217" s="16">
        <f>DATE(2018,2,16)</f>
        <v>43147</v>
      </c>
      <c r="B217" s="2">
        <v>6.2611349279609652</v>
      </c>
      <c r="C217" s="2">
        <v>7.4704272319023879</v>
      </c>
      <c r="D217" s="2">
        <v>8.3866670537855459</v>
      </c>
      <c r="E217" s="2">
        <v>4.8437199908056394</v>
      </c>
      <c r="F217" s="2">
        <v>5.5228181294993739</v>
      </c>
      <c r="G217" s="2">
        <v>5.548591818744697</v>
      </c>
      <c r="H217" s="2">
        <v>6.1325056316505977</v>
      </c>
    </row>
    <row r="218" spans="1:8" x14ac:dyDescent="0.2">
      <c r="A218" s="16">
        <f>DATE(2018,2,19)</f>
        <v>43150</v>
      </c>
      <c r="B218" s="2">
        <v>6.4257676463542754</v>
      </c>
      <c r="C218" s="2">
        <v>7.4978478384538203</v>
      </c>
      <c r="D218" s="2">
        <v>8.4186023065834235</v>
      </c>
      <c r="E218" s="2">
        <v>4.8705160026084604</v>
      </c>
      <c r="F218" s="2">
        <v>5.552957366503275</v>
      </c>
      <c r="G218" s="2">
        <v>5.5788583437578643</v>
      </c>
      <c r="H218" s="2">
        <v>6.1656637891692068</v>
      </c>
    </row>
    <row r="219" spans="1:8" x14ac:dyDescent="0.2">
      <c r="A219" s="16">
        <f>DATE(2018,2,20)</f>
        <v>43151</v>
      </c>
      <c r="B219" s="2">
        <v>6.6965285316975987</v>
      </c>
      <c r="C219" s="2">
        <v>7.5252754412523881</v>
      </c>
      <c r="D219" s="2">
        <v>8.4505469688447086</v>
      </c>
      <c r="E219" s="2">
        <v>4.8973188629497066</v>
      </c>
      <c r="F219" s="2">
        <v>5.5831052118216595</v>
      </c>
      <c r="G219" s="2">
        <v>5.6091335478307691</v>
      </c>
      <c r="H219" s="2">
        <v>6.1988323060343742</v>
      </c>
    </row>
    <row r="220" spans="1:8" x14ac:dyDescent="0.2">
      <c r="A220" s="16">
        <f>DATE(2018,2,21)</f>
        <v>43152</v>
      </c>
      <c r="B220" s="2">
        <v>6.875828204137302</v>
      </c>
      <c r="C220" s="2">
        <v>7.552710042083044</v>
      </c>
      <c r="D220" s="2">
        <v>8.482501043341717</v>
      </c>
      <c r="E220" s="2">
        <v>4.924128573579778</v>
      </c>
      <c r="F220" s="2">
        <v>5.6132616679132497</v>
      </c>
      <c r="G220" s="2">
        <v>5.6394174334521985</v>
      </c>
      <c r="H220" s="2">
        <v>6.2320111854826221</v>
      </c>
    </row>
    <row r="221" spans="1:8" x14ac:dyDescent="0.2">
      <c r="A221" s="16">
        <f>DATE(2018,2,22)</f>
        <v>43153</v>
      </c>
      <c r="B221" s="2">
        <v>6.8759620609447181</v>
      </c>
      <c r="C221" s="2">
        <v>7.5801516427314031</v>
      </c>
      <c r="D221" s="2">
        <v>8.5144645328477431</v>
      </c>
      <c r="E221" s="2">
        <v>4.9509451362494517</v>
      </c>
      <c r="F221" s="2">
        <v>5.6434267372374558</v>
      </c>
      <c r="G221" s="2">
        <v>5.6697100031116276</v>
      </c>
      <c r="H221" s="2">
        <v>6.2652004307514497</v>
      </c>
    </row>
    <row r="222" spans="1:8" x14ac:dyDescent="0.2">
      <c r="A222" s="16">
        <f>DATE(2018,2,23)</f>
        <v>43154</v>
      </c>
      <c r="B222" s="2">
        <v>7.0454714262083717</v>
      </c>
      <c r="C222" s="2">
        <v>7.6076002449834146</v>
      </c>
      <c r="D222" s="2">
        <v>8.5464374401368772</v>
      </c>
      <c r="E222" s="2">
        <v>4.9777685527099935</v>
      </c>
      <c r="F222" s="2">
        <v>5.6736004222543546</v>
      </c>
      <c r="G222" s="2">
        <v>5.7000112592992425</v>
      </c>
      <c r="H222" s="2">
        <v>6.2984000450793776</v>
      </c>
    </row>
    <row r="223" spans="1:8" x14ac:dyDescent="0.2">
      <c r="A223" s="16">
        <f>DATE(2018,2,26)</f>
        <v>43157</v>
      </c>
      <c r="B223" s="2">
        <v>7.2723211943174224</v>
      </c>
      <c r="C223" s="2">
        <v>7.6350558506254718</v>
      </c>
      <c r="D223" s="2">
        <v>8.5784197679839256</v>
      </c>
      <c r="E223" s="2">
        <v>5.0045988247130913</v>
      </c>
      <c r="F223" s="2">
        <v>5.7037827254247553</v>
      </c>
      <c r="G223" s="2">
        <v>5.7303212045059171</v>
      </c>
      <c r="H223" s="2">
        <v>6.3316100317059032</v>
      </c>
    </row>
    <row r="224" spans="1:8" x14ac:dyDescent="0.2">
      <c r="A224" s="16">
        <f>DATE(2018,2,27)</f>
        <v>43158</v>
      </c>
      <c r="B224" s="2">
        <v>7.2021259746593902</v>
      </c>
      <c r="C224" s="2">
        <v>7.6625184614444786</v>
      </c>
      <c r="D224" s="2">
        <v>8.6104115191645967</v>
      </c>
      <c r="E224" s="2">
        <v>5.0314359540108766</v>
      </c>
      <c r="F224" s="2">
        <v>5.7339736492101556</v>
      </c>
      <c r="G224" s="2">
        <v>5.7606398412233029</v>
      </c>
      <c r="H224" s="2">
        <v>6.36483039387159</v>
      </c>
    </row>
    <row r="225" spans="1:8" x14ac:dyDescent="0.2">
      <c r="A225" s="16">
        <f>DATE(2018,2,28)</f>
        <v>43159</v>
      </c>
      <c r="B225" s="2">
        <v>7.234045752895546</v>
      </c>
      <c r="C225" s="2">
        <v>7.689988079227783</v>
      </c>
      <c r="D225" s="2">
        <v>8.6424126964554038</v>
      </c>
      <c r="E225" s="2">
        <v>5.0582799423559699</v>
      </c>
      <c r="F225" s="2">
        <v>5.7641731960727416</v>
      </c>
      <c r="G225" s="2">
        <v>5.7909671719437172</v>
      </c>
      <c r="H225" s="2">
        <v>6.3980611348179783</v>
      </c>
    </row>
    <row r="226" spans="1:8" x14ac:dyDescent="0.2">
      <c r="A226" s="16">
        <f>DATE(2018,3,1)</f>
        <v>43160</v>
      </c>
      <c r="B226" s="2">
        <v>7.1198593047321346</v>
      </c>
      <c r="C226" s="2">
        <v>7.7174647057631773</v>
      </c>
      <c r="D226" s="2">
        <v>8.6744233026336826</v>
      </c>
      <c r="E226" s="2">
        <v>5.0781335699913832</v>
      </c>
      <c r="F226" s="2">
        <v>5.7873369206513647</v>
      </c>
      <c r="G226" s="2">
        <v>5.8142569587132042</v>
      </c>
      <c r="H226" s="2">
        <v>6.4242153998098628</v>
      </c>
    </row>
    <row r="227" spans="1:8" x14ac:dyDescent="0.2">
      <c r="A227" s="16">
        <f>DATE(2018,3,2)</f>
        <v>43161</v>
      </c>
      <c r="B227" s="2">
        <v>7.3966746754444479</v>
      </c>
      <c r="C227" s="2">
        <v>7.7449483428389421</v>
      </c>
      <c r="D227" s="2">
        <v>8.7064433404776107</v>
      </c>
      <c r="E227" s="2">
        <v>5.0979909495112663</v>
      </c>
      <c r="F227" s="2">
        <v>5.8105057183858611</v>
      </c>
      <c r="G227" s="2">
        <v>5.8375518727084241</v>
      </c>
      <c r="H227" s="2">
        <v>6.4503760939186972</v>
      </c>
    </row>
    <row r="228" spans="1:8" x14ac:dyDescent="0.2">
      <c r="A228" s="16">
        <f>DATE(2018,3,5)</f>
        <v>43164</v>
      </c>
      <c r="B228" s="2">
        <v>7.6138644439513126</v>
      </c>
      <c r="C228" s="2">
        <v>7.7724389922437132</v>
      </c>
      <c r="D228" s="2">
        <v>8.7384728127660516</v>
      </c>
      <c r="E228" s="2">
        <v>5.1178520816246298</v>
      </c>
      <c r="F228" s="2">
        <v>5.8336795903872973</v>
      </c>
      <c r="G228" s="2">
        <v>5.8608519150580962</v>
      </c>
      <c r="H228" s="2">
        <v>6.4765432187248173</v>
      </c>
    </row>
    <row r="229" spans="1:8" x14ac:dyDescent="0.2">
      <c r="A229" s="16">
        <f>DATE(2018,3,6)</f>
        <v>43165</v>
      </c>
      <c r="B229" s="2">
        <v>7.6375581129314529</v>
      </c>
      <c r="C229" s="2">
        <v>7.799936655766726</v>
      </c>
      <c r="D229" s="2">
        <v>8.7705117222788722</v>
      </c>
      <c r="E229" s="2">
        <v>5.1377169670407064</v>
      </c>
      <c r="F229" s="2">
        <v>5.8568585377670512</v>
      </c>
      <c r="G229" s="2">
        <v>5.8841570868912729</v>
      </c>
      <c r="H229" s="2">
        <v>6.5027167758090698</v>
      </c>
    </row>
    <row r="230" spans="1:8" x14ac:dyDescent="0.2">
      <c r="A230" s="16">
        <f>DATE(2018,3,7)</f>
        <v>43166</v>
      </c>
      <c r="B230" s="2">
        <v>7.6192085755808936</v>
      </c>
      <c r="C230" s="2">
        <v>7.8274413351975491</v>
      </c>
      <c r="D230" s="2">
        <v>8.8025600717966501</v>
      </c>
      <c r="E230" s="2">
        <v>5.1575856064687065</v>
      </c>
      <c r="F230" s="2">
        <v>5.8800425616366558</v>
      </c>
      <c r="G230" s="2">
        <v>5.9074673893371621</v>
      </c>
      <c r="H230" s="2">
        <v>6.5288967667525233</v>
      </c>
    </row>
    <row r="231" spans="1:8" x14ac:dyDescent="0.2">
      <c r="A231" s="16">
        <f>DATE(2018,3,8)</f>
        <v>43167</v>
      </c>
      <c r="B231" s="2">
        <v>7.5887799824607027</v>
      </c>
      <c r="C231" s="2">
        <v>7.8549530323263284</v>
      </c>
      <c r="D231" s="2">
        <v>8.8346178641008475</v>
      </c>
      <c r="E231" s="2">
        <v>5.1774580006180848</v>
      </c>
      <c r="F231" s="2">
        <v>5.9032316631079329</v>
      </c>
      <c r="G231" s="2">
        <v>5.9307828235252824</v>
      </c>
      <c r="H231" s="2">
        <v>6.5550831931367348</v>
      </c>
    </row>
    <row r="232" spans="1:8" x14ac:dyDescent="0.2">
      <c r="A232" s="16">
        <f>DATE(2018,3,9)</f>
        <v>43168</v>
      </c>
      <c r="B232" s="2">
        <v>7.7565279138266829</v>
      </c>
      <c r="C232" s="2">
        <v>7.8824717489434981</v>
      </c>
      <c r="D232" s="2">
        <v>8.8666851019736157</v>
      </c>
      <c r="E232" s="2">
        <v>5.197334150198385</v>
      </c>
      <c r="F232" s="2">
        <v>5.9264258432929484</v>
      </c>
      <c r="G232" s="2">
        <v>5.9541033905853746</v>
      </c>
      <c r="H232" s="2">
        <v>6.5812760565436612</v>
      </c>
    </row>
    <row r="233" spans="1:8" x14ac:dyDescent="0.2">
      <c r="A233" s="16">
        <f>DATE(2018,3,12)</f>
        <v>43171</v>
      </c>
      <c r="B233" s="2">
        <v>7.7902192666277514</v>
      </c>
      <c r="C233" s="2">
        <v>7.9099974868401368</v>
      </c>
      <c r="D233" s="2">
        <v>8.8987617881980832</v>
      </c>
      <c r="E233" s="2">
        <v>5.2172140559193059</v>
      </c>
      <c r="F233" s="2">
        <v>5.9496251033040126</v>
      </c>
      <c r="G233" s="2">
        <v>5.977429091647446</v>
      </c>
      <c r="H233" s="2">
        <v>6.6074753585556154</v>
      </c>
    </row>
    <row r="234" spans="1:8" x14ac:dyDescent="0.2">
      <c r="A234" s="16">
        <f>DATE(2018,3,13)</f>
        <v>43172</v>
      </c>
      <c r="B234" s="2">
        <v>7.7300283222243138</v>
      </c>
      <c r="C234" s="2">
        <v>7.9375302478076781</v>
      </c>
      <c r="D234" s="2">
        <v>8.9308479255581155</v>
      </c>
      <c r="E234" s="2">
        <v>5.2370977184906575</v>
      </c>
      <c r="F234" s="2">
        <v>5.97282944425368</v>
      </c>
      <c r="G234" s="2">
        <v>6.0007599278417256</v>
      </c>
      <c r="H234" s="2">
        <v>6.6336811007552843</v>
      </c>
    </row>
    <row r="235" spans="1:8" x14ac:dyDescent="0.2">
      <c r="A235" s="16">
        <f>DATE(2018,3,14)</f>
        <v>43173</v>
      </c>
      <c r="B235" s="2">
        <v>7.6111006050980423</v>
      </c>
      <c r="C235" s="2">
        <v>7.9650700336379998</v>
      </c>
      <c r="D235" s="2">
        <v>8.9629435168384184</v>
      </c>
      <c r="E235" s="2">
        <v>5.2569851386224276</v>
      </c>
      <c r="F235" s="2">
        <v>5.9960388672547271</v>
      </c>
      <c r="G235" s="2">
        <v>6.0240959002987315</v>
      </c>
      <c r="H235" s="2">
        <v>6.6598932847257819</v>
      </c>
    </row>
    <row r="236" spans="1:8" x14ac:dyDescent="0.2">
      <c r="A236" s="16">
        <f>DATE(2018,3,15)</f>
        <v>43174</v>
      </c>
      <c r="B236" s="2">
        <v>7.436206545535895</v>
      </c>
      <c r="C236" s="2">
        <v>7.9926168461234903</v>
      </c>
      <c r="D236" s="2">
        <v>8.9950485648244936</v>
      </c>
      <c r="E236" s="2">
        <v>5.2768763170246924</v>
      </c>
      <c r="F236" s="2">
        <v>6.019253373420197</v>
      </c>
      <c r="G236" s="2">
        <v>6.0474370101491814</v>
      </c>
      <c r="H236" s="2">
        <v>6.6861119120505741</v>
      </c>
    </row>
    <row r="237" spans="1:8" x14ac:dyDescent="0.2">
      <c r="A237" s="16">
        <f>DATE(2018,3,16)</f>
        <v>43175</v>
      </c>
      <c r="B237" s="2">
        <v>7.4887666378496309</v>
      </c>
      <c r="C237" s="2">
        <v>8.0201706870569591</v>
      </c>
      <c r="D237" s="2">
        <v>9.027163072302713</v>
      </c>
      <c r="E237" s="2">
        <v>5.2967712544076839</v>
      </c>
      <c r="F237" s="2">
        <v>6.0424729638633545</v>
      </c>
      <c r="G237" s="2">
        <v>6.0707832585240817</v>
      </c>
      <c r="H237" s="2">
        <v>6.7123369843135503</v>
      </c>
    </row>
    <row r="238" spans="1:8" x14ac:dyDescent="0.2">
      <c r="A238" s="16">
        <f>DATE(2018,3,19)</f>
        <v>43178</v>
      </c>
      <c r="B238" s="2">
        <v>7.3623622067755754</v>
      </c>
      <c r="C238" s="2">
        <v>8.0477315582316855</v>
      </c>
      <c r="D238" s="2">
        <v>9.0592870420602054</v>
      </c>
      <c r="E238" s="2">
        <v>5.316669951481745</v>
      </c>
      <c r="F238" s="2">
        <v>6.0656976396977313</v>
      </c>
      <c r="G238" s="2">
        <v>6.0941346465546831</v>
      </c>
      <c r="H238" s="2">
        <v>6.7385685030989739</v>
      </c>
    </row>
    <row r="239" spans="1:8" x14ac:dyDescent="0.2">
      <c r="A239" s="16">
        <f>DATE(2018,3,20)</f>
        <v>43179</v>
      </c>
      <c r="B239" s="2">
        <v>7.325253956151756</v>
      </c>
      <c r="C239" s="2">
        <v>8.0752994614413875</v>
      </c>
      <c r="D239" s="2">
        <v>9.0914204768849824</v>
      </c>
      <c r="E239" s="2">
        <v>5.3365724089574185</v>
      </c>
      <c r="F239" s="2">
        <v>6.0889274020371253</v>
      </c>
      <c r="G239" s="2">
        <v>6.1174911753724803</v>
      </c>
      <c r="H239" s="2">
        <v>6.7648064699915356</v>
      </c>
    </row>
    <row r="240" spans="1:8" x14ac:dyDescent="0.2">
      <c r="A240" s="16">
        <f>DATE(2018,3,21)</f>
        <v>43180</v>
      </c>
      <c r="B240" s="2">
        <v>7.5651968467533193</v>
      </c>
      <c r="C240" s="2">
        <v>8.1028743984802745</v>
      </c>
      <c r="D240" s="2">
        <v>9.1235633795658355</v>
      </c>
      <c r="E240" s="2">
        <v>5.3564786275452914</v>
      </c>
      <c r="F240" s="2">
        <v>6.1121622519954899</v>
      </c>
      <c r="G240" s="2">
        <v>6.1408528461091905</v>
      </c>
      <c r="H240" s="2">
        <v>6.7910508865762109</v>
      </c>
    </row>
    <row r="241" spans="1:8" x14ac:dyDescent="0.2">
      <c r="A241" s="16">
        <f>DATE(2018,3,22)</f>
        <v>43181</v>
      </c>
      <c r="B241" s="2">
        <v>7.8942260059934988</v>
      </c>
      <c r="C241" s="2">
        <v>8.1304563711430013</v>
      </c>
      <c r="D241" s="2">
        <v>9.1557157528923803</v>
      </c>
      <c r="E241" s="2">
        <v>5.3763886079561063</v>
      </c>
      <c r="F241" s="2">
        <v>6.1354021906870893</v>
      </c>
      <c r="G241" s="2">
        <v>6.1642196598967747</v>
      </c>
      <c r="H241" s="2">
        <v>6.8173017544384429</v>
      </c>
    </row>
    <row r="242" spans="1:8" x14ac:dyDescent="0.2">
      <c r="A242" s="16">
        <f>DATE(2018,3,23)</f>
        <v>43182</v>
      </c>
      <c r="B242" s="2">
        <v>7.742260502069076</v>
      </c>
      <c r="C242" s="2">
        <v>8.1570380189022842</v>
      </c>
      <c r="D242" s="2">
        <v>9.1868606456821702</v>
      </c>
      <c r="E242" s="2">
        <v>5.3963023509008279</v>
      </c>
      <c r="F242" s="2">
        <v>6.1586472192264541</v>
      </c>
      <c r="G242" s="2">
        <v>6.1875916178675272</v>
      </c>
      <c r="H242" s="2">
        <v>6.8435590751640962</v>
      </c>
    </row>
    <row r="243" spans="1:8" x14ac:dyDescent="0.2">
      <c r="A243" s="16">
        <f>DATE(2018,3,26)</f>
        <v>43185</v>
      </c>
      <c r="B243" s="2">
        <v>7.9894225336708544</v>
      </c>
      <c r="C243" s="2">
        <v>8.183626201212757</v>
      </c>
      <c r="D243" s="2">
        <v>9.2180144248994456</v>
      </c>
      <c r="E243" s="2">
        <v>5.416219857090443</v>
      </c>
      <c r="F243" s="2">
        <v>6.1818973387282927</v>
      </c>
      <c r="G243" s="2">
        <v>6.2109687211538978</v>
      </c>
      <c r="H243" s="2">
        <v>6.8698228503393244</v>
      </c>
    </row>
    <row r="244" spans="1:8" x14ac:dyDescent="0.2">
      <c r="A244" s="16">
        <f>DATE(2018,3,27)</f>
        <v>43186</v>
      </c>
      <c r="B244" s="2">
        <v>7.5892834665886033</v>
      </c>
      <c r="C244" s="2">
        <v>8.210220919680733</v>
      </c>
      <c r="D244" s="2">
        <v>9.2491770930796413</v>
      </c>
      <c r="E244" s="2">
        <v>5.4361411272361826</v>
      </c>
      <c r="F244" s="2">
        <v>6.2051525503076688</v>
      </c>
      <c r="G244" s="2">
        <v>6.2343509708886913</v>
      </c>
      <c r="H244" s="2">
        <v>6.8960930815508137</v>
      </c>
    </row>
    <row r="245" spans="1:8" x14ac:dyDescent="0.2">
      <c r="A245" s="16">
        <f>DATE(2018,3,28)</f>
        <v>43187</v>
      </c>
      <c r="B245" s="2">
        <v>7.4977771277158212</v>
      </c>
      <c r="C245" s="2">
        <v>8.2368221759130176</v>
      </c>
      <c r="D245" s="2">
        <v>9.2803486527590398</v>
      </c>
      <c r="E245" s="2">
        <v>5.4560661620492779</v>
      </c>
      <c r="F245" s="2">
        <v>6.2284128550797346</v>
      </c>
      <c r="G245" s="2">
        <v>6.2577383682048238</v>
      </c>
      <c r="H245" s="2">
        <v>6.9223697703854947</v>
      </c>
    </row>
    <row r="246" spans="1:8" x14ac:dyDescent="0.2">
      <c r="A246" s="16">
        <f>DATE(2018,3,29)</f>
        <v>43188</v>
      </c>
      <c r="B246" s="2">
        <v>7.7338655507037002</v>
      </c>
      <c r="C246" s="2">
        <v>8.2634299715167678</v>
      </c>
      <c r="D246" s="2">
        <v>9.3115291064745929</v>
      </c>
      <c r="E246" s="2">
        <v>5.4759949622411819</v>
      </c>
      <c r="F246" s="2">
        <v>6.2516782541599758</v>
      </c>
      <c r="G246" s="2">
        <v>6.2811309142355443</v>
      </c>
      <c r="H246" s="2">
        <v>6.9486529184307644</v>
      </c>
    </row>
    <row r="247" spans="1:8" x14ac:dyDescent="0.2">
      <c r="A247" s="16">
        <f>DATE(2018,4,2)</f>
        <v>43192</v>
      </c>
      <c r="B247" s="2">
        <v>7.612731731421829</v>
      </c>
      <c r="C247" s="2">
        <v>8.2900443080996098</v>
      </c>
      <c r="D247" s="2">
        <v>9.3427184567640644</v>
      </c>
      <c r="E247" s="2">
        <v>5.5029509927672304</v>
      </c>
      <c r="F247" s="2">
        <v>6.2820240767836877</v>
      </c>
      <c r="G247" s="2">
        <v>6.3116059075335897</v>
      </c>
      <c r="H247" s="2">
        <v>6.9820644579632551</v>
      </c>
    </row>
    <row r="248" spans="1:8" x14ac:dyDescent="0.2">
      <c r="A248" s="16">
        <f>DATE(2018,4,3)</f>
        <v>43193</v>
      </c>
      <c r="B248" s="2">
        <v>7.5759160390475699</v>
      </c>
      <c r="C248" s="2">
        <v>8.3166651872694786</v>
      </c>
      <c r="D248" s="2">
        <v>9.373916706165808</v>
      </c>
      <c r="E248" s="2">
        <v>5.5299139123260233</v>
      </c>
      <c r="F248" s="2">
        <v>6.312378566272403</v>
      </c>
      <c r="G248" s="2">
        <v>6.3420896392145432</v>
      </c>
      <c r="H248" s="2">
        <v>7.0154864355044699</v>
      </c>
    </row>
    <row r="249" spans="1:8" x14ac:dyDescent="0.2">
      <c r="A249" s="16">
        <f>DATE(2018,4,4)</f>
        <v>43194</v>
      </c>
      <c r="B249" s="2">
        <v>7.6265347006203346</v>
      </c>
      <c r="C249" s="2">
        <v>8.3432926106347125</v>
      </c>
      <c r="D249" s="2">
        <v>9.4051238572189675</v>
      </c>
      <c r="E249" s="2">
        <v>5.556883722678152</v>
      </c>
      <c r="F249" s="2">
        <v>6.3427417251013862</v>
      </c>
      <c r="G249" s="2">
        <v>6.3725821117840198</v>
      </c>
      <c r="H249" s="2">
        <v>7.0489188543153558</v>
      </c>
    </row>
    <row r="250" spans="1:8" x14ac:dyDescent="0.2">
      <c r="A250" s="16">
        <f>DATE(2018,4,5)</f>
        <v>43195</v>
      </c>
      <c r="B250" s="2">
        <v>7.7687920367732533</v>
      </c>
      <c r="C250" s="2">
        <v>8.3699265798040656</v>
      </c>
      <c r="D250" s="2">
        <v>9.4363399124633975</v>
      </c>
      <c r="E250" s="2">
        <v>5.5838604255846525</v>
      </c>
      <c r="F250" s="2">
        <v>6.3731135557466567</v>
      </c>
      <c r="G250" s="2">
        <v>6.4030833277483934</v>
      </c>
      <c r="H250" s="2">
        <v>7.0823617176578146</v>
      </c>
    </row>
    <row r="251" spans="1:8" x14ac:dyDescent="0.2">
      <c r="A251" s="16">
        <f>DATE(2018,4,6)</f>
        <v>43196</v>
      </c>
      <c r="B251" s="2">
        <v>7.4313501800000292</v>
      </c>
      <c r="C251" s="2">
        <v>8.3965670963867201</v>
      </c>
      <c r="D251" s="2">
        <v>9.4675648744397165</v>
      </c>
      <c r="E251" s="2">
        <v>5.6108440228070267</v>
      </c>
      <c r="F251" s="2">
        <v>6.4034940606848778</v>
      </c>
      <c r="G251" s="2">
        <v>6.4335932896147474</v>
      </c>
      <c r="H251" s="2">
        <v>7.1158150287947919</v>
      </c>
    </row>
    <row r="252" spans="1:8" x14ac:dyDescent="0.2">
      <c r="A252" s="16">
        <f>DATE(2018,4,9)</f>
        <v>43199</v>
      </c>
      <c r="B252" s="2">
        <v>7.288593415986111</v>
      </c>
      <c r="C252" s="2">
        <v>8.4232141619922096</v>
      </c>
      <c r="D252" s="2">
        <v>9.4987987456892409</v>
      </c>
      <c r="E252" s="2">
        <v>5.6378345161072652</v>
      </c>
      <c r="F252" s="2">
        <v>6.4338832423935122</v>
      </c>
      <c r="G252" s="2">
        <v>6.4641119998908758</v>
      </c>
      <c r="H252" s="2">
        <v>7.1492787909902988</v>
      </c>
    </row>
    <row r="253" spans="1:8" x14ac:dyDescent="0.2">
      <c r="A253" s="16">
        <f>DATE(2018,4,10)</f>
        <v>43200</v>
      </c>
      <c r="B253" s="2">
        <v>7.5581663221635731</v>
      </c>
      <c r="C253" s="2">
        <v>8.4498677782304696</v>
      </c>
      <c r="D253" s="2">
        <v>9.5300415287540066</v>
      </c>
      <c r="E253" s="2">
        <v>5.6648319072477138</v>
      </c>
      <c r="F253" s="2">
        <v>6.4642811033505998</v>
      </c>
      <c r="G253" s="2">
        <v>6.4946394610852609</v>
      </c>
      <c r="H253" s="2">
        <v>7.1827530075092572</v>
      </c>
    </row>
    <row r="254" spans="1:8" x14ac:dyDescent="0.2">
      <c r="A254" s="16">
        <f>DATE(2018,4,11)</f>
        <v>43201</v>
      </c>
      <c r="B254" s="2">
        <v>7.5986914706101416</v>
      </c>
      <c r="C254" s="2">
        <v>8.4765279467118546</v>
      </c>
      <c r="D254" s="2">
        <v>9.5612932261767813</v>
      </c>
      <c r="E254" s="2">
        <v>5.6918361979912291</v>
      </c>
      <c r="F254" s="2">
        <v>6.4946876460350023</v>
      </c>
      <c r="G254" s="2">
        <v>6.5251756757071622</v>
      </c>
      <c r="H254" s="2">
        <v>7.2162376816176987</v>
      </c>
    </row>
    <row r="255" spans="1:8" x14ac:dyDescent="0.2">
      <c r="A255" s="16">
        <f>DATE(2018,4,12)</f>
        <v>43202</v>
      </c>
      <c r="B255" s="2">
        <v>7.7519539658731151</v>
      </c>
      <c r="C255" s="2">
        <v>8.5031946690470761</v>
      </c>
      <c r="D255" s="2">
        <v>9.5925538405010613</v>
      </c>
      <c r="E255" s="2">
        <v>5.7188473901011339</v>
      </c>
      <c r="F255" s="2">
        <v>6.5251028729262472</v>
      </c>
      <c r="G255" s="2">
        <v>6.5557206462665274</v>
      </c>
      <c r="H255" s="2">
        <v>7.2497328165826547</v>
      </c>
    </row>
    <row r="256" spans="1:8" x14ac:dyDescent="0.2">
      <c r="A256" s="16">
        <f>DATE(2018,4,13)</f>
        <v>43203</v>
      </c>
      <c r="B256" s="2">
        <v>7.4988926011109847</v>
      </c>
      <c r="C256" s="2">
        <v>8.5298679468472702</v>
      </c>
      <c r="D256" s="2">
        <v>9.6238233742710335</v>
      </c>
      <c r="E256" s="2">
        <v>5.7458654853411728</v>
      </c>
      <c r="F256" s="2">
        <v>6.5555267865045508</v>
      </c>
      <c r="G256" s="2">
        <v>6.5862743752740371</v>
      </c>
      <c r="H256" s="2">
        <v>7.2832384156721766</v>
      </c>
    </row>
    <row r="257" spans="1:8" x14ac:dyDescent="0.2">
      <c r="A257" s="16">
        <f>DATE(2018,4,16)</f>
        <v>43206</v>
      </c>
      <c r="B257" s="2">
        <v>7.4617731957532518</v>
      </c>
      <c r="C257" s="2">
        <v>8.5565477817239888</v>
      </c>
      <c r="D257" s="2">
        <v>9.6551018300317093</v>
      </c>
      <c r="E257" s="2">
        <v>5.7728904854755347</v>
      </c>
      <c r="F257" s="2">
        <v>6.5859593892508839</v>
      </c>
      <c r="G257" s="2">
        <v>6.6168368652410603</v>
      </c>
      <c r="H257" s="2">
        <v>7.316754482155341</v>
      </c>
    </row>
    <row r="258" spans="1:8" x14ac:dyDescent="0.2">
      <c r="A258" s="16">
        <f>DATE(2018,4,17)</f>
        <v>43207</v>
      </c>
      <c r="B258" s="2">
        <v>7.4648742117918276</v>
      </c>
      <c r="C258" s="2">
        <v>8.5832341752890997</v>
      </c>
      <c r="D258" s="2">
        <v>9.6863892103286933</v>
      </c>
      <c r="E258" s="2">
        <v>5.7999223922689191</v>
      </c>
      <c r="F258" s="2">
        <v>6.616400683646928</v>
      </c>
      <c r="G258" s="2">
        <v>6.6474081186797651</v>
      </c>
      <c r="H258" s="2">
        <v>7.3502810193022396</v>
      </c>
    </row>
    <row r="259" spans="1:8" x14ac:dyDescent="0.2">
      <c r="A259" s="16">
        <f>DATE(2018,4,18)</f>
        <v>43208</v>
      </c>
      <c r="B259" s="2">
        <v>7.7477942641758668</v>
      </c>
      <c r="C259" s="2">
        <v>8.6099271291550252</v>
      </c>
      <c r="D259" s="2">
        <v>9.7176855177084409</v>
      </c>
      <c r="E259" s="2">
        <v>5.8269612074863364</v>
      </c>
      <c r="F259" s="2">
        <v>6.6468506721749643</v>
      </c>
      <c r="G259" s="2">
        <v>6.6779881381028972</v>
      </c>
      <c r="H259" s="2">
        <v>7.3838180303839263</v>
      </c>
    </row>
    <row r="260" spans="1:8" x14ac:dyDescent="0.2">
      <c r="A260" s="16">
        <f>DATE(2018,4,19)</f>
        <v>43209</v>
      </c>
      <c r="B260" s="2">
        <v>7.6989471771679696</v>
      </c>
      <c r="C260" s="2">
        <v>8.6366266449343865</v>
      </c>
      <c r="D260" s="2">
        <v>9.7489907547180223</v>
      </c>
      <c r="E260" s="2">
        <v>5.8540069328934186</v>
      </c>
      <c r="F260" s="2">
        <v>6.6773093573181397</v>
      </c>
      <c r="G260" s="2">
        <v>6.708576926024068</v>
      </c>
      <c r="H260" s="2">
        <v>7.4173655186726029</v>
      </c>
    </row>
    <row r="261" spans="1:8" x14ac:dyDescent="0.2">
      <c r="A261" s="16">
        <f>DATE(2018,4,20)</f>
        <v>43210</v>
      </c>
      <c r="B261" s="2">
        <v>7.684293913022322</v>
      </c>
      <c r="C261" s="2">
        <v>8.6633327242403144</v>
      </c>
      <c r="D261" s="2">
        <v>9.7803049239053141</v>
      </c>
      <c r="E261" s="2">
        <v>5.881059570256153</v>
      </c>
      <c r="F261" s="2">
        <v>6.7077767415602008</v>
      </c>
      <c r="G261" s="2">
        <v>6.7391744849575552</v>
      </c>
      <c r="H261" s="2">
        <v>7.4509234874414076</v>
      </c>
    </row>
    <row r="262" spans="1:8" x14ac:dyDescent="0.2">
      <c r="A262" s="16">
        <f>DATE(2018,4,23)</f>
        <v>43213</v>
      </c>
      <c r="B262" s="2">
        <v>7.6014411125292503</v>
      </c>
      <c r="C262" s="2">
        <v>8.6900453686863166</v>
      </c>
      <c r="D262" s="2">
        <v>9.811628027818875</v>
      </c>
      <c r="E262" s="2">
        <v>5.9081191213410156</v>
      </c>
      <c r="F262" s="2">
        <v>6.738252827385649</v>
      </c>
      <c r="G262" s="2">
        <v>6.7697808174183471</v>
      </c>
      <c r="H262" s="2">
        <v>7.4844919399645216</v>
      </c>
    </row>
    <row r="263" spans="1:8" x14ac:dyDescent="0.2">
      <c r="A263" s="16">
        <f>DATE(2018,4,24)</f>
        <v>43214</v>
      </c>
      <c r="B263" s="2">
        <v>7.4497423081529401</v>
      </c>
      <c r="C263" s="2">
        <v>8.7167645798863056</v>
      </c>
      <c r="D263" s="2">
        <v>9.8429600690080221</v>
      </c>
      <c r="E263" s="2">
        <v>5.9351855879148818</v>
      </c>
      <c r="F263" s="2">
        <v>6.7687376172796743</v>
      </c>
      <c r="G263" s="2">
        <v>6.8003959259221416</v>
      </c>
      <c r="H263" s="2">
        <v>7.5180708795171247</v>
      </c>
    </row>
    <row r="264" spans="1:8" x14ac:dyDescent="0.2">
      <c r="A264" s="16">
        <f>DATE(2018,4,25)</f>
        <v>43215</v>
      </c>
      <c r="B264" s="2">
        <v>7.4230094812043124</v>
      </c>
      <c r="C264" s="2">
        <v>8.7434903594545865</v>
      </c>
      <c r="D264" s="2">
        <v>9.8743010500227815</v>
      </c>
      <c r="E264" s="2">
        <v>5.9622589717451158</v>
      </c>
      <c r="F264" s="2">
        <v>6.7992311137281769</v>
      </c>
      <c r="G264" s="2">
        <v>6.8310198129853728</v>
      </c>
      <c r="H264" s="2">
        <v>7.5516603093754409</v>
      </c>
    </row>
    <row r="265" spans="1:8" x14ac:dyDescent="0.2">
      <c r="A265" s="16">
        <f>DATE(2018,4,26)</f>
        <v>43216</v>
      </c>
      <c r="B265" s="2">
        <v>7.6890001966831933</v>
      </c>
      <c r="C265" s="2">
        <v>8.7702227090058482</v>
      </c>
      <c r="D265" s="2">
        <v>9.9056509734139144</v>
      </c>
      <c r="E265" s="2">
        <v>5.9893392745995921</v>
      </c>
      <c r="F265" s="2">
        <v>6.8297333192178344</v>
      </c>
      <c r="G265" s="2">
        <v>6.8616524811252688</v>
      </c>
      <c r="H265" s="2">
        <v>7.5852602328167817</v>
      </c>
    </row>
    <row r="266" spans="1:8" x14ac:dyDescent="0.2">
      <c r="A266" s="16">
        <f>DATE(2018,4,27)</f>
        <v>43217</v>
      </c>
      <c r="B266" s="2">
        <v>7.7460815054809062</v>
      </c>
      <c r="C266" s="2">
        <v>8.7969616301551987</v>
      </c>
      <c r="D266" s="2">
        <v>9.9370098417329125</v>
      </c>
      <c r="E266" s="2">
        <v>6.0164264982464744</v>
      </c>
      <c r="F266" s="2">
        <v>6.8602442362358804</v>
      </c>
      <c r="G266" s="2">
        <v>6.8922939328595936</v>
      </c>
      <c r="H266" s="2">
        <v>7.6188706531193251</v>
      </c>
    </row>
    <row r="267" spans="1:8" x14ac:dyDescent="0.2">
      <c r="A267" s="16">
        <f>DATE(2018,4,30)</f>
        <v>43220</v>
      </c>
      <c r="B267" s="2">
        <v>7.5740739868454421</v>
      </c>
      <c r="C267" s="2">
        <v>8.8237071245181209</v>
      </c>
      <c r="D267" s="2">
        <v>9.9683776575319794</v>
      </c>
      <c r="E267" s="2">
        <v>6.0435206444545475</v>
      </c>
      <c r="F267" s="2">
        <v>6.8907638672704552</v>
      </c>
      <c r="G267" s="2">
        <v>6.922944170707046</v>
      </c>
      <c r="H267" s="2">
        <v>7.6524915735624246</v>
      </c>
    </row>
    <row r="268" spans="1:8" x14ac:dyDescent="0.2">
      <c r="A268" s="16">
        <f>DATE(2018,5,2)</f>
        <v>43222</v>
      </c>
      <c r="B268" s="2">
        <v>7.1398201941053294</v>
      </c>
      <c r="C268" s="2">
        <v>8.8504591937105026</v>
      </c>
      <c r="D268" s="2">
        <v>9.9997544233640703</v>
      </c>
      <c r="E268" s="2">
        <v>6.0816990126933312</v>
      </c>
      <c r="F268" s="2">
        <v>6.9324583507791138</v>
      </c>
      <c r="G268" s="2">
        <v>6.9647727074960697</v>
      </c>
      <c r="H268" s="2">
        <v>7.6973690071447942</v>
      </c>
    </row>
    <row r="269" spans="1:8" x14ac:dyDescent="0.2">
      <c r="A269" s="16">
        <f>DATE(2018,5,3)</f>
        <v>43223</v>
      </c>
      <c r="B269" s="2">
        <v>7.0678386959149186</v>
      </c>
      <c r="C269" s="2">
        <v>8.8772178393486278</v>
      </c>
      <c r="D269" s="2">
        <v>10.031140141782856</v>
      </c>
      <c r="E269" s="2">
        <v>6.119891126117083</v>
      </c>
      <c r="F269" s="2">
        <v>6.9741690979002513</v>
      </c>
      <c r="G269" s="2">
        <v>7.006617607718657</v>
      </c>
      <c r="H269" s="2">
        <v>7.7422651489244432</v>
      </c>
    </row>
    <row r="270" spans="1:8" x14ac:dyDescent="0.2">
      <c r="A270" s="16">
        <f>DATE(2018,5,4)</f>
        <v>43224</v>
      </c>
      <c r="B270" s="2">
        <v>7.1814780550813584</v>
      </c>
      <c r="C270" s="2">
        <v>8.9039830630492034</v>
      </c>
      <c r="D270" s="2">
        <v>10.062534815342739</v>
      </c>
      <c r="E270" s="2">
        <v>6.1580969896743554</v>
      </c>
      <c r="F270" s="2">
        <v>7.0158961149776822</v>
      </c>
      <c r="G270" s="2">
        <v>7.0484788777761764</v>
      </c>
      <c r="H270" s="2">
        <v>7.787180006700245</v>
      </c>
    </row>
    <row r="271" spans="1:8" x14ac:dyDescent="0.2">
      <c r="A271" s="16">
        <f>DATE(2018,5,7)</f>
        <v>43227</v>
      </c>
      <c r="B271" s="2">
        <v>7.0542988770309956</v>
      </c>
      <c r="C271" s="2">
        <v>8.9307548664293126</v>
      </c>
      <c r="D271" s="2">
        <v>10.093938446598848</v>
      </c>
      <c r="E271" s="2">
        <v>6.1963166083155885</v>
      </c>
      <c r="F271" s="2">
        <v>7.0576394083577956</v>
      </c>
      <c r="G271" s="2">
        <v>7.0903565240725941</v>
      </c>
      <c r="H271" s="2">
        <v>7.8321135882744466</v>
      </c>
    </row>
    <row r="272" spans="1:8" x14ac:dyDescent="0.2">
      <c r="A272" s="16">
        <f>DATE(2018,5,8)</f>
        <v>43228</v>
      </c>
      <c r="B272" s="2">
        <v>6.7079834293992002</v>
      </c>
      <c r="C272" s="2">
        <v>8.9575332511063532</v>
      </c>
      <c r="D272" s="2">
        <v>10.12535103810699</v>
      </c>
      <c r="E272" s="2">
        <v>6.2345499869929322</v>
      </c>
      <c r="F272" s="2">
        <v>7.0993989843894054</v>
      </c>
      <c r="G272" s="2">
        <v>7.1322505530142966</v>
      </c>
      <c r="H272" s="2">
        <v>7.8770659014524513</v>
      </c>
    </row>
    <row r="273" spans="1:8" x14ac:dyDescent="0.2">
      <c r="A273" s="16">
        <f>DATE(2018,5,9)</f>
        <v>43229</v>
      </c>
      <c r="B273" s="2">
        <v>6.6552119041737301</v>
      </c>
      <c r="C273" s="2">
        <v>8.9843182186982951</v>
      </c>
      <c r="D273" s="2">
        <v>10.156772592423824</v>
      </c>
      <c r="E273" s="2">
        <v>6.2727971306603569</v>
      </c>
      <c r="F273" s="2">
        <v>7.1411748494238259</v>
      </c>
      <c r="G273" s="2">
        <v>7.1741609710102239</v>
      </c>
      <c r="H273" s="2">
        <v>7.9220369540429658</v>
      </c>
    </row>
    <row r="274" spans="1:8" x14ac:dyDescent="0.2">
      <c r="A274" s="16">
        <f>DATE(2018,5,10)</f>
        <v>43230</v>
      </c>
      <c r="B274" s="2">
        <v>7.2018577540110984</v>
      </c>
      <c r="C274" s="2">
        <v>9.0111097708233778</v>
      </c>
      <c r="D274" s="2">
        <v>10.188203112106642</v>
      </c>
      <c r="E274" s="2">
        <v>6.3110580442736097</v>
      </c>
      <c r="F274" s="2">
        <v>7.1829670098148668</v>
      </c>
      <c r="G274" s="2">
        <v>7.2160877844718252</v>
      </c>
      <c r="H274" s="2">
        <v>7.9670267538579642</v>
      </c>
    </row>
    <row r="275" spans="1:8" x14ac:dyDescent="0.2">
      <c r="A275" s="16">
        <f>DATE(2018,5,11)</f>
        <v>43231</v>
      </c>
      <c r="B275" s="2">
        <v>7.093001240543173</v>
      </c>
      <c r="C275" s="2">
        <v>9.0379079091002854</v>
      </c>
      <c r="D275" s="2">
        <v>10.219642599713485</v>
      </c>
      <c r="E275" s="2">
        <v>6.349332732790236</v>
      </c>
      <c r="F275" s="2">
        <v>7.2247754719187762</v>
      </c>
      <c r="G275" s="2">
        <v>7.2580309998130588</v>
      </c>
      <c r="H275" s="2">
        <v>8.0120353087126617</v>
      </c>
    </row>
    <row r="276" spans="1:8" x14ac:dyDescent="0.2">
      <c r="A276" s="16">
        <f>DATE(2018,5,14)</f>
        <v>43234</v>
      </c>
      <c r="B276" s="2">
        <v>7.0565729216570672</v>
      </c>
      <c r="C276" s="2">
        <v>9.0647126351480765</v>
      </c>
      <c r="D276" s="2">
        <v>10.25109105780313</v>
      </c>
      <c r="E276" s="2">
        <v>6.3876212011695346</v>
      </c>
      <c r="F276" s="2">
        <v>7.2666002420943121</v>
      </c>
      <c r="G276" s="2">
        <v>7.2999906234503698</v>
      </c>
      <c r="H276" s="2">
        <v>8.0570626264255374</v>
      </c>
    </row>
    <row r="277" spans="1:8" x14ac:dyDescent="0.2">
      <c r="A277" s="16">
        <f>DATE(2018,5,15)</f>
        <v>43235</v>
      </c>
      <c r="B277" s="2">
        <v>6.8978370012573231</v>
      </c>
      <c r="C277" s="2">
        <v>9.0915239505862111</v>
      </c>
      <c r="D277" s="2">
        <v>10.282548488935085</v>
      </c>
      <c r="E277" s="2">
        <v>6.4259234543726063</v>
      </c>
      <c r="F277" s="2">
        <v>7.3084413267027193</v>
      </c>
      <c r="G277" s="2">
        <v>7.3419666618027346</v>
      </c>
      <c r="H277" s="2">
        <v>8.1021087148183124</v>
      </c>
    </row>
    <row r="278" spans="1:8" x14ac:dyDescent="0.2">
      <c r="A278" s="16">
        <f>DATE(2018,5,16)</f>
        <v>43236</v>
      </c>
      <c r="B278" s="2">
        <v>6.8914529442033912</v>
      </c>
      <c r="C278" s="2">
        <v>9.1183418570345722</v>
      </c>
      <c r="D278" s="2">
        <v>10.314014895669565</v>
      </c>
      <c r="E278" s="2">
        <v>6.4642394973623452</v>
      </c>
      <c r="F278" s="2">
        <v>7.3502987321076851</v>
      </c>
      <c r="G278" s="2">
        <v>7.3839591212916167</v>
      </c>
      <c r="H278" s="2">
        <v>8.1471735817159932</v>
      </c>
    </row>
    <row r="279" spans="1:8" x14ac:dyDescent="0.2">
      <c r="A279" s="16">
        <f>DATE(2018,5,17)</f>
        <v>43237</v>
      </c>
      <c r="B279" s="2">
        <v>6.7270914886584654</v>
      </c>
      <c r="C279" s="2">
        <v>9.1451663561134211</v>
      </c>
      <c r="D279" s="2">
        <v>10.345490280567571</v>
      </c>
      <c r="E279" s="2">
        <v>6.5025693351034466</v>
      </c>
      <c r="F279" s="2">
        <v>7.3921724646754496</v>
      </c>
      <c r="G279" s="2">
        <v>7.4259680083410551</v>
      </c>
      <c r="H279" s="2">
        <v>8.1922572349468314</v>
      </c>
    </row>
    <row r="280" spans="1:8" x14ac:dyDescent="0.2">
      <c r="A280" s="16">
        <f>DATE(2018,5,18)</f>
        <v>43238</v>
      </c>
      <c r="B280" s="2">
        <v>6.24921305253332</v>
      </c>
      <c r="C280" s="2">
        <v>9.1719974494434133</v>
      </c>
      <c r="D280" s="2">
        <v>10.376974646190783</v>
      </c>
      <c r="E280" s="2">
        <v>6.5409129725623183</v>
      </c>
      <c r="F280" s="2">
        <v>7.4340625307745878</v>
      </c>
      <c r="G280" s="2">
        <v>7.4679933293774647</v>
      </c>
      <c r="H280" s="2">
        <v>8.2373596823422925</v>
      </c>
    </row>
    <row r="281" spans="1:8" x14ac:dyDescent="0.2">
      <c r="A281" s="16">
        <f>DATE(2018,5,21)</f>
        <v>43241</v>
      </c>
      <c r="B281" s="2">
        <v>6.529093946948894</v>
      </c>
      <c r="C281" s="2">
        <v>9.1988351386456113</v>
      </c>
      <c r="D281" s="2">
        <v>10.408467995101622</v>
      </c>
      <c r="E281" s="2">
        <v>6.5792704147072723</v>
      </c>
      <c r="F281" s="2">
        <v>7.475968936776356</v>
      </c>
      <c r="G281" s="2">
        <v>7.5100350908299474</v>
      </c>
      <c r="H281" s="2">
        <v>8.2824809317372239</v>
      </c>
    </row>
    <row r="282" spans="1:8" x14ac:dyDescent="0.2">
      <c r="A282" s="16">
        <f>DATE(2018,5,22)</f>
        <v>43242</v>
      </c>
      <c r="B282" s="2">
        <v>6.9447664880922364</v>
      </c>
      <c r="C282" s="2">
        <v>9.2256794253414718</v>
      </c>
      <c r="D282" s="2">
        <v>10.439970329863257</v>
      </c>
      <c r="E282" s="2">
        <v>6.6176416665083124</v>
      </c>
      <c r="F282" s="2">
        <v>7.5178916890543679</v>
      </c>
      <c r="G282" s="2">
        <v>7.5520932991300249</v>
      </c>
      <c r="H282" s="2">
        <v>8.3276209909696632</v>
      </c>
    </row>
    <row r="283" spans="1:8" x14ac:dyDescent="0.2">
      <c r="A283" s="16">
        <f>DATE(2018,5,23)</f>
        <v>43243</v>
      </c>
      <c r="B283" s="2">
        <v>6.7714863157195326</v>
      </c>
      <c r="C283" s="2">
        <v>9.2525303111528512</v>
      </c>
      <c r="D283" s="2">
        <v>10.471481653039595</v>
      </c>
      <c r="E283" s="2">
        <v>6.6560267329372591</v>
      </c>
      <c r="F283" s="2">
        <v>7.5598307939847453</v>
      </c>
      <c r="G283" s="2">
        <v>7.5941679607117294</v>
      </c>
      <c r="H283" s="2">
        <v>8.3727798678809204</v>
      </c>
    </row>
    <row r="284" spans="1:8" x14ac:dyDescent="0.2">
      <c r="A284" s="16">
        <f>DATE(2018,5,24)</f>
        <v>43244</v>
      </c>
      <c r="B284" s="2">
        <v>6.5432939232693776</v>
      </c>
      <c r="C284" s="2">
        <v>9.2793877977020092</v>
      </c>
      <c r="D284" s="2">
        <v>10.503001967195248</v>
      </c>
      <c r="E284" s="2">
        <v>6.6944256189677587</v>
      </c>
      <c r="F284" s="2">
        <v>7.6017862579461193</v>
      </c>
      <c r="G284" s="2">
        <v>7.6362590820116196</v>
      </c>
      <c r="H284" s="2">
        <v>8.4179575703155827</v>
      </c>
    </row>
    <row r="285" spans="1:8" x14ac:dyDescent="0.2">
      <c r="A285" s="16">
        <f>DATE(2018,5,25)</f>
        <v>43245</v>
      </c>
      <c r="B285" s="2">
        <v>6.0818824096237734</v>
      </c>
      <c r="C285" s="2">
        <v>9.3062518866116051</v>
      </c>
      <c r="D285" s="2">
        <v>10.534531274895564</v>
      </c>
      <c r="E285" s="2">
        <v>6.7328383295752081</v>
      </c>
      <c r="F285" s="2">
        <v>7.6437580873195854</v>
      </c>
      <c r="G285" s="2">
        <v>7.6783666694687946</v>
      </c>
      <c r="H285" s="2">
        <v>8.4631541061214843</v>
      </c>
    </row>
    <row r="286" spans="1:8" x14ac:dyDescent="0.2">
      <c r="A286" s="16">
        <f>DATE(2018,5,28)</f>
        <v>43248</v>
      </c>
      <c r="B286" s="2">
        <v>5.5759199026417239</v>
      </c>
      <c r="C286" s="2">
        <v>9.3331225795046926</v>
      </c>
      <c r="D286" s="2">
        <v>10.566069578706626</v>
      </c>
      <c r="E286" s="2">
        <v>6.7712648697368039</v>
      </c>
      <c r="F286" s="2">
        <v>7.6857462884887484</v>
      </c>
      <c r="G286" s="2">
        <v>7.7204907295248537</v>
      </c>
      <c r="H286" s="2">
        <v>8.5083694831497692</v>
      </c>
    </row>
    <row r="287" spans="1:8" x14ac:dyDescent="0.2">
      <c r="A287" s="16">
        <f>DATE(2018,5,29)</f>
        <v>43249</v>
      </c>
      <c r="B287" s="2">
        <v>5.2884948588412861</v>
      </c>
      <c r="C287" s="2">
        <v>9.3599998780047322</v>
      </c>
      <c r="D287" s="2">
        <v>10.597616881195249</v>
      </c>
      <c r="E287" s="2">
        <v>6.8097052444315187</v>
      </c>
      <c r="F287" s="2">
        <v>7.7277508678397</v>
      </c>
      <c r="G287" s="2">
        <v>7.7626312686239318</v>
      </c>
      <c r="H287" s="2">
        <v>8.5536037092548423</v>
      </c>
    </row>
    <row r="288" spans="1:8" x14ac:dyDescent="0.2">
      <c r="A288" s="16">
        <f>DATE(2018,5,30)</f>
        <v>43250</v>
      </c>
      <c r="B288" s="2">
        <v>5.4566403043626588</v>
      </c>
      <c r="C288" s="2">
        <v>9.3868837837355787</v>
      </c>
      <c r="D288" s="2">
        <v>10.629173184928996</v>
      </c>
      <c r="E288" s="2">
        <v>6.8481594586401684</v>
      </c>
      <c r="F288" s="2">
        <v>7.7697718317609974</v>
      </c>
      <c r="G288" s="2">
        <v>7.80478829321265</v>
      </c>
      <c r="H288" s="2">
        <v>8.5988567922943737</v>
      </c>
    </row>
    <row r="289" spans="1:8" x14ac:dyDescent="0.2">
      <c r="A289" s="16">
        <f>DATE(2018,6,1)</f>
        <v>43252</v>
      </c>
      <c r="B289" s="2">
        <v>5.2950224063364804</v>
      </c>
      <c r="C289" s="2">
        <v>9.4137742983214654</v>
      </c>
      <c r="D289" s="2">
        <v>10.660738492476153</v>
      </c>
      <c r="E289" s="2">
        <v>6.9370692289473457</v>
      </c>
      <c r="F289" s="2">
        <v>7.8626875080259229</v>
      </c>
      <c r="G289" s="2">
        <v>7.8978567202740768</v>
      </c>
      <c r="H289" s="2">
        <v>8.6953998479979866</v>
      </c>
    </row>
    <row r="290" spans="1:8" x14ac:dyDescent="0.2">
      <c r="A290" s="16">
        <f>DATE(2018,6,4)</f>
        <v>43255</v>
      </c>
      <c r="B290" s="2">
        <v>5.4946373844690477</v>
      </c>
      <c r="C290" s="2">
        <v>9.4406714233870481</v>
      </c>
      <c r="D290" s="2">
        <v>10.692312806405724</v>
      </c>
      <c r="E290" s="2">
        <v>7.0260529822533391</v>
      </c>
      <c r="F290" s="2">
        <v>7.9556832932374366</v>
      </c>
      <c r="G290" s="2">
        <v>7.9910054937862851</v>
      </c>
      <c r="H290" s="2">
        <v>8.792028729297563</v>
      </c>
    </row>
    <row r="291" spans="1:8" x14ac:dyDescent="0.2">
      <c r="A291" s="16">
        <f>DATE(2018,6,5)</f>
        <v>43256</v>
      </c>
      <c r="B291" s="2">
        <v>4.9518850438141859</v>
      </c>
      <c r="C291" s="2">
        <v>9.4675751605573844</v>
      </c>
      <c r="D291" s="2">
        <v>10.723896129287459</v>
      </c>
      <c r="E291" s="2">
        <v>7.1151107801203928</v>
      </c>
      <c r="F291" s="2">
        <v>8.0487592564629349</v>
      </c>
      <c r="G291" s="2">
        <v>8.0842346831127685</v>
      </c>
      <c r="H291" s="2">
        <v>8.8887435124910041</v>
      </c>
    </row>
    <row r="292" spans="1:8" x14ac:dyDescent="0.2">
      <c r="A292" s="16">
        <f>DATE(2018,6,6)</f>
        <v>43257</v>
      </c>
      <c r="B292" s="2">
        <v>4.7428012176566892</v>
      </c>
      <c r="C292" s="2">
        <v>9.4944855114579294</v>
      </c>
      <c r="D292" s="2">
        <v>10.755488463691854</v>
      </c>
      <c r="E292" s="2">
        <v>7.2042426841619767</v>
      </c>
      <c r="F292" s="2">
        <v>8.1419154668293405</v>
      </c>
      <c r="G292" s="2">
        <v>8.1775443576769025</v>
      </c>
      <c r="H292" s="2">
        <v>8.9855442739440452</v>
      </c>
    </row>
    <row r="293" spans="1:8" x14ac:dyDescent="0.2">
      <c r="A293" s="16">
        <f>DATE(2018,6,7)</f>
        <v>43258</v>
      </c>
      <c r="B293" s="2">
        <v>4.4532740135396987</v>
      </c>
      <c r="C293" s="2">
        <v>9.5214024777145134</v>
      </c>
      <c r="D293" s="2">
        <v>10.78708981219012</v>
      </c>
      <c r="E293" s="2">
        <v>7.2934487560428094</v>
      </c>
      <c r="F293" s="2">
        <v>8.2351519935232265</v>
      </c>
      <c r="G293" s="2">
        <v>8.2709345869620208</v>
      </c>
      <c r="H293" s="2">
        <v>9.0824310900903047</v>
      </c>
    </row>
    <row r="294" spans="1:8" x14ac:dyDescent="0.2">
      <c r="A294" s="16">
        <f>DATE(2018,6,8)</f>
        <v>43259</v>
      </c>
      <c r="B294" s="2">
        <v>4.6314191710154162</v>
      </c>
      <c r="C294" s="2">
        <v>9.5483260609533946</v>
      </c>
      <c r="D294" s="2">
        <v>10.8187001773542</v>
      </c>
      <c r="E294" s="2">
        <v>7.3827290574789428</v>
      </c>
      <c r="F294" s="2">
        <v>8.3284689057907535</v>
      </c>
      <c r="G294" s="2">
        <v>8.3644054405114243</v>
      </c>
      <c r="H294" s="2">
        <v>9.1794040374313379</v>
      </c>
    </row>
    <row r="295" spans="1:8" x14ac:dyDescent="0.2">
      <c r="A295" s="16">
        <f>DATE(2018,6,11)</f>
        <v>43262</v>
      </c>
      <c r="B295" s="2">
        <v>4.4640575990708253</v>
      </c>
      <c r="C295" s="2">
        <v>9.5752562628012239</v>
      </c>
      <c r="D295" s="2">
        <v>10.850319561756795</v>
      </c>
      <c r="E295" s="2">
        <v>7.4720836502377708</v>
      </c>
      <c r="F295" s="2">
        <v>8.4218662729378178</v>
      </c>
      <c r="G295" s="2">
        <v>8.4579569879284602</v>
      </c>
      <c r="H295" s="2">
        <v>9.2764631925367436</v>
      </c>
    </row>
    <row r="296" spans="1:8" x14ac:dyDescent="0.2">
      <c r="A296" s="16">
        <f>DATE(2018,6,12)</f>
        <v>43263</v>
      </c>
      <c r="B296" s="2">
        <v>4.4052381799100981</v>
      </c>
      <c r="C296" s="2">
        <v>9.6021930848850587</v>
      </c>
      <c r="D296" s="2">
        <v>10.881947967971284</v>
      </c>
      <c r="E296" s="2">
        <v>7.5615125961380869</v>
      </c>
      <c r="F296" s="2">
        <v>8.5153441643300418</v>
      </c>
      <c r="G296" s="2">
        <v>8.5515892988765394</v>
      </c>
      <c r="H296" s="2">
        <v>9.3736086320441725</v>
      </c>
    </row>
    <row r="297" spans="1:8" x14ac:dyDescent="0.2">
      <c r="A297" s="16">
        <f>DATE(2018,6,13)</f>
        <v>43264</v>
      </c>
      <c r="B297" s="2">
        <v>4.3265861508165804</v>
      </c>
      <c r="C297" s="2">
        <v>9.6291365288323263</v>
      </c>
      <c r="D297" s="2">
        <v>10.913585398571858</v>
      </c>
      <c r="E297" s="2">
        <v>7.6510159570501326</v>
      </c>
      <c r="F297" s="2">
        <v>8.6089026493929133</v>
      </c>
      <c r="G297" s="2">
        <v>8.6453024430792382</v>
      </c>
      <c r="H297" s="2">
        <v>9.4708404326594007</v>
      </c>
    </row>
    <row r="298" spans="1:8" x14ac:dyDescent="0.2">
      <c r="A298" s="16">
        <f>DATE(2018,6,14)</f>
        <v>43265</v>
      </c>
      <c r="B298" s="2">
        <v>4.1156648357572045</v>
      </c>
      <c r="C298" s="2">
        <v>9.6560865962708853</v>
      </c>
      <c r="D298" s="2">
        <v>10.945231856133386</v>
      </c>
      <c r="E298" s="2">
        <v>7.7405937948956227</v>
      </c>
      <c r="F298" s="2">
        <v>8.7025417976116959</v>
      </c>
      <c r="G298" s="2">
        <v>8.7390964903203425</v>
      </c>
      <c r="H298" s="2">
        <v>9.5681586711563895</v>
      </c>
    </row>
    <row r="299" spans="1:8" x14ac:dyDescent="0.2">
      <c r="A299" s="16">
        <f>DATE(2018,6,15)</f>
        <v>43266</v>
      </c>
      <c r="B299" s="2">
        <v>4.22515412686022</v>
      </c>
      <c r="C299" s="2">
        <v>9.6830432888289852</v>
      </c>
      <c r="D299" s="2">
        <v>10.976887343231478</v>
      </c>
      <c r="E299" s="2">
        <v>7.8302461716478033</v>
      </c>
      <c r="F299" s="2">
        <v>8.796261678531625</v>
      </c>
      <c r="G299" s="2">
        <v>8.8329715104438424</v>
      </c>
      <c r="H299" s="2">
        <v>9.6655634243773658</v>
      </c>
    </row>
    <row r="300" spans="1:8" x14ac:dyDescent="0.2">
      <c r="A300" s="16">
        <f>DATE(2018,6,18)</f>
        <v>43269</v>
      </c>
      <c r="B300" s="2">
        <v>4.2483559734797893</v>
      </c>
      <c r="C300" s="2">
        <v>9.7100066081352807</v>
      </c>
      <c r="D300" s="2">
        <v>11.008551862442516</v>
      </c>
      <c r="E300" s="2">
        <v>7.9199731493314829</v>
      </c>
      <c r="F300" s="2">
        <v>8.8900623617578667</v>
      </c>
      <c r="G300" s="2">
        <v>8.9269275733540496</v>
      </c>
      <c r="H300" s="2">
        <v>9.7630547692328484</v>
      </c>
    </row>
    <row r="301" spans="1:8" x14ac:dyDescent="0.2">
      <c r="A301" s="16">
        <f>DATE(2018,6,19)</f>
        <v>43270</v>
      </c>
      <c r="B301" s="2">
        <v>4.5276912999984376</v>
      </c>
      <c r="C301" s="2">
        <v>9.7369765558188206</v>
      </c>
      <c r="D301" s="2">
        <v>11.040225416343574</v>
      </c>
      <c r="E301" s="2">
        <v>8.0097747900230711</v>
      </c>
      <c r="F301" s="2">
        <v>8.9839439169556279</v>
      </c>
      <c r="G301" s="2">
        <v>9.0209647490156133</v>
      </c>
      <c r="H301" s="2">
        <v>9.8606327827017495</v>
      </c>
    </row>
    <row r="302" spans="1:8" x14ac:dyDescent="0.2">
      <c r="A302" s="16">
        <f>DATE(2018,6,20)</f>
        <v>43271</v>
      </c>
      <c r="B302" s="2">
        <v>4.7082889778434556</v>
      </c>
      <c r="C302" s="2">
        <v>9.7639531335090624</v>
      </c>
      <c r="D302" s="2">
        <v>11.071908007512477</v>
      </c>
      <c r="E302" s="2">
        <v>8.0996511558506725</v>
      </c>
      <c r="F302" s="2">
        <v>9.0779064138501333</v>
      </c>
      <c r="G302" s="2">
        <v>9.1150831074535912</v>
      </c>
      <c r="H302" s="2">
        <v>9.9582975418313957</v>
      </c>
    </row>
    <row r="303" spans="1:8" x14ac:dyDescent="0.2">
      <c r="A303" s="16">
        <f>DATE(2018,6,21)</f>
        <v>43272</v>
      </c>
      <c r="B303" s="2">
        <v>4.3708846415389635</v>
      </c>
      <c r="C303" s="2">
        <v>9.7909363428358542</v>
      </c>
      <c r="D303" s="2">
        <v>11.103599638527784</v>
      </c>
      <c r="E303" s="2">
        <v>8.1896023089940364</v>
      </c>
      <c r="F303" s="2">
        <v>9.1719499222267409</v>
      </c>
      <c r="G303" s="2">
        <v>9.2092827187534745</v>
      </c>
      <c r="H303" s="2">
        <v>10.056049123737631</v>
      </c>
    </row>
    <row r="304" spans="1:8" x14ac:dyDescent="0.2">
      <c r="A304" s="16">
        <f>DATE(2018,6,22)</f>
        <v>43273</v>
      </c>
      <c r="B304" s="2">
        <v>4.3764280372796227</v>
      </c>
      <c r="C304" s="2">
        <v>9.8179261854294264</v>
      </c>
      <c r="D304" s="2">
        <v>11.135300311968811</v>
      </c>
      <c r="E304" s="2">
        <v>8.2796283116847178</v>
      </c>
      <c r="F304" s="2">
        <v>9.2660745119309773</v>
      </c>
      <c r="G304" s="2">
        <v>9.3035636530612855</v>
      </c>
      <c r="H304" s="2">
        <v>10.153887605604851</v>
      </c>
    </row>
    <row r="305" spans="1:8" x14ac:dyDescent="0.2">
      <c r="A305" s="16">
        <f>DATE(2018,6,25)</f>
        <v>43276</v>
      </c>
      <c r="B305" s="2">
        <v>4.5998137534632999</v>
      </c>
      <c r="C305" s="2">
        <v>9.8449226629204514</v>
      </c>
      <c r="D305" s="2">
        <v>11.167010030415581</v>
      </c>
      <c r="E305" s="2">
        <v>8.3697292262059797</v>
      </c>
      <c r="F305" s="2">
        <v>9.3602802528685913</v>
      </c>
      <c r="G305" s="2">
        <v>9.3979259805835991</v>
      </c>
      <c r="H305" s="2">
        <v>10.251813064686033</v>
      </c>
    </row>
    <row r="306" spans="1:8" x14ac:dyDescent="0.2">
      <c r="A306" s="16">
        <f>DATE(2018,6,26)</f>
        <v>43277</v>
      </c>
      <c r="B306" s="2">
        <v>4.619550534090755</v>
      </c>
      <c r="C306" s="2">
        <v>9.8719257769399835</v>
      </c>
      <c r="D306" s="2">
        <v>11.198728796448854</v>
      </c>
      <c r="E306" s="2">
        <v>8.4599051148929636</v>
      </c>
      <c r="F306" s="2">
        <v>9.4545672150056159</v>
      </c>
      <c r="G306" s="2">
        <v>9.4923697715876045</v>
      </c>
      <c r="H306" s="2">
        <v>10.349825578302886</v>
      </c>
    </row>
    <row r="307" spans="1:8" x14ac:dyDescent="0.2">
      <c r="A307" s="16">
        <f>DATE(2018,6,27)</f>
        <v>43278</v>
      </c>
      <c r="B307" s="2">
        <v>4.565088559638264</v>
      </c>
      <c r="C307" s="2">
        <v>9.8989355291194681</v>
      </c>
      <c r="D307" s="2">
        <v>11.230456612650142</v>
      </c>
      <c r="E307" s="2">
        <v>8.5501560401326735</v>
      </c>
      <c r="F307" s="2">
        <v>9.5489354683683914</v>
      </c>
      <c r="G307" s="2">
        <v>9.5868950964011379</v>
      </c>
      <c r="H307" s="2">
        <v>10.447925223845811</v>
      </c>
    </row>
    <row r="308" spans="1:8" x14ac:dyDescent="0.2">
      <c r="A308" s="16">
        <f>DATE(2018,6,28)</f>
        <v>43279</v>
      </c>
      <c r="B308" s="2">
        <v>4.8465853693767436</v>
      </c>
      <c r="C308" s="2">
        <v>9.9259519210907587</v>
      </c>
      <c r="D308" s="2">
        <v>11.26219348160169</v>
      </c>
      <c r="E308" s="2">
        <v>8.6404820643640079</v>
      </c>
      <c r="F308" s="2">
        <v>9.6433850830436096</v>
      </c>
      <c r="G308" s="2">
        <v>9.6815020254127369</v>
      </c>
      <c r="H308" s="2">
        <v>10.546112078774028</v>
      </c>
    </row>
    <row r="309" spans="1:8" x14ac:dyDescent="0.2">
      <c r="A309" s="16">
        <f>DATE(2018,6,29)</f>
        <v>43280</v>
      </c>
      <c r="B309" s="2">
        <v>5.082823874239617</v>
      </c>
      <c r="C309" s="2">
        <v>9.9529749544861055</v>
      </c>
      <c r="D309" s="2">
        <v>11.293939405886476</v>
      </c>
      <c r="E309" s="2">
        <v>8.7308832500778486</v>
      </c>
      <c r="F309" s="2">
        <v>9.7379161291784264</v>
      </c>
      <c r="G309" s="2">
        <v>9.7761906290717562</v>
      </c>
      <c r="H309" s="2">
        <v>10.644386220615608</v>
      </c>
    </row>
    <row r="310" spans="1:8" x14ac:dyDescent="0.2">
      <c r="A310" s="16">
        <f>DATE(2018,7,2)</f>
        <v>43283</v>
      </c>
      <c r="B310" s="2">
        <v>5.2121731550769379</v>
      </c>
      <c r="C310" s="2">
        <v>9.9800046309381774</v>
      </c>
      <c r="D310" s="2">
        <v>11.325694388088214</v>
      </c>
      <c r="E310" s="2">
        <v>8.7601501814830396</v>
      </c>
      <c r="F310" s="2">
        <v>9.7707504396432174</v>
      </c>
      <c r="G310" s="2">
        <v>9.8091611232776312</v>
      </c>
      <c r="H310" s="2">
        <v>10.680457512630648</v>
      </c>
    </row>
    <row r="311" spans="1:8" x14ac:dyDescent="0.2">
      <c r="A311" s="16">
        <f>DATE(2018,7,3)</f>
        <v>43284</v>
      </c>
      <c r="B311" s="2">
        <v>5.5638849587745565</v>
      </c>
      <c r="C311" s="2">
        <v>10.007040952080025</v>
      </c>
      <c r="D311" s="2">
        <v>11.357458430791366</v>
      </c>
      <c r="E311" s="2">
        <v>8.7894249906250046</v>
      </c>
      <c r="F311" s="2">
        <v>9.8035945743509387</v>
      </c>
      <c r="G311" s="2">
        <v>9.8421415199358098</v>
      </c>
      <c r="H311" s="2">
        <v>10.716540564285348</v>
      </c>
    </row>
    <row r="312" spans="1:8" x14ac:dyDescent="0.2">
      <c r="A312" s="16">
        <f>DATE(2018,7,4)</f>
        <v>43285</v>
      </c>
      <c r="B312" s="2">
        <v>5.8718935289161056</v>
      </c>
      <c r="C312" s="2">
        <v>10.034083919545123</v>
      </c>
      <c r="D312" s="2">
        <v>11.389231536581113</v>
      </c>
      <c r="E312" s="2">
        <v>8.8187076796241168</v>
      </c>
      <c r="F312" s="2">
        <v>9.8364485362410168</v>
      </c>
      <c r="G312" s="2">
        <v>9.8751318220203554</v>
      </c>
      <c r="H312" s="2">
        <v>10.7526353794134</v>
      </c>
    </row>
    <row r="313" spans="1:8" x14ac:dyDescent="0.2">
      <c r="A313" s="16">
        <f>DATE(2018,7,5)</f>
        <v>43286</v>
      </c>
      <c r="B313" s="2">
        <v>5.8684614200925189</v>
      </c>
      <c r="C313" s="2">
        <v>10.061133534967315</v>
      </c>
      <c r="D313" s="2">
        <v>11.421013708043382</v>
      </c>
      <c r="E313" s="2">
        <v>8.8479982506014299</v>
      </c>
      <c r="F313" s="2">
        <v>9.869312328253832</v>
      </c>
      <c r="G313" s="2">
        <v>9.9081320325063338</v>
      </c>
      <c r="H313" s="2">
        <v>10.788741961849867</v>
      </c>
    </row>
    <row r="314" spans="1:8" x14ac:dyDescent="0.2">
      <c r="A314" s="16">
        <f>DATE(2018,7,6)</f>
        <v>43287</v>
      </c>
      <c r="B314" s="2">
        <v>5.7242154990960303</v>
      </c>
      <c r="C314" s="2">
        <v>10.088189799980873</v>
      </c>
      <c r="D314" s="2">
        <v>11.452804947764861</v>
      </c>
      <c r="E314" s="2">
        <v>8.8772967056784946</v>
      </c>
      <c r="F314" s="2">
        <v>9.9021859533306102</v>
      </c>
      <c r="G314" s="2">
        <v>9.9411421543696523</v>
      </c>
      <c r="H314" s="2">
        <v>10.824860315431017</v>
      </c>
    </row>
    <row r="315" spans="1:8" x14ac:dyDescent="0.2">
      <c r="A315" s="16">
        <f>DATE(2018,7,9)</f>
        <v>43290</v>
      </c>
      <c r="B315" s="2">
        <v>5.7298111192729095</v>
      </c>
      <c r="C315" s="2">
        <v>10.11525271622047</v>
      </c>
      <c r="D315" s="2">
        <v>11.484605258332925</v>
      </c>
      <c r="E315" s="2">
        <v>8.9066030469775015</v>
      </c>
      <c r="F315" s="2">
        <v>9.9350694144134888</v>
      </c>
      <c r="G315" s="2">
        <v>9.9741621905871316</v>
      </c>
      <c r="H315" s="2">
        <v>10.860990443994378</v>
      </c>
    </row>
    <row r="316" spans="1:8" x14ac:dyDescent="0.2">
      <c r="A316" s="16">
        <f>DATE(2018,7,10)</f>
        <v>43291</v>
      </c>
      <c r="B316" s="2">
        <v>5.5294573935326996</v>
      </c>
      <c r="C316" s="2">
        <v>10.142322285321169</v>
      </c>
      <c r="D316" s="2">
        <v>11.516414642335725</v>
      </c>
      <c r="E316" s="2">
        <v>8.9359172766211525</v>
      </c>
      <c r="F316" s="2">
        <v>9.9679627144454663</v>
      </c>
      <c r="G316" s="2">
        <v>10.007192144136479</v>
      </c>
      <c r="H316" s="2">
        <v>10.897132351378724</v>
      </c>
    </row>
    <row r="317" spans="1:8" x14ac:dyDescent="0.2">
      <c r="A317" s="16">
        <f>DATE(2018,7,11)</f>
        <v>43292</v>
      </c>
      <c r="B317" s="2">
        <v>5.7456128139822482</v>
      </c>
      <c r="C317" s="2">
        <v>10.169398508918427</v>
      </c>
      <c r="D317" s="2">
        <v>11.548233102362149</v>
      </c>
      <c r="E317" s="2">
        <v>8.9652393967327271</v>
      </c>
      <c r="F317" s="2">
        <v>10.00086585637041</v>
      </c>
      <c r="G317" s="2">
        <v>10.040232017996265</v>
      </c>
      <c r="H317" s="2">
        <v>10.933286041424074</v>
      </c>
    </row>
    <row r="318" spans="1:8" x14ac:dyDescent="0.2">
      <c r="A318" s="16">
        <f>DATE(2018,7,12)</f>
        <v>43293</v>
      </c>
      <c r="B318" s="2">
        <v>5.7984634364121046</v>
      </c>
      <c r="C318" s="2">
        <v>10.196481388648126</v>
      </c>
      <c r="D318" s="2">
        <v>11.580060641001809</v>
      </c>
      <c r="E318" s="2">
        <v>8.9945694094361048</v>
      </c>
      <c r="F318" s="2">
        <v>10.03377884313308</v>
      </c>
      <c r="G318" s="2">
        <v>10.073281815146018</v>
      </c>
      <c r="H318" s="2">
        <v>10.969451517971708</v>
      </c>
    </row>
    <row r="319" spans="1:8" x14ac:dyDescent="0.2">
      <c r="A319" s="16">
        <f>DATE(2018,7,13)</f>
        <v>43294</v>
      </c>
      <c r="B319" s="2">
        <v>5.557699658798354</v>
      </c>
      <c r="C319" s="2">
        <v>10.223570926146541</v>
      </c>
      <c r="D319" s="2">
        <v>11.611897260845083</v>
      </c>
      <c r="E319" s="2">
        <v>9.0239073168557393</v>
      </c>
      <c r="F319" s="2">
        <v>10.066701677679134</v>
      </c>
      <c r="G319" s="2">
        <v>10.10634153856611</v>
      </c>
      <c r="H319" s="2">
        <v>11.005628784864152</v>
      </c>
    </row>
    <row r="320" spans="1:8" x14ac:dyDescent="0.2">
      <c r="A320" s="16">
        <f>DATE(2018,7,16)</f>
        <v>43297</v>
      </c>
      <c r="B320" s="2">
        <v>5.5547710341026679</v>
      </c>
      <c r="C320" s="2">
        <v>10.25066712305034</v>
      </c>
      <c r="D320" s="2">
        <v>11.643742964483049</v>
      </c>
      <c r="E320" s="2">
        <v>9.0532531211166223</v>
      </c>
      <c r="F320" s="2">
        <v>10.099634362955069</v>
      </c>
      <c r="G320" s="2">
        <v>10.139411191237825</v>
      </c>
      <c r="H320" s="2">
        <v>11.041817845945202</v>
      </c>
    </row>
    <row r="321" spans="1:8" x14ac:dyDescent="0.2">
      <c r="A321" s="16">
        <f>DATE(2018,7,17)</f>
        <v>43298</v>
      </c>
      <c r="B321" s="2">
        <v>5.3977392528307355</v>
      </c>
      <c r="C321" s="2">
        <v>10.277769980996609</v>
      </c>
      <c r="D321" s="2">
        <v>11.67559775450755</v>
      </c>
      <c r="E321" s="2">
        <v>9.0826068243443192</v>
      </c>
      <c r="F321" s="2">
        <v>10.132576901908319</v>
      </c>
      <c r="G321" s="2">
        <v>10.17249077614335</v>
      </c>
      <c r="H321" s="2">
        <v>11.07801870505989</v>
      </c>
    </row>
    <row r="322" spans="1:8" x14ac:dyDescent="0.2">
      <c r="A322" s="16">
        <f>DATE(2018,7,18)</f>
        <v>43299</v>
      </c>
      <c r="B322" s="2">
        <v>5.4980928168272936</v>
      </c>
      <c r="C322" s="2">
        <v>10.304879501622821</v>
      </c>
      <c r="D322" s="2">
        <v>11.707461633511151</v>
      </c>
      <c r="E322" s="2">
        <v>9.1119684286650173</v>
      </c>
      <c r="F322" s="2">
        <v>10.165529297487153</v>
      </c>
      <c r="G322" s="2">
        <v>10.20558029626577</v>
      </c>
      <c r="H322" s="2">
        <v>11.114231366054494</v>
      </c>
    </row>
    <row r="323" spans="1:8" x14ac:dyDescent="0.2">
      <c r="A323" s="16">
        <f>DATE(2018,7,19)</f>
        <v>43300</v>
      </c>
      <c r="B323" s="2">
        <v>5.5068183539443316</v>
      </c>
      <c r="C323" s="2">
        <v>10.331995686566865</v>
      </c>
      <c r="D323" s="2">
        <v>11.739334604087182</v>
      </c>
      <c r="E323" s="2">
        <v>9.1413379362054172</v>
      </c>
      <c r="F323" s="2">
        <v>10.19849155264072</v>
      </c>
      <c r="G323" s="2">
        <v>10.238679754589031</v>
      </c>
      <c r="H323" s="2">
        <v>11.150455832776561</v>
      </c>
    </row>
    <row r="324" spans="1:8" x14ac:dyDescent="0.2">
      <c r="A324" s="16">
        <f>DATE(2018,7,20)</f>
        <v>43301</v>
      </c>
      <c r="B324" s="2">
        <v>5.6101634147734059</v>
      </c>
      <c r="C324" s="2">
        <v>10.359118537467028</v>
      </c>
      <c r="D324" s="2">
        <v>11.771216668829698</v>
      </c>
      <c r="E324" s="2">
        <v>9.1707153490928164</v>
      </c>
      <c r="F324" s="2">
        <v>10.231463670319085</v>
      </c>
      <c r="G324" s="2">
        <v>10.271789154098011</v>
      </c>
      <c r="H324" s="2">
        <v>11.186692109074903</v>
      </c>
    </row>
    <row r="325" spans="1:8" x14ac:dyDescent="0.2">
      <c r="A325" s="16">
        <f>DATE(2018,7,23)</f>
        <v>43304</v>
      </c>
      <c r="B325" s="2">
        <v>5.4939990294670116</v>
      </c>
      <c r="C325" s="2">
        <v>10.386248055961977</v>
      </c>
      <c r="D325" s="2">
        <v>11.803107830333492</v>
      </c>
      <c r="E325" s="2">
        <v>9.2001006694551144</v>
      </c>
      <c r="F325" s="2">
        <v>10.264445653473198</v>
      </c>
      <c r="G325" s="2">
        <v>10.304908497778476</v>
      </c>
      <c r="H325" s="2">
        <v>11.222940198799547</v>
      </c>
    </row>
    <row r="326" spans="1:8" x14ac:dyDescent="0.2">
      <c r="A326" s="16">
        <f>DATE(2018,7,24)</f>
        <v>43305</v>
      </c>
      <c r="B326" s="2">
        <v>5.5767362263536846</v>
      </c>
      <c r="C326" s="2">
        <v>10.413384243690826</v>
      </c>
      <c r="D326" s="2">
        <v>11.835008091194087</v>
      </c>
      <c r="E326" s="2">
        <v>9.2294938994207154</v>
      </c>
      <c r="F326" s="2">
        <v>10.297437505054852</v>
      </c>
      <c r="G326" s="2">
        <v>10.338037788617106</v>
      </c>
      <c r="H326" s="2">
        <v>11.259200105801813</v>
      </c>
    </row>
    <row r="327" spans="1:8" x14ac:dyDescent="0.2">
      <c r="A327" s="16">
        <f>DATE(2018,7,25)</f>
        <v>43306</v>
      </c>
      <c r="B327" s="2">
        <v>5.7849727997642209</v>
      </c>
      <c r="C327" s="2">
        <v>10.440527102293062</v>
      </c>
      <c r="D327" s="2">
        <v>11.866917454007787</v>
      </c>
      <c r="E327" s="2">
        <v>9.258895041118631</v>
      </c>
      <c r="F327" s="2">
        <v>10.330439228016729</v>
      </c>
      <c r="G327" s="2">
        <v>10.371177029601396</v>
      </c>
      <c r="H327" s="2">
        <v>11.295471833934245</v>
      </c>
    </row>
    <row r="328" spans="1:8" x14ac:dyDescent="0.2">
      <c r="A328" s="16">
        <f>DATE(2018,7,26)</f>
        <v>43307</v>
      </c>
      <c r="B328" s="2">
        <v>5.5497443053573514</v>
      </c>
      <c r="C328" s="2">
        <v>10.467676633408596</v>
      </c>
      <c r="D328" s="2">
        <v>11.898835921371598</v>
      </c>
      <c r="E328" s="2">
        <v>9.2883040966785355</v>
      </c>
      <c r="F328" s="2">
        <v>10.363450825312492</v>
      </c>
      <c r="G328" s="2">
        <v>10.404326223719895</v>
      </c>
      <c r="H328" s="2">
        <v>11.331755387050736</v>
      </c>
    </row>
    <row r="329" spans="1:8" x14ac:dyDescent="0.2">
      <c r="A329" s="16">
        <f>DATE(2018,7,27)</f>
        <v>43308</v>
      </c>
      <c r="B329" s="2">
        <v>5.6733088425739764</v>
      </c>
      <c r="C329" s="2">
        <v>10.494832838677738</v>
      </c>
      <c r="D329" s="2">
        <v>11.930763495883291</v>
      </c>
      <c r="E329" s="2">
        <v>9.3177210682305223</v>
      </c>
      <c r="F329" s="2">
        <v>10.396472299896553</v>
      </c>
      <c r="G329" s="2">
        <v>10.43748537396192</v>
      </c>
      <c r="H329" s="2">
        <v>11.36805076900631</v>
      </c>
    </row>
    <row r="330" spans="1:8" x14ac:dyDescent="0.2">
      <c r="A330" s="16">
        <f>DATE(2018,7,30)</f>
        <v>43311</v>
      </c>
      <c r="B330" s="2">
        <v>5.7704828003609432</v>
      </c>
      <c r="C330" s="2">
        <v>10.521995719741106</v>
      </c>
      <c r="D330" s="2">
        <v>11.962700180141317</v>
      </c>
      <c r="E330" s="2">
        <v>9.3471459579052905</v>
      </c>
      <c r="F330" s="2">
        <v>10.429503654724193</v>
      </c>
      <c r="G330" s="2">
        <v>10.470654483317654</v>
      </c>
      <c r="H330" s="2">
        <v>11.404357983657244</v>
      </c>
    </row>
    <row r="331" spans="1:8" x14ac:dyDescent="0.2">
      <c r="A331" s="16">
        <f>DATE(2018,7,31)</f>
        <v>43312</v>
      </c>
      <c r="B331" s="2">
        <v>5.4602301005616916</v>
      </c>
      <c r="C331" s="2">
        <v>10.549165278239903</v>
      </c>
      <c r="D331" s="2">
        <v>11.994645976744978</v>
      </c>
      <c r="E331" s="2">
        <v>9.3765787678342196</v>
      </c>
      <c r="F331" s="2">
        <v>10.462544892751735</v>
      </c>
      <c r="G331" s="2">
        <v>10.50383355477833</v>
      </c>
      <c r="H331" s="2">
        <v>11.440677034861203</v>
      </c>
    </row>
    <row r="332" spans="1:8" x14ac:dyDescent="0.2">
      <c r="A332" s="16">
        <f>DATE(2018,8,1)</f>
        <v>43313</v>
      </c>
      <c r="B332" s="2">
        <v>5.5096009530319456</v>
      </c>
      <c r="C332" s="2">
        <v>10.57634151581559</v>
      </c>
      <c r="D332" s="2">
        <v>12.026600888294213</v>
      </c>
      <c r="E332" s="2">
        <v>9.3936032173120196</v>
      </c>
      <c r="F332" s="2">
        <v>10.483056080114951</v>
      </c>
      <c r="G332" s="2">
        <v>10.524477953090795</v>
      </c>
      <c r="H332" s="2">
        <v>11.464356611068792</v>
      </c>
    </row>
    <row r="333" spans="1:8" x14ac:dyDescent="0.2">
      <c r="A333" s="16">
        <f>DATE(2018,8,2)</f>
        <v>43314</v>
      </c>
      <c r="B333" s="2">
        <v>5.5538979226542828</v>
      </c>
      <c r="C333" s="2">
        <v>10.603524434110101</v>
      </c>
      <c r="D333" s="2">
        <v>12.058564917389768</v>
      </c>
      <c r="E333" s="2">
        <v>9.4106303166430436</v>
      </c>
      <c r="F333" s="2">
        <v>10.503571076088658</v>
      </c>
      <c r="G333" s="2">
        <v>10.545126208203227</v>
      </c>
      <c r="H333" s="2">
        <v>11.48804121885323</v>
      </c>
    </row>
    <row r="334" spans="1:8" x14ac:dyDescent="0.2">
      <c r="A334" s="16">
        <f>DATE(2018,8,3)</f>
        <v>43315</v>
      </c>
      <c r="B334" s="2">
        <v>6.2086042435821387</v>
      </c>
      <c r="C334" s="2">
        <v>10.630714034765743</v>
      </c>
      <c r="D334" s="2">
        <v>12.090538066633115</v>
      </c>
      <c r="E334" s="2">
        <v>9.4276600662397403</v>
      </c>
      <c r="F334" s="2">
        <v>10.52408988138005</v>
      </c>
      <c r="G334" s="2">
        <v>10.565778320836161</v>
      </c>
      <c r="H334" s="2">
        <v>11.511730859283631</v>
      </c>
    </row>
    <row r="335" spans="1:8" x14ac:dyDescent="0.2">
      <c r="A335" s="16">
        <f>DATE(2018,8,6)</f>
        <v>43318</v>
      </c>
      <c r="B335" s="2">
        <v>6.1072695700311819</v>
      </c>
      <c r="C335" s="2">
        <v>10.657910319425268</v>
      </c>
      <c r="D335" s="2">
        <v>12.122520338626487</v>
      </c>
      <c r="E335" s="2">
        <v>9.4446924665146259</v>
      </c>
      <c r="F335" s="2">
        <v>10.54461249669647</v>
      </c>
      <c r="G335" s="2">
        <v>10.586434291710267</v>
      </c>
      <c r="H335" s="2">
        <v>11.53542553342939</v>
      </c>
    </row>
    <row r="336" spans="1:8" x14ac:dyDescent="0.2">
      <c r="A336" s="16">
        <f>DATE(2018,8,7)</f>
        <v>43319</v>
      </c>
      <c r="B336" s="2">
        <v>6.0411529267325736</v>
      </c>
      <c r="C336" s="2">
        <v>10.685113289731717</v>
      </c>
      <c r="D336" s="2">
        <v>12.154511735972751</v>
      </c>
      <c r="E336" s="2">
        <v>9.4617275178802807</v>
      </c>
      <c r="F336" s="2">
        <v>10.565138922745376</v>
      </c>
      <c r="G336" s="2">
        <v>10.607094121546323</v>
      </c>
      <c r="H336" s="2">
        <v>11.55912524236007</v>
      </c>
    </row>
    <row r="337" spans="1:8" x14ac:dyDescent="0.2">
      <c r="A337" s="16">
        <f>DATE(2018,8,8)</f>
        <v>43320</v>
      </c>
      <c r="B337" s="2">
        <v>5.7429752264360312</v>
      </c>
      <c r="C337" s="2">
        <v>10.712322947328712</v>
      </c>
      <c r="D337" s="2">
        <v>12.186512261275695</v>
      </c>
      <c r="E337" s="2">
        <v>9.4787652207493291</v>
      </c>
      <c r="F337" s="2">
        <v>10.585669160234357</v>
      </c>
      <c r="G337" s="2">
        <v>10.627757811065287</v>
      </c>
      <c r="H337" s="2">
        <v>11.582829987145526</v>
      </c>
    </row>
    <row r="338" spans="1:8" x14ac:dyDescent="0.2">
      <c r="A338" s="16">
        <f>DATE(2018,8,9)</f>
        <v>43321</v>
      </c>
      <c r="B338" s="2">
        <v>5.702275658513134</v>
      </c>
      <c r="C338" s="2">
        <v>10.739539293860156</v>
      </c>
      <c r="D338" s="2">
        <v>12.218521917139702</v>
      </c>
      <c r="E338" s="2">
        <v>9.4958055755344883</v>
      </c>
      <c r="F338" s="2">
        <v>10.606203209871135</v>
      </c>
      <c r="G338" s="2">
        <v>10.648425360988201</v>
      </c>
      <c r="H338" s="2">
        <v>11.606539768855773</v>
      </c>
    </row>
    <row r="339" spans="1:8" x14ac:dyDescent="0.2">
      <c r="A339" s="16">
        <f>DATE(2018,8,10)</f>
        <v>43322</v>
      </c>
      <c r="B339" s="2">
        <v>5.3084978319835274</v>
      </c>
      <c r="C339" s="2">
        <v>10.766762330970382</v>
      </c>
      <c r="D339" s="2">
        <v>12.250540706169977</v>
      </c>
      <c r="E339" s="2">
        <v>9.5128485826485356</v>
      </c>
      <c r="F339" s="2">
        <v>10.626741072363567</v>
      </c>
      <c r="G339" s="2">
        <v>10.669096772036291</v>
      </c>
      <c r="H339" s="2">
        <v>11.630254588561106</v>
      </c>
    </row>
    <row r="340" spans="1:8" x14ac:dyDescent="0.2">
      <c r="A340" s="16">
        <f>DATE(2018,8,13)</f>
        <v>43325</v>
      </c>
      <c r="B340" s="2">
        <v>5.312665646214576</v>
      </c>
      <c r="C340" s="2">
        <v>10.793992060304115</v>
      </c>
      <c r="D340" s="2">
        <v>12.282568630972435</v>
      </c>
      <c r="E340" s="2">
        <v>9.5298942425042998</v>
      </c>
      <c r="F340" s="2">
        <v>10.64728274841964</v>
      </c>
      <c r="G340" s="2">
        <v>10.689772044930891</v>
      </c>
      <c r="H340" s="2">
        <v>11.653974447332027</v>
      </c>
    </row>
    <row r="341" spans="1:8" x14ac:dyDescent="0.2">
      <c r="A341" s="16">
        <f>DATE(2018,8,14)</f>
        <v>43326</v>
      </c>
      <c r="B341" s="2">
        <v>5.5867039952062658</v>
      </c>
      <c r="C341" s="2">
        <v>10.821228483506506</v>
      </c>
      <c r="D341" s="2">
        <v>12.314605694153746</v>
      </c>
      <c r="E341" s="2">
        <v>9.5469425555146934</v>
      </c>
      <c r="F341" s="2">
        <v>10.667828238747502</v>
      </c>
      <c r="G341" s="2">
        <v>10.710451180393465</v>
      </c>
      <c r="H341" s="2">
        <v>11.677699346239256</v>
      </c>
    </row>
    <row r="342" spans="1:8" x14ac:dyDescent="0.2">
      <c r="A342" s="16">
        <f>DATE(2018,8,15)</f>
        <v>43327</v>
      </c>
      <c r="B342" s="2">
        <v>5.2938471030046896</v>
      </c>
      <c r="C342" s="2">
        <v>10.848471602223132</v>
      </c>
      <c r="D342" s="2">
        <v>12.346651898321316</v>
      </c>
      <c r="E342" s="2">
        <v>9.5639935220926517</v>
      </c>
      <c r="F342" s="2">
        <v>10.688377544055362</v>
      </c>
      <c r="G342" s="2">
        <v>10.731134179145618</v>
      </c>
      <c r="H342" s="2">
        <v>11.701429286353759</v>
      </c>
    </row>
    <row r="343" spans="1:8" x14ac:dyDescent="0.2">
      <c r="A343" s="16">
        <f>DATE(2018,8,16)</f>
        <v>43328</v>
      </c>
      <c r="B343" s="2">
        <v>5.1863763117135697</v>
      </c>
      <c r="C343" s="2">
        <v>10.875721418099914</v>
      </c>
      <c r="D343" s="2">
        <v>12.378707246083298</v>
      </c>
      <c r="E343" s="2">
        <v>9.5810471426512223</v>
      </c>
      <c r="F343" s="2">
        <v>10.70893066505163</v>
      </c>
      <c r="G343" s="2">
        <v>10.751821041909103</v>
      </c>
      <c r="H343" s="2">
        <v>11.725164268746724</v>
      </c>
    </row>
    <row r="344" spans="1:8" x14ac:dyDescent="0.2">
      <c r="A344" s="16">
        <f>DATE(2018,8,17)</f>
        <v>43329</v>
      </c>
      <c r="B344" s="2">
        <v>5.0330737608150544</v>
      </c>
      <c r="C344" s="2">
        <v>10.90297793278323</v>
      </c>
      <c r="D344" s="2">
        <v>12.41077174004861</v>
      </c>
      <c r="E344" s="2">
        <v>9.5981034176034985</v>
      </c>
      <c r="F344" s="2">
        <v>10.729487602444809</v>
      </c>
      <c r="G344" s="2">
        <v>10.77251176940579</v>
      </c>
      <c r="H344" s="2">
        <v>11.748904294489559</v>
      </c>
    </row>
    <row r="345" spans="1:8" x14ac:dyDescent="0.2">
      <c r="A345" s="16">
        <f>DATE(2018,8,20)</f>
        <v>43332</v>
      </c>
      <c r="B345" s="2">
        <v>4.907070900163224</v>
      </c>
      <c r="C345" s="2">
        <v>10.930241147919849</v>
      </c>
      <c r="D345" s="2">
        <v>12.442845382826873</v>
      </c>
      <c r="E345" s="2">
        <v>9.615162347362638</v>
      </c>
      <c r="F345" s="2">
        <v>10.750048356943553</v>
      </c>
      <c r="G345" s="2">
        <v>10.793206362357699</v>
      </c>
      <c r="H345" s="2">
        <v>11.772649364653921</v>
      </c>
    </row>
    <row r="346" spans="1:8" x14ac:dyDescent="0.2">
      <c r="A346" s="16">
        <f>DATE(2018,8,21)</f>
        <v>43333</v>
      </c>
      <c r="B346" s="2">
        <v>4.6596512956138758</v>
      </c>
      <c r="C346" s="2">
        <v>10.957511065156922</v>
      </c>
      <c r="D346" s="2">
        <v>12.474928177028488</v>
      </c>
      <c r="E346" s="2">
        <v>9.6322239323418426</v>
      </c>
      <c r="F346" s="2">
        <v>10.77061292925665</v>
      </c>
      <c r="G346" s="2">
        <v>10.813904821486965</v>
      </c>
      <c r="H346" s="2">
        <v>11.79639948031166</v>
      </c>
    </row>
    <row r="347" spans="1:8" x14ac:dyDescent="0.2">
      <c r="A347" s="16">
        <f>DATE(2018,8,22)</f>
        <v>43334</v>
      </c>
      <c r="B347" s="2">
        <v>4.9851271650570572</v>
      </c>
      <c r="C347" s="2">
        <v>10.984787686142038</v>
      </c>
      <c r="D347" s="2">
        <v>12.507020125264567</v>
      </c>
      <c r="E347" s="2">
        <v>9.6492881729544067</v>
      </c>
      <c r="F347" s="2">
        <v>10.79118132009298</v>
      </c>
      <c r="G347" s="2">
        <v>10.834607147515873</v>
      </c>
      <c r="H347" s="2">
        <v>11.820154642534876</v>
      </c>
    </row>
    <row r="348" spans="1:8" x14ac:dyDescent="0.2">
      <c r="A348" s="16">
        <f>DATE(2018,8,23)</f>
        <v>43335</v>
      </c>
      <c r="B348" s="2">
        <v>4.6629566460971272</v>
      </c>
      <c r="C348" s="2">
        <v>11.012071012523149</v>
      </c>
      <c r="D348" s="2">
        <v>12.539121230147019</v>
      </c>
      <c r="E348" s="2">
        <v>9.6663550696136866</v>
      </c>
      <c r="F348" s="2">
        <v>10.811753530161594</v>
      </c>
      <c r="G348" s="2">
        <v>10.85531334116685</v>
      </c>
      <c r="H348" s="2">
        <v>11.843914852395887</v>
      </c>
    </row>
    <row r="349" spans="1:8" x14ac:dyDescent="0.2">
      <c r="A349" s="16">
        <f>DATE(2018,8,24)</f>
        <v>43336</v>
      </c>
      <c r="B349" s="2">
        <v>4.7236110189929015</v>
      </c>
      <c r="C349" s="2">
        <v>11.03936104594867</v>
      </c>
      <c r="D349" s="2">
        <v>12.571231494288448</v>
      </c>
      <c r="E349" s="2">
        <v>9.6834246227330834</v>
      </c>
      <c r="F349" s="2">
        <v>10.832329560171683</v>
      </c>
      <c r="G349" s="2">
        <v>10.876023403162428</v>
      </c>
      <c r="H349" s="2">
        <v>11.86768011096726</v>
      </c>
    </row>
    <row r="350" spans="1:8" x14ac:dyDescent="0.2">
      <c r="A350" s="16">
        <f>DATE(2018,8,27)</f>
        <v>43339</v>
      </c>
      <c r="B350" s="2">
        <v>4.9476827513146304</v>
      </c>
      <c r="C350" s="2">
        <v>11.066657788067369</v>
      </c>
      <c r="D350" s="2">
        <v>12.603350920302224</v>
      </c>
      <c r="E350" s="2">
        <v>9.7004968327260919</v>
      </c>
      <c r="F350" s="2">
        <v>10.852909410832545</v>
      </c>
      <c r="G350" s="2">
        <v>10.896737334225316</v>
      </c>
      <c r="H350" s="2">
        <v>11.891450419321782</v>
      </c>
    </row>
    <row r="351" spans="1:8" x14ac:dyDescent="0.2">
      <c r="A351" s="16">
        <f>DATE(2018,8,28)</f>
        <v>43340</v>
      </c>
      <c r="B351" s="2">
        <v>4.703529455679667</v>
      </c>
      <c r="C351" s="2">
        <v>11.09396124052846</v>
      </c>
      <c r="D351" s="2">
        <v>12.635479510802483</v>
      </c>
      <c r="E351" s="2">
        <v>9.7175717000062445</v>
      </c>
      <c r="F351" s="2">
        <v>10.873493082853591</v>
      </c>
      <c r="G351" s="2">
        <v>10.917455135078313</v>
      </c>
      <c r="H351" s="2">
        <v>11.915225778532434</v>
      </c>
    </row>
    <row r="352" spans="1:8" x14ac:dyDescent="0.2">
      <c r="A352" s="16">
        <f>DATE(2018,8,29)</f>
        <v>43341</v>
      </c>
      <c r="B352" s="2">
        <v>4.8510700794587525</v>
      </c>
      <c r="C352" s="2">
        <v>11.121271404981513</v>
      </c>
      <c r="D352" s="2">
        <v>12.667617268404063</v>
      </c>
      <c r="E352" s="2">
        <v>9.7346492249871464</v>
      </c>
      <c r="F352" s="2">
        <v>10.894080576944409</v>
      </c>
      <c r="G352" s="2">
        <v>10.9381768064444</v>
      </c>
      <c r="H352" s="2">
        <v>11.939006189672474</v>
      </c>
    </row>
    <row r="353" spans="1:8" x14ac:dyDescent="0.2">
      <c r="A353" s="16">
        <f>DATE(2018,8,30)</f>
        <v>43342</v>
      </c>
      <c r="B353" s="2">
        <v>4.6581236040958318</v>
      </c>
      <c r="C353" s="2">
        <v>11.148588283076567</v>
      </c>
      <c r="D353" s="2">
        <v>12.699764195722564</v>
      </c>
      <c r="E353" s="2">
        <v>9.7517294080824666</v>
      </c>
      <c r="F353" s="2">
        <v>10.914671893814697</v>
      </c>
      <c r="G353" s="2">
        <v>10.958902349046662</v>
      </c>
      <c r="H353" s="2">
        <v>11.962791653815351</v>
      </c>
    </row>
    <row r="354" spans="1:8" x14ac:dyDescent="0.2">
      <c r="A354" s="16">
        <f>DATE(2018,8,31)</f>
        <v>43343</v>
      </c>
      <c r="B354" s="2">
        <v>4.8859696927601171</v>
      </c>
      <c r="C354" s="2">
        <v>11.175911876464006</v>
      </c>
      <c r="D354" s="2">
        <v>12.731920295374355</v>
      </c>
      <c r="E354" s="2">
        <v>9.7688122497059382</v>
      </c>
      <c r="F354" s="2">
        <v>10.93526703417429</v>
      </c>
      <c r="G354" s="2">
        <v>10.979631763608323</v>
      </c>
      <c r="H354" s="2">
        <v>11.986582172034765</v>
      </c>
    </row>
    <row r="355" spans="1:8" x14ac:dyDescent="0.2">
      <c r="A355" s="16">
        <f>DATE(2018,9,3)</f>
        <v>43346</v>
      </c>
      <c r="B355" s="2">
        <v>4.7661551742847141</v>
      </c>
      <c r="C355" s="2">
        <v>11.203242186794672</v>
      </c>
      <c r="D355" s="2">
        <v>12.764085569976524</v>
      </c>
      <c r="E355" s="2">
        <v>9.8032077801692541</v>
      </c>
      <c r="F355" s="2">
        <v>10.973360498456165</v>
      </c>
      <c r="G355" s="2">
        <v>11.017866566776725</v>
      </c>
      <c r="H355" s="2">
        <v>12.028038510834227</v>
      </c>
    </row>
    <row r="356" spans="1:8" x14ac:dyDescent="0.2">
      <c r="A356" s="16">
        <f>DATE(2018,9,4)</f>
        <v>43347</v>
      </c>
      <c r="B356" s="2">
        <v>4.5724643739472048</v>
      </c>
      <c r="C356" s="2">
        <v>11.230579215719771</v>
      </c>
      <c r="D356" s="2">
        <v>12.796260022146932</v>
      </c>
      <c r="E356" s="2">
        <v>9.8376140883069443</v>
      </c>
      <c r="F356" s="2">
        <v>11.011467043447709</v>
      </c>
      <c r="G356" s="2">
        <v>11.056114542634109</v>
      </c>
      <c r="H356" s="2">
        <v>12.069510196365352</v>
      </c>
    </row>
    <row r="357" spans="1:8" x14ac:dyDescent="0.2">
      <c r="A357" s="16">
        <f>DATE(2018,9,5)</f>
        <v>43348</v>
      </c>
      <c r="B357" s="2">
        <v>4.5344257171051394</v>
      </c>
      <c r="C357" s="2">
        <v>11.257922964890922</v>
      </c>
      <c r="D357" s="2">
        <v>12.82844365450415</v>
      </c>
      <c r="E357" s="2">
        <v>9.8720311774961544</v>
      </c>
      <c r="F357" s="2">
        <v>11.049586673640643</v>
      </c>
      <c r="G357" s="2">
        <v>11.09437569571876</v>
      </c>
      <c r="H357" s="2">
        <v>12.110997234309352</v>
      </c>
    </row>
    <row r="358" spans="1:8" x14ac:dyDescent="0.2">
      <c r="A358" s="16">
        <f>DATE(2018,9,6)</f>
        <v>43349</v>
      </c>
      <c r="B358" s="2">
        <v>4.6099853497272303</v>
      </c>
      <c r="C358" s="2">
        <v>11.285273435960175</v>
      </c>
      <c r="D358" s="2">
        <v>12.860636469667552</v>
      </c>
      <c r="E358" s="2">
        <v>9.9064590511150694</v>
      </c>
      <c r="F358" s="2">
        <v>11.087719393528216</v>
      </c>
      <c r="G358" s="2">
        <v>11.13265003057049</v>
      </c>
      <c r="H358" s="2">
        <v>12.152499630349546</v>
      </c>
    </row>
    <row r="359" spans="1:8" x14ac:dyDescent="0.2">
      <c r="A359" s="16">
        <f>DATE(2018,9,10)</f>
        <v>43353</v>
      </c>
      <c r="B359" s="2">
        <v>4.6772159453209117</v>
      </c>
      <c r="C359" s="2">
        <v>11.312630630579967</v>
      </c>
      <c r="D359" s="2">
        <v>12.892838470257194</v>
      </c>
      <c r="E359" s="2">
        <v>9.9408977125429399</v>
      </c>
      <c r="F359" s="2">
        <v>11.125865207605234</v>
      </c>
      <c r="G359" s="2">
        <v>11.170937551730709</v>
      </c>
      <c r="H359" s="2">
        <v>12.194017390171341</v>
      </c>
    </row>
    <row r="360" spans="1:8" x14ac:dyDescent="0.2">
      <c r="A360" s="16">
        <f>DATE(2018,9,11)</f>
        <v>43354</v>
      </c>
      <c r="B360" s="2">
        <v>4.2682362445485733</v>
      </c>
      <c r="C360" s="2">
        <v>11.339994550403132</v>
      </c>
      <c r="D360" s="2">
        <v>12.925049658893917</v>
      </c>
      <c r="E360" s="2">
        <v>9.9753471651600645</v>
      </c>
      <c r="F360" s="2">
        <v>11.164024120368055</v>
      </c>
      <c r="G360" s="2">
        <v>11.20923826374236</v>
      </c>
      <c r="H360" s="2">
        <v>12.235550519462256</v>
      </c>
    </row>
    <row r="361" spans="1:8" x14ac:dyDescent="0.2">
      <c r="A361" s="16">
        <f>DATE(2018,9,12)</f>
        <v>43355</v>
      </c>
      <c r="B361" s="2">
        <v>4.4866317383889243</v>
      </c>
      <c r="C361" s="2">
        <v>11.367365197082947</v>
      </c>
      <c r="D361" s="2">
        <v>12.95727003819931</v>
      </c>
      <c r="E361" s="2">
        <v>10.009807412347826</v>
      </c>
      <c r="F361" s="2">
        <v>11.202196136314546</v>
      </c>
      <c r="G361" s="2">
        <v>11.247552171149987</v>
      </c>
      <c r="H361" s="2">
        <v>12.277099023911942</v>
      </c>
    </row>
    <row r="362" spans="1:8" x14ac:dyDescent="0.2">
      <c r="A362" s="16">
        <f>DATE(2018,9,13)</f>
        <v>43356</v>
      </c>
      <c r="B362" s="2">
        <v>4.3079552099504204</v>
      </c>
      <c r="C362" s="2">
        <v>11.394742572273042</v>
      </c>
      <c r="D362" s="2">
        <v>12.989499610795695</v>
      </c>
      <c r="E362" s="2">
        <v>10.044278457488653</v>
      </c>
      <c r="F362" s="2">
        <v>11.240381259944154</v>
      </c>
      <c r="G362" s="2">
        <v>11.285879278499666</v>
      </c>
      <c r="H362" s="2">
        <v>12.318662909212108</v>
      </c>
    </row>
    <row r="363" spans="1:8" x14ac:dyDescent="0.2">
      <c r="A363" s="16">
        <f>DATE(2018,9,14)</f>
        <v>43357</v>
      </c>
      <c r="B363" s="2">
        <v>4.3774010343002434</v>
      </c>
      <c r="C363" s="2">
        <v>11.422126677627498</v>
      </c>
      <c r="D363" s="2">
        <v>13.021738379306157</v>
      </c>
      <c r="E363" s="2">
        <v>10.078760303966018</v>
      </c>
      <c r="F363" s="2">
        <v>11.278579495757857</v>
      </c>
      <c r="G363" s="2">
        <v>11.324219590339046</v>
      </c>
      <c r="H363" s="2">
        <v>12.360242181056602</v>
      </c>
    </row>
    <row r="364" spans="1:8" x14ac:dyDescent="0.2">
      <c r="A364" s="16">
        <f>DATE(2018,9,17)</f>
        <v>43360</v>
      </c>
      <c r="B364" s="2">
        <v>4.5182194097733719</v>
      </c>
      <c r="C364" s="2">
        <v>11.449517514800789</v>
      </c>
      <c r="D364" s="2">
        <v>13.053986346354529</v>
      </c>
      <c r="E364" s="2">
        <v>10.113252955164477</v>
      </c>
      <c r="F364" s="2">
        <v>11.316790848258163</v>
      </c>
      <c r="G364" s="2">
        <v>11.362573111217356</v>
      </c>
      <c r="H364" s="2">
        <v>12.401836845141379</v>
      </c>
    </row>
    <row r="365" spans="1:8" x14ac:dyDescent="0.2">
      <c r="A365" s="16">
        <f>DATE(2018,9,18)</f>
        <v>43361</v>
      </c>
      <c r="B365" s="2">
        <v>4.7088228839730739</v>
      </c>
      <c r="C365" s="2">
        <v>11.476915085447793</v>
      </c>
      <c r="D365" s="2">
        <v>13.0862435145654</v>
      </c>
      <c r="E365" s="2">
        <v>10.147756414469633</v>
      </c>
      <c r="F365" s="2">
        <v>11.355015321949136</v>
      </c>
      <c r="G365" s="2">
        <v>11.400939845685398</v>
      </c>
      <c r="H365" s="2">
        <v>12.44344690716448</v>
      </c>
    </row>
    <row r="366" spans="1:8" x14ac:dyDescent="0.2">
      <c r="A366" s="16">
        <f>DATE(2018,9,19)</f>
        <v>43362</v>
      </c>
      <c r="B366" s="2">
        <v>4.6786072448646854</v>
      </c>
      <c r="C366" s="2">
        <v>11.504319391223804</v>
      </c>
      <c r="D366" s="2">
        <v>13.118509886564066</v>
      </c>
      <c r="E366" s="2">
        <v>10.182270685268158</v>
      </c>
      <c r="F366" s="2">
        <v>11.393252921336416</v>
      </c>
      <c r="G366" s="2">
        <v>11.439319798295511</v>
      </c>
      <c r="H366" s="2">
        <v>12.485072372826078</v>
      </c>
    </row>
    <row r="367" spans="1:8" x14ac:dyDescent="0.2">
      <c r="A367" s="16">
        <f>DATE(2018,9,20)</f>
        <v>43363</v>
      </c>
      <c r="B367" s="2">
        <v>4.7881315212696451</v>
      </c>
      <c r="C367" s="2">
        <v>11.531730433784505</v>
      </c>
      <c r="D367" s="2">
        <v>13.150785464976609</v>
      </c>
      <c r="E367" s="2">
        <v>10.216795770947783</v>
      </c>
      <c r="F367" s="2">
        <v>11.431503650927155</v>
      </c>
      <c r="G367" s="2">
        <v>11.477712973601628</v>
      </c>
      <c r="H367" s="2">
        <v>12.526713247828457</v>
      </c>
    </row>
    <row r="368" spans="1:8" x14ac:dyDescent="0.2">
      <c r="A368" s="16">
        <f>DATE(2018,9,21)</f>
        <v>43364</v>
      </c>
      <c r="B368" s="2">
        <v>5.120446763725317</v>
      </c>
      <c r="C368" s="2">
        <v>11.559148214786008</v>
      </c>
      <c r="D368" s="2">
        <v>13.183070252429863</v>
      </c>
      <c r="E368" s="2">
        <v>10.25133167489729</v>
      </c>
      <c r="F368" s="2">
        <v>11.469767515230057</v>
      </c>
      <c r="G368" s="2">
        <v>11.51611937615924</v>
      </c>
      <c r="H368" s="2">
        <v>12.568369537876013</v>
      </c>
    </row>
    <row r="369" spans="1:8" x14ac:dyDescent="0.2">
      <c r="A369" s="16">
        <f>DATE(2018,9,24)</f>
        <v>43367</v>
      </c>
      <c r="B369" s="2">
        <v>4.8289350310316559</v>
      </c>
      <c r="C369" s="2">
        <v>11.586572735884793</v>
      </c>
      <c r="D369" s="2">
        <v>13.215364251551387</v>
      </c>
      <c r="E369" s="2">
        <v>10.285878400506565</v>
      </c>
      <c r="F369" s="2">
        <v>11.508044518755399</v>
      </c>
      <c r="G369" s="2">
        <v>11.554539010525454</v>
      </c>
      <c r="H369" s="2">
        <v>12.610041248675239</v>
      </c>
    </row>
    <row r="370" spans="1:8" x14ac:dyDescent="0.2">
      <c r="A370" s="16">
        <f>DATE(2018,9,25)</f>
        <v>43368</v>
      </c>
      <c r="B370" s="2">
        <v>4.9146333027491274</v>
      </c>
      <c r="C370" s="2">
        <v>11.614003998737799</v>
      </c>
      <c r="D370" s="2">
        <v>13.247667464969505</v>
      </c>
      <c r="E370" s="2">
        <v>10.320435951166473</v>
      </c>
      <c r="F370" s="2">
        <v>11.546334666014957</v>
      </c>
      <c r="G370" s="2">
        <v>11.592971881258851</v>
      </c>
      <c r="H370" s="2">
        <v>12.651728385934735</v>
      </c>
    </row>
    <row r="371" spans="1:8" x14ac:dyDescent="0.2">
      <c r="A371" s="16">
        <f>DATE(2018,9,26)</f>
        <v>43369</v>
      </c>
      <c r="B371" s="2">
        <v>4.9369153908510155</v>
      </c>
      <c r="C371" s="2">
        <v>11.641442005002345</v>
      </c>
      <c r="D371" s="2">
        <v>13.279979895313311</v>
      </c>
      <c r="E371" s="2">
        <v>10.355004330269013</v>
      </c>
      <c r="F371" s="2">
        <v>11.584637961522093</v>
      </c>
      <c r="G371" s="2">
        <v>11.631417992919646</v>
      </c>
      <c r="H371" s="2">
        <v>12.693430955365216</v>
      </c>
    </row>
    <row r="372" spans="1:8" x14ac:dyDescent="0.2">
      <c r="A372" s="16">
        <f>DATE(2018,9,27)</f>
        <v>43370</v>
      </c>
      <c r="B372" s="2">
        <v>5.2660743506316887</v>
      </c>
      <c r="C372" s="2">
        <v>11.66888675633615</v>
      </c>
      <c r="D372" s="2">
        <v>13.312301545212589</v>
      </c>
      <c r="E372" s="2">
        <v>10.389583541207227</v>
      </c>
      <c r="F372" s="2">
        <v>11.622954409791708</v>
      </c>
      <c r="G372" s="2">
        <v>11.669877350069614</v>
      </c>
      <c r="H372" s="2">
        <v>12.735148962679531</v>
      </c>
    </row>
    <row r="373" spans="1:8" x14ac:dyDescent="0.2">
      <c r="A373" s="16">
        <f>DATE(2018,9,28)</f>
        <v>43371</v>
      </c>
      <c r="B373" s="2">
        <v>5.0581328706374995</v>
      </c>
      <c r="C373" s="2">
        <v>11.696338254397354</v>
      </c>
      <c r="D373" s="2">
        <v>13.344632417297952</v>
      </c>
      <c r="E373" s="2">
        <v>10.424173587375218</v>
      </c>
      <c r="F373" s="2">
        <v>11.661284015340279</v>
      </c>
      <c r="G373" s="2">
        <v>11.708349957272125</v>
      </c>
      <c r="H373" s="2">
        <v>12.77688241359265</v>
      </c>
    </row>
    <row r="374" spans="1:8" x14ac:dyDescent="0.2">
      <c r="A374" s="16">
        <f>DATE(2018,10,1)</f>
        <v>43374</v>
      </c>
      <c r="B374" s="2">
        <v>5.1289917969656651</v>
      </c>
      <c r="C374" s="2">
        <v>11.723796500844497</v>
      </c>
      <c r="D374" s="2">
        <v>13.376972514200689</v>
      </c>
      <c r="E374" s="2">
        <v>10.461403106905953</v>
      </c>
      <c r="F374" s="2">
        <v>11.702284946517194</v>
      </c>
      <c r="G374" s="2">
        <v>11.749495106377106</v>
      </c>
      <c r="H374" s="2">
        <v>12.821316107082813</v>
      </c>
    </row>
    <row r="375" spans="1:8" x14ac:dyDescent="0.2">
      <c r="A375" s="16">
        <f>DATE(2018,10,2)</f>
        <v>43375</v>
      </c>
      <c r="B375" s="2">
        <v>5.9079917690838757</v>
      </c>
      <c r="C375" s="2">
        <v>11.751303177628847</v>
      </c>
      <c r="D375" s="2">
        <v>13.409364137258262</v>
      </c>
      <c r="E375" s="2">
        <v>10.498645178372357</v>
      </c>
      <c r="F375" s="2">
        <v>11.743300932834956</v>
      </c>
      <c r="G375" s="2">
        <v>11.790655410332151</v>
      </c>
      <c r="H375" s="2">
        <v>12.865767307291343</v>
      </c>
    </row>
    <row r="376" spans="1:8" x14ac:dyDescent="0.2">
      <c r="A376" s="16">
        <f>DATE(2018,10,3)</f>
        <v>43376</v>
      </c>
      <c r="B376" s="2">
        <v>6.7635390748122859</v>
      </c>
      <c r="C376" s="2">
        <v>11.778816626625478</v>
      </c>
      <c r="D376" s="2">
        <v>13.441765014551676</v>
      </c>
      <c r="E376" s="2">
        <v>10.535899806006332</v>
      </c>
      <c r="F376" s="2">
        <v>11.784331979821649</v>
      </c>
      <c r="G376" s="2">
        <v>11.831830874719197</v>
      </c>
      <c r="H376" s="2">
        <v>12.910236021115805</v>
      </c>
    </row>
    <row r="377" spans="1:8" x14ac:dyDescent="0.2">
      <c r="A377" s="16">
        <f>DATE(2018,10,4)</f>
        <v>43377</v>
      </c>
      <c r="B377" s="2">
        <v>7.41928633523119</v>
      </c>
      <c r="C377" s="2">
        <v>11.806336849501742</v>
      </c>
      <c r="D377" s="2">
        <v>13.474175148724864</v>
      </c>
      <c r="E377" s="2">
        <v>10.573166994041205</v>
      </c>
      <c r="F377" s="2">
        <v>11.825378093007433</v>
      </c>
      <c r="G377" s="2">
        <v>11.873021505122262</v>
      </c>
      <c r="H377" s="2">
        <v>12.954722255456529</v>
      </c>
    </row>
    <row r="378" spans="1:8" x14ac:dyDescent="0.2">
      <c r="A378" s="16">
        <f>DATE(2018,10,5)</f>
        <v>43378</v>
      </c>
      <c r="B378" s="2">
        <v>7.6113368826444372</v>
      </c>
      <c r="C378" s="2">
        <v>11.833863847925373</v>
      </c>
      <c r="D378" s="2">
        <v>13.506594542422512</v>
      </c>
      <c r="E378" s="2">
        <v>10.610446746711677</v>
      </c>
      <c r="F378" s="2">
        <v>11.866439277924433</v>
      </c>
      <c r="G378" s="2">
        <v>11.914227307127323</v>
      </c>
      <c r="H378" s="2">
        <v>12.999226017216502</v>
      </c>
    </row>
    <row r="379" spans="1:8" x14ac:dyDescent="0.2">
      <c r="A379" s="16">
        <f>DATE(2018,10,8)</f>
        <v>43381</v>
      </c>
      <c r="B379" s="2">
        <v>9.2394473719676018</v>
      </c>
      <c r="C379" s="2">
        <v>11.861397623564528</v>
      </c>
      <c r="D379" s="2">
        <v>13.539023198290034</v>
      </c>
      <c r="E379" s="2">
        <v>10.647739068253935</v>
      </c>
      <c r="F379" s="2">
        <v>11.90751554010685</v>
      </c>
      <c r="G379" s="2">
        <v>11.955448286322534</v>
      </c>
      <c r="H379" s="2">
        <v>13.043747313301468</v>
      </c>
    </row>
    <row r="380" spans="1:8" x14ac:dyDescent="0.2">
      <c r="A380" s="16">
        <f>DATE(2018,10,9)</f>
        <v>43382</v>
      </c>
      <c r="B380" s="2">
        <v>9.3995867607117756</v>
      </c>
      <c r="C380" s="2">
        <v>11.888938178087782</v>
      </c>
      <c r="D380" s="2">
        <v>13.571461118973627</v>
      </c>
      <c r="E380" s="2">
        <v>10.685043962905594</v>
      </c>
      <c r="F380" s="2">
        <v>11.948606885090918</v>
      </c>
      <c r="G380" s="2">
        <v>11.996684448298044</v>
      </c>
      <c r="H380" s="2">
        <v>13.088286150619901</v>
      </c>
    </row>
    <row r="381" spans="1:8" x14ac:dyDescent="0.2">
      <c r="A381" s="16">
        <f>DATE(2018,10,10)</f>
        <v>43383</v>
      </c>
      <c r="B381" s="2">
        <v>9.2606058741405253</v>
      </c>
      <c r="C381" s="2">
        <v>11.91648551316411</v>
      </c>
      <c r="D381" s="2">
        <v>13.603908307120237</v>
      </c>
      <c r="E381" s="2">
        <v>10.722361434905658</v>
      </c>
      <c r="F381" s="2">
        <v>11.989713318414896</v>
      </c>
      <c r="G381" s="2">
        <v>12.037935798646071</v>
      </c>
      <c r="H381" s="2">
        <v>13.132842536083</v>
      </c>
    </row>
    <row r="382" spans="1:8" x14ac:dyDescent="0.2">
      <c r="A382" s="16">
        <f>DATE(2018,10,11)</f>
        <v>43384</v>
      </c>
      <c r="B382" s="2">
        <v>9.0440255597341146</v>
      </c>
      <c r="C382" s="2">
        <v>11.94403963046291</v>
      </c>
      <c r="D382" s="2">
        <v>13.636364765377573</v>
      </c>
      <c r="E382" s="2">
        <v>10.759691488494584</v>
      </c>
      <c r="F382" s="2">
        <v>12.030834845619065</v>
      </c>
      <c r="G382" s="2">
        <v>12.079202342960892</v>
      </c>
      <c r="H382" s="2">
        <v>13.177416476604643</v>
      </c>
    </row>
    <row r="383" spans="1:8" x14ac:dyDescent="0.2">
      <c r="A383" s="16">
        <f>DATE(2018,10,15)</f>
        <v>43388</v>
      </c>
      <c r="B383" s="2">
        <v>9.6843950053338457</v>
      </c>
      <c r="C383" s="2">
        <v>11.971600531653959</v>
      </c>
      <c r="D383" s="2">
        <v>13.668830496394071</v>
      </c>
      <c r="E383" s="2">
        <v>10.797034127914262</v>
      </c>
      <c r="F383" s="2">
        <v>12.071971472245767</v>
      </c>
      <c r="G383" s="2">
        <v>12.120484086838879</v>
      </c>
      <c r="H383" s="2">
        <v>13.22200797910147</v>
      </c>
    </row>
    <row r="384" spans="1:8" x14ac:dyDescent="0.2">
      <c r="A384" s="16">
        <f>DATE(2018,10,16)</f>
        <v>43389</v>
      </c>
      <c r="B384" s="2">
        <v>10.377316937746883</v>
      </c>
      <c r="C384" s="2">
        <v>11.999168218407474</v>
      </c>
      <c r="D384" s="2">
        <v>13.701305502818959</v>
      </c>
      <c r="E384" s="2">
        <v>10.834389357407993</v>
      </c>
      <c r="F384" s="2">
        <v>12.113123203839349</v>
      </c>
      <c r="G384" s="2">
        <v>12.161781035878395</v>
      </c>
      <c r="H384" s="2">
        <v>13.266617050492856</v>
      </c>
    </row>
    <row r="385" spans="1:8" x14ac:dyDescent="0.2">
      <c r="A385" s="16">
        <f>DATE(2018,10,17)</f>
        <v>43390</v>
      </c>
      <c r="B385" s="2">
        <v>10.500935220499819</v>
      </c>
      <c r="C385" s="2">
        <v>12.0267426923941</v>
      </c>
      <c r="D385" s="2">
        <v>13.733789787302197</v>
      </c>
      <c r="E385" s="2">
        <v>10.871757181220532</v>
      </c>
      <c r="F385" s="2">
        <v>12.154290045946214</v>
      </c>
      <c r="G385" s="2">
        <v>12.203093195679937</v>
      </c>
      <c r="H385" s="2">
        <v>13.311243697700871</v>
      </c>
    </row>
    <row r="386" spans="1:8" x14ac:dyDescent="0.2">
      <c r="A386" s="16">
        <f>DATE(2018,10,18)</f>
        <v>43391</v>
      </c>
      <c r="B386" s="2">
        <v>10.254860775458363</v>
      </c>
      <c r="C386" s="2">
        <v>12.05432395528485</v>
      </c>
      <c r="D386" s="2">
        <v>13.766283352494524</v>
      </c>
      <c r="E386" s="2">
        <v>10.90913760359804</v>
      </c>
      <c r="F386" s="2">
        <v>12.195472004114793</v>
      </c>
      <c r="G386" s="2">
        <v>12.244420571846003</v>
      </c>
      <c r="H386" s="2">
        <v>13.355887927650324</v>
      </c>
    </row>
    <row r="387" spans="1:8" x14ac:dyDescent="0.2">
      <c r="A387" s="16">
        <f>DATE(2018,10,19)</f>
        <v>43392</v>
      </c>
      <c r="B387" s="2">
        <v>10.303642455162665</v>
      </c>
      <c r="C387" s="2">
        <v>12.081912008751171</v>
      </c>
      <c r="D387" s="2">
        <v>13.79878620104742</v>
      </c>
      <c r="E387" s="2">
        <v>10.946530628788143</v>
      </c>
      <c r="F387" s="2">
        <v>12.236669083895556</v>
      </c>
      <c r="G387" s="2">
        <v>12.285763169981202</v>
      </c>
      <c r="H387" s="2">
        <v>13.400549747268743</v>
      </c>
    </row>
    <row r="388" spans="1:8" x14ac:dyDescent="0.2">
      <c r="A388" s="16">
        <f>DATE(2018,10,22)</f>
        <v>43395</v>
      </c>
      <c r="B388" s="2">
        <v>10.307267743696968</v>
      </c>
      <c r="C388" s="2">
        <v>12.109506854464923</v>
      </c>
      <c r="D388" s="2">
        <v>13.831298335613118</v>
      </c>
      <c r="E388" s="2">
        <v>10.983936261039885</v>
      </c>
      <c r="F388" s="2">
        <v>12.277881290840996</v>
      </c>
      <c r="G388" s="2">
        <v>12.327120995692177</v>
      </c>
      <c r="H388" s="2">
        <v>13.445229163486404</v>
      </c>
    </row>
    <row r="389" spans="1:8" x14ac:dyDescent="0.2">
      <c r="A389" s="16">
        <f>DATE(2018,10,23)</f>
        <v>43396</v>
      </c>
      <c r="B389" s="2">
        <v>10.321880445173703</v>
      </c>
      <c r="C389" s="2">
        <v>12.137108494098392</v>
      </c>
      <c r="D389" s="2">
        <v>13.86381975884461</v>
      </c>
      <c r="E389" s="2">
        <v>11.021354504603709</v>
      </c>
      <c r="F389" s="2">
        <v>12.319108630505671</v>
      </c>
      <c r="G389" s="2">
        <v>12.368494054587664</v>
      </c>
      <c r="H389" s="2">
        <v>13.4899261832363</v>
      </c>
    </row>
    <row r="390" spans="1:8" x14ac:dyDescent="0.2">
      <c r="A390" s="16">
        <f>DATE(2018,10,24)</f>
        <v>43397</v>
      </c>
      <c r="B390" s="2">
        <v>9.6736687145725355</v>
      </c>
      <c r="C390" s="2">
        <v>12.164716929324237</v>
      </c>
      <c r="D390" s="2">
        <v>13.896350473395659</v>
      </c>
      <c r="E390" s="2">
        <v>11.058785363731548</v>
      </c>
      <c r="F390" s="2">
        <v>12.360351108446176</v>
      </c>
      <c r="G390" s="2">
        <v>12.409882352278444</v>
      </c>
      <c r="H390" s="2">
        <v>13.534640813454168</v>
      </c>
    </row>
    <row r="391" spans="1:8" x14ac:dyDescent="0.2">
      <c r="A391" s="16">
        <f>DATE(2018,10,25)</f>
        <v>43398</v>
      </c>
      <c r="B391" s="2">
        <v>10.105093261155806</v>
      </c>
      <c r="C391" s="2">
        <v>12.192332161815544</v>
      </c>
      <c r="D391" s="2">
        <v>13.928890481920787</v>
      </c>
      <c r="E391" s="2">
        <v>11.096228842676735</v>
      </c>
      <c r="F391" s="2">
        <v>12.401608730221136</v>
      </c>
      <c r="G391" s="2">
        <v>12.451285894377362</v>
      </c>
      <c r="H391" s="2">
        <v>13.57937306107848</v>
      </c>
    </row>
    <row r="392" spans="1:8" x14ac:dyDescent="0.2">
      <c r="A392" s="16">
        <f>DATE(2018,10,26)</f>
        <v>43399</v>
      </c>
      <c r="B392" s="2">
        <v>11.203205834031159</v>
      </c>
      <c r="C392" s="2">
        <v>12.219954193245819</v>
      </c>
      <c r="D392" s="2">
        <v>13.961439787075269</v>
      </c>
      <c r="E392" s="2">
        <v>11.133684945694045</v>
      </c>
      <c r="F392" s="2">
        <v>12.442881501391213</v>
      </c>
      <c r="G392" s="2">
        <v>12.492704686499344</v>
      </c>
      <c r="H392" s="2">
        <v>13.624122933050421</v>
      </c>
    </row>
    <row r="393" spans="1:8" x14ac:dyDescent="0.2">
      <c r="A393" s="16">
        <f>DATE(2018,10,29)</f>
        <v>43402</v>
      </c>
      <c r="B393" s="2">
        <v>10.233043129915576</v>
      </c>
      <c r="C393" s="2">
        <v>12.247583025288987</v>
      </c>
      <c r="D393" s="2">
        <v>13.99399839151514</v>
      </c>
      <c r="E393" s="2">
        <v>11.17115367703969</v>
      </c>
      <c r="F393" s="2">
        <v>12.484169427519133</v>
      </c>
      <c r="G393" s="2">
        <v>12.534138734261413</v>
      </c>
      <c r="H393" s="2">
        <v>13.668890436313941</v>
      </c>
    </row>
    <row r="394" spans="1:8" x14ac:dyDescent="0.2">
      <c r="A394" s="16">
        <f>DATE(2018,10,30)</f>
        <v>43403</v>
      </c>
      <c r="B394" s="2">
        <v>10.621450966114176</v>
      </c>
      <c r="C394" s="2">
        <v>12.27521865961938</v>
      </c>
      <c r="D394" s="2">
        <v>14.02656629789718</v>
      </c>
      <c r="E394" s="2">
        <v>11.208635040971272</v>
      </c>
      <c r="F394" s="2">
        <v>12.525472514169621</v>
      </c>
      <c r="G394" s="2">
        <v>12.57558804328256</v>
      </c>
      <c r="H394" s="2">
        <v>13.713675577815666</v>
      </c>
    </row>
    <row r="395" spans="1:8" x14ac:dyDescent="0.2">
      <c r="A395" s="16">
        <f>DATE(2018,10,31)</f>
        <v>43404</v>
      </c>
      <c r="B395" s="2">
        <v>10.451711407704446</v>
      </c>
      <c r="C395" s="2">
        <v>12.302861097911721</v>
      </c>
      <c r="D395" s="2">
        <v>14.059143508878957</v>
      </c>
      <c r="E395" s="2">
        <v>11.24612904174791</v>
      </c>
      <c r="F395" s="2">
        <v>12.566790766909476</v>
      </c>
      <c r="G395" s="2">
        <v>12.617052619183934</v>
      </c>
      <c r="H395" s="2">
        <v>13.758478364505009</v>
      </c>
    </row>
    <row r="396" spans="1:8" x14ac:dyDescent="0.2">
      <c r="A396" s="16">
        <f>DATE(2018,11,1)</f>
        <v>43405</v>
      </c>
      <c r="B396" s="2">
        <v>10.855862629775759</v>
      </c>
      <c r="C396" s="2">
        <v>12.330510341841183</v>
      </c>
      <c r="D396" s="2">
        <v>14.091730027118764</v>
      </c>
      <c r="E396" s="2">
        <v>11.249520013353441</v>
      </c>
      <c r="F396" s="2">
        <v>12.57360247918171</v>
      </c>
      <c r="G396" s="2">
        <v>12.62399530204854</v>
      </c>
      <c r="H396" s="2">
        <v>13.768410692476497</v>
      </c>
    </row>
    <row r="397" spans="1:8" x14ac:dyDescent="0.2">
      <c r="A397" s="16">
        <f>DATE(2018,11,5)</f>
        <v>43409</v>
      </c>
      <c r="B397" s="2">
        <v>10.837812242108447</v>
      </c>
      <c r="C397" s="2">
        <v>12.358166393083314</v>
      </c>
      <c r="D397" s="2">
        <v>14.124325855275677</v>
      </c>
      <c r="E397" s="2">
        <v>11.252911088321561</v>
      </c>
      <c r="F397" s="2">
        <v>12.58041460364856</v>
      </c>
      <c r="G397" s="2">
        <v>12.630938412919781</v>
      </c>
      <c r="H397" s="2">
        <v>13.778343887646095</v>
      </c>
    </row>
    <row r="398" spans="1:8" x14ac:dyDescent="0.2">
      <c r="A398" s="16">
        <f>DATE(2018,11,6)</f>
        <v>43410</v>
      </c>
      <c r="B398" s="2">
        <v>10.377603411596148</v>
      </c>
      <c r="C398" s="2">
        <v>12.385829253314107</v>
      </c>
      <c r="D398" s="2">
        <v>14.156930996009519</v>
      </c>
      <c r="E398" s="2">
        <v>11.256302266655394</v>
      </c>
      <c r="F398" s="2">
        <v>12.587227140334933</v>
      </c>
      <c r="G398" s="2">
        <v>12.637881951824047</v>
      </c>
      <c r="H398" s="2">
        <v>13.788277950089499</v>
      </c>
    </row>
    <row r="399" spans="1:8" x14ac:dyDescent="0.2">
      <c r="A399" s="16">
        <f>DATE(2018,11,7)</f>
        <v>43411</v>
      </c>
      <c r="B399" s="2">
        <v>9.9867466042618194</v>
      </c>
      <c r="C399" s="2">
        <v>12.413498924209931</v>
      </c>
      <c r="D399" s="2">
        <v>14.189545451980878</v>
      </c>
      <c r="E399" s="2">
        <v>11.25969354835814</v>
      </c>
      <c r="F399" s="2">
        <v>12.594040089265834</v>
      </c>
      <c r="G399" s="2">
        <v>12.644825918787728</v>
      </c>
      <c r="H399" s="2">
        <v>13.798212879882501</v>
      </c>
    </row>
    <row r="400" spans="1:8" x14ac:dyDescent="0.2">
      <c r="A400" s="16">
        <f>DATE(2018,11,8)</f>
        <v>43412</v>
      </c>
      <c r="B400" s="2">
        <v>9.2359569543074347</v>
      </c>
      <c r="C400" s="2">
        <v>12.441175407447602</v>
      </c>
      <c r="D400" s="2">
        <v>14.222169225851109</v>
      </c>
      <c r="E400" s="2">
        <v>11.263084933432932</v>
      </c>
      <c r="F400" s="2">
        <v>12.600853450466175</v>
      </c>
      <c r="G400" s="2">
        <v>12.651770313837195</v>
      </c>
      <c r="H400" s="2">
        <v>13.808148677100784</v>
      </c>
    </row>
    <row r="401" spans="1:8" x14ac:dyDescent="0.2">
      <c r="A401" s="16">
        <f>DATE(2018,11,9)</f>
        <v>43413</v>
      </c>
      <c r="B401" s="2">
        <v>9.1965300401217522</v>
      </c>
      <c r="C401" s="2">
        <v>12.468858704704333</v>
      </c>
      <c r="D401" s="2">
        <v>14.254802320282312</v>
      </c>
      <c r="E401" s="2">
        <v>11.266476421882921</v>
      </c>
      <c r="F401" s="2">
        <v>12.607667223960894</v>
      </c>
      <c r="G401" s="2">
        <v>12.658715136998856</v>
      </c>
      <c r="H401" s="2">
        <v>13.818085341820098</v>
      </c>
    </row>
    <row r="402" spans="1:8" x14ac:dyDescent="0.2">
      <c r="A402" s="16">
        <f>DATE(2018,11,12)</f>
        <v>43416</v>
      </c>
      <c r="B402" s="2">
        <v>9.0709429468263334</v>
      </c>
      <c r="C402" s="2">
        <v>12.496548817657761</v>
      </c>
      <c r="D402" s="2">
        <v>14.287444737937371</v>
      </c>
      <c r="E402" s="2">
        <v>11.26986801371126</v>
      </c>
      <c r="F402" s="2">
        <v>12.614481409774948</v>
      </c>
      <c r="G402" s="2">
        <v>12.665660388299083</v>
      </c>
      <c r="H402" s="2">
        <v>13.828022874116176</v>
      </c>
    </row>
    <row r="403" spans="1:8" x14ac:dyDescent="0.2">
      <c r="A403" s="16">
        <f>DATE(2018,11,13)</f>
        <v>43417</v>
      </c>
      <c r="B403" s="2">
        <v>8.4220517915208468</v>
      </c>
      <c r="C403" s="2">
        <v>12.524245747985917</v>
      </c>
      <c r="D403" s="2">
        <v>14.320096481479917</v>
      </c>
      <c r="E403" s="2">
        <v>11.273259708921103</v>
      </c>
      <c r="F403" s="2">
        <v>12.621296007933291</v>
      </c>
      <c r="G403" s="2">
        <v>12.67260606776428</v>
      </c>
      <c r="H403" s="2">
        <v>13.83796127406478</v>
      </c>
    </row>
    <row r="404" spans="1:8" x14ac:dyDescent="0.2">
      <c r="A404" s="16">
        <f>DATE(2018,11,14)</f>
        <v>43418</v>
      </c>
      <c r="B404" s="2">
        <v>8.9593043413041649</v>
      </c>
      <c r="C404" s="2">
        <v>12.551949497367264</v>
      </c>
      <c r="D404" s="2">
        <v>14.352757553574325</v>
      </c>
      <c r="E404" s="2">
        <v>11.2766515075156</v>
      </c>
      <c r="F404" s="2">
        <v>12.628111018460887</v>
      </c>
      <c r="G404" s="2">
        <v>12.67955217542085</v>
      </c>
      <c r="H404" s="2">
        <v>13.847900541741653</v>
      </c>
    </row>
    <row r="405" spans="1:8" x14ac:dyDescent="0.2">
      <c r="A405" s="16">
        <f>DATE(2018,11,16)</f>
        <v>43420</v>
      </c>
      <c r="B405" s="2">
        <v>10.103501176400886</v>
      </c>
      <c r="C405" s="2">
        <v>12.579660067480658</v>
      </c>
      <c r="D405" s="2">
        <v>14.385427956885755</v>
      </c>
      <c r="E405" s="2">
        <v>11.280043409497885</v>
      </c>
      <c r="F405" s="2">
        <v>12.634926441382666</v>
      </c>
      <c r="G405" s="2">
        <v>12.68649871129519</v>
      </c>
      <c r="H405" s="2">
        <v>13.857840677222555</v>
      </c>
    </row>
    <row r="406" spans="1:8" x14ac:dyDescent="0.2">
      <c r="A406" s="16">
        <f>DATE(2018,11,19)</f>
        <v>43423</v>
      </c>
      <c r="B406" s="2">
        <v>9.9093885243066495</v>
      </c>
      <c r="C406" s="2">
        <v>12.607377460005399</v>
      </c>
      <c r="D406" s="2">
        <v>14.418107694080119</v>
      </c>
      <c r="E406" s="2">
        <v>11.283435414871112</v>
      </c>
      <c r="F406" s="2">
        <v>12.641742276723567</v>
      </c>
      <c r="G406" s="2">
        <v>12.693445675413685</v>
      </c>
      <c r="H406" s="2">
        <v>13.867781680583247</v>
      </c>
    </row>
    <row r="407" spans="1:8" x14ac:dyDescent="0.2">
      <c r="A407" s="16">
        <f>DATE(2018,11,20)</f>
        <v>43424</v>
      </c>
      <c r="B407" s="2">
        <v>9.7603308567101088</v>
      </c>
      <c r="C407" s="2">
        <v>12.635101676621163</v>
      </c>
      <c r="D407" s="2">
        <v>14.450796767824103</v>
      </c>
      <c r="E407" s="2">
        <v>11.286827523638475</v>
      </c>
      <c r="F407" s="2">
        <v>12.648558524508591</v>
      </c>
      <c r="G407" s="2">
        <v>12.700393067802773</v>
      </c>
      <c r="H407" s="2">
        <v>13.877723551899535</v>
      </c>
    </row>
    <row r="408" spans="1:8" x14ac:dyDescent="0.2">
      <c r="A408" s="16">
        <f>DATE(2018,11,21)</f>
        <v>43425</v>
      </c>
      <c r="B408" s="2">
        <v>9.9574197946360012</v>
      </c>
      <c r="C408" s="2">
        <v>12.662832719008055</v>
      </c>
      <c r="D408" s="2">
        <v>14.483495180785132</v>
      </c>
      <c r="E408" s="2">
        <v>11.290219735803063</v>
      </c>
      <c r="F408" s="2">
        <v>12.655375184762653</v>
      </c>
      <c r="G408" s="2">
        <v>12.707340888488773</v>
      </c>
      <c r="H408" s="2">
        <v>13.887666291247157</v>
      </c>
    </row>
    <row r="409" spans="1:8" x14ac:dyDescent="0.2">
      <c r="A409" s="16">
        <f>DATE(2018,11,22)</f>
        <v>43426</v>
      </c>
      <c r="B409" s="2">
        <v>9.8904356172559993</v>
      </c>
      <c r="C409" s="2">
        <v>12.690570588846617</v>
      </c>
      <c r="D409" s="2">
        <v>14.516202935631407</v>
      </c>
      <c r="E409" s="2">
        <v>11.293612051368074</v>
      </c>
      <c r="F409" s="2">
        <v>12.662192257510775</v>
      </c>
      <c r="G409" s="2">
        <v>12.71428913749817</v>
      </c>
      <c r="H409" s="2">
        <v>13.897609898701946</v>
      </c>
    </row>
    <row r="410" spans="1:8" x14ac:dyDescent="0.2">
      <c r="A410" s="16">
        <f>DATE(2018,11,23)</f>
        <v>43427</v>
      </c>
      <c r="B410" s="2">
        <v>9.6768782357504968</v>
      </c>
      <c r="C410" s="2">
        <v>12.718315287817772</v>
      </c>
      <c r="D410" s="2">
        <v>14.548920035031898</v>
      </c>
      <c r="E410" s="2">
        <v>11.297004470336658</v>
      </c>
      <c r="F410" s="2">
        <v>12.66900974277787</v>
      </c>
      <c r="G410" s="2">
        <v>12.721237814857368</v>
      </c>
      <c r="H410" s="2">
        <v>13.90755437433968</v>
      </c>
    </row>
    <row r="411" spans="1:8" x14ac:dyDescent="0.2">
      <c r="A411" s="16">
        <f>DATE(2018,11,26)</f>
        <v>43430</v>
      </c>
      <c r="B411" s="2">
        <v>8.7019849103726408</v>
      </c>
      <c r="C411" s="2">
        <v>12.746066817602864</v>
      </c>
      <c r="D411" s="2">
        <v>14.581646481656318</v>
      </c>
      <c r="E411" s="2">
        <v>11.300396992711947</v>
      </c>
      <c r="F411" s="2">
        <v>12.675827640588921</v>
      </c>
      <c r="G411" s="2">
        <v>12.728186920592719</v>
      </c>
      <c r="H411" s="2">
        <v>13.917499718236147</v>
      </c>
    </row>
    <row r="412" spans="1:8" x14ac:dyDescent="0.2">
      <c r="A412" s="16">
        <f>DATE(2018,11,27)</f>
        <v>43431</v>
      </c>
      <c r="B412" s="2">
        <v>9.1758025163060086</v>
      </c>
      <c r="C412" s="2">
        <v>12.77382517988368</v>
      </c>
      <c r="D412" s="2">
        <v>14.614382278175174</v>
      </c>
      <c r="E412" s="2">
        <v>11.303789618497095</v>
      </c>
      <c r="F412" s="2">
        <v>12.682645950968885</v>
      </c>
      <c r="G412" s="2">
        <v>12.7351364547307</v>
      </c>
      <c r="H412" s="2">
        <v>13.927445930467176</v>
      </c>
    </row>
    <row r="413" spans="1:8" x14ac:dyDescent="0.2">
      <c r="A413" s="16">
        <f>DATE(2018,11,28)</f>
        <v>43432</v>
      </c>
      <c r="B413" s="2">
        <v>9.7393700975481501</v>
      </c>
      <c r="C413" s="2">
        <v>12.801590376342364</v>
      </c>
      <c r="D413" s="2">
        <v>14.64712742725971</v>
      </c>
      <c r="E413" s="2">
        <v>11.307182347695255</v>
      </c>
      <c r="F413" s="2">
        <v>12.689464673942719</v>
      </c>
      <c r="G413" s="2">
        <v>12.742086417297681</v>
      </c>
      <c r="H413" s="2">
        <v>13.937393011108568</v>
      </c>
    </row>
    <row r="414" spans="1:8" x14ac:dyDescent="0.2">
      <c r="A414" s="16">
        <f>DATE(2018,11,29)</f>
        <v>43433</v>
      </c>
      <c r="B414" s="2">
        <v>9.7090545728675473</v>
      </c>
      <c r="C414" s="2">
        <v>12.829362408661527</v>
      </c>
      <c r="D414" s="2">
        <v>14.679881931581917</v>
      </c>
      <c r="E414" s="2">
        <v>11.3105751803096</v>
      </c>
      <c r="F414" s="2">
        <v>12.696283809535402</v>
      </c>
      <c r="G414" s="2">
        <v>12.74903680832009</v>
      </c>
      <c r="H414" s="2">
        <v>13.947340960236154</v>
      </c>
    </row>
    <row r="415" spans="1:8" x14ac:dyDescent="0.2">
      <c r="A415" s="16">
        <f>DATE(2018,11,30)</f>
        <v>43434</v>
      </c>
      <c r="B415" s="2">
        <v>9.5682716897297357</v>
      </c>
      <c r="C415" s="2">
        <v>12.857141278524177</v>
      </c>
      <c r="D415" s="2">
        <v>14.712645793814595</v>
      </c>
      <c r="E415" s="2">
        <v>11.313968116343265</v>
      </c>
      <c r="F415" s="2">
        <v>12.703103357771894</v>
      </c>
      <c r="G415" s="2">
        <v>12.755987627824283</v>
      </c>
      <c r="H415" s="2">
        <v>13.957289777925762</v>
      </c>
    </row>
    <row r="416" spans="1:8" x14ac:dyDescent="0.2">
      <c r="A416" s="16">
        <f>DATE(2018,12,3)</f>
        <v>43437</v>
      </c>
      <c r="B416" s="2">
        <v>10.012843611375176</v>
      </c>
      <c r="C416" s="2">
        <v>12.884926987613744</v>
      </c>
      <c r="D416" s="2">
        <v>14.745419016631267</v>
      </c>
      <c r="E416" s="2">
        <v>11.339082133035161</v>
      </c>
      <c r="F416" s="2">
        <v>12.731916021820977</v>
      </c>
      <c r="G416" s="2">
        <v>12.784941923725524</v>
      </c>
      <c r="H416" s="2">
        <v>13.989477503210711</v>
      </c>
    </row>
    <row r="417" spans="1:8" x14ac:dyDescent="0.2">
      <c r="A417" s="16">
        <f>DATE(2018,12,4)</f>
        <v>43438</v>
      </c>
      <c r="B417" s="2">
        <v>9.8722838229163834</v>
      </c>
      <c r="C417" s="2">
        <v>12.912719537614038</v>
      </c>
      <c r="D417" s="2">
        <v>14.778201602706265</v>
      </c>
      <c r="E417" s="2">
        <v>11.364201815806929</v>
      </c>
      <c r="F417" s="2">
        <v>12.76073605185719</v>
      </c>
      <c r="G417" s="2">
        <v>12.813903654719727</v>
      </c>
      <c r="H417" s="2">
        <v>14.02167432005672</v>
      </c>
    </row>
    <row r="418" spans="1:8" x14ac:dyDescent="0.2">
      <c r="A418" s="16">
        <f>DATE(2018,12,5)</f>
        <v>43439</v>
      </c>
      <c r="B418" s="2">
        <v>9.8315893253270836</v>
      </c>
      <c r="C418" s="2">
        <v>12.94051893020931</v>
      </c>
      <c r="D418" s="2">
        <v>14.810993554714624</v>
      </c>
      <c r="E418" s="2">
        <v>11.389327165936924</v>
      </c>
      <c r="F418" s="2">
        <v>12.789563449763675</v>
      </c>
      <c r="G418" s="2">
        <v>12.842872822716146</v>
      </c>
      <c r="H418" s="2">
        <v>14.053880231031757</v>
      </c>
    </row>
    <row r="419" spans="1:8" x14ac:dyDescent="0.2">
      <c r="A419" s="16">
        <f>DATE(2018,12,6)</f>
        <v>43440</v>
      </c>
      <c r="B419" s="2">
        <v>9.9076899625458505</v>
      </c>
      <c r="C419" s="2">
        <v>12.968325167084238</v>
      </c>
      <c r="D419" s="2">
        <v>14.843794875332206</v>
      </c>
      <c r="E419" s="2">
        <v>11.414458184703792</v>
      </c>
      <c r="F419" s="2">
        <v>12.81839821742401</v>
      </c>
      <c r="G419" s="2">
        <v>12.871849429624493</v>
      </c>
      <c r="H419" s="2">
        <v>14.086095238704477</v>
      </c>
    </row>
    <row r="420" spans="1:8" x14ac:dyDescent="0.2">
      <c r="A420" s="16">
        <f>DATE(2018,12,7)</f>
        <v>43441</v>
      </c>
      <c r="B420" s="2">
        <v>9.7727937367343642</v>
      </c>
      <c r="C420" s="2">
        <v>12.996138249923893</v>
      </c>
      <c r="D420" s="2">
        <v>14.876605567235581</v>
      </c>
      <c r="E420" s="2">
        <v>11.439594873386438</v>
      </c>
      <c r="F420" s="2">
        <v>12.84724035672229</v>
      </c>
      <c r="G420" s="2">
        <v>12.900833477355</v>
      </c>
      <c r="H420" s="2">
        <v>14.118319345644291</v>
      </c>
    </row>
    <row r="421" spans="1:8" x14ac:dyDescent="0.2">
      <c r="A421" s="16">
        <f>DATE(2018,12,10)</f>
        <v>43444</v>
      </c>
      <c r="B421" s="2">
        <v>9.0845466519138043</v>
      </c>
      <c r="C421" s="2">
        <v>13.023958180413775</v>
      </c>
      <c r="D421" s="2">
        <v>14.909425633102137</v>
      </c>
      <c r="E421" s="2">
        <v>11.464737233264088</v>
      </c>
      <c r="F421" s="2">
        <v>12.876089869543096</v>
      </c>
      <c r="G421" s="2">
        <v>12.929824967818361</v>
      </c>
      <c r="H421" s="2">
        <v>14.150552554421324</v>
      </c>
    </row>
    <row r="422" spans="1:8" x14ac:dyDescent="0.2">
      <c r="A422" s="16">
        <f>DATE(2018,12,11)</f>
        <v>43445</v>
      </c>
      <c r="B422" s="2">
        <v>9.0632157583979467</v>
      </c>
      <c r="C422" s="2">
        <v>13.051784960239798</v>
      </c>
      <c r="D422" s="2">
        <v>14.942255075609978</v>
      </c>
      <c r="E422" s="2">
        <v>11.489885265616229</v>
      </c>
      <c r="F422" s="2">
        <v>12.904946757771452</v>
      </c>
      <c r="G422" s="2">
        <v>12.958823902925776</v>
      </c>
      <c r="H422" s="2">
        <v>14.182794867606431</v>
      </c>
    </row>
    <row r="423" spans="1:8" x14ac:dyDescent="0.2">
      <c r="A423" s="16">
        <f>DATE(2018,12,12)</f>
        <v>43446</v>
      </c>
      <c r="B423" s="2">
        <v>9.4930482202262745</v>
      </c>
      <c r="C423" s="2">
        <v>13.079618591088282</v>
      </c>
      <c r="D423" s="2">
        <v>14.975093897438008</v>
      </c>
      <c r="E423" s="2">
        <v>11.515038971722658</v>
      </c>
      <c r="F423" s="2">
        <v>12.933811023292918</v>
      </c>
      <c r="G423" s="2">
        <v>12.987830284588942</v>
      </c>
      <c r="H423" s="2">
        <v>14.215046287771194</v>
      </c>
    </row>
    <row r="424" spans="1:8" x14ac:dyDescent="0.2">
      <c r="A424" s="16">
        <f>DATE(2018,12,13)</f>
        <v>43447</v>
      </c>
      <c r="B424" s="2">
        <v>9.8645667751552377</v>
      </c>
      <c r="C424" s="2">
        <v>13.107459074645943</v>
      </c>
      <c r="D424" s="2">
        <v>15.007942101265879</v>
      </c>
      <c r="E424" s="2">
        <v>11.540198352863461</v>
      </c>
      <c r="F424" s="2">
        <v>12.962682667993475</v>
      </c>
      <c r="G424" s="2">
        <v>13.01684411472004</v>
      </c>
      <c r="H424" s="2">
        <v>14.247306817487916</v>
      </c>
    </row>
    <row r="425" spans="1:8" x14ac:dyDescent="0.2">
      <c r="A425" s="16">
        <f>DATE(2018,12,14)</f>
        <v>43448</v>
      </c>
      <c r="B425" s="2">
        <v>9.8798538310026949</v>
      </c>
      <c r="C425" s="2">
        <v>13.135306412599967</v>
      </c>
      <c r="D425" s="2">
        <v>15.04079968977401</v>
      </c>
      <c r="E425" s="2">
        <v>11.565363410318996</v>
      </c>
      <c r="F425" s="2">
        <v>12.991561693759635</v>
      </c>
      <c r="G425" s="2">
        <v>13.045865395231736</v>
      </c>
      <c r="H425" s="2">
        <v>14.279576459329624</v>
      </c>
    </row>
    <row r="426" spans="1:8" x14ac:dyDescent="0.2">
      <c r="A426" s="16">
        <f>DATE(2018,12,17)</f>
        <v>43451</v>
      </c>
      <c r="B426" s="2">
        <v>10.090911538036318</v>
      </c>
      <c r="C426" s="2">
        <v>13.163160606637891</v>
      </c>
      <c r="D426" s="2">
        <v>15.073666665643604</v>
      </c>
      <c r="E426" s="2">
        <v>11.590534145369924</v>
      </c>
      <c r="F426" s="2">
        <v>13.020448102478378</v>
      </c>
      <c r="G426" s="2">
        <v>13.074894128037196</v>
      </c>
      <c r="H426" s="2">
        <v>14.311855215870084</v>
      </c>
    </row>
    <row r="427" spans="1:8" x14ac:dyDescent="0.2">
      <c r="A427" s="16">
        <f>DATE(2018,12,18)</f>
        <v>43452</v>
      </c>
      <c r="B427" s="2">
        <v>10.194133389758543</v>
      </c>
      <c r="C427" s="2">
        <v>13.19102165844772</v>
      </c>
      <c r="D427" s="2">
        <v>15.106543031556606</v>
      </c>
      <c r="E427" s="2">
        <v>11.615710559297199</v>
      </c>
      <c r="F427" s="2">
        <v>13.049341896037149</v>
      </c>
      <c r="G427" s="2">
        <v>13.103930315050084</v>
      </c>
      <c r="H427" s="2">
        <v>14.344143089683792</v>
      </c>
    </row>
    <row r="428" spans="1:8" x14ac:dyDescent="0.2">
      <c r="A428" s="16">
        <f>DATE(2018,12,19)</f>
        <v>43453</v>
      </c>
      <c r="B428" s="2">
        <v>10.108470103343015</v>
      </c>
      <c r="C428" s="2">
        <v>13.218889569717861</v>
      </c>
      <c r="D428" s="2">
        <v>15.139428790195741</v>
      </c>
      <c r="E428" s="2">
        <v>11.640892653382039</v>
      </c>
      <c r="F428" s="2">
        <v>13.078243076323879</v>
      </c>
      <c r="G428" s="2">
        <v>13.132973958184513</v>
      </c>
      <c r="H428" s="2">
        <v>14.37644008334591</v>
      </c>
    </row>
    <row r="429" spans="1:8" x14ac:dyDescent="0.2">
      <c r="A429" s="16">
        <f>DATE(2018,12,20)</f>
        <v>43454</v>
      </c>
      <c r="B429" s="2">
        <v>10.409556654034159</v>
      </c>
      <c r="C429" s="2">
        <v>13.246764342137118</v>
      </c>
      <c r="D429" s="2">
        <v>15.17232394424448</v>
      </c>
      <c r="E429" s="2">
        <v>11.666080428905978</v>
      </c>
      <c r="F429" s="2">
        <v>13.107151645227022</v>
      </c>
      <c r="G429" s="2">
        <v>13.16202505935513</v>
      </c>
      <c r="H429" s="2">
        <v>14.40874619943242</v>
      </c>
    </row>
    <row r="430" spans="1:8" x14ac:dyDescent="0.2">
      <c r="A430" s="16">
        <f>DATE(2018,12,21)</f>
        <v>43455</v>
      </c>
      <c r="B430" s="2">
        <v>10.021169099170034</v>
      </c>
      <c r="C430" s="2">
        <v>13.274645977394741</v>
      </c>
      <c r="D430" s="2">
        <v>15.205228496387102</v>
      </c>
      <c r="E430" s="2">
        <v>11.691273887150876</v>
      </c>
      <c r="F430" s="2">
        <v>13.136067604635526</v>
      </c>
      <c r="G430" s="2">
        <v>13.191083620477141</v>
      </c>
      <c r="H430" s="2">
        <v>14.441061440520041</v>
      </c>
    </row>
    <row r="431" spans="1:8" x14ac:dyDescent="0.2">
      <c r="A431" s="16">
        <f>DATE(2018,12,24)</f>
        <v>43458</v>
      </c>
      <c r="B431" s="2">
        <v>10.235441397715149</v>
      </c>
      <c r="C431" s="2">
        <v>13.30253447718035</v>
      </c>
      <c r="D431" s="2">
        <v>15.238142449308612</v>
      </c>
      <c r="E431" s="2">
        <v>11.716473029398777</v>
      </c>
      <c r="F431" s="2">
        <v>13.164990956438706</v>
      </c>
      <c r="G431" s="2">
        <v>13.220149643466049</v>
      </c>
      <c r="H431" s="2">
        <v>14.473385809186089</v>
      </c>
    </row>
    <row r="432" spans="1:8" x14ac:dyDescent="0.2">
      <c r="A432" s="16">
        <f>DATE(2018,12,26)</f>
        <v>43460</v>
      </c>
      <c r="B432" s="2">
        <v>10.140002508091062</v>
      </c>
      <c r="C432" s="2">
        <v>13.330429843184023</v>
      </c>
      <c r="D432" s="2">
        <v>15.271065805694795</v>
      </c>
      <c r="E432" s="2">
        <v>11.741677856932098</v>
      </c>
      <c r="F432" s="2">
        <v>13.193921702526445</v>
      </c>
      <c r="G432" s="2">
        <v>13.24922313023802</v>
      </c>
      <c r="H432" s="2">
        <v>14.505719308008702</v>
      </c>
    </row>
    <row r="433" spans="1:8" x14ac:dyDescent="0.2">
      <c r="A433" s="16">
        <f>DATE(2018,12,27)</f>
        <v>43461</v>
      </c>
      <c r="B433" s="2">
        <v>10.480521043301504</v>
      </c>
      <c r="C433" s="2">
        <v>13.358332077096247</v>
      </c>
      <c r="D433" s="2">
        <v>15.303998568232213</v>
      </c>
      <c r="E433" s="2">
        <v>11.766888371033501</v>
      </c>
      <c r="F433" s="2">
        <v>13.222859844789125</v>
      </c>
      <c r="G433" s="2">
        <v>13.278304082709671</v>
      </c>
      <c r="H433" s="2">
        <v>14.538061939566751</v>
      </c>
    </row>
    <row r="434" spans="1:8" x14ac:dyDescent="0.2">
      <c r="A434" s="16">
        <f>DATE(2018,12,28)</f>
        <v>43462</v>
      </c>
      <c r="B434" s="2">
        <v>11.162663446450273</v>
      </c>
      <c r="C434" s="2">
        <v>13.386241180607893</v>
      </c>
      <c r="D434" s="2">
        <v>15.336940739608185</v>
      </c>
      <c r="E434" s="2">
        <v>11.792104572985963</v>
      </c>
      <c r="F434" s="2">
        <v>13.251805385117565</v>
      </c>
      <c r="G434" s="2">
        <v>13.307392502798066</v>
      </c>
      <c r="H434" s="2">
        <v>14.57041370643981</v>
      </c>
    </row>
    <row r="435" spans="1:8" x14ac:dyDescent="0.2">
      <c r="A435" s="16">
        <f>DATE(2018,12,31)</f>
        <v>43465</v>
      </c>
      <c r="B435" s="2">
        <v>11.022113798658717</v>
      </c>
      <c r="C435" s="2">
        <v>13.414157155410299</v>
      </c>
      <c r="D435" s="2">
        <v>15.369892322510802</v>
      </c>
      <c r="E435" s="2">
        <v>11.817326464072719</v>
      </c>
      <c r="F435" s="2">
        <v>13.280758325403076</v>
      </c>
      <c r="G435" s="2">
        <v>13.336488392420787</v>
      </c>
      <c r="H435" s="2">
        <v>14.602774611208158</v>
      </c>
    </row>
    <row r="436" spans="1:8" x14ac:dyDescent="0.2">
      <c r="A436" s="16">
        <f>DATE(2019,1,2)</f>
        <v>43467</v>
      </c>
      <c r="B436" s="2">
        <v>12.369154400333704</v>
      </c>
      <c r="C436" s="2">
        <v>13.442080003195178</v>
      </c>
      <c r="D436" s="2">
        <v>15.402853319628917</v>
      </c>
      <c r="E436" s="2">
        <v>11.852999674706165</v>
      </c>
      <c r="F436" s="2">
        <v>13.32030132373656</v>
      </c>
      <c r="G436" s="2">
        <v>13.376179628008723</v>
      </c>
      <c r="H436" s="2">
        <v>14.645851101923689</v>
      </c>
    </row>
    <row r="437" spans="1:8" x14ac:dyDescent="0.2">
      <c r="A437" s="16">
        <f>DATE(2019,1,3)</f>
        <v>43468</v>
      </c>
      <c r="B437" s="2">
        <v>13.557077792521177</v>
      </c>
      <c r="C437" s="2">
        <v>13.470009725654686</v>
      </c>
      <c r="D437" s="2">
        <v>15.435823733652176</v>
      </c>
      <c r="E437" s="2">
        <v>11.888684266205107</v>
      </c>
      <c r="F437" s="2">
        <v>13.359858125373748</v>
      </c>
      <c r="G437" s="2">
        <v>13.415884763746554</v>
      </c>
      <c r="H437" s="2">
        <v>14.688943784080077</v>
      </c>
    </row>
    <row r="438" spans="1:8" x14ac:dyDescent="0.2">
      <c r="A438" s="16">
        <f>DATE(2019,1,4)</f>
        <v>43469</v>
      </c>
      <c r="B438" s="2">
        <v>13.898336596439311</v>
      </c>
      <c r="C438" s="2">
        <v>13.497946324481379</v>
      </c>
      <c r="D438" s="2">
        <v>15.46880356727096</v>
      </c>
      <c r="E438" s="2">
        <v>11.924380242200504</v>
      </c>
      <c r="F438" s="2">
        <v>13.399428735133112</v>
      </c>
      <c r="G438" s="2">
        <v>13.455603804502324</v>
      </c>
      <c r="H438" s="2">
        <v>14.732052663763406</v>
      </c>
    </row>
    <row r="439" spans="1:8" x14ac:dyDescent="0.2">
      <c r="A439" s="16">
        <f>DATE(2019,1,7)</f>
        <v>43472</v>
      </c>
      <c r="B439" s="2">
        <v>13.600429144924409</v>
      </c>
      <c r="C439" s="2">
        <v>13.52588980136824</v>
      </c>
      <c r="D439" s="2">
        <v>15.50179282317643</v>
      </c>
      <c r="E439" s="2">
        <v>11.960087606324254</v>
      </c>
      <c r="F439" s="2">
        <v>13.439013157834513</v>
      </c>
      <c r="G439" s="2">
        <v>13.49533675514556</v>
      </c>
      <c r="H439" s="2">
        <v>14.775177747061852</v>
      </c>
    </row>
    <row r="440" spans="1:8" x14ac:dyDescent="0.2">
      <c r="A440" s="16">
        <f>DATE(2019,1,8)</f>
        <v>43473</v>
      </c>
      <c r="B440" s="2">
        <v>13.642173201571859</v>
      </c>
      <c r="C440" s="2">
        <v>13.553840158008668</v>
      </c>
      <c r="D440" s="2">
        <v>15.53479150406052</v>
      </c>
      <c r="E440" s="2">
        <v>11.99580636220956</v>
      </c>
      <c r="F440" s="2">
        <v>13.47861139829971</v>
      </c>
      <c r="G440" s="2">
        <v>13.535083620547628</v>
      </c>
      <c r="H440" s="2">
        <v>14.818319040066008</v>
      </c>
    </row>
    <row r="441" spans="1:8" x14ac:dyDescent="0.2">
      <c r="A441" s="16">
        <f>DATE(2019,1,9)</f>
        <v>43474</v>
      </c>
      <c r="B441" s="2">
        <v>14.654754316705644</v>
      </c>
      <c r="C441" s="2">
        <v>13.581797396096462</v>
      </c>
      <c r="D441" s="2">
        <v>15.567799612615939</v>
      </c>
      <c r="E441" s="2">
        <v>12.031536513490758</v>
      </c>
      <c r="F441" s="2">
        <v>13.518223461352076</v>
      </c>
      <c r="G441" s="2">
        <v>13.57484440558161</v>
      </c>
      <c r="H441" s="2">
        <v>14.861476548868714</v>
      </c>
    </row>
    <row r="442" spans="1:8" x14ac:dyDescent="0.2">
      <c r="A442" s="16">
        <f>DATE(2019,1,10)</f>
        <v>43475</v>
      </c>
      <c r="B442" s="2">
        <v>14.421189398757649</v>
      </c>
      <c r="C442" s="2">
        <v>13.60976151732587</v>
      </c>
      <c r="D442" s="2">
        <v>15.600817151536162</v>
      </c>
      <c r="E442" s="2">
        <v>12.067278063803345</v>
      </c>
      <c r="F442" s="2">
        <v>13.557849351816698</v>
      </c>
      <c r="G442" s="2">
        <v>13.614619115122251</v>
      </c>
      <c r="H442" s="2">
        <v>14.904650279565157</v>
      </c>
    </row>
    <row r="443" spans="1:8" x14ac:dyDescent="0.2">
      <c r="A443" s="16">
        <f>DATE(2019,1,11)</f>
        <v>43476</v>
      </c>
      <c r="B443" s="2">
        <v>14.177230296900145</v>
      </c>
      <c r="C443" s="2">
        <v>13.637732523391533</v>
      </c>
      <c r="D443" s="2">
        <v>15.633844123515406</v>
      </c>
      <c r="E443" s="2">
        <v>12.103031016783916</v>
      </c>
      <c r="F443" s="2">
        <v>13.597489074520253</v>
      </c>
      <c r="G443" s="2">
        <v>13.654407754045961</v>
      </c>
      <c r="H443" s="2">
        <v>14.947840238252663</v>
      </c>
    </row>
    <row r="444" spans="1:8" x14ac:dyDescent="0.2">
      <c r="A444" s="16">
        <f>DATE(2019,1,14)</f>
        <v>43479</v>
      </c>
      <c r="B444" s="2">
        <v>14.351208654211534</v>
      </c>
      <c r="C444" s="2">
        <v>13.665710415988498</v>
      </c>
      <c r="D444" s="2">
        <v>15.666880531248696</v>
      </c>
      <c r="E444" s="2">
        <v>12.138795376070366</v>
      </c>
      <c r="F444" s="2">
        <v>13.637142634291276</v>
      </c>
      <c r="G444" s="2">
        <v>13.694210327230993</v>
      </c>
      <c r="H444" s="2">
        <v>14.991046431031085</v>
      </c>
    </row>
    <row r="445" spans="1:8" x14ac:dyDescent="0.2">
      <c r="A445" s="16">
        <f>DATE(2019,1,15)</f>
        <v>43480</v>
      </c>
      <c r="B445" s="2">
        <v>14.016921559013218</v>
      </c>
      <c r="C445" s="2">
        <v>13.693695196812271</v>
      </c>
      <c r="D445" s="2">
        <v>15.699926377431805</v>
      </c>
      <c r="E445" s="2">
        <v>12.174571145301583</v>
      </c>
      <c r="F445" s="2">
        <v>13.676810035959797</v>
      </c>
      <c r="G445" s="2">
        <v>13.734026839557133</v>
      </c>
      <c r="H445" s="2">
        <v>15.034268864002343</v>
      </c>
    </row>
    <row r="446" spans="1:8" x14ac:dyDescent="0.2">
      <c r="A446" s="16">
        <f>DATE(2019,1,16)</f>
        <v>43481</v>
      </c>
      <c r="B446" s="2">
        <v>14.087921440615858</v>
      </c>
      <c r="C446" s="2">
        <v>13.721686867558724</v>
      </c>
      <c r="D446" s="2">
        <v>15.732981664761292</v>
      </c>
      <c r="E446" s="2">
        <v>12.210358328117721</v>
      </c>
      <c r="F446" s="2">
        <v>13.716491284357636</v>
      </c>
      <c r="G446" s="2">
        <v>13.773857295906033</v>
      </c>
      <c r="H446" s="2">
        <v>15.077507543270752</v>
      </c>
    </row>
    <row r="447" spans="1:8" x14ac:dyDescent="0.2">
      <c r="A447" s="16">
        <f>DATE(2019,1,17)</f>
        <v>43482</v>
      </c>
      <c r="B447" s="2">
        <v>14.07223889874647</v>
      </c>
      <c r="C447" s="2">
        <v>13.749685429924208</v>
      </c>
      <c r="D447" s="2">
        <v>15.766046395934485</v>
      </c>
      <c r="E447" s="2">
        <v>12.246156928160069</v>
      </c>
      <c r="F447" s="2">
        <v>13.75618638431828</v>
      </c>
      <c r="G447" s="2">
        <v>13.813701701160962</v>
      </c>
      <c r="H447" s="2">
        <v>15.120762474942939</v>
      </c>
    </row>
    <row r="448" spans="1:8" x14ac:dyDescent="0.2">
      <c r="A448" s="16">
        <f>DATE(2019,1,18)</f>
        <v>43483</v>
      </c>
      <c r="B448" s="2">
        <v>13.945982521413947</v>
      </c>
      <c r="C448" s="2">
        <v>13.777690885605431</v>
      </c>
      <c r="D448" s="2">
        <v>15.799120573649471</v>
      </c>
      <c r="E448" s="2">
        <v>12.281966949071066</v>
      </c>
      <c r="F448" s="2">
        <v>13.79589534067691</v>
      </c>
      <c r="G448" s="2">
        <v>13.853560060206926</v>
      </c>
      <c r="H448" s="2">
        <v>15.164033665127796</v>
      </c>
    </row>
    <row r="449" spans="1:8" x14ac:dyDescent="0.2">
      <c r="A449" s="16">
        <f>DATE(2019,1,21)</f>
        <v>43486</v>
      </c>
      <c r="B449" s="2">
        <v>13.93975108140182</v>
      </c>
      <c r="C449" s="2">
        <v>13.80570323629955</v>
      </c>
      <c r="D449" s="2">
        <v>15.832204200605092</v>
      </c>
      <c r="E449" s="2">
        <v>12.317788394494356</v>
      </c>
      <c r="F449" s="2">
        <v>13.835618158270391</v>
      </c>
      <c r="G449" s="2">
        <v>13.893432377930637</v>
      </c>
      <c r="H449" s="2">
        <v>15.2073211199365</v>
      </c>
    </row>
    <row r="450" spans="1:8" x14ac:dyDescent="0.2">
      <c r="A450" s="16">
        <f>DATE(2019,1,22)</f>
        <v>43487</v>
      </c>
      <c r="B450" s="2">
        <v>13.539793025229606</v>
      </c>
      <c r="C450" s="2">
        <v>13.833722483704136</v>
      </c>
      <c r="D450" s="2">
        <v>15.865297279501013</v>
      </c>
      <c r="E450" s="2">
        <v>12.353621268074688</v>
      </c>
      <c r="F450" s="2">
        <v>13.87535484193727</v>
      </c>
      <c r="G450" s="2">
        <v>13.933318659220516</v>
      </c>
      <c r="H450" s="2">
        <v>15.250624845482562</v>
      </c>
    </row>
    <row r="451" spans="1:8" x14ac:dyDescent="0.2">
      <c r="A451" s="16">
        <f>DATE(2019,1,23)</f>
        <v>43488</v>
      </c>
      <c r="B451" s="2">
        <v>13.899553476506753</v>
      </c>
      <c r="C451" s="2">
        <v>13.861748629517168</v>
      </c>
      <c r="D451" s="2">
        <v>15.898399813037623</v>
      </c>
      <c r="E451" s="2">
        <v>12.389465573458015</v>
      </c>
      <c r="F451" s="2">
        <v>13.91510539651779</v>
      </c>
      <c r="G451" s="2">
        <v>13.973218908966722</v>
      </c>
      <c r="H451" s="2">
        <v>15.293944847881757</v>
      </c>
    </row>
    <row r="452" spans="1:8" x14ac:dyDescent="0.2">
      <c r="A452" s="16">
        <f>DATE(2019,1,24)</f>
        <v>43489</v>
      </c>
      <c r="B452" s="2">
        <v>14.112517628979337</v>
      </c>
      <c r="C452" s="2">
        <v>13.889781675437064</v>
      </c>
      <c r="D452" s="2">
        <v>15.931511803916099</v>
      </c>
      <c r="E452" s="2">
        <v>12.425321314291415</v>
      </c>
      <c r="F452" s="2">
        <v>13.954869826853876</v>
      </c>
      <c r="G452" s="2">
        <v>14.013133132061094</v>
      </c>
      <c r="H452" s="2">
        <v>15.337281133252167</v>
      </c>
    </row>
    <row r="453" spans="1:8" x14ac:dyDescent="0.2">
      <c r="A453" s="16">
        <f>DATE(2019,1,25)</f>
        <v>43490</v>
      </c>
      <c r="B453" s="2">
        <v>14.119976089726149</v>
      </c>
      <c r="C453" s="2">
        <v>13.91782162316264</v>
      </c>
      <c r="D453" s="2">
        <v>15.964633254838366</v>
      </c>
      <c r="E453" s="2">
        <v>12.461188494223174</v>
      </c>
      <c r="F453" s="2">
        <v>13.994648137789166</v>
      </c>
      <c r="G453" s="2">
        <v>14.05306133339721</v>
      </c>
      <c r="H453" s="2">
        <v>15.380633707714185</v>
      </c>
    </row>
    <row r="454" spans="1:8" x14ac:dyDescent="0.2">
      <c r="A454" s="16">
        <f>DATE(2019,1,28)</f>
        <v>43493</v>
      </c>
      <c r="B454" s="2">
        <v>14.048844379449532</v>
      </c>
      <c r="C454" s="2">
        <v>13.945868474393142</v>
      </c>
      <c r="D454" s="2">
        <v>15.997764168507178</v>
      </c>
      <c r="E454" s="2">
        <v>12.497067116902727</v>
      </c>
      <c r="F454" s="2">
        <v>14.034440334168963</v>
      </c>
      <c r="G454" s="2">
        <v>14.093003517870327</v>
      </c>
      <c r="H454" s="2">
        <v>15.424002577390516</v>
      </c>
    </row>
    <row r="455" spans="1:8" x14ac:dyDescent="0.2">
      <c r="A455" s="16">
        <f>DATE(2019,1,29)</f>
        <v>43494</v>
      </c>
      <c r="B455" s="2">
        <v>14.216302287732786</v>
      </c>
      <c r="C455" s="2">
        <v>13.973922230828251</v>
      </c>
      <c r="D455" s="2">
        <v>16.030904547626037</v>
      </c>
      <c r="E455" s="2">
        <v>12.532957185980642</v>
      </c>
      <c r="F455" s="2">
        <v>14.074246420840254</v>
      </c>
      <c r="G455" s="2">
        <v>14.132959690377467</v>
      </c>
      <c r="H455" s="2">
        <v>15.467387748406125</v>
      </c>
    </row>
    <row r="456" spans="1:8" x14ac:dyDescent="0.2">
      <c r="A456" s="16">
        <f>DATE(2019,1,30)</f>
        <v>43495</v>
      </c>
      <c r="B456" s="2">
        <v>14.796601969902445</v>
      </c>
      <c r="C456" s="2">
        <v>14.001982894167964</v>
      </c>
      <c r="D456" s="2">
        <v>16.064054394899131</v>
      </c>
      <c r="E456" s="2">
        <v>12.56885870510871</v>
      </c>
      <c r="F456" s="2">
        <v>14.11406640265176</v>
      </c>
      <c r="G456" s="2">
        <v>14.172929855817307</v>
      </c>
      <c r="H456" s="2">
        <v>15.51078922688831</v>
      </c>
    </row>
    <row r="457" spans="1:8" x14ac:dyDescent="0.2">
      <c r="A457" s="16">
        <f>DATE(2019,1,31)</f>
        <v>43496</v>
      </c>
      <c r="B457" s="2">
        <v>15.722936710255064</v>
      </c>
      <c r="C457" s="2">
        <v>14.030050466112852</v>
      </c>
      <c r="D457" s="2">
        <v>16.097213713031564</v>
      </c>
      <c r="E457" s="2">
        <v>12.60477167793983</v>
      </c>
      <c r="F457" s="2">
        <v>14.153900284453846</v>
      </c>
      <c r="G457" s="2">
        <v>14.212914019090285</v>
      </c>
      <c r="H457" s="2">
        <v>15.554207018966659</v>
      </c>
    </row>
    <row r="458" spans="1:8" x14ac:dyDescent="0.2">
      <c r="A458" s="16">
        <f>DATE(2019,2,1)</f>
        <v>43497</v>
      </c>
      <c r="B458" s="2">
        <v>15.569097718060121</v>
      </c>
      <c r="C458" s="2">
        <v>14.058124948363826</v>
      </c>
      <c r="D458" s="2">
        <v>16.130382504729134</v>
      </c>
      <c r="E458" s="2">
        <v>12.652628891931283</v>
      </c>
      <c r="F458" s="2">
        <v>14.205845380104053</v>
      </c>
      <c r="G458" s="2">
        <v>14.26501576175505</v>
      </c>
      <c r="H458" s="2">
        <v>15.609887163578563</v>
      </c>
    </row>
    <row r="459" spans="1:8" x14ac:dyDescent="0.2">
      <c r="A459" s="16">
        <f>DATE(2019,2,4)</f>
        <v>43500</v>
      </c>
      <c r="B459" s="2">
        <v>15.402101210135788</v>
      </c>
      <c r="C459" s="2">
        <v>14.086206342622187</v>
      </c>
      <c r="D459" s="2">
        <v>16.163560772698403</v>
      </c>
      <c r="E459" s="2">
        <v>12.70050644531775</v>
      </c>
      <c r="F459" s="2">
        <v>14.257814113080315</v>
      </c>
      <c r="G459" s="2">
        <v>14.317141272236379</v>
      </c>
      <c r="H459" s="2">
        <v>15.66559413783677</v>
      </c>
    </row>
    <row r="460" spans="1:8" x14ac:dyDescent="0.2">
      <c r="A460" s="16">
        <f>DATE(2019,2,5)</f>
        <v>43501</v>
      </c>
      <c r="B460" s="2">
        <v>15.365549175109482</v>
      </c>
      <c r="C460" s="2">
        <v>14.114294650589754</v>
      </c>
      <c r="D460" s="2">
        <v>16.19674851964681</v>
      </c>
      <c r="E460" s="2">
        <v>12.748404346743492</v>
      </c>
      <c r="F460" s="2">
        <v>14.309806494138666</v>
      </c>
      <c r="G460" s="2">
        <v>14.36929056137668</v>
      </c>
      <c r="H460" s="2">
        <v>15.721327954669251</v>
      </c>
    </row>
    <row r="461" spans="1:8" x14ac:dyDescent="0.2">
      <c r="A461" s="16">
        <f>DATE(2019,2,6)</f>
        <v>43502</v>
      </c>
      <c r="B461" s="2">
        <v>14.678640658363131</v>
      </c>
      <c r="C461" s="2">
        <v>14.14238987396863</v>
      </c>
      <c r="D461" s="2">
        <v>16.229945748282383</v>
      </c>
      <c r="E461" s="2">
        <v>12.79632260485648</v>
      </c>
      <c r="F461" s="2">
        <v>14.361822534040035</v>
      </c>
      <c r="G461" s="2">
        <v>14.421463640023346</v>
      </c>
      <c r="H461" s="2">
        <v>15.77708862701015</v>
      </c>
    </row>
    <row r="462" spans="1:8" x14ac:dyDescent="0.2">
      <c r="A462" s="16">
        <f>DATE(2019,2,7)</f>
        <v>43503</v>
      </c>
      <c r="B462" s="2">
        <v>14.098564070872467</v>
      </c>
      <c r="C462" s="2">
        <v>14.170492014461432</v>
      </c>
      <c r="D462" s="2">
        <v>16.263152461314046</v>
      </c>
      <c r="E462" s="2">
        <v>12.84426122830833</v>
      </c>
      <c r="F462" s="2">
        <v>14.413862243550257</v>
      </c>
      <c r="G462" s="2">
        <v>14.473660519028675</v>
      </c>
      <c r="H462" s="2">
        <v>15.832876167799892</v>
      </c>
    </row>
    <row r="463" spans="1:8" x14ac:dyDescent="0.2">
      <c r="A463" s="16">
        <f>DATE(2019,2,8)</f>
        <v>43504</v>
      </c>
      <c r="B463" s="2">
        <v>14.134431610860831</v>
      </c>
      <c r="C463" s="2">
        <v>14.198601073771178</v>
      </c>
      <c r="D463" s="2">
        <v>16.296368661451499</v>
      </c>
      <c r="E463" s="2">
        <v>12.892220225754336</v>
      </c>
      <c r="F463" s="2">
        <v>14.465925633440047</v>
      </c>
      <c r="G463" s="2">
        <v>14.525881209249937</v>
      </c>
      <c r="H463" s="2">
        <v>15.888690589985123</v>
      </c>
    </row>
    <row r="464" spans="1:8" x14ac:dyDescent="0.2">
      <c r="A464" s="16">
        <f>DATE(2019,2,11)</f>
        <v>43507</v>
      </c>
      <c r="B464" s="2">
        <v>13.59293519184226</v>
      </c>
      <c r="C464" s="2">
        <v>14.226717053601281</v>
      </c>
      <c r="D464" s="2">
        <v>16.329594351405198</v>
      </c>
      <c r="E464" s="2">
        <v>12.940199605853486</v>
      </c>
      <c r="F464" s="2">
        <v>14.51801271448503</v>
      </c>
      <c r="G464" s="2">
        <v>14.57812572154935</v>
      </c>
      <c r="H464" s="2">
        <v>15.944531906518723</v>
      </c>
    </row>
    <row r="465" spans="1:8" x14ac:dyDescent="0.2">
      <c r="A465" s="16">
        <f>DATE(2019,2,12)</f>
        <v>43508</v>
      </c>
      <c r="B465" s="2">
        <v>14.219739973923341</v>
      </c>
      <c r="C465" s="2">
        <v>14.254839955655596</v>
      </c>
      <c r="D465" s="2">
        <v>16.362829533886348</v>
      </c>
      <c r="E465" s="2">
        <v>12.988199377268449</v>
      </c>
      <c r="F465" s="2">
        <v>14.570123497465737</v>
      </c>
      <c r="G465" s="2">
        <v>14.630394066794072</v>
      </c>
      <c r="H465" s="2">
        <v>16.000400130359814</v>
      </c>
    </row>
    <row r="466" spans="1:8" x14ac:dyDescent="0.2">
      <c r="A466" s="16">
        <f>DATE(2019,2,13)</f>
        <v>43509</v>
      </c>
      <c r="B466" s="2">
        <v>14.091840808499745</v>
      </c>
      <c r="C466" s="2">
        <v>14.28296978163841</v>
      </c>
      <c r="D466" s="2">
        <v>16.396074211606962</v>
      </c>
      <c r="E466" s="2">
        <v>13.036219548665562</v>
      </c>
      <c r="F466" s="2">
        <v>14.62225799316761</v>
      </c>
      <c r="G466" s="2">
        <v>14.68268625585627</v>
      </c>
      <c r="H466" s="2">
        <v>16.056295274473765</v>
      </c>
    </row>
    <row r="467" spans="1:8" x14ac:dyDescent="0.2">
      <c r="A467" s="16">
        <f>DATE(2019,2,14)</f>
        <v>43510</v>
      </c>
      <c r="B467" s="2">
        <v>14.387547735225992</v>
      </c>
      <c r="C467" s="2">
        <v>14.31110653325438</v>
      </c>
      <c r="D467" s="2">
        <v>16.429328387279796</v>
      </c>
      <c r="E467" s="2">
        <v>13.084260128714842</v>
      </c>
      <c r="F467" s="2">
        <v>14.67441621238097</v>
      </c>
      <c r="G467" s="2">
        <v>14.73500229961302</v>
      </c>
      <c r="H467" s="2">
        <v>16.112217351832172</v>
      </c>
    </row>
    <row r="468" spans="1:8" x14ac:dyDescent="0.2">
      <c r="A468" s="16">
        <f>DATE(2019,2,15)</f>
        <v>43511</v>
      </c>
      <c r="B468" s="2">
        <v>14.353916212361595</v>
      </c>
      <c r="C468" s="2">
        <v>14.339250212208633</v>
      </c>
      <c r="D468" s="2">
        <v>16.46259206361842</v>
      </c>
      <c r="E468" s="2">
        <v>13.132321126090019</v>
      </c>
      <c r="F468" s="2">
        <v>14.726598165901073</v>
      </c>
      <c r="G468" s="2">
        <v>14.787342208946376</v>
      </c>
      <c r="H468" s="2">
        <v>16.16816637541292</v>
      </c>
    </row>
    <row r="469" spans="1:8" x14ac:dyDescent="0.2">
      <c r="A469" s="16">
        <f>DATE(2019,2,18)</f>
        <v>43514</v>
      </c>
      <c r="B469" s="2">
        <v>14.16265308775866</v>
      </c>
      <c r="C469" s="2">
        <v>14.36740082020671</v>
      </c>
      <c r="D469" s="2">
        <v>16.49586524333715</v>
      </c>
      <c r="E469" s="2">
        <v>13.18040254946844</v>
      </c>
      <c r="F469" s="2">
        <v>14.778803864528077</v>
      </c>
      <c r="G469" s="2">
        <v>14.839705994743335</v>
      </c>
      <c r="H469" s="2">
        <v>16.224142358200091</v>
      </c>
    </row>
    <row r="470" spans="1:8" x14ac:dyDescent="0.2">
      <c r="A470" s="16">
        <f>DATE(2019,2,19)</f>
        <v>43515</v>
      </c>
      <c r="B470" s="2">
        <v>14.589630951762089</v>
      </c>
      <c r="C470" s="2">
        <v>14.39555835895454</v>
      </c>
      <c r="D470" s="2">
        <v>16.529147929151101</v>
      </c>
      <c r="E470" s="2">
        <v>13.228504407531293</v>
      </c>
      <c r="F470" s="2">
        <v>14.831033319067123</v>
      </c>
      <c r="G470" s="2">
        <v>14.892093667895946</v>
      </c>
      <c r="H470" s="2">
        <v>16.280145313184157</v>
      </c>
    </row>
    <row r="471" spans="1:8" x14ac:dyDescent="0.2">
      <c r="A471" s="16">
        <f>DATE(2019,2,20)</f>
        <v>43516</v>
      </c>
      <c r="B471" s="2">
        <v>14.195549412248987</v>
      </c>
      <c r="C471" s="2">
        <v>14.423722830158493</v>
      </c>
      <c r="D471" s="2">
        <v>16.562440123776124</v>
      </c>
      <c r="E471" s="2">
        <v>13.276626708963256</v>
      </c>
      <c r="F471" s="2">
        <v>14.883286540328132</v>
      </c>
      <c r="G471" s="2">
        <v>14.94450523930111</v>
      </c>
      <c r="H471" s="2">
        <v>16.336175253361663</v>
      </c>
    </row>
    <row r="472" spans="1:8" x14ac:dyDescent="0.2">
      <c r="A472" s="16">
        <f>DATE(2019,2,21)</f>
        <v>43517</v>
      </c>
      <c r="B472" s="2">
        <v>13.919976780305587</v>
      </c>
      <c r="C472" s="2">
        <v>14.451894235525353</v>
      </c>
      <c r="D472" s="2">
        <v>16.59574182992889</v>
      </c>
      <c r="E472" s="2">
        <v>13.324769462452846</v>
      </c>
      <c r="F472" s="2">
        <v>14.93556353912604</v>
      </c>
      <c r="G472" s="2">
        <v>14.996940719860753</v>
      </c>
      <c r="H472" s="2">
        <v>16.392232191735534</v>
      </c>
    </row>
    <row r="473" spans="1:8" x14ac:dyDescent="0.2">
      <c r="A473" s="16">
        <f>DATE(2019,2,22)</f>
        <v>43518</v>
      </c>
      <c r="B473" s="2">
        <v>14.113785212382934</v>
      </c>
      <c r="C473" s="2">
        <v>14.480072576762337</v>
      </c>
      <c r="D473" s="2">
        <v>16.629053050326824</v>
      </c>
      <c r="E473" s="2">
        <v>13.372932676692194</v>
      </c>
      <c r="F473" s="2">
        <v>14.987864326280675</v>
      </c>
      <c r="G473" s="2">
        <v>15.049400120481794</v>
      </c>
      <c r="H473" s="2">
        <v>16.448316141314923</v>
      </c>
    </row>
    <row r="474" spans="1:8" x14ac:dyDescent="0.2">
      <c r="A474" s="16">
        <f>DATE(2019,2,25)</f>
        <v>43521</v>
      </c>
      <c r="B474" s="2">
        <v>13.926943418691785</v>
      </c>
      <c r="C474" s="2">
        <v>14.508257855577078</v>
      </c>
      <c r="D474" s="2">
        <v>16.662373787688136</v>
      </c>
      <c r="E474" s="2">
        <v>13.421116360377194</v>
      </c>
      <c r="F474" s="2">
        <v>15.040188912616848</v>
      </c>
      <c r="G474" s="2">
        <v>15.101883452076104</v>
      </c>
      <c r="H474" s="2">
        <v>16.504427115115305</v>
      </c>
    </row>
    <row r="475" spans="1:8" x14ac:dyDescent="0.2">
      <c r="A475" s="16">
        <f>DATE(2019,2,26)</f>
        <v>43522</v>
      </c>
      <c r="B475" s="2">
        <v>13.888256773213813</v>
      </c>
      <c r="C475" s="2">
        <v>14.53645007367761</v>
      </c>
      <c r="D475" s="2">
        <v>16.695704044731794</v>
      </c>
      <c r="E475" s="2">
        <v>13.469320522207306</v>
      </c>
      <c r="F475" s="2">
        <v>15.092537308964138</v>
      </c>
      <c r="G475" s="2">
        <v>15.154390725560486</v>
      </c>
      <c r="H475" s="2">
        <v>16.560565126158291</v>
      </c>
    </row>
    <row r="476" spans="1:8" x14ac:dyDescent="0.2">
      <c r="A476" s="16">
        <f>DATE(2019,2,27)</f>
        <v>43523</v>
      </c>
      <c r="B476" s="2">
        <v>13.970958984798543</v>
      </c>
      <c r="C476" s="2">
        <v>14.56464923277241</v>
      </c>
      <c r="D476" s="2">
        <v>16.72904382417757</v>
      </c>
      <c r="E476" s="2">
        <v>13.517545170885858</v>
      </c>
      <c r="F476" s="2">
        <v>15.144909526157257</v>
      </c>
      <c r="G476" s="2">
        <v>15.206921951856843</v>
      </c>
      <c r="H476" s="2">
        <v>16.616730187471941</v>
      </c>
    </row>
    <row r="477" spans="1:8" x14ac:dyDescent="0.2">
      <c r="A477" s="16">
        <f>DATE(2019,2,28)</f>
        <v>43524</v>
      </c>
      <c r="B477" s="2">
        <v>13.634760373827604</v>
      </c>
      <c r="C477" s="2">
        <v>14.592855334570377</v>
      </c>
      <c r="D477" s="2">
        <v>16.762393128745991</v>
      </c>
      <c r="E477" s="2">
        <v>13.565790315119752</v>
      </c>
      <c r="F477" s="2">
        <v>15.197305575035713</v>
      </c>
      <c r="G477" s="2">
        <v>15.259477141891953</v>
      </c>
      <c r="H477" s="2">
        <v>16.672922312090478</v>
      </c>
    </row>
    <row r="478" spans="1:8" x14ac:dyDescent="0.2">
      <c r="A478" s="16">
        <f>DATE(2019,3,1)</f>
        <v>43525</v>
      </c>
      <c r="B478" s="2">
        <v>13.218273030072393</v>
      </c>
      <c r="C478" s="2">
        <v>14.621068380780811</v>
      </c>
      <c r="D478" s="2">
        <v>16.795751961158366</v>
      </c>
      <c r="E478" s="2">
        <v>13.62933095095773</v>
      </c>
      <c r="F478" s="2">
        <v>15.265220363464294</v>
      </c>
      <c r="G478" s="2">
        <v>15.327559583767636</v>
      </c>
      <c r="H478" s="2">
        <v>16.744835312060857</v>
      </c>
    </row>
    <row r="479" spans="1:8" x14ac:dyDescent="0.2">
      <c r="A479" s="16">
        <f>DATE(2019,3,6)</f>
        <v>43530</v>
      </c>
      <c r="B479" s="2">
        <v>12.901179436160559</v>
      </c>
      <c r="C479" s="2">
        <v>14.649288373113434</v>
      </c>
      <c r="D479" s="2">
        <v>16.829120324136817</v>
      </c>
      <c r="E479" s="2">
        <v>13.692907138103806</v>
      </c>
      <c r="F479" s="2">
        <v>15.33317519118429</v>
      </c>
      <c r="G479" s="2">
        <v>15.395682241155351</v>
      </c>
      <c r="H479" s="2">
        <v>16.816792636622257</v>
      </c>
    </row>
    <row r="480" spans="1:8" x14ac:dyDescent="0.2">
      <c r="A480" s="16">
        <f>DATE(2019,3,7)</f>
        <v>43531</v>
      </c>
      <c r="B480" s="2">
        <v>12.890136249548355</v>
      </c>
      <c r="C480" s="2">
        <v>14.677515313278411</v>
      </c>
      <c r="D480" s="2">
        <v>16.862498220404177</v>
      </c>
      <c r="E480" s="2">
        <v>13.756518896449133</v>
      </c>
      <c r="F480" s="2">
        <v>15.401170081800929</v>
      </c>
      <c r="G480" s="2">
        <v>15.463845137809962</v>
      </c>
      <c r="H480" s="2">
        <v>16.888794313094756</v>
      </c>
    </row>
    <row r="481" spans="1:8" x14ac:dyDescent="0.2">
      <c r="A481" s="16">
        <f>DATE(2019,3,8)</f>
        <v>43532</v>
      </c>
      <c r="B481" s="2">
        <v>13.302526763743105</v>
      </c>
      <c r="C481" s="2">
        <v>14.705749202986331</v>
      </c>
      <c r="D481" s="2">
        <v>16.895885652684093</v>
      </c>
      <c r="E481" s="2">
        <v>13.820166245895994</v>
      </c>
      <c r="F481" s="2">
        <v>15.469205058933365</v>
      </c>
      <c r="G481" s="2">
        <v>15.532048297500323</v>
      </c>
      <c r="H481" s="2">
        <v>16.960840368815312</v>
      </c>
    </row>
    <row r="482" spans="1:8" x14ac:dyDescent="0.2">
      <c r="A482" s="16">
        <f>DATE(2019,3,11)</f>
        <v>43535</v>
      </c>
      <c r="B482" s="2">
        <v>13.952264664762204</v>
      </c>
      <c r="C482" s="2">
        <v>14.733990043948152</v>
      </c>
      <c r="D482" s="2">
        <v>16.929282623700992</v>
      </c>
      <c r="E482" s="2">
        <v>13.883849206357768</v>
      </c>
      <c r="F482" s="2">
        <v>15.537280146214695</v>
      </c>
      <c r="G482" s="2">
        <v>15.600291744009365</v>
      </c>
      <c r="H482" s="2">
        <v>17.032930831137659</v>
      </c>
    </row>
    <row r="483" spans="1:8" x14ac:dyDescent="0.2">
      <c r="A483" s="16">
        <f>DATE(2019,3,12)</f>
        <v>43536</v>
      </c>
      <c r="B483" s="2">
        <v>14.282652673411024</v>
      </c>
      <c r="C483" s="2">
        <v>14.762237837875315</v>
      </c>
      <c r="D483" s="2">
        <v>16.962689136180089</v>
      </c>
      <c r="E483" s="2">
        <v>13.947567797759008</v>
      </c>
      <c r="F483" s="2">
        <v>15.60539536729193</v>
      </c>
      <c r="G483" s="2">
        <v>15.668575501134031</v>
      </c>
      <c r="H483" s="2">
        <v>17.105065727432446</v>
      </c>
    </row>
    <row r="484" spans="1:8" x14ac:dyDescent="0.2">
      <c r="A484" s="16">
        <f>DATE(2019,3,13)</f>
        <v>43537</v>
      </c>
      <c r="B484" s="2">
        <v>14.969951605845688</v>
      </c>
      <c r="C484" s="2">
        <v>14.790492586479663</v>
      </c>
      <c r="D484" s="2">
        <v>16.996105192847356</v>
      </c>
      <c r="E484" s="2">
        <v>14.01132204003539</v>
      </c>
      <c r="F484" s="2">
        <v>15.673550745826015</v>
      </c>
      <c r="G484" s="2">
        <v>15.736899592685338</v>
      </c>
      <c r="H484" s="2">
        <v>17.177245085087179</v>
      </c>
    </row>
    <row r="485" spans="1:8" x14ac:dyDescent="0.2">
      <c r="A485" s="16">
        <f>DATE(2019,3,14)</f>
        <v>43538</v>
      </c>
      <c r="B485" s="2">
        <v>14.444507863050339</v>
      </c>
      <c r="C485" s="2">
        <v>14.818754291473436</v>
      </c>
      <c r="D485" s="2">
        <v>17.029530796429547</v>
      </c>
      <c r="E485" s="2">
        <v>14.07511195313378</v>
      </c>
      <c r="F485" s="2">
        <v>15.741746305491855</v>
      </c>
      <c r="G485" s="2">
        <v>15.805264042488364</v>
      </c>
      <c r="H485" s="2">
        <v>17.24946893150625</v>
      </c>
    </row>
    <row r="486" spans="1:8" x14ac:dyDescent="0.2">
      <c r="A486" s="16">
        <f>DATE(2019,3,15)</f>
        <v>43539</v>
      </c>
      <c r="B486" s="2">
        <v>14.777349913168546</v>
      </c>
      <c r="C486" s="2">
        <v>14.847022954569322</v>
      </c>
      <c r="D486" s="2">
        <v>17.06296594965422</v>
      </c>
      <c r="E486" s="2">
        <v>14.138937557012188</v>
      </c>
      <c r="F486" s="2">
        <v>15.809982069978346</v>
      </c>
      <c r="G486" s="2">
        <v>15.873668874382284</v>
      </c>
      <c r="H486" s="2">
        <v>17.321737294110974</v>
      </c>
    </row>
    <row r="487" spans="1:8" x14ac:dyDescent="0.2">
      <c r="A487" s="16">
        <f>DATE(2019,3,18)</f>
        <v>43542</v>
      </c>
      <c r="B487" s="2">
        <v>14.941699706946165</v>
      </c>
      <c r="C487" s="2">
        <v>14.875298577480423</v>
      </c>
      <c r="D487" s="2">
        <v>17.096410655249674</v>
      </c>
      <c r="E487" s="2">
        <v>14.202798871639756</v>
      </c>
      <c r="F487" s="2">
        <v>15.878258062988261</v>
      </c>
      <c r="G487" s="2">
        <v>15.942114112220285</v>
      </c>
      <c r="H487" s="2">
        <v>17.394050200339439</v>
      </c>
    </row>
    <row r="488" spans="1:8" x14ac:dyDescent="0.2">
      <c r="A488" s="16">
        <f>DATE(2019,3,19)</f>
        <v>43543</v>
      </c>
      <c r="B488" s="2">
        <v>14.929571468940495</v>
      </c>
      <c r="C488" s="2">
        <v>14.903581161920275</v>
      </c>
      <c r="D488" s="2">
        <v>17.129864915945014</v>
      </c>
      <c r="E488" s="2">
        <v>14.266695916996852</v>
      </c>
      <c r="F488" s="2">
        <v>15.946574308238404</v>
      </c>
      <c r="G488" s="2">
        <v>16.010599779869715</v>
      </c>
      <c r="H488" s="2">
        <v>17.466407677646799</v>
      </c>
    </row>
    <row r="489" spans="1:8" x14ac:dyDescent="0.2">
      <c r="A489" s="16">
        <f>DATE(2019,3,20)</f>
        <v>43544</v>
      </c>
      <c r="B489" s="2">
        <v>15.094529702751824</v>
      </c>
      <c r="C489" s="2">
        <v>14.9318707096028</v>
      </c>
      <c r="D489" s="2">
        <v>17.163328734470106</v>
      </c>
      <c r="E489" s="2">
        <v>14.330628713075001</v>
      </c>
      <c r="F489" s="2">
        <v>16.014930829459594</v>
      </c>
      <c r="G489" s="2">
        <v>16.079125901212009</v>
      </c>
      <c r="H489" s="2">
        <v>17.53880975350506</v>
      </c>
    </row>
    <row r="490" spans="1:8" x14ac:dyDescent="0.2">
      <c r="A490" s="16">
        <f>DATE(2019,3,21)</f>
        <v>43545</v>
      </c>
      <c r="B490" s="2">
        <v>15.101496341138043</v>
      </c>
      <c r="C490" s="2">
        <v>14.960167222242381</v>
      </c>
      <c r="D490" s="2">
        <v>17.196802113555631</v>
      </c>
      <c r="E490" s="2">
        <v>14.394597279876908</v>
      </c>
      <c r="F490" s="2">
        <v>16.083327650396594</v>
      </c>
      <c r="G490" s="2">
        <v>16.147692500142696</v>
      </c>
      <c r="H490" s="2">
        <v>17.611256455403137</v>
      </c>
    </row>
    <row r="491" spans="1:8" x14ac:dyDescent="0.2">
      <c r="A491" s="16">
        <f>DATE(2019,3,22)</f>
        <v>43546</v>
      </c>
      <c r="B491" s="2">
        <v>14.032071715853055</v>
      </c>
      <c r="C491" s="2">
        <v>14.988470701553824</v>
      </c>
      <c r="D491" s="2">
        <v>17.230285055933003</v>
      </c>
      <c r="E491" s="2">
        <v>14.45860163741648</v>
      </c>
      <c r="F491" s="2">
        <v>16.151764794808177</v>
      </c>
      <c r="G491" s="2">
        <v>16.216299600571404</v>
      </c>
      <c r="H491" s="2">
        <v>17.683747810846938</v>
      </c>
    </row>
    <row r="492" spans="1:8" x14ac:dyDescent="0.2">
      <c r="A492" s="16">
        <f>DATE(2019,3,25)</f>
        <v>43549</v>
      </c>
      <c r="B492" s="2">
        <v>14.03319732991546</v>
      </c>
      <c r="C492" s="2">
        <v>15.016781149252312</v>
      </c>
      <c r="D492" s="2">
        <v>17.263777564334436</v>
      </c>
      <c r="E492" s="2">
        <v>14.522641805718806</v>
      </c>
      <c r="F492" s="2">
        <v>16.220242286467123</v>
      </c>
      <c r="G492" s="2">
        <v>16.28494722642191</v>
      </c>
      <c r="H492" s="2">
        <v>17.75628384735932</v>
      </c>
    </row>
    <row r="493" spans="1:8" x14ac:dyDescent="0.2">
      <c r="A493" s="16">
        <f>DATE(2019,3,26)</f>
        <v>43550</v>
      </c>
      <c r="B493" s="2">
        <v>14.159641309591708</v>
      </c>
      <c r="C493" s="2">
        <v>15.045098567053493</v>
      </c>
      <c r="D493" s="2">
        <v>17.297279641492946</v>
      </c>
      <c r="E493" s="2">
        <v>14.586717804820193</v>
      </c>
      <c r="F493" s="2">
        <v>16.288760149160208</v>
      </c>
      <c r="G493" s="2">
        <v>16.353635401632104</v>
      </c>
      <c r="H493" s="2">
        <v>17.828864592480077</v>
      </c>
    </row>
    <row r="494" spans="1:8" x14ac:dyDescent="0.2">
      <c r="A494" s="16">
        <f>DATE(2019,3,27)</f>
        <v>43551</v>
      </c>
      <c r="B494" s="2">
        <v>13.029063390583294</v>
      </c>
      <c r="C494" s="2">
        <v>15.07342295667342</v>
      </c>
      <c r="D494" s="2">
        <v>17.330791290142301</v>
      </c>
      <c r="E494" s="2">
        <v>14.650829654768138</v>
      </c>
      <c r="F494" s="2">
        <v>16.357318406688282</v>
      </c>
      <c r="G494" s="2">
        <v>16.422364150154035</v>
      </c>
      <c r="H494" s="2">
        <v>17.901490073765981</v>
      </c>
    </row>
    <row r="495" spans="1:8" x14ac:dyDescent="0.2">
      <c r="A495" s="16">
        <f>DATE(2019,3,28)</f>
        <v>43552</v>
      </c>
      <c r="B495" s="2">
        <v>13.933316828045127</v>
      </c>
      <c r="C495" s="2">
        <v>15.101754319828563</v>
      </c>
      <c r="D495" s="2">
        <v>17.364312513017065</v>
      </c>
      <c r="E495" s="2">
        <v>14.714977375621396</v>
      </c>
      <c r="F495" s="2">
        <v>16.425917082866182</v>
      </c>
      <c r="G495" s="2">
        <v>16.491133495953878</v>
      </c>
      <c r="H495" s="2">
        <v>17.974160318790801</v>
      </c>
    </row>
    <row r="496" spans="1:8" x14ac:dyDescent="0.2">
      <c r="A496" s="16">
        <f>DATE(2019,3,29)</f>
        <v>43553</v>
      </c>
      <c r="B496" s="2">
        <v>13.956954723355519</v>
      </c>
      <c r="C496" s="2">
        <v>15.130092658235839</v>
      </c>
      <c r="D496" s="2">
        <v>17.39784331285259</v>
      </c>
      <c r="E496" s="2">
        <v>14.779160987449913</v>
      </c>
      <c r="F496" s="2">
        <v>16.494556201522801</v>
      </c>
      <c r="G496" s="2">
        <v>16.559943463011994</v>
      </c>
      <c r="H496" s="2">
        <v>18.04687535514531</v>
      </c>
    </row>
    <row r="497" spans="1:8" x14ac:dyDescent="0.2">
      <c r="A497" s="16">
        <f>DATE(2019,4,1)</f>
        <v>43556</v>
      </c>
      <c r="B497" s="2">
        <v>14.215019493328329</v>
      </c>
      <c r="C497" s="2">
        <v>15.158437973612561</v>
      </c>
      <c r="D497" s="2">
        <v>17.431383692384994</v>
      </c>
      <c r="E497" s="2">
        <v>14.82973215094543</v>
      </c>
      <c r="F497" s="2">
        <v>16.549383033938913</v>
      </c>
      <c r="G497" s="2">
        <v>16.614933531601306</v>
      </c>
      <c r="H497" s="2">
        <v>18.10559749032543</v>
      </c>
    </row>
    <row r="498" spans="1:8" x14ac:dyDescent="0.2">
      <c r="A498" s="16">
        <f>DATE(2019,4,2)</f>
        <v>43557</v>
      </c>
      <c r="B498" s="2">
        <v>14.20037636984992</v>
      </c>
      <c r="C498" s="2">
        <v>15.186790267676487</v>
      </c>
      <c r="D498" s="2">
        <v>17.464933654351178</v>
      </c>
      <c r="E498" s="2">
        <v>14.88032559585999</v>
      </c>
      <c r="F498" s="2">
        <v>16.604235669977594</v>
      </c>
      <c r="G498" s="2">
        <v>16.669949543130858</v>
      </c>
      <c r="H498" s="2">
        <v>18.164348836691001</v>
      </c>
    </row>
    <row r="499" spans="1:8" x14ac:dyDescent="0.2">
      <c r="A499" s="16">
        <f>DATE(2019,4,3)</f>
        <v>43558</v>
      </c>
      <c r="B499" s="2">
        <v>14.004773039673045</v>
      </c>
      <c r="C499" s="2">
        <v>15.215149542145777</v>
      </c>
      <c r="D499" s="2">
        <v>17.498493201488817</v>
      </c>
      <c r="E499" s="2">
        <v>14.930941332010605</v>
      </c>
      <c r="F499" s="2">
        <v>16.659114121782935</v>
      </c>
      <c r="G499" s="2">
        <v>16.724991509839835</v>
      </c>
      <c r="H499" s="2">
        <v>18.223129408772976</v>
      </c>
    </row>
    <row r="500" spans="1:8" x14ac:dyDescent="0.2">
      <c r="A500" s="16">
        <f>DATE(2019,4,4)</f>
        <v>43559</v>
      </c>
      <c r="B500" s="2">
        <v>14.309038689540431</v>
      </c>
      <c r="C500" s="2">
        <v>15.243515798739038</v>
      </c>
      <c r="D500" s="2">
        <v>17.532062336536391</v>
      </c>
      <c r="E500" s="2">
        <v>14.981579369218712</v>
      </c>
      <c r="F500" s="2">
        <v>16.714018401504859</v>
      </c>
      <c r="G500" s="2">
        <v>16.780059443973251</v>
      </c>
      <c r="H500" s="2">
        <v>18.28193922110961</v>
      </c>
    </row>
    <row r="501" spans="1:8" x14ac:dyDescent="0.2">
      <c r="A501" s="16">
        <f>DATE(2019,4,5)</f>
        <v>43560</v>
      </c>
      <c r="B501" s="2">
        <v>14.35503168575678</v>
      </c>
      <c r="C501" s="2">
        <v>15.271889039175267</v>
      </c>
      <c r="D501" s="2">
        <v>17.565641062233151</v>
      </c>
      <c r="E501" s="2">
        <v>15.03223971731007</v>
      </c>
      <c r="F501" s="2">
        <v>16.768948521298999</v>
      </c>
      <c r="G501" s="2">
        <v>16.835153357781873</v>
      </c>
      <c r="H501" s="2">
        <v>18.34077828824643</v>
      </c>
    </row>
    <row r="502" spans="1:8" x14ac:dyDescent="0.2">
      <c r="A502" s="16">
        <f>DATE(2019,4,8)</f>
        <v>43563</v>
      </c>
      <c r="B502" s="2">
        <v>14.251774341699242</v>
      </c>
      <c r="C502" s="2">
        <v>15.300269265173917</v>
      </c>
      <c r="D502" s="2">
        <v>17.599229381319127</v>
      </c>
      <c r="E502" s="2">
        <v>15.082922386114728</v>
      </c>
      <c r="F502" s="2">
        <v>16.823904493326669</v>
      </c>
      <c r="G502" s="2">
        <v>16.890273263522282</v>
      </c>
      <c r="H502" s="2">
        <v>18.399646624736167</v>
      </c>
    </row>
    <row r="503" spans="1:8" x14ac:dyDescent="0.2">
      <c r="A503" s="16">
        <f>DATE(2019,4,9)</f>
        <v>43564</v>
      </c>
      <c r="B503" s="2">
        <v>14.141580781257179</v>
      </c>
      <c r="C503" s="2">
        <v>15.32865647845485</v>
      </c>
      <c r="D503" s="2">
        <v>17.632827296535126</v>
      </c>
      <c r="E503" s="2">
        <v>15.133627385467086</v>
      </c>
      <c r="F503" s="2">
        <v>16.878886329754938</v>
      </c>
      <c r="G503" s="2">
        <v>16.945419173456823</v>
      </c>
      <c r="H503" s="2">
        <v>18.458544245138775</v>
      </c>
    </row>
    <row r="504" spans="1:8" x14ac:dyDescent="0.2">
      <c r="A504" s="16">
        <f>DATE(2019,4,10)</f>
        <v>43565</v>
      </c>
      <c r="B504" s="2">
        <v>14.202749285981463</v>
      </c>
      <c r="C504" s="2">
        <v>15.357050680738361</v>
      </c>
      <c r="D504" s="2">
        <v>17.666434810622754</v>
      </c>
      <c r="E504" s="2">
        <v>15.184354725205894</v>
      </c>
      <c r="F504" s="2">
        <v>16.933894042756581</v>
      </c>
      <c r="G504" s="2">
        <v>17.000591099853612</v>
      </c>
      <c r="H504" s="2">
        <v>18.517471164021469</v>
      </c>
    </row>
    <row r="505" spans="1:8" x14ac:dyDescent="0.2">
      <c r="A505" s="16">
        <f>DATE(2019,4,11)</f>
        <v>43566</v>
      </c>
      <c r="B505" s="2">
        <v>13.515627815223308</v>
      </c>
      <c r="C505" s="2">
        <v>15.38545187374516</v>
      </c>
      <c r="D505" s="2">
        <v>17.700051926324424</v>
      </c>
      <c r="E505" s="2">
        <v>15.235104415174217</v>
      </c>
      <c r="F505" s="2">
        <v>16.98892764451012</v>
      </c>
      <c r="G505" s="2">
        <v>17.05578905498659</v>
      </c>
      <c r="H505" s="2">
        <v>18.576427395958707</v>
      </c>
    </row>
    <row r="506" spans="1:8" x14ac:dyDescent="0.2">
      <c r="A506" s="16">
        <f>DATE(2019,4,12)</f>
        <v>43567</v>
      </c>
      <c r="B506" s="2">
        <v>13.265325726014131</v>
      </c>
      <c r="C506" s="2">
        <v>15.413860059196317</v>
      </c>
      <c r="D506" s="2">
        <v>17.733678646383222</v>
      </c>
      <c r="E506" s="2">
        <v>15.285876465219459</v>
      </c>
      <c r="F506" s="2">
        <v>17.04398714719979</v>
      </c>
      <c r="G506" s="2">
        <v>17.111013051135448</v>
      </c>
      <c r="H506" s="2">
        <v>18.635412955532193</v>
      </c>
    </row>
    <row r="507" spans="1:8" x14ac:dyDescent="0.2">
      <c r="A507" s="16">
        <f>DATE(2019,4,15)</f>
        <v>43570</v>
      </c>
      <c r="B507" s="2">
        <v>13.336158286607501</v>
      </c>
      <c r="C507" s="2">
        <v>15.442275238813474</v>
      </c>
      <c r="D507" s="2">
        <v>17.767314973543179</v>
      </c>
      <c r="E507" s="2">
        <v>15.336670885193371</v>
      </c>
      <c r="F507" s="2">
        <v>17.099072563015572</v>
      </c>
      <c r="G507" s="2">
        <v>17.166263100585688</v>
      </c>
      <c r="H507" s="2">
        <v>18.694427857330911</v>
      </c>
    </row>
    <row r="508" spans="1:8" x14ac:dyDescent="0.2">
      <c r="A508" s="16">
        <f>DATE(2019,4,16)</f>
        <v>43571</v>
      </c>
      <c r="B508" s="2">
        <v>13.627606133097615</v>
      </c>
      <c r="C508" s="2">
        <v>15.470697414318568</v>
      </c>
      <c r="D508" s="2">
        <v>17.800960910549012</v>
      </c>
      <c r="E508" s="2">
        <v>15.38748768495204</v>
      </c>
      <c r="F508" s="2">
        <v>17.154183904153196</v>
      </c>
      <c r="G508" s="2">
        <v>17.221539215628589</v>
      </c>
      <c r="H508" s="2">
        <v>18.753472115951062</v>
      </c>
    </row>
    <row r="509" spans="1:8" x14ac:dyDescent="0.2">
      <c r="A509" s="16">
        <f>DATE(2019,4,17)</f>
        <v>43572</v>
      </c>
      <c r="B509" s="2">
        <v>13.722177995673658</v>
      </c>
      <c r="C509" s="2">
        <v>15.49912658743402</v>
      </c>
      <c r="D509" s="2">
        <v>17.834616460146211</v>
      </c>
      <c r="E509" s="2">
        <v>15.438326874355891</v>
      </c>
      <c r="F509" s="2">
        <v>17.209321182814108</v>
      </c>
      <c r="G509" s="2">
        <v>17.276841408561271</v>
      </c>
      <c r="H509" s="2">
        <v>18.812545745996132</v>
      </c>
    </row>
    <row r="510" spans="1:8" x14ac:dyDescent="0.2">
      <c r="A510" s="16">
        <f>DATE(2019,4,18)</f>
        <v>43573</v>
      </c>
      <c r="B510" s="2">
        <v>13.748275002787057</v>
      </c>
      <c r="C510" s="2">
        <v>15.527562759882652</v>
      </c>
      <c r="D510" s="2">
        <v>17.868281625081096</v>
      </c>
      <c r="E510" s="2">
        <v>15.489188463269699</v>
      </c>
      <c r="F510" s="2">
        <v>17.264484411205515</v>
      </c>
      <c r="G510" s="2">
        <v>17.332169691686627</v>
      </c>
      <c r="H510" s="2">
        <v>18.871648762076877</v>
      </c>
    </row>
    <row r="511" spans="1:8" x14ac:dyDescent="0.2">
      <c r="A511" s="16">
        <f>DATE(2019,4,22)</f>
        <v>43577</v>
      </c>
      <c r="B511" s="2">
        <v>13.652278376465365</v>
      </c>
      <c r="C511" s="2">
        <v>15.556005933387731</v>
      </c>
      <c r="D511" s="2">
        <v>17.901956408100752</v>
      </c>
      <c r="E511" s="2">
        <v>15.540072461562614</v>
      </c>
      <c r="F511" s="2">
        <v>17.319673601540387</v>
      </c>
      <c r="G511" s="2">
        <v>17.387524077313387</v>
      </c>
      <c r="H511" s="2">
        <v>18.930781178811309</v>
      </c>
    </row>
    <row r="512" spans="1:8" x14ac:dyDescent="0.2">
      <c r="A512" s="16">
        <f>DATE(2019,4,23)</f>
        <v>43578</v>
      </c>
      <c r="B512" s="2">
        <v>14.146103518841201</v>
      </c>
      <c r="C512" s="2">
        <v>15.584456109672917</v>
      </c>
      <c r="D512" s="2">
        <v>17.935640811953046</v>
      </c>
      <c r="E512" s="2">
        <v>15.590978879108054</v>
      </c>
      <c r="F512" s="2">
        <v>17.374888766037344</v>
      </c>
      <c r="G512" s="2">
        <v>17.442904577755989</v>
      </c>
      <c r="H512" s="2">
        <v>18.989943010824685</v>
      </c>
    </row>
    <row r="513" spans="1:8" x14ac:dyDescent="0.2">
      <c r="A513" s="16">
        <f>DATE(2019,4,24)</f>
        <v>43579</v>
      </c>
      <c r="B513" s="2">
        <v>13.331711604027641</v>
      </c>
      <c r="C513" s="2">
        <v>15.612913290462327</v>
      </c>
      <c r="D513" s="2">
        <v>17.969334839386654</v>
      </c>
      <c r="E513" s="2">
        <v>15.641907725783843</v>
      </c>
      <c r="F513" s="2">
        <v>17.43012991692088</v>
      </c>
      <c r="G513" s="2">
        <v>17.498311205334783</v>
      </c>
      <c r="H513" s="2">
        <v>19.049134272749569</v>
      </c>
    </row>
    <row r="514" spans="1:8" x14ac:dyDescent="0.2">
      <c r="A514" s="16">
        <f>DATE(2019,4,25)</f>
        <v>43580</v>
      </c>
      <c r="B514" s="2">
        <v>13.640195771462205</v>
      </c>
      <c r="C514" s="2">
        <v>15.641377477480466</v>
      </c>
      <c r="D514" s="2">
        <v>18.003038493150989</v>
      </c>
      <c r="E514" s="2">
        <v>15.692859011472169</v>
      </c>
      <c r="F514" s="2">
        <v>17.485397066421182</v>
      </c>
      <c r="G514" s="2">
        <v>17.553743972375901</v>
      </c>
      <c r="H514" s="2">
        <v>19.108354979225805</v>
      </c>
    </row>
    <row r="515" spans="1:8" x14ac:dyDescent="0.2">
      <c r="A515" s="16">
        <f>DATE(2019,4,26)</f>
        <v>43581</v>
      </c>
      <c r="B515" s="2">
        <v>13.43376727901857</v>
      </c>
      <c r="C515" s="2">
        <v>15.669848672452312</v>
      </c>
      <c r="D515" s="2">
        <v>18.036751775996308</v>
      </c>
      <c r="E515" s="2">
        <v>15.74383274605955</v>
      </c>
      <c r="F515" s="2">
        <v>17.540690226774203</v>
      </c>
      <c r="G515" s="2">
        <v>17.609202891211307</v>
      </c>
      <c r="H515" s="2">
        <v>19.167605144900545</v>
      </c>
    </row>
    <row r="516" spans="1:8" x14ac:dyDescent="0.2">
      <c r="A516" s="16">
        <f>DATE(2019,4,29)</f>
        <v>43584</v>
      </c>
      <c r="B516" s="2">
        <v>13.284243140729513</v>
      </c>
      <c r="C516" s="2">
        <v>15.69832687710322</v>
      </c>
      <c r="D516" s="2">
        <v>18.070474690673599</v>
      </c>
      <c r="E516" s="2">
        <v>15.794828939436867</v>
      </c>
      <c r="F516" s="2">
        <v>17.596009410221658</v>
      </c>
      <c r="G516" s="2">
        <v>17.664687974178729</v>
      </c>
      <c r="H516" s="2">
        <v>19.226884784428155</v>
      </c>
    </row>
    <row r="517" spans="1:8" x14ac:dyDescent="0.2">
      <c r="A517" s="16">
        <f>DATE(2019,4,30)</f>
        <v>43585</v>
      </c>
      <c r="B517" s="2">
        <v>13.438650010289278</v>
      </c>
      <c r="C517" s="2">
        <v>15.726812093159005</v>
      </c>
      <c r="D517" s="2">
        <v>18.104207239934691</v>
      </c>
      <c r="E517" s="2">
        <v>15.845847601499363</v>
      </c>
      <c r="F517" s="2">
        <v>17.651354629010996</v>
      </c>
      <c r="G517" s="2">
        <v>17.720199233621781</v>
      </c>
      <c r="H517" s="2">
        <v>19.286193912470349</v>
      </c>
    </row>
    <row r="518" spans="1:8" x14ac:dyDescent="0.2">
      <c r="A518" s="16">
        <f>DATE(2019,5,2)</f>
        <v>43587</v>
      </c>
      <c r="B518" s="2">
        <v>13.006393928993232</v>
      </c>
      <c r="C518" s="2">
        <v>15.755304322345864</v>
      </c>
      <c r="D518" s="2">
        <v>18.137949426532131</v>
      </c>
      <c r="E518" s="2">
        <v>15.871773151689883</v>
      </c>
      <c r="F518" s="2">
        <v>17.681218101755114</v>
      </c>
      <c r="G518" s="2">
        <v>17.750213933174596</v>
      </c>
      <c r="H518" s="2">
        <v>19.319669610266743</v>
      </c>
    </row>
    <row r="519" spans="1:8" x14ac:dyDescent="0.2">
      <c r="A519" s="16">
        <f>DATE(2019,5,3)</f>
        <v>43588</v>
      </c>
      <c r="B519" s="2">
        <v>13.299383156902156</v>
      </c>
      <c r="C519" s="2">
        <v>15.783803566390485</v>
      </c>
      <c r="D519" s="2">
        <v>18.171701253219322</v>
      </c>
      <c r="E519" s="2">
        <v>15.897704503850575</v>
      </c>
      <c r="F519" s="2">
        <v>17.711089154751988</v>
      </c>
      <c r="G519" s="2">
        <v>17.780236285468366</v>
      </c>
      <c r="H519" s="2">
        <v>19.35315470246417</v>
      </c>
    </row>
    <row r="520" spans="1:8" x14ac:dyDescent="0.2">
      <c r="A520" s="16">
        <f>DATE(2019,5,6)</f>
        <v>43591</v>
      </c>
      <c r="B520" s="2">
        <v>13.179099632567404</v>
      </c>
      <c r="C520" s="2">
        <v>15.812309827019909</v>
      </c>
      <c r="D520" s="2">
        <v>18.205462722750411</v>
      </c>
      <c r="E520" s="2">
        <v>15.923641659279909</v>
      </c>
      <c r="F520" s="2">
        <v>17.740967789925733</v>
      </c>
      <c r="G520" s="2">
        <v>17.810266292454301</v>
      </c>
      <c r="H520" s="2">
        <v>19.386649191699036</v>
      </c>
    </row>
    <row r="521" spans="1:8" x14ac:dyDescent="0.2">
      <c r="A521" s="16">
        <f>DATE(2019,5,7)</f>
        <v>43592</v>
      </c>
      <c r="B521" s="2">
        <v>12.889664708522176</v>
      </c>
      <c r="C521" s="2">
        <v>15.840823105961666</v>
      </c>
      <c r="D521" s="2">
        <v>18.239233837880331</v>
      </c>
      <c r="E521" s="2">
        <v>15.949584619276559</v>
      </c>
      <c r="F521" s="2">
        <v>17.770854009200885</v>
      </c>
      <c r="G521" s="2">
        <v>17.840303956084046</v>
      </c>
      <c r="H521" s="2">
        <v>19.420153080608404</v>
      </c>
    </row>
    <row r="522" spans="1:8" x14ac:dyDescent="0.2">
      <c r="A522" s="16">
        <f>DATE(2019,5,8)</f>
        <v>43593</v>
      </c>
      <c r="B522" s="2">
        <v>13.177532899480537</v>
      </c>
      <c r="C522" s="2">
        <v>15.86934340494366</v>
      </c>
      <c r="D522" s="2">
        <v>18.273014601364835</v>
      </c>
      <c r="E522" s="2">
        <v>15.975533385139595</v>
      </c>
      <c r="F522" s="2">
        <v>17.80074781450254</v>
      </c>
      <c r="G522" s="2">
        <v>17.870349278309817</v>
      </c>
      <c r="H522" s="2">
        <v>19.45366637183017</v>
      </c>
    </row>
    <row r="523" spans="1:8" x14ac:dyDescent="0.2">
      <c r="A523" s="16">
        <f>DATE(2019,5,9)</f>
        <v>43594</v>
      </c>
      <c r="B523" s="2">
        <v>13.190857736219241</v>
      </c>
      <c r="C523" s="2">
        <v>15.897870725694263</v>
      </c>
      <c r="D523" s="2">
        <v>18.306805015960425</v>
      </c>
      <c r="E523" s="2">
        <v>16.001487958168315</v>
      </c>
      <c r="F523" s="2">
        <v>17.830649207756277</v>
      </c>
      <c r="G523" s="2">
        <v>17.900402261084292</v>
      </c>
      <c r="H523" s="2">
        <v>19.487189068002952</v>
      </c>
    </row>
    <row r="524" spans="1:8" x14ac:dyDescent="0.2">
      <c r="A524" s="16">
        <f>DATE(2019,5,10)</f>
        <v>43595</v>
      </c>
      <c r="B524" s="2">
        <v>13.139378639032095</v>
      </c>
      <c r="C524" s="2">
        <v>15.926405069942231</v>
      </c>
      <c r="D524" s="2">
        <v>18.340605084424432</v>
      </c>
      <c r="E524" s="2">
        <v>16.027448339662342</v>
      </c>
      <c r="F524" s="2">
        <v>17.860558190888121</v>
      </c>
      <c r="G524" s="2">
        <v>17.930462906360646</v>
      </c>
      <c r="H524" s="2">
        <v>19.520721171766088</v>
      </c>
    </row>
    <row r="525" spans="1:8" x14ac:dyDescent="0.2">
      <c r="A525" s="16">
        <f>DATE(2019,5,13)</f>
        <v>43598</v>
      </c>
      <c r="B525" s="2">
        <v>12.420040268487954</v>
      </c>
      <c r="C525" s="2">
        <v>15.954946439416773</v>
      </c>
      <c r="D525" s="2">
        <v>18.374414809514938</v>
      </c>
      <c r="E525" s="2">
        <v>16.053414530921572</v>
      </c>
      <c r="F525" s="2">
        <v>17.890474765824639</v>
      </c>
      <c r="G525" s="2">
        <v>17.960531216092559</v>
      </c>
      <c r="H525" s="2">
        <v>19.554262685759639</v>
      </c>
    </row>
    <row r="526" spans="1:8" x14ac:dyDescent="0.2">
      <c r="A526" s="16">
        <f>DATE(2019,5,14)</f>
        <v>43599</v>
      </c>
      <c r="B526" s="2">
        <v>12.703355299860576</v>
      </c>
      <c r="C526" s="2">
        <v>15.983494835847534</v>
      </c>
      <c r="D526" s="2">
        <v>18.408234193990825</v>
      </c>
      <c r="E526" s="2">
        <v>16.079386533246186</v>
      </c>
      <c r="F526" s="2">
        <v>17.920398934492844</v>
      </c>
      <c r="G526" s="2">
        <v>17.990607192234219</v>
      </c>
      <c r="H526" s="2">
        <v>19.587813612624451</v>
      </c>
    </row>
    <row r="527" spans="1:8" x14ac:dyDescent="0.2">
      <c r="A527" s="16">
        <f>DATE(2019,5,15)</f>
        <v>43600</v>
      </c>
      <c r="B527" s="2">
        <v>12.444910254866649</v>
      </c>
      <c r="C527" s="2">
        <v>16.01205026096455</v>
      </c>
      <c r="D527" s="2">
        <v>18.442063240611748</v>
      </c>
      <c r="E527" s="2">
        <v>16.105364347936657</v>
      </c>
      <c r="F527" s="2">
        <v>17.95033069882026</v>
      </c>
      <c r="G527" s="2">
        <v>18.020690836740314</v>
      </c>
      <c r="H527" s="2">
        <v>19.621373955002095</v>
      </c>
    </row>
    <row r="528" spans="1:8" x14ac:dyDescent="0.2">
      <c r="A528" s="16">
        <f>DATE(2019,5,16)</f>
        <v>43601</v>
      </c>
      <c r="B528" s="2">
        <v>11.868783457261634</v>
      </c>
      <c r="C528" s="2">
        <v>16.040612716498305</v>
      </c>
      <c r="D528" s="2">
        <v>18.475901952138194</v>
      </c>
      <c r="E528" s="2">
        <v>16.131347976293721</v>
      </c>
      <c r="F528" s="2">
        <v>17.98027006073486</v>
      </c>
      <c r="G528" s="2">
        <v>18.050782151565969</v>
      </c>
      <c r="H528" s="2">
        <v>19.654943715534845</v>
      </c>
    </row>
    <row r="529" spans="1:8" x14ac:dyDescent="0.2">
      <c r="A529" s="16">
        <f>DATE(2019,5,17)</f>
        <v>43602</v>
      </c>
      <c r="B529" s="2">
        <v>11.49163683202068</v>
      </c>
      <c r="C529" s="2">
        <v>16.069182204179675</v>
      </c>
      <c r="D529" s="2">
        <v>18.509750331331375</v>
      </c>
      <c r="E529" s="2">
        <v>16.157337419618511</v>
      </c>
      <c r="F529" s="2">
        <v>18.010217022165211</v>
      </c>
      <c r="G529" s="2">
        <v>18.080881138666928</v>
      </c>
      <c r="H529" s="2">
        <v>19.688522896865798</v>
      </c>
    </row>
    <row r="530" spans="1:8" x14ac:dyDescent="0.2">
      <c r="A530" s="16">
        <f>DATE(2019,5,20)</f>
        <v>43605</v>
      </c>
      <c r="B530" s="2">
        <v>11.954370688672954</v>
      </c>
      <c r="C530" s="2">
        <v>16.097758725740086</v>
      </c>
      <c r="D530" s="2">
        <v>18.543608380953415</v>
      </c>
      <c r="E530" s="2">
        <v>16.183332679212349</v>
      </c>
      <c r="F530" s="2">
        <v>18.040171585040255</v>
      </c>
      <c r="G530" s="2">
        <v>18.110987799999332</v>
      </c>
      <c r="H530" s="2">
        <v>19.722111501638718</v>
      </c>
    </row>
    <row r="531" spans="1:8" x14ac:dyDescent="0.2">
      <c r="A531" s="16">
        <f>DATE(2019,5,21)</f>
        <v>43606</v>
      </c>
      <c r="B531" s="2">
        <v>12.533270958765064</v>
      </c>
      <c r="C531" s="2">
        <v>16.126342282911189</v>
      </c>
      <c r="D531" s="2">
        <v>18.577476103767033</v>
      </c>
      <c r="E531" s="2">
        <v>16.209333756376875</v>
      </c>
      <c r="F531" s="2">
        <v>18.070133751289497</v>
      </c>
      <c r="G531" s="2">
        <v>18.141102137519852</v>
      </c>
      <c r="H531" s="2">
        <v>19.755709532498145</v>
      </c>
    </row>
    <row r="532" spans="1:8" x14ac:dyDescent="0.2">
      <c r="A532" s="16">
        <f>DATE(2019,5,22)</f>
        <v>43607</v>
      </c>
      <c r="B532" s="2">
        <v>12.580592382388378</v>
      </c>
      <c r="C532" s="2">
        <v>16.154932877425221</v>
      </c>
      <c r="D532" s="2">
        <v>18.611353502535888</v>
      </c>
      <c r="E532" s="2">
        <v>16.23534065241401</v>
      </c>
      <c r="F532" s="2">
        <v>18.100103522842879</v>
      </c>
      <c r="G532" s="2">
        <v>18.171224153185658</v>
      </c>
      <c r="H532" s="2">
        <v>19.789316992089343</v>
      </c>
    </row>
    <row r="533" spans="1:8" x14ac:dyDescent="0.2">
      <c r="A533" s="16">
        <f>DATE(2019,5,23)</f>
        <v>43608</v>
      </c>
      <c r="B533" s="2">
        <v>12.785834416766262</v>
      </c>
      <c r="C533" s="2">
        <v>16.183530511014801</v>
      </c>
      <c r="D533" s="2">
        <v>18.645240580024392</v>
      </c>
      <c r="E533" s="2">
        <v>16.261353368625997</v>
      </c>
      <c r="F533" s="2">
        <v>18.130080901630862</v>
      </c>
      <c r="G533" s="2">
        <v>18.201353848954426</v>
      </c>
      <c r="H533" s="2">
        <v>19.822933883058358</v>
      </c>
    </row>
    <row r="534" spans="1:8" x14ac:dyDescent="0.2">
      <c r="A534" s="16">
        <f>DATE(2019,5,24)</f>
        <v>43609</v>
      </c>
      <c r="B534" s="2">
        <v>12.807565866637628</v>
      </c>
      <c r="C534" s="2">
        <v>16.212135185412937</v>
      </c>
      <c r="D534" s="2">
        <v>18.67913733899773</v>
      </c>
      <c r="E534" s="2">
        <v>16.28737190631535</v>
      </c>
      <c r="F534" s="2">
        <v>18.160065889584388</v>
      </c>
      <c r="G534" s="2">
        <v>18.231491226784314</v>
      </c>
      <c r="H534" s="2">
        <v>19.856560208051931</v>
      </c>
    </row>
    <row r="535" spans="1:8" x14ac:dyDescent="0.2">
      <c r="A535" s="16">
        <f>DATE(2019,5,27)</f>
        <v>43612</v>
      </c>
      <c r="B535" s="2">
        <v>13.246382959630697</v>
      </c>
      <c r="C535" s="2">
        <v>16.240746902353109</v>
      </c>
      <c r="D535" s="2">
        <v>18.713043782221895</v>
      </c>
      <c r="E535" s="2">
        <v>16.313396266784874</v>
      </c>
      <c r="F535" s="2">
        <v>18.190058488634907</v>
      </c>
      <c r="G535" s="2">
        <v>18.261636288633998</v>
      </c>
      <c r="H535" s="2">
        <v>19.890195969717571</v>
      </c>
    </row>
    <row r="536" spans="1:8" x14ac:dyDescent="0.2">
      <c r="A536" s="16">
        <f>DATE(2019,5,28)</f>
        <v>43613</v>
      </c>
      <c r="B536" s="2">
        <v>13.956026852304081</v>
      </c>
      <c r="C536" s="2">
        <v>16.269365663569204</v>
      </c>
      <c r="D536" s="2">
        <v>18.746959912463669</v>
      </c>
      <c r="E536" s="2">
        <v>16.339426451337701</v>
      </c>
      <c r="F536" s="2">
        <v>18.220058700714372</v>
      </c>
      <c r="G536" s="2">
        <v>18.291789036462671</v>
      </c>
      <c r="H536" s="2">
        <v>19.92384117070354</v>
      </c>
    </row>
    <row r="537" spans="1:8" x14ac:dyDescent="0.2">
      <c r="A537" s="16">
        <f>DATE(2019,5,29)</f>
        <v>43614</v>
      </c>
      <c r="B537" s="2">
        <v>13.997030640243846</v>
      </c>
      <c r="C537" s="2">
        <v>16.297991470795537</v>
      </c>
      <c r="D537" s="2">
        <v>18.780885732490614</v>
      </c>
      <c r="E537" s="2">
        <v>16.365462461277168</v>
      </c>
      <c r="F537" s="2">
        <v>18.250066527755116</v>
      </c>
      <c r="G537" s="2">
        <v>18.321949472229939</v>
      </c>
      <c r="H537" s="2">
        <v>19.957495813658777</v>
      </c>
    </row>
    <row r="538" spans="1:8" x14ac:dyDescent="0.2">
      <c r="A538" s="16">
        <f>DATE(2019,5,30)</f>
        <v>43615</v>
      </c>
      <c r="B538" s="2">
        <v>14.149394165356988</v>
      </c>
      <c r="C538" s="2">
        <v>16.326624325766879</v>
      </c>
      <c r="D538" s="2">
        <v>18.814821245071077</v>
      </c>
      <c r="E538" s="2">
        <v>16.391504297906991</v>
      </c>
      <c r="F538" s="2">
        <v>18.280081971690109</v>
      </c>
      <c r="G538" s="2">
        <v>18.35211759789599</v>
      </c>
      <c r="H538" s="2">
        <v>19.991159901233036</v>
      </c>
    </row>
    <row r="539" spans="1:8" x14ac:dyDescent="0.2">
      <c r="A539" s="16">
        <f>DATE(2019,5,31)</f>
        <v>43616</v>
      </c>
      <c r="B539" s="2">
        <v>14.513986644568645</v>
      </c>
      <c r="C539" s="2">
        <v>16.355264230218381</v>
      </c>
      <c r="D539" s="2">
        <v>18.848766452974196</v>
      </c>
      <c r="E539" s="2">
        <v>16.417551962531139</v>
      </c>
      <c r="F539" s="2">
        <v>18.310105034452739</v>
      </c>
      <c r="G539" s="2">
        <v>18.382293415421501</v>
      </c>
      <c r="H539" s="2">
        <v>20.024833436076818</v>
      </c>
    </row>
    <row r="540" spans="1:8" x14ac:dyDescent="0.2">
      <c r="A540" s="16">
        <f>DATE(2019,6,3)</f>
        <v>43619</v>
      </c>
      <c r="B540" s="2">
        <v>15.218793438973877</v>
      </c>
      <c r="C540" s="2">
        <v>16.383911185885648</v>
      </c>
      <c r="D540" s="2">
        <v>18.882721358969935</v>
      </c>
      <c r="E540" s="2">
        <v>16.436285128822291</v>
      </c>
      <c r="F540" s="2">
        <v>18.332696163335569</v>
      </c>
      <c r="G540" s="2">
        <v>18.40503282433388</v>
      </c>
      <c r="H540" s="2">
        <v>20.050968838715889</v>
      </c>
    </row>
    <row r="541" spans="1:8" x14ac:dyDescent="0.2">
      <c r="A541" s="16">
        <f>DATE(2019,6,4)</f>
        <v>43620</v>
      </c>
      <c r="B541" s="2">
        <v>15.99370266593203</v>
      </c>
      <c r="C541" s="2">
        <v>16.41256519450469</v>
      </c>
      <c r="D541" s="2">
        <v>18.916685965829004</v>
      </c>
      <c r="E541" s="2">
        <v>16.45502130953447</v>
      </c>
      <c r="F541" s="2">
        <v>18.355291605958989</v>
      </c>
      <c r="G541" s="2">
        <v>18.427776601135236</v>
      </c>
      <c r="H541" s="2">
        <v>20.077109932337802</v>
      </c>
    </row>
    <row r="542" spans="1:8" x14ac:dyDescent="0.2">
      <c r="A542" s="16">
        <f>DATE(2019,6,5)</f>
        <v>43621</v>
      </c>
      <c r="B542" s="2">
        <v>15.48119334418705</v>
      </c>
      <c r="C542" s="2">
        <v>16.441226257811991</v>
      </c>
      <c r="D542" s="2">
        <v>18.950660276322928</v>
      </c>
      <c r="E542" s="2">
        <v>16.473760505152768</v>
      </c>
      <c r="F542" s="2">
        <v>18.377891363146738</v>
      </c>
      <c r="G542" s="2">
        <v>18.45052474666462</v>
      </c>
      <c r="H542" s="2">
        <v>20.103256718181829</v>
      </c>
    </row>
    <row r="543" spans="1:8" x14ac:dyDescent="0.2">
      <c r="A543" s="16">
        <f>DATE(2019,6,6)</f>
        <v>43622</v>
      </c>
      <c r="B543" s="2">
        <v>15.869023162353614</v>
      </c>
      <c r="C543" s="2">
        <v>16.469894377544403</v>
      </c>
      <c r="D543" s="2">
        <v>18.98464429322404</v>
      </c>
      <c r="E543" s="2">
        <v>16.492502716162338</v>
      </c>
      <c r="F543" s="2">
        <v>18.400495435722664</v>
      </c>
      <c r="G543" s="2">
        <v>18.473277261761179</v>
      </c>
      <c r="H543" s="2">
        <v>20.129409197487426</v>
      </c>
    </row>
    <row r="544" spans="1:8" x14ac:dyDescent="0.2">
      <c r="A544" s="16">
        <f>DATE(2019,6,7)</f>
        <v>43623</v>
      </c>
      <c r="B544" s="2">
        <v>16.173202616549531</v>
      </c>
      <c r="C544" s="2">
        <v>16.498569555439246</v>
      </c>
      <c r="D544" s="2">
        <v>19.018638019305413</v>
      </c>
      <c r="E544" s="2">
        <v>16.511247943048346</v>
      </c>
      <c r="F544" s="2">
        <v>18.423103824510733</v>
      </c>
      <c r="G544" s="2">
        <v>18.496034147264218</v>
      </c>
      <c r="H544" s="2">
        <v>20.155567371494286</v>
      </c>
    </row>
    <row r="545" spans="1:8" x14ac:dyDescent="0.2">
      <c r="A545" s="16">
        <f>DATE(2019,6,10)</f>
        <v>43626</v>
      </c>
      <c r="B545" s="2">
        <v>15.904550989989819</v>
      </c>
      <c r="C545" s="2">
        <v>16.527251793234267</v>
      </c>
      <c r="D545" s="2">
        <v>19.052641457340957</v>
      </c>
      <c r="E545" s="2">
        <v>16.52999618629616</v>
      </c>
      <c r="F545" s="2">
        <v>18.445716530335218</v>
      </c>
      <c r="G545" s="2">
        <v>18.518795404013289</v>
      </c>
      <c r="H545" s="2">
        <v>20.181731241442559</v>
      </c>
    </row>
    <row r="546" spans="1:8" x14ac:dyDescent="0.2">
      <c r="A546" s="16">
        <f>DATE(2019,6,11)</f>
        <v>43627</v>
      </c>
      <c r="B546" s="2">
        <v>16.477909385441379</v>
      </c>
      <c r="C546" s="2">
        <v>16.555941092667624</v>
      </c>
      <c r="D546" s="2">
        <v>19.08665461010537</v>
      </c>
      <c r="E546" s="2">
        <v>16.548747446391101</v>
      </c>
      <c r="F546" s="2">
        <v>18.468333554020376</v>
      </c>
      <c r="G546" s="2">
        <v>18.541561032847987</v>
      </c>
      <c r="H546" s="2">
        <v>20.207900808572418</v>
      </c>
    </row>
    <row r="547" spans="1:8" x14ac:dyDescent="0.2">
      <c r="A547" s="16">
        <f>DATE(2019,6,12)</f>
        <v>43628</v>
      </c>
      <c r="B547" s="2">
        <v>16.272804250071093</v>
      </c>
      <c r="C547" s="2">
        <v>16.584637455477914</v>
      </c>
      <c r="D547" s="2">
        <v>19.120677480374138</v>
      </c>
      <c r="E547" s="2">
        <v>16.567501723818623</v>
      </c>
      <c r="F547" s="2">
        <v>18.490954896390701</v>
      </c>
      <c r="G547" s="2">
        <v>18.564331034608127</v>
      </c>
      <c r="H547" s="2">
        <v>20.234076074124463</v>
      </c>
    </row>
    <row r="548" spans="1:8" x14ac:dyDescent="0.2">
      <c r="A548" s="16">
        <f>DATE(2019,6,13)</f>
        <v>43629</v>
      </c>
      <c r="B548" s="2">
        <v>17.006694478088601</v>
      </c>
      <c r="C548" s="2">
        <v>16.61334088340416</v>
      </c>
      <c r="D548" s="2">
        <v>19.154710070923532</v>
      </c>
      <c r="E548" s="2">
        <v>16.586259019064254</v>
      </c>
      <c r="F548" s="2">
        <v>18.51358055827086</v>
      </c>
      <c r="G548" s="2">
        <v>18.587105410133685</v>
      </c>
      <c r="H548" s="2">
        <v>20.260257039339535</v>
      </c>
    </row>
    <row r="549" spans="1:8" x14ac:dyDescent="0.2">
      <c r="A549" s="16">
        <f>DATE(2019,6,14)</f>
        <v>43630</v>
      </c>
      <c r="B549" s="2">
        <v>17.086263223499621</v>
      </c>
      <c r="C549" s="2">
        <v>16.642051378185798</v>
      </c>
      <c r="D549" s="2">
        <v>19.188752384530616</v>
      </c>
      <c r="E549" s="2">
        <v>16.605019332613622</v>
      </c>
      <c r="F549" s="2">
        <v>18.536210540485644</v>
      </c>
      <c r="G549" s="2">
        <v>18.609884160264791</v>
      </c>
      <c r="H549" s="2">
        <v>20.286443705458712</v>
      </c>
    </row>
    <row r="550" spans="1:8" x14ac:dyDescent="0.2">
      <c r="A550" s="16">
        <f>DATE(2019,6,17)</f>
        <v>43633</v>
      </c>
      <c r="B550" s="2">
        <v>16.699685777735841</v>
      </c>
      <c r="C550" s="2">
        <v>16.67076894156272</v>
      </c>
      <c r="D550" s="2">
        <v>19.222804423973258</v>
      </c>
      <c r="E550" s="2">
        <v>16.623782664952412</v>
      </c>
      <c r="F550" s="2">
        <v>18.558844843860012</v>
      </c>
      <c r="G550" s="2">
        <v>18.632667285841741</v>
      </c>
      <c r="H550" s="2">
        <v>20.312636073723379</v>
      </c>
    </row>
    <row r="551" spans="1:8" x14ac:dyDescent="0.2">
      <c r="A551" s="16">
        <f>DATE(2019,6,18)</f>
        <v>43634</v>
      </c>
      <c r="B551" s="2">
        <v>17.106985676981722</v>
      </c>
      <c r="C551" s="2">
        <v>16.699493575275227</v>
      </c>
      <c r="D551" s="2">
        <v>19.25686619203011</v>
      </c>
      <c r="E551" s="2">
        <v>16.642549016566367</v>
      </c>
      <c r="F551" s="2">
        <v>18.581483469219084</v>
      </c>
      <c r="G551" s="2">
        <v>18.655454787704983</v>
      </c>
      <c r="H551" s="2">
        <v>20.338834145375184</v>
      </c>
    </row>
    <row r="552" spans="1:8" x14ac:dyDescent="0.2">
      <c r="A552" s="16">
        <f>DATE(2019,6,19)</f>
        <v>43635</v>
      </c>
      <c r="B552" s="2">
        <v>17.249000651187838</v>
      </c>
      <c r="C552" s="2">
        <v>16.728225281064034</v>
      </c>
      <c r="D552" s="2">
        <v>19.290937691480625</v>
      </c>
      <c r="E552" s="2">
        <v>16.661318387941336</v>
      </c>
      <c r="F552" s="2">
        <v>18.604126417388134</v>
      </c>
      <c r="G552" s="2">
        <v>18.678246666695152</v>
      </c>
      <c r="H552" s="2">
        <v>20.365037921656047</v>
      </c>
    </row>
    <row r="553" spans="1:8" x14ac:dyDescent="0.2">
      <c r="A553" s="16">
        <f>DATE(2019,6,21)</f>
        <v>43637</v>
      </c>
      <c r="B553" s="2">
        <v>18.962874819532072</v>
      </c>
      <c r="C553" s="2">
        <v>16.756964060670331</v>
      </c>
      <c r="D553" s="2">
        <v>19.325018925105031</v>
      </c>
      <c r="E553" s="2">
        <v>16.680090779563272</v>
      </c>
      <c r="F553" s="2">
        <v>18.626773689192632</v>
      </c>
      <c r="G553" s="2">
        <v>18.701042923653045</v>
      </c>
      <c r="H553" s="2">
        <v>20.391247403808155</v>
      </c>
    </row>
    <row r="554" spans="1:8" x14ac:dyDescent="0.2">
      <c r="A554" s="16">
        <f>DATE(2019,6,24)</f>
        <v>43640</v>
      </c>
      <c r="B554" s="2">
        <v>19.173749994555546</v>
      </c>
      <c r="C554" s="2">
        <v>16.785709915835699</v>
      </c>
      <c r="D554" s="2">
        <v>19.359109895684391</v>
      </c>
      <c r="E554" s="2">
        <v>16.698866191918139</v>
      </c>
      <c r="F554" s="2">
        <v>18.649425285458118</v>
      </c>
      <c r="G554" s="2">
        <v>18.723843559419539</v>
      </c>
      <c r="H554" s="2">
        <v>20.41746259307391</v>
      </c>
    </row>
    <row r="555" spans="1:8" x14ac:dyDescent="0.2">
      <c r="A555" s="16">
        <f>DATE(2019,6,25)</f>
        <v>43641</v>
      </c>
      <c r="B555" s="2">
        <v>18.786330873411771</v>
      </c>
      <c r="C555" s="2">
        <v>16.814462848302146</v>
      </c>
      <c r="D555" s="2">
        <v>19.393210606000522</v>
      </c>
      <c r="E555" s="2">
        <v>16.717644625492014</v>
      </c>
      <c r="F555" s="2">
        <v>18.672081207010361</v>
      </c>
      <c r="G555" s="2">
        <v>18.746648574835767</v>
      </c>
      <c r="H555" s="2">
        <v>20.443683490696074</v>
      </c>
    </row>
    <row r="556" spans="1:8" x14ac:dyDescent="0.2">
      <c r="A556" s="16">
        <f>DATE(2019,6,26)</f>
        <v>43642</v>
      </c>
      <c r="B556" s="2">
        <v>18.898228065948274</v>
      </c>
      <c r="C556" s="2">
        <v>16.843222859812148</v>
      </c>
      <c r="D556" s="2">
        <v>19.427321058836068</v>
      </c>
      <c r="E556" s="2">
        <v>16.736426080771061</v>
      </c>
      <c r="F556" s="2">
        <v>18.694741454675267</v>
      </c>
      <c r="G556" s="2">
        <v>18.769457970742987</v>
      </c>
      <c r="H556" s="2">
        <v>20.469910097917655</v>
      </c>
    </row>
    <row r="557" spans="1:8" x14ac:dyDescent="0.2">
      <c r="A557" s="16">
        <f>DATE(2019,6,27)</f>
        <v>43643</v>
      </c>
      <c r="B557" s="2">
        <v>18.757455323477679</v>
      </c>
      <c r="C557" s="2">
        <v>16.871989952108567</v>
      </c>
      <c r="D557" s="2">
        <v>19.461441256974421</v>
      </c>
      <c r="E557" s="2">
        <v>16.755210558241519</v>
      </c>
      <c r="F557" s="2">
        <v>18.717406029278916</v>
      </c>
      <c r="G557" s="2">
        <v>18.792271747982635</v>
      </c>
      <c r="H557" s="2">
        <v>20.496142415981875</v>
      </c>
    </row>
    <row r="558" spans="1:8" x14ac:dyDescent="0.2">
      <c r="A558" s="16">
        <f>DATE(2019,6,28)</f>
        <v>43644</v>
      </c>
      <c r="B558" s="2">
        <v>19.039370942772727</v>
      </c>
      <c r="C558" s="2">
        <v>16.90076412693471</v>
      </c>
      <c r="D558" s="2">
        <v>19.495571203199823</v>
      </c>
      <c r="E558" s="2">
        <v>16.773998058389683</v>
      </c>
      <c r="F558" s="2">
        <v>18.740074931647509</v>
      </c>
      <c r="G558" s="2">
        <v>18.81508990739631</v>
      </c>
      <c r="H558" s="2">
        <v>20.522380446132303</v>
      </c>
    </row>
    <row r="559" spans="1:8" x14ac:dyDescent="0.2">
      <c r="A559" s="16">
        <f>DATE(2019,7,1)</f>
        <v>43647</v>
      </c>
      <c r="B559" s="2">
        <v>18.794453547862066</v>
      </c>
      <c r="C559" s="2">
        <v>16.929545386034306</v>
      </c>
      <c r="D559" s="2">
        <v>19.529710900297292</v>
      </c>
      <c r="E559" s="2">
        <v>16.797249408782044</v>
      </c>
      <c r="F559" s="2">
        <v>18.767284231054315</v>
      </c>
      <c r="G559" s="2">
        <v>18.84245138912528</v>
      </c>
      <c r="H559" s="2">
        <v>20.553228468470898</v>
      </c>
    </row>
    <row r="560" spans="1:8" x14ac:dyDescent="0.2">
      <c r="A560" s="16">
        <f>DATE(2019,7,2)</f>
        <v>43648</v>
      </c>
      <c r="B560" s="2">
        <v>18.590362479214708</v>
      </c>
      <c r="C560" s="2">
        <v>16.958333731151544</v>
      </c>
      <c r="D560" s="2">
        <v>19.563860351052622</v>
      </c>
      <c r="E560" s="2">
        <v>16.820505388846229</v>
      </c>
      <c r="F560" s="2">
        <v>18.794499765474605</v>
      </c>
      <c r="G560" s="2">
        <v>18.869819171827263</v>
      </c>
      <c r="H560" s="2">
        <v>20.584084386442413</v>
      </c>
    </row>
    <row r="561" spans="1:8" x14ac:dyDescent="0.2">
      <c r="A561" s="16">
        <f>DATE(2019,7,3)</f>
        <v>43649</v>
      </c>
      <c r="B561" s="2">
        <v>19.360677983918162</v>
      </c>
      <c r="C561" s="2">
        <v>16.987129164031</v>
      </c>
      <c r="D561" s="2">
        <v>19.598019558252421</v>
      </c>
      <c r="E561" s="2">
        <v>16.843765999504146</v>
      </c>
      <c r="F561" s="2">
        <v>18.821721536337211</v>
      </c>
      <c r="G561" s="2">
        <v>18.897193256953383</v>
      </c>
      <c r="H561" s="2">
        <v>20.61494820206784</v>
      </c>
    </row>
    <row r="562" spans="1:8" x14ac:dyDescent="0.2">
      <c r="A562" s="16">
        <f>DATE(2019,7,4)</f>
        <v>43650</v>
      </c>
      <c r="B562" s="2">
        <v>20.277201628726861</v>
      </c>
      <c r="C562" s="2">
        <v>17.015931686417709</v>
      </c>
      <c r="D562" s="2">
        <v>19.632188524684089</v>
      </c>
      <c r="E562" s="2">
        <v>16.86703124167779</v>
      </c>
      <c r="F562" s="2">
        <v>18.848949545071193</v>
      </c>
      <c r="G562" s="2">
        <v>18.924573645954968</v>
      </c>
      <c r="H562" s="2">
        <v>20.645819917368581</v>
      </c>
    </row>
    <row r="563" spans="1:8" x14ac:dyDescent="0.2">
      <c r="A563" s="16">
        <f>DATE(2019,7,5)</f>
        <v>43651</v>
      </c>
      <c r="B563" s="2">
        <v>20.15104665806664</v>
      </c>
      <c r="C563" s="2">
        <v>17.044741300057112</v>
      </c>
      <c r="D563" s="2">
        <v>19.666367253135821</v>
      </c>
      <c r="E563" s="2">
        <v>16.890301116289375</v>
      </c>
      <c r="F563" s="2">
        <v>18.876183793105938</v>
      </c>
      <c r="G563" s="2">
        <v>18.951960340283701</v>
      </c>
      <c r="H563" s="2">
        <v>20.676699534366595</v>
      </c>
    </row>
    <row r="564" spans="1:8" x14ac:dyDescent="0.2">
      <c r="A564" s="16">
        <f>DATE(2019,7,8)</f>
        <v>43654</v>
      </c>
      <c r="B564" s="2">
        <v>20.686945428774916</v>
      </c>
      <c r="C564" s="2">
        <v>17.073558006695102</v>
      </c>
      <c r="D564" s="2">
        <v>19.700555746396621</v>
      </c>
      <c r="E564" s="2">
        <v>16.913575624261235</v>
      </c>
      <c r="F564" s="2">
        <v>18.903424281871175</v>
      </c>
      <c r="G564" s="2">
        <v>18.979353341391604</v>
      </c>
      <c r="H564" s="2">
        <v>20.707587055084286</v>
      </c>
    </row>
    <row r="565" spans="1:8" x14ac:dyDescent="0.2">
      <c r="A565" s="16">
        <f>DATE(2019,7,9)</f>
        <v>43655</v>
      </c>
      <c r="B565" s="2">
        <v>20.703981749719347</v>
      </c>
      <c r="C565" s="2">
        <v>17.102381808077993</v>
      </c>
      <c r="D565" s="2">
        <v>19.73475400725626</v>
      </c>
      <c r="E565" s="2">
        <v>16.936854766516007</v>
      </c>
      <c r="F565" s="2">
        <v>18.930671012797017</v>
      </c>
      <c r="G565" s="2">
        <v>19.006752650731084</v>
      </c>
      <c r="H565" s="2">
        <v>20.738482481544708</v>
      </c>
    </row>
    <row r="566" spans="1:8" x14ac:dyDescent="0.2">
      <c r="A566" s="16">
        <f>DATE(2019,7,10)</f>
        <v>43656</v>
      </c>
      <c r="B566" s="2">
        <v>21.437851696402401</v>
      </c>
      <c r="C566" s="2">
        <v>17.131212705952525</v>
      </c>
      <c r="D566" s="2">
        <v>19.768962038505354</v>
      </c>
      <c r="E566" s="2">
        <v>16.960138543976424</v>
      </c>
      <c r="F566" s="2">
        <v>18.957923987313841</v>
      </c>
      <c r="G566" s="2">
        <v>19.03415826975483</v>
      </c>
      <c r="H566" s="2">
        <v>20.769385815771322</v>
      </c>
    </row>
    <row r="567" spans="1:8" x14ac:dyDescent="0.2">
      <c r="A567" s="16">
        <f>DATE(2019,7,11)</f>
        <v>43657</v>
      </c>
      <c r="B567" s="2">
        <v>21.063797974666244</v>
      </c>
      <c r="C567" s="2">
        <v>17.160050702065899</v>
      </c>
      <c r="D567" s="2">
        <v>19.803179842935293</v>
      </c>
      <c r="E567" s="2">
        <v>16.983426957565385</v>
      </c>
      <c r="F567" s="2">
        <v>18.985183206852341</v>
      </c>
      <c r="G567" s="2">
        <v>19.061570199915856</v>
      </c>
      <c r="H567" s="2">
        <v>20.800297059788143</v>
      </c>
    </row>
    <row r="568" spans="1:8" x14ac:dyDescent="0.2">
      <c r="A568" s="16">
        <f>DATE(2019,7,12)</f>
        <v>43658</v>
      </c>
      <c r="B568" s="2">
        <v>21.015786985671369</v>
      </c>
      <c r="C568" s="2">
        <v>17.18889579816565</v>
      </c>
      <c r="D568" s="2">
        <v>19.837407423338195</v>
      </c>
      <c r="E568" s="2">
        <v>17.006720008206067</v>
      </c>
      <c r="F568" s="2">
        <v>19.012448672843618</v>
      </c>
      <c r="G568" s="2">
        <v>19.088988442667553</v>
      </c>
      <c r="H568" s="2">
        <v>20.83121621561974</v>
      </c>
    </row>
    <row r="569" spans="1:8" x14ac:dyDescent="0.2">
      <c r="A569" s="16">
        <f>DATE(2019,7,15)</f>
        <v>43661</v>
      </c>
      <c r="B569" s="2">
        <v>20.739702250032899</v>
      </c>
      <c r="C569" s="2">
        <v>17.217747995999886</v>
      </c>
      <c r="D569" s="2">
        <v>19.871644782507094</v>
      </c>
      <c r="E569" s="2">
        <v>17.030017696821709</v>
      </c>
      <c r="F569" s="2">
        <v>19.039720386718972</v>
      </c>
      <c r="G569" s="2">
        <v>19.116412999463584</v>
      </c>
      <c r="H569" s="2">
        <v>20.862143285291101</v>
      </c>
    </row>
    <row r="570" spans="1:8" x14ac:dyDescent="0.2">
      <c r="A570" s="16">
        <f>DATE(2019,7,16)</f>
        <v>43662</v>
      </c>
      <c r="B570" s="2">
        <v>20.452477991443583</v>
      </c>
      <c r="C570" s="2">
        <v>17.246607297317041</v>
      </c>
      <c r="D570" s="2">
        <v>19.905891923235774</v>
      </c>
      <c r="E570" s="2">
        <v>17.053320024335815</v>
      </c>
      <c r="F570" s="2">
        <v>19.066998349910147</v>
      </c>
      <c r="G570" s="2">
        <v>19.143843871758026</v>
      </c>
      <c r="H570" s="2">
        <v>20.893078270827804</v>
      </c>
    </row>
    <row r="571" spans="1:8" x14ac:dyDescent="0.2">
      <c r="A571" s="16">
        <f>DATE(2019,7,17)</f>
        <v>43663</v>
      </c>
      <c r="B571" s="2">
        <v>20.713174264562294</v>
      </c>
      <c r="C571" s="2">
        <v>17.27547370386602</v>
      </c>
      <c r="D571" s="2">
        <v>19.940148848318785</v>
      </c>
      <c r="E571" s="2">
        <v>17.076626991672072</v>
      </c>
      <c r="F571" s="2">
        <v>19.094282563849173</v>
      </c>
      <c r="G571" s="2">
        <v>19.171281061005232</v>
      </c>
      <c r="H571" s="2">
        <v>20.924021174255959</v>
      </c>
    </row>
    <row r="572" spans="1:8" x14ac:dyDescent="0.2">
      <c r="A572" s="16">
        <f>DATE(2019,7,18)</f>
        <v>43664</v>
      </c>
      <c r="B572" s="2">
        <v>21.287475742066128</v>
      </c>
      <c r="C572" s="2">
        <v>17.304347217396131</v>
      </c>
      <c r="D572" s="2">
        <v>19.974415560551506</v>
      </c>
      <c r="E572" s="2">
        <v>17.099938599754338</v>
      </c>
      <c r="F572" s="2">
        <v>19.121573029968395</v>
      </c>
      <c r="G572" s="2">
        <v>19.198724568659898</v>
      </c>
      <c r="H572" s="2">
        <v>20.954971997602168</v>
      </c>
    </row>
    <row r="573" spans="1:8" x14ac:dyDescent="0.2">
      <c r="A573" s="16">
        <f>DATE(2019,7,19)</f>
        <v>43665</v>
      </c>
      <c r="B573" s="2">
        <v>20.891320436104731</v>
      </c>
      <c r="C573" s="2">
        <v>17.333227839657141</v>
      </c>
      <c r="D573" s="2">
        <v>20.008692062730127</v>
      </c>
      <c r="E573" s="2">
        <v>17.12325484950663</v>
      </c>
      <c r="F573" s="2">
        <v>19.148869749700513</v>
      </c>
      <c r="G573" s="2">
        <v>19.226174396177086</v>
      </c>
      <c r="H573" s="2">
        <v>20.985930742893544</v>
      </c>
    </row>
    <row r="574" spans="1:8" x14ac:dyDescent="0.2">
      <c r="A574" s="16">
        <f>DATE(2019,7,22)</f>
        <v>43668</v>
      </c>
      <c r="B574" s="2">
        <v>20.946363977822834</v>
      </c>
      <c r="C574" s="2">
        <v>17.36211557239924</v>
      </c>
      <c r="D574" s="2">
        <v>20.042978357651609</v>
      </c>
      <c r="E574" s="2">
        <v>17.146575741853187</v>
      </c>
      <c r="F574" s="2">
        <v>19.176172724478533</v>
      </c>
      <c r="G574" s="2">
        <v>19.253630545012168</v>
      </c>
      <c r="H574" s="2">
        <v>21.016897412157729</v>
      </c>
    </row>
    <row r="575" spans="1:8" x14ac:dyDescent="0.2">
      <c r="A575" s="16">
        <f>DATE(2019,7,23)</f>
        <v>43669</v>
      </c>
      <c r="B575" s="2">
        <v>20.726950360992682</v>
      </c>
      <c r="C575" s="2">
        <v>17.391010417373053</v>
      </c>
      <c r="D575" s="2">
        <v>20.077274448113737</v>
      </c>
      <c r="E575" s="2">
        <v>17.169901277718402</v>
      </c>
      <c r="F575" s="2">
        <v>19.203481955735825</v>
      </c>
      <c r="G575" s="2">
        <v>19.281093016620865</v>
      </c>
      <c r="H575" s="2">
        <v>21.047872007422907</v>
      </c>
    </row>
    <row r="576" spans="1:8" x14ac:dyDescent="0.2">
      <c r="A576" s="16">
        <f>DATE(2019,7,24)</f>
        <v>43670</v>
      </c>
      <c r="B576" s="2">
        <v>20.770048196715219</v>
      </c>
      <c r="C576" s="2">
        <v>17.419912376329606</v>
      </c>
      <c r="D576" s="2">
        <v>20.111580336915047</v>
      </c>
      <c r="E576" s="2">
        <v>17.193231458026869</v>
      </c>
      <c r="F576" s="2">
        <v>19.230797444906035</v>
      </c>
      <c r="G576" s="2">
        <v>19.308561812459214</v>
      </c>
      <c r="H576" s="2">
        <v>21.078854530717742</v>
      </c>
    </row>
    <row r="577" spans="1:8" x14ac:dyDescent="0.2">
      <c r="A577" s="16">
        <f>DATE(2019,7,25)</f>
        <v>43671</v>
      </c>
      <c r="B577" s="2">
        <v>20.282713081365799</v>
      </c>
      <c r="C577" s="2">
        <v>17.4488214510204</v>
      </c>
      <c r="D577" s="2">
        <v>20.145896026854949</v>
      </c>
      <c r="E577" s="2">
        <v>17.216566283703362</v>
      </c>
      <c r="F577" s="2">
        <v>19.258119193423173</v>
      </c>
      <c r="G577" s="2">
        <v>19.336036933983603</v>
      </c>
      <c r="H577" s="2">
        <v>21.109844984071422</v>
      </c>
    </row>
    <row r="578" spans="1:8" x14ac:dyDescent="0.2">
      <c r="A578" s="16">
        <f>DATE(2019,7,26)</f>
        <v>43672</v>
      </c>
      <c r="B578" s="2">
        <v>20.24493909593841</v>
      </c>
      <c r="C578" s="2">
        <v>17.477737643197333</v>
      </c>
      <c r="D578" s="2">
        <v>20.180221520733578</v>
      </c>
      <c r="E578" s="2">
        <v>17.239905755672847</v>
      </c>
      <c r="F578" s="2">
        <v>19.285447202721564</v>
      </c>
      <c r="G578" s="2">
        <v>19.363518382650756</v>
      </c>
      <c r="H578" s="2">
        <v>21.140843369513696</v>
      </c>
    </row>
    <row r="579" spans="1:8" x14ac:dyDescent="0.2">
      <c r="A579" s="16">
        <f>DATE(2019,7,29)</f>
        <v>43675</v>
      </c>
      <c r="B579" s="2">
        <v>20.19148256864165</v>
      </c>
      <c r="C579" s="2">
        <v>17.506660954612752</v>
      </c>
      <c r="D579" s="2">
        <v>20.214556821351938</v>
      </c>
      <c r="E579" s="2">
        <v>17.263249874860453</v>
      </c>
      <c r="F579" s="2">
        <v>19.312781474235873</v>
      </c>
      <c r="G579" s="2">
        <v>19.391006159917712</v>
      </c>
      <c r="H579" s="2">
        <v>21.171849689074772</v>
      </c>
    </row>
    <row r="580" spans="1:8" x14ac:dyDescent="0.2">
      <c r="A580" s="16">
        <f>DATE(2019,7,30)</f>
        <v>43676</v>
      </c>
      <c r="B580" s="2">
        <v>20.076715567279368</v>
      </c>
      <c r="C580" s="2">
        <v>17.535591387019434</v>
      </c>
      <c r="D580" s="2">
        <v>20.248901931511764</v>
      </c>
      <c r="E580" s="2">
        <v>17.28659864219151</v>
      </c>
      <c r="F580" s="2">
        <v>19.340122009401096</v>
      </c>
      <c r="G580" s="2">
        <v>19.418500267241878</v>
      </c>
      <c r="H580" s="2">
        <v>21.202863944785435</v>
      </c>
    </row>
    <row r="581" spans="1:8" x14ac:dyDescent="0.2">
      <c r="A581" s="16">
        <f>DATE(2019,7,31)</f>
        <v>43677</v>
      </c>
      <c r="B581" s="2">
        <v>19.596083432968236</v>
      </c>
      <c r="C581" s="2">
        <v>17.564528942170575</v>
      </c>
      <c r="D581" s="2">
        <v>20.283256854015661</v>
      </c>
      <c r="E581" s="2">
        <v>17.309952058591538</v>
      </c>
      <c r="F581" s="2">
        <v>19.367468809652522</v>
      </c>
      <c r="G581" s="2">
        <v>19.44600070608098</v>
      </c>
      <c r="H581" s="2">
        <v>21.233886138676937</v>
      </c>
    </row>
    <row r="582" spans="1:8" x14ac:dyDescent="0.2">
      <c r="A582" s="16">
        <f>DATE(2019,8,1)</f>
        <v>43678</v>
      </c>
      <c r="B582" s="2">
        <v>19.664766172109083</v>
      </c>
      <c r="C582" s="2">
        <v>17.593473621819843</v>
      </c>
      <c r="D582" s="2">
        <v>20.317621591666992</v>
      </c>
      <c r="E582" s="2">
        <v>17.334607394720368</v>
      </c>
      <c r="F582" s="2">
        <v>19.396141938807656</v>
      </c>
      <c r="G582" s="2">
        <v>19.474828410244815</v>
      </c>
      <c r="H582" s="2">
        <v>21.266257011447088</v>
      </c>
    </row>
    <row r="583" spans="1:8" x14ac:dyDescent="0.2">
      <c r="A583" s="16">
        <f>DATE(2019,8,2)</f>
        <v>43679</v>
      </c>
      <c r="B583" s="2">
        <v>20.039524670217634</v>
      </c>
      <c r="C583" s="2">
        <v>17.620226877757862</v>
      </c>
      <c r="D583" s="2">
        <v>20.34974657729407</v>
      </c>
      <c r="E583" s="2">
        <v>17.359267912724995</v>
      </c>
      <c r="F583" s="2">
        <v>19.424821955503791</v>
      </c>
      <c r="G583" s="2">
        <v>19.50366307183311</v>
      </c>
      <c r="H583" s="2">
        <v>21.298636527620808</v>
      </c>
    </row>
    <row r="584" spans="1:8" x14ac:dyDescent="0.2">
      <c r="A584" s="16">
        <f>DATE(2019,8,5)</f>
        <v>43682</v>
      </c>
      <c r="B584" s="2">
        <v>19.856576892742339</v>
      </c>
      <c r="C584" s="2">
        <v>17.646986220230112</v>
      </c>
      <c r="D584" s="2">
        <v>20.381880140340549</v>
      </c>
      <c r="E584" s="2">
        <v>17.383933613694502</v>
      </c>
      <c r="F584" s="2">
        <v>19.453508861395385</v>
      </c>
      <c r="G584" s="2">
        <v>19.532504692525009</v>
      </c>
      <c r="H584" s="2">
        <v>21.331024689505984</v>
      </c>
    </row>
    <row r="585" spans="1:8" x14ac:dyDescent="0.2">
      <c r="A585" s="16">
        <f>DATE(2019,8,6)</f>
        <v>43683</v>
      </c>
      <c r="B585" s="2">
        <v>20.570155364300511</v>
      </c>
      <c r="C585" s="2">
        <v>17.673751650621327</v>
      </c>
      <c r="D585" s="2">
        <v>20.41402228309661</v>
      </c>
      <c r="E585" s="2">
        <v>17.408604498718152</v>
      </c>
      <c r="F585" s="2">
        <v>19.48220265813725</v>
      </c>
      <c r="G585" s="2">
        <v>19.561353274000037</v>
      </c>
      <c r="H585" s="2">
        <v>21.363421499411107</v>
      </c>
    </row>
    <row r="586" spans="1:8" x14ac:dyDescent="0.2">
      <c r="A586" s="16">
        <f>DATE(2019,8,7)</f>
        <v>43684</v>
      </c>
      <c r="B586" s="2">
        <v>21.142717717374595</v>
      </c>
      <c r="C586" s="2">
        <v>17.70052317031654</v>
      </c>
      <c r="D586" s="2">
        <v>20.446173007853051</v>
      </c>
      <c r="E586" s="2">
        <v>17.433280568885557</v>
      </c>
      <c r="F586" s="2">
        <v>19.510903347384676</v>
      </c>
      <c r="G586" s="2">
        <v>19.590208817938183</v>
      </c>
      <c r="H586" s="2">
        <v>21.395826959645348</v>
      </c>
    </row>
    <row r="587" spans="1:8" x14ac:dyDescent="0.2">
      <c r="A587" s="16">
        <f>DATE(2019,8,8)</f>
        <v>43685</v>
      </c>
      <c r="B587" s="2">
        <v>21.453285791924671</v>
      </c>
      <c r="C587" s="2">
        <v>17.727300780701103</v>
      </c>
      <c r="D587" s="2">
        <v>20.47833231690128</v>
      </c>
      <c r="E587" s="2">
        <v>17.45796182528645</v>
      </c>
      <c r="F587" s="2">
        <v>19.539610930793259</v>
      </c>
      <c r="G587" s="2">
        <v>19.619071326019768</v>
      </c>
      <c r="H587" s="2">
        <v>21.428241072518372</v>
      </c>
    </row>
    <row r="588" spans="1:8" x14ac:dyDescent="0.2">
      <c r="A588" s="16">
        <f>DATE(2019,8,9)</f>
        <v>43686</v>
      </c>
      <c r="B588" s="2">
        <v>21.442491051659584</v>
      </c>
      <c r="C588" s="2">
        <v>17.754084483160693</v>
      </c>
      <c r="D588" s="2">
        <v>20.510500212533309</v>
      </c>
      <c r="E588" s="2">
        <v>17.482648269010891</v>
      </c>
      <c r="F588" s="2">
        <v>19.568325410019096</v>
      </c>
      <c r="G588" s="2">
        <v>19.6479407999256</v>
      </c>
      <c r="H588" s="2">
        <v>21.460663840340619</v>
      </c>
    </row>
    <row r="589" spans="1:8" x14ac:dyDescent="0.2">
      <c r="A589" s="16">
        <f>DATE(2019,8,12)</f>
        <v>43689</v>
      </c>
      <c r="B589" s="2">
        <v>21.216987964158541</v>
      </c>
      <c r="C589" s="2">
        <v>17.780874279081306</v>
      </c>
      <c r="D589" s="2">
        <v>20.542676697041774</v>
      </c>
      <c r="E589" s="2">
        <v>17.507339901149056</v>
      </c>
      <c r="F589" s="2">
        <v>19.597046786718543</v>
      </c>
      <c r="G589" s="2">
        <v>19.676817241336785</v>
      </c>
      <c r="H589" s="2">
        <v>21.493095265423001</v>
      </c>
    </row>
    <row r="590" spans="1:8" x14ac:dyDescent="0.2">
      <c r="A590" s="16">
        <f>DATE(2019,8,13)</f>
        <v>43690</v>
      </c>
      <c r="B590" s="2">
        <v>21.436933966018223</v>
      </c>
      <c r="C590" s="2">
        <v>17.807670169849231</v>
      </c>
      <c r="D590" s="2">
        <v>20.57486177271992</v>
      </c>
      <c r="E590" s="2">
        <v>17.532036722791442</v>
      </c>
      <c r="F590" s="2">
        <v>19.625775062548524</v>
      </c>
      <c r="G590" s="2">
        <v>19.705700651934954</v>
      </c>
      <c r="H590" s="2">
        <v>21.525535350077153</v>
      </c>
    </row>
    <row r="591" spans="1:8" x14ac:dyDescent="0.2">
      <c r="A591" s="16">
        <f>DATE(2019,8,14)</f>
        <v>43691</v>
      </c>
      <c r="B591" s="2">
        <v>20.642843666996757</v>
      </c>
      <c r="C591" s="2">
        <v>17.834472156851078</v>
      </c>
      <c r="D591" s="2">
        <v>20.607055441861586</v>
      </c>
      <c r="E591" s="2">
        <v>17.556738735028745</v>
      </c>
      <c r="F591" s="2">
        <v>19.654510239166225</v>
      </c>
      <c r="G591" s="2">
        <v>19.734591033402051</v>
      </c>
      <c r="H591" s="2">
        <v>21.557984096615247</v>
      </c>
    </row>
    <row r="592" spans="1:8" x14ac:dyDescent="0.2">
      <c r="A592" s="16">
        <f>DATE(2019,8,15)</f>
        <v>43692</v>
      </c>
      <c r="B592" s="2">
        <v>20.197531476643626</v>
      </c>
      <c r="C592" s="2">
        <v>17.861280241473796</v>
      </c>
      <c r="D592" s="2">
        <v>20.639257706761271</v>
      </c>
      <c r="E592" s="2">
        <v>17.581445938951855</v>
      </c>
      <c r="F592" s="2">
        <v>19.683252318229272</v>
      </c>
      <c r="G592" s="2">
        <v>19.76348838742048</v>
      </c>
      <c r="H592" s="2">
        <v>21.590441507350121</v>
      </c>
    </row>
    <row r="593" spans="1:8" x14ac:dyDescent="0.2">
      <c r="A593" s="16">
        <f>DATE(2019,8,16)</f>
        <v>43693</v>
      </c>
      <c r="B593" s="2">
        <v>20.578516344430685</v>
      </c>
      <c r="C593" s="2">
        <v>17.888094425104615</v>
      </c>
      <c r="D593" s="2">
        <v>20.671468569714023</v>
      </c>
      <c r="E593" s="2">
        <v>17.606158335651934</v>
      </c>
      <c r="F593" s="2">
        <v>19.712001301395699</v>
      </c>
      <c r="G593" s="2">
        <v>19.792392715673014</v>
      </c>
      <c r="H593" s="2">
        <v>21.622907584595222</v>
      </c>
    </row>
    <row r="594" spans="1:8" x14ac:dyDescent="0.2">
      <c r="A594" s="16">
        <f>DATE(2019,8,19)</f>
        <v>43696</v>
      </c>
      <c r="B594" s="2">
        <v>20.162713495713415</v>
      </c>
      <c r="C594" s="2">
        <v>17.914914709131114</v>
      </c>
      <c r="D594" s="2">
        <v>20.703688033015545</v>
      </c>
      <c r="E594" s="2">
        <v>17.630875926220369</v>
      </c>
      <c r="F594" s="2">
        <v>19.740757190323933</v>
      </c>
      <c r="G594" s="2">
        <v>19.821304019842856</v>
      </c>
      <c r="H594" s="2">
        <v>21.655382330664597</v>
      </c>
    </row>
    <row r="595" spans="1:8" x14ac:dyDescent="0.2">
      <c r="A595" s="16">
        <f>DATE(2019,8,20)</f>
        <v>43697</v>
      </c>
      <c r="B595" s="2">
        <v>19.978117859813452</v>
      </c>
      <c r="C595" s="2">
        <v>17.941741094941154</v>
      </c>
      <c r="D595" s="2">
        <v>20.735916098962146</v>
      </c>
      <c r="E595" s="2">
        <v>17.655598711748755</v>
      </c>
      <c r="F595" s="2">
        <v>19.769519986672801</v>
      </c>
      <c r="G595" s="2">
        <v>19.850222301613616</v>
      </c>
      <c r="H595" s="2">
        <v>21.687865747872937</v>
      </c>
    </row>
    <row r="596" spans="1:8" x14ac:dyDescent="0.2">
      <c r="A596" s="16">
        <f>DATE(2019,8,21)</f>
        <v>43698</v>
      </c>
      <c r="B596" s="2">
        <v>20.667505769697271</v>
      </c>
      <c r="C596" s="2">
        <v>17.968573583922922</v>
      </c>
      <c r="D596" s="2">
        <v>20.768152769850733</v>
      </c>
      <c r="E596" s="2">
        <v>17.680326693328951</v>
      </c>
      <c r="F596" s="2">
        <v>19.798289692101534</v>
      </c>
      <c r="G596" s="2">
        <v>19.879147562669306</v>
      </c>
      <c r="H596" s="2">
        <v>21.72035783853552</v>
      </c>
    </row>
    <row r="597" spans="1:8" x14ac:dyDescent="0.2">
      <c r="A597" s="16">
        <f>DATE(2019,8,22)</f>
        <v>43699</v>
      </c>
      <c r="B597" s="2">
        <v>20.250288297901587</v>
      </c>
      <c r="C597" s="2">
        <v>17.995412177464988</v>
      </c>
      <c r="D597" s="2">
        <v>20.800398047978906</v>
      </c>
      <c r="E597" s="2">
        <v>17.70505987205302</v>
      </c>
      <c r="F597" s="2">
        <v>19.827066308269757</v>
      </c>
      <c r="G597" s="2">
        <v>19.908079804694335</v>
      </c>
      <c r="H597" s="2">
        <v>21.752858604968274</v>
      </c>
    </row>
    <row r="598" spans="1:8" x14ac:dyDescent="0.2">
      <c r="A598" s="16">
        <f>DATE(2019,8,23)</f>
        <v>43700</v>
      </c>
      <c r="B598" s="2">
        <v>20.336448477011327</v>
      </c>
      <c r="C598" s="2">
        <v>18.02225687695611</v>
      </c>
      <c r="D598" s="2">
        <v>20.832651935644719</v>
      </c>
      <c r="E598" s="2">
        <v>17.729798249013239</v>
      </c>
      <c r="F598" s="2">
        <v>19.855849836837479</v>
      </c>
      <c r="G598" s="2">
        <v>19.937019029373527</v>
      </c>
      <c r="H598" s="2">
        <v>21.78536804948774</v>
      </c>
    </row>
    <row r="599" spans="1:8" x14ac:dyDescent="0.2">
      <c r="A599" s="16">
        <f>DATE(2019,8,26)</f>
        <v>43703</v>
      </c>
      <c r="B599" s="2">
        <v>19.600418568208532</v>
      </c>
      <c r="C599" s="2">
        <v>18.049107683785447</v>
      </c>
      <c r="D599" s="2">
        <v>20.864914435146975</v>
      </c>
      <c r="E599" s="2">
        <v>17.754541825302162</v>
      </c>
      <c r="F599" s="2">
        <v>19.884640279465128</v>
      </c>
      <c r="G599" s="2">
        <v>19.965965238392091</v>
      </c>
      <c r="H599" s="2">
        <v>21.817886174411051</v>
      </c>
    </row>
    <row r="600" spans="1:8" x14ac:dyDescent="0.2">
      <c r="A600" s="16">
        <f>DATE(2019,8,27)</f>
        <v>43704</v>
      </c>
      <c r="B600" s="2">
        <v>19.555647522393269</v>
      </c>
      <c r="C600" s="2">
        <v>18.075964599342463</v>
      </c>
      <c r="D600" s="2">
        <v>20.897185548785036</v>
      </c>
      <c r="E600" s="2">
        <v>17.779290602012509</v>
      </c>
      <c r="F600" s="2">
        <v>19.913437637813502</v>
      </c>
      <c r="G600" s="2">
        <v>19.994918433435704</v>
      </c>
      <c r="H600" s="2">
        <v>21.850412982055989</v>
      </c>
    </row>
    <row r="601" spans="1:8" x14ac:dyDescent="0.2">
      <c r="A601" s="16">
        <f>DATE(2019,8,28)</f>
        <v>43705</v>
      </c>
      <c r="B601" s="2">
        <v>19.586368673763001</v>
      </c>
      <c r="C601" s="2">
        <v>18.102827625016936</v>
      </c>
      <c r="D601" s="2">
        <v>20.929465278858906</v>
      </c>
      <c r="E601" s="2">
        <v>17.804044580237299</v>
      </c>
      <c r="F601" s="2">
        <v>19.942241913543835</v>
      </c>
      <c r="G601" s="2">
        <v>20.02387861619037</v>
      </c>
      <c r="H601" s="2">
        <v>21.88294847474095</v>
      </c>
    </row>
    <row r="602" spans="1:8" x14ac:dyDescent="0.2">
      <c r="A602" s="16">
        <f>DATE(2019,8,29)</f>
        <v>43706</v>
      </c>
      <c r="B602" s="2">
        <v>20.134806379499693</v>
      </c>
      <c r="C602" s="2">
        <v>18.129696762198954</v>
      </c>
      <c r="D602" s="2">
        <v>20.961753627669165</v>
      </c>
      <c r="E602" s="2">
        <v>17.828803761069722</v>
      </c>
      <c r="F602" s="2">
        <v>19.971053108317751</v>
      </c>
      <c r="G602" s="2">
        <v>20.052845788342566</v>
      </c>
      <c r="H602" s="2">
        <v>21.915492654784916</v>
      </c>
    </row>
    <row r="603" spans="1:8" x14ac:dyDescent="0.2">
      <c r="A603" s="16">
        <f>DATE(2019,8,30)</f>
        <v>43707</v>
      </c>
      <c r="B603" s="2">
        <v>20.521099886581041</v>
      </c>
      <c r="C603" s="2">
        <v>18.156572012278914</v>
      </c>
      <c r="D603" s="2">
        <v>20.994050597517045</v>
      </c>
      <c r="E603" s="2">
        <v>17.853568145603258</v>
      </c>
      <c r="F603" s="2">
        <v>19.99987122379725</v>
      </c>
      <c r="G603" s="2">
        <v>20.081819951579138</v>
      </c>
      <c r="H603" s="2">
        <v>21.948045524507531</v>
      </c>
    </row>
    <row r="604" spans="1:8" x14ac:dyDescent="0.2">
      <c r="A604" s="16">
        <f>DATE(2019,9,2)</f>
        <v>43710</v>
      </c>
      <c r="B604" s="2">
        <v>20.374029789761352</v>
      </c>
      <c r="C604" s="2">
        <v>18.183453376647552</v>
      </c>
      <c r="D604" s="2">
        <v>21.026356190704366</v>
      </c>
      <c r="E604" s="2">
        <v>17.86910489479283</v>
      </c>
      <c r="F604" s="2">
        <v>20.019294994321712</v>
      </c>
      <c r="G604" s="2">
        <v>20.101393409388766</v>
      </c>
      <c r="H604" s="2">
        <v>21.971052935170476</v>
      </c>
    </row>
    <row r="605" spans="1:8" x14ac:dyDescent="0.2">
      <c r="A605" s="16">
        <f>DATE(2019,9,3)</f>
        <v>43711</v>
      </c>
      <c r="B605" s="2">
        <v>20.27276001648066</v>
      </c>
      <c r="C605" s="2">
        <v>18.210340856695908</v>
      </c>
      <c r="D605" s="2">
        <v>21.058670409533576</v>
      </c>
      <c r="E605" s="2">
        <v>17.884643692206993</v>
      </c>
      <c r="F605" s="2">
        <v>20.038721908873391</v>
      </c>
      <c r="G605" s="2">
        <v>20.120970057691778</v>
      </c>
      <c r="H605" s="2">
        <v>21.994064686542146</v>
      </c>
    </row>
    <row r="606" spans="1:8" x14ac:dyDescent="0.2">
      <c r="A606" s="16">
        <f>DATE(2019,9,4)</f>
        <v>43712</v>
      </c>
      <c r="B606" s="2">
        <v>20.832560339847284</v>
      </c>
      <c r="C606" s="2">
        <v>18.237234453815333</v>
      </c>
      <c r="D606" s="2">
        <v>21.090993256307744</v>
      </c>
      <c r="E606" s="2">
        <v>17.900184538115749</v>
      </c>
      <c r="F606" s="2">
        <v>20.058151967961191</v>
      </c>
      <c r="G606" s="2">
        <v>20.140549897008221</v>
      </c>
      <c r="H606" s="2">
        <v>22.017080779441489</v>
      </c>
    </row>
    <row r="607" spans="1:8" x14ac:dyDescent="0.2">
      <c r="A607" s="16">
        <f>DATE(2019,9,5)</f>
        <v>43713</v>
      </c>
      <c r="B607" s="2">
        <v>21.071215872744141</v>
      </c>
      <c r="C607" s="2">
        <v>18.264134169397494</v>
      </c>
      <c r="D607" s="2">
        <v>21.123324733330517</v>
      </c>
      <c r="E607" s="2">
        <v>17.915727432789176</v>
      </c>
      <c r="F607" s="2">
        <v>20.077585172094125</v>
      </c>
      <c r="G607" s="2">
        <v>20.160132927858211</v>
      </c>
      <c r="H607" s="2">
        <v>22.040101214687603</v>
      </c>
    </row>
    <row r="608" spans="1:8" x14ac:dyDescent="0.2">
      <c r="A608" s="16">
        <f>DATE(2019,9,6)</f>
        <v>43714</v>
      </c>
      <c r="B608" s="2">
        <v>21.271073212823509</v>
      </c>
      <c r="C608" s="2">
        <v>18.29104000483439</v>
      </c>
      <c r="D608" s="2">
        <v>21.155664842906209</v>
      </c>
      <c r="E608" s="2">
        <v>17.931272376497343</v>
      </c>
      <c r="F608" s="2">
        <v>20.097021521781233</v>
      </c>
      <c r="G608" s="2">
        <v>20.179719150762001</v>
      </c>
      <c r="H608" s="2">
        <v>22.063125993099721</v>
      </c>
    </row>
    <row r="609" spans="1:8" x14ac:dyDescent="0.2">
      <c r="A609" s="16">
        <f>DATE(2019,9,9)</f>
        <v>43717</v>
      </c>
      <c r="B609" s="2">
        <v>21.403855109517789</v>
      </c>
      <c r="C609" s="2">
        <v>18.317951961518308</v>
      </c>
      <c r="D609" s="2">
        <v>21.188013587339729</v>
      </c>
      <c r="E609" s="2">
        <v>17.946819369510369</v>
      </c>
      <c r="F609" s="2">
        <v>20.116461017531684</v>
      </c>
      <c r="G609" s="2">
        <v>20.199308566239882</v>
      </c>
      <c r="H609" s="2">
        <v>22.086155115497274</v>
      </c>
    </row>
    <row r="610" spans="1:8" x14ac:dyDescent="0.2">
      <c r="A610" s="16">
        <f>DATE(2019,9,10)</f>
        <v>43718</v>
      </c>
      <c r="B610" s="2">
        <v>21.357882394635897</v>
      </c>
      <c r="C610" s="2">
        <v>18.344870040841887</v>
      </c>
      <c r="D610" s="2">
        <v>21.220370968936585</v>
      </c>
      <c r="E610" s="2">
        <v>17.962368412098439</v>
      </c>
      <c r="F610" s="2">
        <v>20.135903659854716</v>
      </c>
      <c r="G610" s="2">
        <v>20.218901174812242</v>
      </c>
      <c r="H610" s="2">
        <v>22.109188582699812</v>
      </c>
    </row>
    <row r="611" spans="1:8" x14ac:dyDescent="0.2">
      <c r="A611" s="16">
        <f>DATE(2019,9,11)</f>
        <v>43719</v>
      </c>
      <c r="B611" s="2">
        <v>21.35551961917157</v>
      </c>
      <c r="C611" s="2">
        <v>18.37179424419806</v>
      </c>
      <c r="D611" s="2">
        <v>21.252736990002894</v>
      </c>
      <c r="E611" s="2">
        <v>17.977919504531737</v>
      </c>
      <c r="F611" s="2">
        <v>20.155349449259653</v>
      </c>
      <c r="G611" s="2">
        <v>20.238496976999578</v>
      </c>
      <c r="H611" s="2">
        <v>22.132226395527077</v>
      </c>
    </row>
    <row r="612" spans="1:8" x14ac:dyDescent="0.2">
      <c r="A612" s="16">
        <f>DATE(2019,9,12)</f>
        <v>43720</v>
      </c>
      <c r="B612" s="2">
        <v>21.451227236477234</v>
      </c>
      <c r="C612" s="2">
        <v>18.398724572980086</v>
      </c>
      <c r="D612" s="2">
        <v>21.285111652845433</v>
      </c>
      <c r="E612" s="2">
        <v>17.993472647080488</v>
      </c>
      <c r="F612" s="2">
        <v>20.174798386255866</v>
      </c>
      <c r="G612" s="2">
        <v>20.258095973322419</v>
      </c>
      <c r="H612" s="2">
        <v>22.15526855479888</v>
      </c>
    </row>
    <row r="613" spans="1:8" x14ac:dyDescent="0.2">
      <c r="A613" s="16">
        <f>DATE(2019,9,13)</f>
        <v>43721</v>
      </c>
      <c r="B613" s="2">
        <v>21.055624596879817</v>
      </c>
      <c r="C613" s="2">
        <v>18.425661028581541</v>
      </c>
      <c r="D613" s="2">
        <v>21.317494959771576</v>
      </c>
      <c r="E613" s="2">
        <v>18.009027840014991</v>
      </c>
      <c r="F613" s="2">
        <v>20.194250471352905</v>
      </c>
      <c r="G613" s="2">
        <v>20.277698164301452</v>
      </c>
      <c r="H613" s="2">
        <v>22.178315061335297</v>
      </c>
    </row>
    <row r="614" spans="1:8" x14ac:dyDescent="0.2">
      <c r="A614" s="16">
        <f>DATE(2019,9,16)</f>
        <v>43724</v>
      </c>
      <c r="B614" s="2">
        <v>21.146043856225649</v>
      </c>
      <c r="C614" s="2">
        <v>18.452603612396313</v>
      </c>
      <c r="D614" s="2">
        <v>21.349886913089279</v>
      </c>
      <c r="E614" s="2">
        <v>18.024585083605537</v>
      </c>
      <c r="F614" s="2">
        <v>20.213705705060292</v>
      </c>
      <c r="G614" s="2">
        <v>20.297303550457404</v>
      </c>
      <c r="H614" s="2">
        <v>22.201365915956472</v>
      </c>
    </row>
    <row r="615" spans="1:8" x14ac:dyDescent="0.2">
      <c r="A615" s="16">
        <f>DATE(2019,9,17)</f>
        <v>43725</v>
      </c>
      <c r="B615" s="2">
        <v>21.089159783405531</v>
      </c>
      <c r="C615" s="2">
        <v>18.479552325818592</v>
      </c>
      <c r="D615" s="2">
        <v>21.382287515107159</v>
      </c>
      <c r="E615" s="2">
        <v>18.04014437812247</v>
      </c>
      <c r="F615" s="2">
        <v>20.23316408788769</v>
      </c>
      <c r="G615" s="2">
        <v>20.316912132311082</v>
      </c>
      <c r="H615" s="2">
        <v>22.224421119482773</v>
      </c>
    </row>
    <row r="616" spans="1:8" x14ac:dyDescent="0.2">
      <c r="A616" s="16">
        <f>DATE(2019,9,18)</f>
        <v>43726</v>
      </c>
      <c r="B616" s="2">
        <v>20.831039239762951</v>
      </c>
      <c r="C616" s="2">
        <v>18.506507170242937</v>
      </c>
      <c r="D616" s="2">
        <v>21.414696768134434</v>
      </c>
      <c r="E616" s="2">
        <v>18.055705723836144</v>
      </c>
      <c r="F616" s="2">
        <v>20.252625620344823</v>
      </c>
      <c r="G616" s="2">
        <v>20.336523910383384</v>
      </c>
      <c r="H616" s="2">
        <v>22.247480672734675</v>
      </c>
    </row>
    <row r="617" spans="1:8" x14ac:dyDescent="0.2">
      <c r="A617" s="16">
        <f>DATE(2019,9,19)</f>
        <v>43727</v>
      </c>
      <c r="B617" s="2">
        <v>20.613902202725676</v>
      </c>
      <c r="C617" s="2">
        <v>18.533468147064159</v>
      </c>
      <c r="D617" s="2">
        <v>21.447114674480925</v>
      </c>
      <c r="E617" s="2">
        <v>18.071269121016996</v>
      </c>
      <c r="F617" s="2">
        <v>20.272090302941503</v>
      </c>
      <c r="G617" s="2">
        <v>20.356138885195296</v>
      </c>
      <c r="H617" s="2">
        <v>22.270544576532814</v>
      </c>
    </row>
    <row r="618" spans="1:8" x14ac:dyDescent="0.2">
      <c r="A618" s="16">
        <f>DATE(2019,9,20)</f>
        <v>43728</v>
      </c>
      <c r="B618" s="2">
        <v>20.567021898126779</v>
      </c>
      <c r="C618" s="2">
        <v>18.558208687029044</v>
      </c>
      <c r="D618" s="2">
        <v>21.477259844858732</v>
      </c>
      <c r="E618" s="2">
        <v>18.086834569935451</v>
      </c>
      <c r="F618" s="2">
        <v>20.291558136187636</v>
      </c>
      <c r="G618" s="2">
        <v>20.375757057267887</v>
      </c>
      <c r="H618" s="2">
        <v>22.293612831698017</v>
      </c>
    </row>
    <row r="619" spans="1:8" x14ac:dyDescent="0.2">
      <c r="A619" s="16">
        <f>DATE(2019,9,23)</f>
        <v>43731</v>
      </c>
      <c r="B619" s="2">
        <v>20.44570909606831</v>
      </c>
      <c r="C619" s="2">
        <v>18.582954390888371</v>
      </c>
      <c r="D619" s="2">
        <v>21.507412497763379</v>
      </c>
      <c r="E619" s="2">
        <v>18.102402070861977</v>
      </c>
      <c r="F619" s="2">
        <v>20.311029120593172</v>
      </c>
      <c r="G619" s="2">
        <v>20.395378427122289</v>
      </c>
      <c r="H619" s="2">
        <v>22.316685439051167</v>
      </c>
    </row>
    <row r="620" spans="1:8" x14ac:dyDescent="0.2">
      <c r="A620" s="16">
        <f>DATE(2019,9,24)</f>
        <v>43732</v>
      </c>
      <c r="B620" s="2">
        <v>20.156319805025614</v>
      </c>
      <c r="C620" s="2">
        <v>18.607705259719975</v>
      </c>
      <c r="D620" s="2">
        <v>21.537572635052182</v>
      </c>
      <c r="E620" s="2">
        <v>18.117971624067142</v>
      </c>
      <c r="F620" s="2">
        <v>20.33050325666823</v>
      </c>
      <c r="G620" s="2">
        <v>20.415002995279806</v>
      </c>
      <c r="H620" s="2">
        <v>22.339762399413441</v>
      </c>
    </row>
    <row r="621" spans="1:8" x14ac:dyDescent="0.2">
      <c r="A621" s="16">
        <f>DATE(2019,9,25)</f>
        <v>43733</v>
      </c>
      <c r="B621" s="2">
        <v>20.384576083679317</v>
      </c>
      <c r="C621" s="2">
        <v>18.632461294601875</v>
      </c>
      <c r="D621" s="2">
        <v>21.567740258582855</v>
      </c>
      <c r="E621" s="2">
        <v>18.13354322982148</v>
      </c>
      <c r="F621" s="2">
        <v>20.349980544922921</v>
      </c>
      <c r="G621" s="2">
        <v>20.43463076226173</v>
      </c>
      <c r="H621" s="2">
        <v>22.362843713606082</v>
      </c>
    </row>
    <row r="622" spans="1:8" x14ac:dyDescent="0.2">
      <c r="A622" s="16">
        <f>DATE(2019,9,26)</f>
        <v>43734</v>
      </c>
      <c r="B622" s="2">
        <v>20.724836031875405</v>
      </c>
      <c r="C622" s="2">
        <v>18.65722249661237</v>
      </c>
      <c r="D622" s="2">
        <v>21.597915370213649</v>
      </c>
      <c r="E622" s="2">
        <v>18.149116888395579</v>
      </c>
      <c r="F622" s="2">
        <v>20.36946098586747</v>
      </c>
      <c r="G622" s="2">
        <v>20.454261728589486</v>
      </c>
      <c r="H622" s="2">
        <v>22.38592938245052</v>
      </c>
    </row>
    <row r="623" spans="1:8" x14ac:dyDescent="0.2">
      <c r="A623" s="16">
        <f>DATE(2019,9,27)</f>
        <v>43735</v>
      </c>
      <c r="B623" s="2">
        <v>20.361009173039534</v>
      </c>
      <c r="C623" s="2">
        <v>18.681988866829926</v>
      </c>
      <c r="D623" s="2">
        <v>21.628097971803207</v>
      </c>
      <c r="E623" s="2">
        <v>18.164692600060039</v>
      </c>
      <c r="F623" s="2">
        <v>20.388944580012193</v>
      </c>
      <c r="G623" s="2">
        <v>20.473895894784565</v>
      </c>
      <c r="H623" s="2">
        <v>22.409019406768316</v>
      </c>
    </row>
    <row r="624" spans="1:8" x14ac:dyDescent="0.2">
      <c r="A624" s="16">
        <f>DATE(2019,9,30)</f>
        <v>43738</v>
      </c>
      <c r="B624" s="2">
        <v>20.388247005216154</v>
      </c>
      <c r="C624" s="2">
        <v>18.706760406333256</v>
      </c>
      <c r="D624" s="2">
        <v>21.658288065210662</v>
      </c>
      <c r="E624" s="2">
        <v>18.180270365085558</v>
      </c>
      <c r="F624" s="2">
        <v>20.408431327867468</v>
      </c>
      <c r="G624" s="2">
        <v>20.493533261368533</v>
      </c>
      <c r="H624" s="2">
        <v>22.432113787381191</v>
      </c>
    </row>
    <row r="625" spans="1:8" x14ac:dyDescent="0.2">
      <c r="A625" s="16">
        <f>DATE(2019,10,1)</f>
        <v>43739</v>
      </c>
      <c r="B625" s="2">
        <v>19.89024897827565</v>
      </c>
      <c r="C625" s="2">
        <v>18.731537116201324</v>
      </c>
      <c r="D625" s="2">
        <v>21.688485652295597</v>
      </c>
      <c r="E625" s="2">
        <v>18.200720343762701</v>
      </c>
      <c r="F625" s="2">
        <v>20.432883360562968</v>
      </c>
      <c r="G625" s="2">
        <v>20.518139472243458</v>
      </c>
      <c r="H625" s="2">
        <v>22.460258188553063</v>
      </c>
    </row>
    <row r="626" spans="1:8" x14ac:dyDescent="0.2">
      <c r="A626" s="16">
        <f>DATE(2019,10,2)</f>
        <v>43740</v>
      </c>
      <c r="B626" s="2">
        <v>19.153504152433197</v>
      </c>
      <c r="C626" s="2">
        <v>18.756318997513286</v>
      </c>
      <c r="D626" s="2">
        <v>21.718690734918077</v>
      </c>
      <c r="E626" s="2">
        <v>18.221173861115346</v>
      </c>
      <c r="F626" s="2">
        <v>20.457340358873388</v>
      </c>
      <c r="G626" s="2">
        <v>20.542750707998938</v>
      </c>
      <c r="H626" s="2">
        <v>22.488409059492476</v>
      </c>
    </row>
    <row r="627" spans="1:8" x14ac:dyDescent="0.2">
      <c r="A627" s="16">
        <f>DATE(2019,10,3)</f>
        <v>43741</v>
      </c>
      <c r="B627" s="2">
        <v>19.728606742648115</v>
      </c>
      <c r="C627" s="2">
        <v>18.781106051348551</v>
      </c>
      <c r="D627" s="2">
        <v>21.748903314938616</v>
      </c>
      <c r="E627" s="2">
        <v>18.241630917755835</v>
      </c>
      <c r="F627" s="2">
        <v>20.48180232380712</v>
      </c>
      <c r="G627" s="2">
        <v>20.567366969661126</v>
      </c>
      <c r="H627" s="2">
        <v>22.51656640168671</v>
      </c>
    </row>
    <row r="628" spans="1:8" x14ac:dyDescent="0.2">
      <c r="A628" s="16">
        <f>DATE(2019,10,4)</f>
        <v>43742</v>
      </c>
      <c r="B628" s="2">
        <v>20.171135319846957</v>
      </c>
      <c r="C628" s="2">
        <v>18.805898278786714</v>
      </c>
      <c r="D628" s="2">
        <v>21.779123394218193</v>
      </c>
      <c r="E628" s="2">
        <v>18.262091514296607</v>
      </c>
      <c r="F628" s="2">
        <v>20.506269256372757</v>
      </c>
      <c r="G628" s="2">
        <v>20.591988258256364</v>
      </c>
      <c r="H628" s="2">
        <v>22.544730216623332</v>
      </c>
    </row>
    <row r="629" spans="1:8" x14ac:dyDescent="0.2">
      <c r="A629" s="16">
        <f>DATE(2019,10,7)</f>
        <v>43745</v>
      </c>
      <c r="B629" s="2">
        <v>19.18335827675488</v>
      </c>
      <c r="C629" s="2">
        <v>18.830695680907649</v>
      </c>
      <c r="D629" s="2">
        <v>21.809350974618248</v>
      </c>
      <c r="E629" s="2">
        <v>18.282555651350197</v>
      </c>
      <c r="F629" s="2">
        <v>20.530741157579111</v>
      </c>
      <c r="G629" s="2">
        <v>20.616614574811233</v>
      </c>
      <c r="H629" s="2">
        <v>22.572900505790304</v>
      </c>
    </row>
    <row r="630" spans="1:8" x14ac:dyDescent="0.2">
      <c r="A630" s="16">
        <f>DATE(2019,10,8)</f>
        <v>43746</v>
      </c>
      <c r="B630" s="2">
        <v>18.897898494263377</v>
      </c>
      <c r="C630" s="2">
        <v>18.855498258791403</v>
      </c>
      <c r="D630" s="2">
        <v>21.83958605800067</v>
      </c>
      <c r="E630" s="2">
        <v>18.303023329529267</v>
      </c>
      <c r="F630" s="2">
        <v>20.555218028435206</v>
      </c>
      <c r="G630" s="2">
        <v>20.641245920352478</v>
      </c>
      <c r="H630" s="2">
        <v>22.601077270675908</v>
      </c>
    </row>
    <row r="631" spans="1:8" x14ac:dyDescent="0.2">
      <c r="A631" s="16">
        <f>DATE(2019,10,9)</f>
        <v>43747</v>
      </c>
      <c r="B631" s="2">
        <v>19.152180795359875</v>
      </c>
      <c r="C631" s="2">
        <v>18.88030601351829</v>
      </c>
      <c r="D631" s="2">
        <v>21.869828646227841</v>
      </c>
      <c r="E631" s="2">
        <v>18.323494549446572</v>
      </c>
      <c r="F631" s="2">
        <v>20.57969986995025</v>
      </c>
      <c r="G631" s="2">
        <v>20.665882295907089</v>
      </c>
      <c r="H631" s="2">
        <v>22.629260512768745</v>
      </c>
    </row>
    <row r="632" spans="1:8" x14ac:dyDescent="0.2">
      <c r="A632" s="16">
        <f>DATE(2019,10,10)</f>
        <v>43748</v>
      </c>
      <c r="B632" s="2">
        <v>19.217212894298363</v>
      </c>
      <c r="C632" s="2">
        <v>18.90511894616882</v>
      </c>
      <c r="D632" s="2">
        <v>21.900078741162577</v>
      </c>
      <c r="E632" s="2">
        <v>18.343969311714979</v>
      </c>
      <c r="F632" s="2">
        <v>20.604186683133662</v>
      </c>
      <c r="G632" s="2">
        <v>20.690523702502261</v>
      </c>
      <c r="H632" s="2">
        <v>22.657450233557807</v>
      </c>
    </row>
    <row r="633" spans="1:8" x14ac:dyDescent="0.2">
      <c r="A633" s="16">
        <f>DATE(2019,10,11)</f>
        <v>43749</v>
      </c>
      <c r="B633" s="2">
        <v>19.941281886104758</v>
      </c>
      <c r="C633" s="2">
        <v>18.929937057823729</v>
      </c>
      <c r="D633" s="2">
        <v>21.930336344668167</v>
      </c>
      <c r="E633" s="2">
        <v>18.364447616947466</v>
      </c>
      <c r="F633" s="2">
        <v>20.628678468995055</v>
      </c>
      <c r="G633" s="2">
        <v>20.715170141165373</v>
      </c>
      <c r="H633" s="2">
        <v>22.685646434532391</v>
      </c>
    </row>
    <row r="634" spans="1:8" x14ac:dyDescent="0.2">
      <c r="A634" s="16">
        <f>DATE(2019,10,14)</f>
        <v>43752</v>
      </c>
      <c r="B634" s="2">
        <v>19.79828833751105</v>
      </c>
      <c r="C634" s="2">
        <v>18.954760349564005</v>
      </c>
      <c r="D634" s="2">
        <v>21.960601458608362</v>
      </c>
      <c r="E634" s="2">
        <v>18.384929465757093</v>
      </c>
      <c r="F634" s="2">
        <v>20.653175228544285</v>
      </c>
      <c r="G634" s="2">
        <v>20.739821612924047</v>
      </c>
      <c r="H634" s="2">
        <v>22.713849117182129</v>
      </c>
    </row>
    <row r="635" spans="1:8" x14ac:dyDescent="0.2">
      <c r="A635" s="16">
        <f>DATE(2019,10,15)</f>
        <v>43753</v>
      </c>
      <c r="B635" s="2">
        <v>19.457982756312408</v>
      </c>
      <c r="C635" s="2">
        <v>18.979588822470841</v>
      </c>
      <c r="D635" s="2">
        <v>21.990874084847391</v>
      </c>
      <c r="E635" s="2">
        <v>18.405414858757062</v>
      </c>
      <c r="F635" s="2">
        <v>20.67767696279137</v>
      </c>
      <c r="G635" s="2">
        <v>20.764478118806085</v>
      </c>
      <c r="H635" s="2">
        <v>22.742058282997025</v>
      </c>
    </row>
    <row r="636" spans="1:8" x14ac:dyDescent="0.2">
      <c r="A636" s="16">
        <f>DATE(2019,10,16)</f>
        <v>43754</v>
      </c>
      <c r="B636" s="2">
        <v>19.889838281252903</v>
      </c>
      <c r="C636" s="2">
        <v>19.00442247762566</v>
      </c>
      <c r="D636" s="2">
        <v>22.021154225249905</v>
      </c>
      <c r="E636" s="2">
        <v>18.42590379656064</v>
      </c>
      <c r="F636" s="2">
        <v>20.702183672746543</v>
      </c>
      <c r="G636" s="2">
        <v>20.789139659839527</v>
      </c>
      <c r="H636" s="2">
        <v>22.770273933467422</v>
      </c>
    </row>
    <row r="637" spans="1:8" x14ac:dyDescent="0.2">
      <c r="A637" s="16">
        <f>DATE(2019,10,17)</f>
        <v>43755</v>
      </c>
      <c r="B637" s="2">
        <v>20.250491111246173</v>
      </c>
      <c r="C637" s="2">
        <v>19.029261316110112</v>
      </c>
      <c r="D637" s="2">
        <v>22.051441881681065</v>
      </c>
      <c r="E637" s="2">
        <v>18.44639627978124</v>
      </c>
      <c r="F637" s="2">
        <v>20.726695359420265</v>
      </c>
      <c r="G637" s="2">
        <v>20.813806237052624</v>
      </c>
      <c r="H637" s="2">
        <v>22.798496070083996</v>
      </c>
    </row>
    <row r="638" spans="1:8" x14ac:dyDescent="0.2">
      <c r="A638" s="16">
        <f>DATE(2019,10,18)</f>
        <v>43756</v>
      </c>
      <c r="B638" s="2">
        <v>20.55934034270097</v>
      </c>
      <c r="C638" s="2">
        <v>19.054105339006068</v>
      </c>
      <c r="D638" s="2">
        <v>22.081737056006467</v>
      </c>
      <c r="E638" s="2">
        <v>18.466892309032357</v>
      </c>
      <c r="F638" s="2">
        <v>20.751212023823172</v>
      </c>
      <c r="G638" s="2">
        <v>20.838477851473812</v>
      </c>
      <c r="H638" s="2">
        <v>22.826724694337752</v>
      </c>
    </row>
    <row r="639" spans="1:8" x14ac:dyDescent="0.2">
      <c r="A639" s="16">
        <f>DATE(2019,10,21)</f>
        <v>43759</v>
      </c>
      <c r="B639" s="2">
        <v>20.71885303821044</v>
      </c>
      <c r="C639" s="2">
        <v>19.078954547395611</v>
      </c>
      <c r="D639" s="2">
        <v>22.112039750092126</v>
      </c>
      <c r="E639" s="2">
        <v>18.487391884927582</v>
      </c>
      <c r="F639" s="2">
        <v>20.775733666966143</v>
      </c>
      <c r="G639" s="2">
        <v>20.863154504131742</v>
      </c>
      <c r="H639" s="2">
        <v>22.854959807720078</v>
      </c>
    </row>
    <row r="640" spans="1:8" x14ac:dyDescent="0.2">
      <c r="A640" s="16">
        <f>DATE(2019,10,22)</f>
        <v>43760</v>
      </c>
      <c r="B640" s="2">
        <v>21.367663068178079</v>
      </c>
      <c r="C640" s="2">
        <v>19.103808942361145</v>
      </c>
      <c r="D640" s="2">
        <v>22.142349965804687</v>
      </c>
      <c r="E640" s="2">
        <v>18.507895008080656</v>
      </c>
      <c r="F640" s="2">
        <v>20.800260289860216</v>
      </c>
      <c r="G640" s="2">
        <v>20.887836196055297</v>
      </c>
      <c r="H640" s="2">
        <v>22.883201411722641</v>
      </c>
    </row>
    <row r="641" spans="1:8" x14ac:dyDescent="0.2">
      <c r="A641" s="16">
        <f>DATE(2019,10,23)</f>
        <v>43761</v>
      </c>
      <c r="B641" s="2">
        <v>21.900271192370568</v>
      </c>
      <c r="C641" s="2">
        <v>19.128668524985137</v>
      </c>
      <c r="D641" s="2">
        <v>22.17266770501103</v>
      </c>
      <c r="E641" s="2">
        <v>18.528401679105365</v>
      </c>
      <c r="F641" s="2">
        <v>20.824791893516672</v>
      </c>
      <c r="G641" s="2">
        <v>20.912522928273546</v>
      </c>
      <c r="H641" s="2">
        <v>22.911449507837521</v>
      </c>
    </row>
    <row r="642" spans="1:8" x14ac:dyDescent="0.2">
      <c r="A642" s="16">
        <f>DATE(2019,10,24)</f>
        <v>43762</v>
      </c>
      <c r="B642" s="2">
        <v>21.514150076632109</v>
      </c>
      <c r="C642" s="2">
        <v>19.153533296350389</v>
      </c>
      <c r="D642" s="2">
        <v>22.202992969578641</v>
      </c>
      <c r="E642" s="2">
        <v>18.548911898615671</v>
      </c>
      <c r="F642" s="2">
        <v>20.849328478946983</v>
      </c>
      <c r="G642" s="2">
        <v>20.937214701815776</v>
      </c>
      <c r="H642" s="2">
        <v>22.939704097557101</v>
      </c>
    </row>
    <row r="643" spans="1:8" x14ac:dyDescent="0.2">
      <c r="A643" s="16">
        <f>DATE(2019,10,25)</f>
        <v>43763</v>
      </c>
      <c r="B643" s="2">
        <v>22.145949137323417</v>
      </c>
      <c r="C643" s="2">
        <v>19.178403257539902</v>
      </c>
      <c r="D643" s="2">
        <v>22.233325761375443</v>
      </c>
      <c r="E643" s="2">
        <v>18.569425667225591</v>
      </c>
      <c r="F643" s="2">
        <v>20.873870047162811</v>
      </c>
      <c r="G643" s="2">
        <v>20.961911517711474</v>
      </c>
      <c r="H643" s="2">
        <v>22.967965182374115</v>
      </c>
    </row>
    <row r="644" spans="1:8" x14ac:dyDescent="0.2">
      <c r="A644" s="16">
        <f>DATE(2019,10,28)</f>
        <v>43766</v>
      </c>
      <c r="B644" s="2">
        <v>22.515033932117468</v>
      </c>
      <c r="C644" s="2">
        <v>19.203278409636916</v>
      </c>
      <c r="D644" s="2">
        <v>22.26366608226984</v>
      </c>
      <c r="E644" s="2">
        <v>18.589942985549257</v>
      </c>
      <c r="F644" s="2">
        <v>20.898416599176063</v>
      </c>
      <c r="G644" s="2">
        <v>20.986613376990348</v>
      </c>
      <c r="H644" s="2">
        <v>22.996232763781641</v>
      </c>
    </row>
    <row r="645" spans="1:8" x14ac:dyDescent="0.2">
      <c r="A645" s="16">
        <f>DATE(2019,10,29)</f>
        <v>43767</v>
      </c>
      <c r="B645" s="2">
        <v>22.371670249169906</v>
      </c>
      <c r="C645" s="2">
        <v>19.228158753724877</v>
      </c>
      <c r="D645" s="2">
        <v>22.294013934130639</v>
      </c>
      <c r="E645" s="2">
        <v>18.610463854200908</v>
      </c>
      <c r="F645" s="2">
        <v>20.922968135998811</v>
      </c>
      <c r="G645" s="2">
        <v>21.011320280682334</v>
      </c>
      <c r="H645" s="2">
        <v>23.024506843273105</v>
      </c>
    </row>
    <row r="646" spans="1:8" x14ac:dyDescent="0.2">
      <c r="A646" s="16">
        <f>DATE(2019,10,30)</f>
        <v>43768</v>
      </c>
      <c r="B646" s="2">
        <v>22.782128966257552</v>
      </c>
      <c r="C646" s="2">
        <v>19.253044290887477</v>
      </c>
      <c r="D646" s="2">
        <v>22.324369318827173</v>
      </c>
      <c r="E646" s="2">
        <v>18.630988273794902</v>
      </c>
      <c r="F646" s="2">
        <v>20.947524658643356</v>
      </c>
      <c r="G646" s="2">
        <v>21.036032229817557</v>
      </c>
      <c r="H646" s="2">
        <v>23.05278742234227</v>
      </c>
    </row>
    <row r="647" spans="1:8" x14ac:dyDescent="0.2">
      <c r="A647" s="16">
        <f>DATE(2019,10,31)</f>
        <v>43769</v>
      </c>
      <c r="B647" s="2">
        <v>21.824104640814856</v>
      </c>
      <c r="C647" s="2">
        <v>19.277935022208624</v>
      </c>
      <c r="D647" s="2">
        <v>22.354732238229214</v>
      </c>
      <c r="E647" s="2">
        <v>18.651516244945697</v>
      </c>
      <c r="F647" s="2">
        <v>20.972086168122207</v>
      </c>
      <c r="G647" s="2">
        <v>21.060749225426356</v>
      </c>
      <c r="H647" s="2">
        <v>23.081074502483222</v>
      </c>
    </row>
    <row r="648" spans="1:8" x14ac:dyDescent="0.2">
      <c r="A648" s="16">
        <f>DATE(2019,11,1)</f>
        <v>43770</v>
      </c>
      <c r="B648" s="2">
        <v>22.414519638545304</v>
      </c>
      <c r="C648" s="2">
        <v>19.300579782068851</v>
      </c>
      <c r="D648" s="2">
        <v>22.382793367043408</v>
      </c>
      <c r="E648" s="2">
        <v>18.701943335367631</v>
      </c>
      <c r="F648" s="2">
        <v>21.027133841231471</v>
      </c>
      <c r="G648" s="2">
        <v>21.11597481928429</v>
      </c>
      <c r="H648" s="2">
        <v>23.140381490987426</v>
      </c>
    </row>
    <row r="649" spans="1:8" x14ac:dyDescent="0.2">
      <c r="A649" s="16">
        <f>DATE(2019,11,4)</f>
        <v>43773</v>
      </c>
      <c r="B649" s="2">
        <v>22.451162939576673</v>
      </c>
      <c r="C649" s="2">
        <v>19.323228841007101</v>
      </c>
      <c r="D649" s="2">
        <v>22.410860931464448</v>
      </c>
      <c r="E649" s="2">
        <v>18.752391857386307</v>
      </c>
      <c r="F649" s="2">
        <v>21.082206563477367</v>
      </c>
      <c r="G649" s="2">
        <v>21.171225605999823</v>
      </c>
      <c r="H649" s="2">
        <v>23.199717056743662</v>
      </c>
    </row>
    <row r="650" spans="1:8" x14ac:dyDescent="0.2">
      <c r="A650" s="16">
        <f>DATE(2019,11,5)</f>
        <v>43774</v>
      </c>
      <c r="B650" s="2">
        <v>22.873668769332166</v>
      </c>
      <c r="C650" s="2">
        <v>19.345882199839547</v>
      </c>
      <c r="D650" s="2">
        <v>22.438934932968269</v>
      </c>
      <c r="E650" s="2">
        <v>18.802861820110195</v>
      </c>
      <c r="F650" s="2">
        <v>21.137304346258379</v>
      </c>
      <c r="G650" s="2">
        <v>21.22650159706545</v>
      </c>
      <c r="H650" s="2">
        <v>23.259081213521959</v>
      </c>
    </row>
    <row r="651" spans="1:8" x14ac:dyDescent="0.2">
      <c r="A651" s="16">
        <f>DATE(2019,11,6)</f>
        <v>43775</v>
      </c>
      <c r="B651" s="2">
        <v>21.750838320086572</v>
      </c>
      <c r="C651" s="2">
        <v>19.36853985938254</v>
      </c>
      <c r="D651" s="2">
        <v>22.467015373031174</v>
      </c>
      <c r="E651" s="2">
        <v>18.853353232651603</v>
      </c>
      <c r="F651" s="2">
        <v>21.192427200978138</v>
      </c>
      <c r="G651" s="2">
        <v>21.281802803978934</v>
      </c>
      <c r="H651" s="2">
        <v>23.318473975098986</v>
      </c>
    </row>
    <row r="652" spans="1:8" x14ac:dyDescent="0.2">
      <c r="A652" s="16">
        <f>DATE(2019,11,7)</f>
        <v>43776</v>
      </c>
      <c r="B652" s="2">
        <v>22.482436757310364</v>
      </c>
      <c r="C652" s="2">
        <v>19.39120182045253</v>
      </c>
      <c r="D652" s="2">
        <v>22.495102253129783</v>
      </c>
      <c r="E652" s="2">
        <v>18.903866104126752</v>
      </c>
      <c r="F652" s="2">
        <v>21.247575139045495</v>
      </c>
      <c r="G652" s="2">
        <v>21.337129238243246</v>
      </c>
      <c r="H652" s="2">
        <v>23.377895355258051</v>
      </c>
    </row>
    <row r="653" spans="1:8" x14ac:dyDescent="0.2">
      <c r="A653" s="16">
        <f>DATE(2019,11,8)</f>
        <v>43777</v>
      </c>
      <c r="B653" s="2">
        <v>21.614836761547139</v>
      </c>
      <c r="C653" s="2">
        <v>19.413868083866181</v>
      </c>
      <c r="D653" s="2">
        <v>22.523195574741095</v>
      </c>
      <c r="E653" s="2">
        <v>18.954400443655729</v>
      </c>
      <c r="F653" s="2">
        <v>21.302748171874498</v>
      </c>
      <c r="G653" s="2">
        <v>21.392480911366629</v>
      </c>
      <c r="H653" s="2">
        <v>23.437345367789096</v>
      </c>
    </row>
    <row r="654" spans="1:8" x14ac:dyDescent="0.2">
      <c r="A654" s="16">
        <f>DATE(2019,11,11)</f>
        <v>43780</v>
      </c>
      <c r="B654" s="2">
        <v>21.742933669981699</v>
      </c>
      <c r="C654" s="2">
        <v>19.436538650440259</v>
      </c>
      <c r="D654" s="2">
        <v>22.551295339342413</v>
      </c>
      <c r="E654" s="2">
        <v>19.004956260362494</v>
      </c>
      <c r="F654" s="2">
        <v>21.357946310884369</v>
      </c>
      <c r="G654" s="2">
        <v>21.44785783486256</v>
      </c>
      <c r="H654" s="2">
        <v>23.496824026488738</v>
      </c>
    </row>
    <row r="655" spans="1:8" x14ac:dyDescent="0.2">
      <c r="A655" s="16">
        <f>DATE(2019,11,12)</f>
        <v>43781</v>
      </c>
      <c r="B655" s="2">
        <v>20.787743661029491</v>
      </c>
      <c r="C655" s="2">
        <v>19.459213520991735</v>
      </c>
      <c r="D655" s="2">
        <v>22.579401548411383</v>
      </c>
      <c r="E655" s="2">
        <v>19.055533563374883</v>
      </c>
      <c r="F655" s="2">
        <v>21.413169567499523</v>
      </c>
      <c r="G655" s="2">
        <v>21.50326002024978</v>
      </c>
      <c r="H655" s="2">
        <v>23.556331345160196</v>
      </c>
    </row>
    <row r="656" spans="1:8" x14ac:dyDescent="0.2">
      <c r="A656" s="16">
        <f>DATE(2019,11,13)</f>
        <v>43782</v>
      </c>
      <c r="B656" s="2">
        <v>20.309519935185172</v>
      </c>
      <c r="C656" s="2">
        <v>19.481892696337709</v>
      </c>
      <c r="D656" s="2">
        <v>22.607514203425993</v>
      </c>
      <c r="E656" s="2">
        <v>19.106132361824613</v>
      </c>
      <c r="F656" s="2">
        <v>21.468417953149618</v>
      </c>
      <c r="G656" s="2">
        <v>21.558687479052274</v>
      </c>
      <c r="H656" s="2">
        <v>23.615867337613384</v>
      </c>
    </row>
    <row r="657" spans="1:8" x14ac:dyDescent="0.2">
      <c r="A657" s="16">
        <f>DATE(2019,11,14)</f>
        <v>43783</v>
      </c>
      <c r="B657" s="2">
        <v>20.461006292583029</v>
      </c>
      <c r="C657" s="2">
        <v>19.504576177295441</v>
      </c>
      <c r="D657" s="2">
        <v>22.635633305864577</v>
      </c>
      <c r="E657" s="2">
        <v>19.156752664847264</v>
      </c>
      <c r="F657" s="2">
        <v>21.52369147926947</v>
      </c>
      <c r="G657" s="2">
        <v>21.614140222799303</v>
      </c>
      <c r="H657" s="2">
        <v>23.675432017664843</v>
      </c>
    </row>
    <row r="658" spans="1:8" x14ac:dyDescent="0.2">
      <c r="A658" s="16">
        <f>DATE(2019,11,18)</f>
        <v>43787</v>
      </c>
      <c r="B658" s="2">
        <v>20.240948743383846</v>
      </c>
      <c r="C658" s="2">
        <v>19.527263964682362</v>
      </c>
      <c r="D658" s="2">
        <v>22.663758857205796</v>
      </c>
      <c r="E658" s="2">
        <v>19.20739448158233</v>
      </c>
      <c r="F658" s="2">
        <v>21.578990157299096</v>
      </c>
      <c r="G658" s="2">
        <v>21.66961826302536</v>
      </c>
      <c r="H658" s="2">
        <v>23.73502539913779</v>
      </c>
    </row>
    <row r="659" spans="1:8" x14ac:dyDescent="0.2">
      <c r="A659" s="16">
        <f>DATE(2019,11,19)</f>
        <v>43788</v>
      </c>
      <c r="B659" s="2">
        <v>20.05129291453671</v>
      </c>
      <c r="C659" s="2">
        <v>19.54995605931602</v>
      </c>
      <c r="D659" s="2">
        <v>22.691890858928666</v>
      </c>
      <c r="E659" s="2">
        <v>19.258057821173178</v>
      </c>
      <c r="F659" s="2">
        <v>21.634313998683741</v>
      </c>
      <c r="G659" s="2">
        <v>21.725121611270225</v>
      </c>
      <c r="H659" s="2">
        <v>23.794647495862066</v>
      </c>
    </row>
    <row r="660" spans="1:8" x14ac:dyDescent="0.2">
      <c r="A660" s="16">
        <f>DATE(2019,11,20)</f>
        <v>43789</v>
      </c>
      <c r="B660" s="2">
        <v>20.061722590781581</v>
      </c>
      <c r="C660" s="2">
        <v>19.57265246201414</v>
      </c>
      <c r="D660" s="2">
        <v>22.720029312512512</v>
      </c>
      <c r="E660" s="2">
        <v>19.308742692767055</v>
      </c>
      <c r="F660" s="2">
        <v>21.689663014873851</v>
      </c>
      <c r="G660" s="2">
        <v>21.780650279078916</v>
      </c>
      <c r="H660" s="2">
        <v>23.854298321674204</v>
      </c>
    </row>
    <row r="661" spans="1:8" x14ac:dyDescent="0.2">
      <c r="A661" s="16">
        <f>DATE(2019,11,21)</f>
        <v>43790</v>
      </c>
      <c r="B661" s="2">
        <v>20.307471520404995</v>
      </c>
      <c r="C661" s="2">
        <v>19.595353173594621</v>
      </c>
      <c r="D661" s="2">
        <v>22.748174219437043</v>
      </c>
      <c r="E661" s="2">
        <v>19.359449105515104</v>
      </c>
      <c r="F661" s="2">
        <v>21.745037217325102</v>
      </c>
      <c r="G661" s="2">
        <v>21.83620427800177</v>
      </c>
      <c r="H661" s="2">
        <v>23.913977890417449</v>
      </c>
    </row>
    <row r="662" spans="1:8" x14ac:dyDescent="0.2">
      <c r="A662" s="16">
        <f>DATE(2019,11,22)</f>
        <v>43791</v>
      </c>
      <c r="B662" s="2">
        <v>20.757646160694375</v>
      </c>
      <c r="C662" s="2">
        <v>19.618058194875477</v>
      </c>
      <c r="D662" s="2">
        <v>22.776325581182277</v>
      </c>
      <c r="E662" s="2">
        <v>19.410177068572288</v>
      </c>
      <c r="F662" s="2">
        <v>21.800436617498288</v>
      </c>
      <c r="G662" s="2">
        <v>21.891783619594275</v>
      </c>
      <c r="H662" s="2">
        <v>23.97368621594158</v>
      </c>
    </row>
    <row r="663" spans="1:8" x14ac:dyDescent="0.2">
      <c r="A663" s="16">
        <f>DATE(2019,11,25)</f>
        <v>43794</v>
      </c>
      <c r="B663" s="2">
        <v>20.356501646456415</v>
      </c>
      <c r="C663" s="2">
        <v>19.640767526674917</v>
      </c>
      <c r="D663" s="2">
        <v>22.80448339922858</v>
      </c>
      <c r="E663" s="2">
        <v>19.460926591097618</v>
      </c>
      <c r="F663" s="2">
        <v>21.855861226859563</v>
      </c>
      <c r="G663" s="2">
        <v>21.94738831541736</v>
      </c>
      <c r="H663" s="2">
        <v>24.033423312103231</v>
      </c>
    </row>
    <row r="664" spans="1:8" x14ac:dyDescent="0.2">
      <c r="A664" s="16">
        <f>DATE(2019,11,26)</f>
        <v>43795</v>
      </c>
      <c r="B664" s="2">
        <v>19.539812870515515</v>
      </c>
      <c r="C664" s="2">
        <v>19.66348116981127</v>
      </c>
      <c r="D664" s="2">
        <v>22.832647675056659</v>
      </c>
      <c r="E664" s="2">
        <v>19.51169768225385</v>
      </c>
      <c r="F664" s="2">
        <v>21.911311056880201</v>
      </c>
      <c r="G664" s="2">
        <v>22.003018377037087</v>
      </c>
      <c r="H664" s="2">
        <v>24.093189192765575</v>
      </c>
    </row>
    <row r="665" spans="1:8" x14ac:dyDescent="0.2">
      <c r="A665" s="16">
        <f>DATE(2019,11,27)</f>
        <v>43796</v>
      </c>
      <c r="B665" s="2">
        <v>19.42986775642057</v>
      </c>
      <c r="C665" s="2">
        <v>19.686199125103055</v>
      </c>
      <c r="D665" s="2">
        <v>22.860818410147555</v>
      </c>
      <c r="E665" s="2">
        <v>19.562490351207696</v>
      </c>
      <c r="F665" s="2">
        <v>21.96678611903673</v>
      </c>
      <c r="G665" s="2">
        <v>22.058673816024864</v>
      </c>
      <c r="H665" s="2">
        <v>24.152983871798519</v>
      </c>
    </row>
    <row r="666" spans="1:8" x14ac:dyDescent="0.2">
      <c r="A666" s="16">
        <f>DATE(2019,11,28)</f>
        <v>43797</v>
      </c>
      <c r="B666" s="2">
        <v>19.881994475151487</v>
      </c>
      <c r="C666" s="2">
        <v>19.708921393368907</v>
      </c>
      <c r="D666" s="2">
        <v>22.888995605982632</v>
      </c>
      <c r="E666" s="2">
        <v>19.613304607129756</v>
      </c>
      <c r="F666" s="2">
        <v>22.0222864248109</v>
      </c>
      <c r="G666" s="2">
        <v>22.11435464395737</v>
      </c>
      <c r="H666" s="2">
        <v>24.21280736307865</v>
      </c>
    </row>
    <row r="667" spans="1:8" x14ac:dyDescent="0.2">
      <c r="A667" s="16">
        <f>DATE(2019,11,29)</f>
        <v>43798</v>
      </c>
      <c r="B667" s="2">
        <v>19.436570737458815</v>
      </c>
      <c r="C667" s="2">
        <v>19.731647975427656</v>
      </c>
      <c r="D667" s="2">
        <v>22.917179264043639</v>
      </c>
      <c r="E667" s="2">
        <v>19.664140459194513</v>
      </c>
      <c r="F667" s="2">
        <v>22.077811985689632</v>
      </c>
      <c r="G667" s="2">
        <v>22.170060872416506</v>
      </c>
      <c r="H667" s="2">
        <v>24.272659680489195</v>
      </c>
    </row>
    <row r="668" spans="1:8" x14ac:dyDescent="0.2">
      <c r="A668" s="16">
        <f>DATE(2019,12,2)</f>
        <v>43801</v>
      </c>
      <c r="B668" s="2">
        <v>19.467738078186624</v>
      </c>
      <c r="C668" s="2">
        <v>19.754378872098275</v>
      </c>
      <c r="D668" s="2">
        <v>22.945369385812619</v>
      </c>
      <c r="E668" s="2">
        <v>19.751895396601626</v>
      </c>
      <c r="F668" s="2">
        <v>22.171005659865671</v>
      </c>
      <c r="G668" s="2">
        <v>22.263463847540919</v>
      </c>
      <c r="H668" s="2">
        <v>24.370861495493521</v>
      </c>
    </row>
    <row r="669" spans="1:8" x14ac:dyDescent="0.2">
      <c r="A669" s="16">
        <f>DATE(2019,12,3)</f>
        <v>43802</v>
      </c>
      <c r="B669" s="2">
        <v>19.823462543906679</v>
      </c>
      <c r="C669" s="2">
        <v>19.777114084199866</v>
      </c>
      <c r="D669" s="2">
        <v>22.973565972771979</v>
      </c>
      <c r="E669" s="2">
        <v>19.839714688534738</v>
      </c>
      <c r="F669" s="2">
        <v>22.264270477689909</v>
      </c>
      <c r="G669" s="2">
        <v>22.356938232270096</v>
      </c>
      <c r="H669" s="2">
        <v>24.469140910804278</v>
      </c>
    </row>
    <row r="670" spans="1:8" x14ac:dyDescent="0.2">
      <c r="A670" s="16">
        <f>DATE(2019,12,4)</f>
        <v>43803</v>
      </c>
      <c r="B670" s="2">
        <v>20.495403435823299</v>
      </c>
      <c r="C670" s="2">
        <v>19.799853612551718</v>
      </c>
      <c r="D670" s="2">
        <v>23.001769026404475</v>
      </c>
      <c r="E670" s="2">
        <v>19.927598382187849</v>
      </c>
      <c r="F670" s="2">
        <v>22.357606493473071</v>
      </c>
      <c r="G670" s="2">
        <v>22.450484081199008</v>
      </c>
      <c r="H670" s="2">
        <v>24.567497987742183</v>
      </c>
    </row>
    <row r="671" spans="1:8" x14ac:dyDescent="0.2">
      <c r="A671" s="16">
        <f>DATE(2019,12,5)</f>
        <v>43804</v>
      </c>
      <c r="B671" s="2">
        <v>20.640049913175318</v>
      </c>
      <c r="C671" s="2">
        <v>19.822597457973281</v>
      </c>
      <c r="D671" s="2">
        <v>23.029978548193174</v>
      </c>
      <c r="E671" s="2">
        <v>20.015546524789563</v>
      </c>
      <c r="F671" s="2">
        <v>22.451013761567417</v>
      </c>
      <c r="G671" s="2">
        <v>22.544101448964369</v>
      </c>
      <c r="H671" s="2">
        <v>24.665932787676461</v>
      </c>
    </row>
    <row r="672" spans="1:8" x14ac:dyDescent="0.2">
      <c r="A672" s="16">
        <f>DATE(2019,12,6)</f>
        <v>43805</v>
      </c>
      <c r="B672" s="2">
        <v>21.299588769071054</v>
      </c>
      <c r="C672" s="2">
        <v>19.845345621284128</v>
      </c>
      <c r="D672" s="2">
        <v>23.058194539621503</v>
      </c>
      <c r="E672" s="2">
        <v>20.103559163603023</v>
      </c>
      <c r="F672" s="2">
        <v>22.544492336366549</v>
      </c>
      <c r="G672" s="2">
        <v>22.637790390244582</v>
      </c>
      <c r="H672" s="2">
        <v>24.764445372024714</v>
      </c>
    </row>
    <row r="673" spans="1:8" x14ac:dyDescent="0.2">
      <c r="A673" s="16">
        <f>DATE(2019,12,9)</f>
        <v>43808</v>
      </c>
      <c r="B673" s="2">
        <v>21.427366246487889</v>
      </c>
      <c r="C673" s="2">
        <v>19.86809810330401</v>
      </c>
      <c r="D673" s="2">
        <v>23.086417002173221</v>
      </c>
      <c r="E673" s="2">
        <v>20.191636345926224</v>
      </c>
      <c r="F673" s="2">
        <v>22.638042272305793</v>
      </c>
      <c r="G673" s="2">
        <v>22.731550959760003</v>
      </c>
      <c r="H673" s="2">
        <v>24.863035802253243</v>
      </c>
    </row>
    <row r="674" spans="1:8" x14ac:dyDescent="0.2">
      <c r="A674" s="16">
        <f>DATE(2019,12,10)</f>
        <v>43809</v>
      </c>
      <c r="B674" s="2">
        <v>21.484569750325711</v>
      </c>
      <c r="C674" s="2">
        <v>19.890854904852826</v>
      </c>
      <c r="D674" s="2">
        <v>23.114645937332433</v>
      </c>
      <c r="E674" s="2">
        <v>20.279778119091716</v>
      </c>
      <c r="F674" s="2">
        <v>22.731663623861941</v>
      </c>
      <c r="G674" s="2">
        <v>22.825383212272744</v>
      </c>
      <c r="H674" s="2">
        <v>24.96170413987684</v>
      </c>
    </row>
    <row r="675" spans="1:8" x14ac:dyDescent="0.2">
      <c r="A675" s="16">
        <f>DATE(2019,12,11)</f>
        <v>43810</v>
      </c>
      <c r="B675" s="2">
        <v>22.394679423112198</v>
      </c>
      <c r="C675" s="2">
        <v>19.913616026750589</v>
      </c>
      <c r="D675" s="2">
        <v>23.142881346583579</v>
      </c>
      <c r="E675" s="2">
        <v>20.367984530466732</v>
      </c>
      <c r="F675" s="2">
        <v>22.8253564455533</v>
      </c>
      <c r="G675" s="2">
        <v>22.919287202586712</v>
      </c>
      <c r="H675" s="2">
        <v>25.060450446458841</v>
      </c>
    </row>
    <row r="676" spans="1:8" x14ac:dyDescent="0.2">
      <c r="A676" s="16">
        <f>DATE(2019,12,12)</f>
        <v>43811</v>
      </c>
      <c r="B676" s="2">
        <v>23.190630534570133</v>
      </c>
      <c r="C676" s="2">
        <v>19.936381469817601</v>
      </c>
      <c r="D676" s="2">
        <v>23.17112323141146</v>
      </c>
      <c r="E676" s="2">
        <v>20.456255627453324</v>
      </c>
      <c r="F676" s="2">
        <v>22.919120791939896</v>
      </c>
      <c r="G676" s="2">
        <v>23.013262985547822</v>
      </c>
      <c r="H676" s="2">
        <v>25.15927478361133</v>
      </c>
    </row>
    <row r="677" spans="1:8" x14ac:dyDescent="0.2">
      <c r="A677" s="16">
        <f>DATE(2019,12,13)</f>
        <v>43812</v>
      </c>
      <c r="B677" s="2">
        <v>22.834115096806219</v>
      </c>
      <c r="C677" s="2">
        <v>19.95687686903176</v>
      </c>
      <c r="D677" s="2">
        <v>23.197035794492393</v>
      </c>
      <c r="E677" s="2">
        <v>20.544591457488281</v>
      </c>
      <c r="F677" s="2">
        <v>23.012956717623378</v>
      </c>
      <c r="G677" s="2">
        <v>23.107310616043897</v>
      </c>
      <c r="H677" s="2">
        <v>25.258177212995061</v>
      </c>
    </row>
    <row r="678" spans="1:8" x14ac:dyDescent="0.2">
      <c r="A678" s="16">
        <f>DATE(2019,12,16)</f>
        <v>43815</v>
      </c>
      <c r="B678" s="2">
        <v>22.903533034321153</v>
      </c>
      <c r="C678" s="2">
        <v>19.977375770614291</v>
      </c>
      <c r="D678" s="2">
        <v>23.222953809020954</v>
      </c>
      <c r="E678" s="2">
        <v>20.632992068043166</v>
      </c>
      <c r="F678" s="2">
        <v>23.106864277247062</v>
      </c>
      <c r="G678" s="2">
        <v>23.201430149004686</v>
      </c>
      <c r="H678" s="2">
        <v>25.357157796319459</v>
      </c>
    </row>
    <row r="679" spans="1:8" x14ac:dyDescent="0.2">
      <c r="A679" s="16">
        <f>DATE(2019,12,17)</f>
        <v>43816</v>
      </c>
      <c r="B679" s="2">
        <v>22.885933906345524</v>
      </c>
      <c r="C679" s="2">
        <v>19.997878175163699</v>
      </c>
      <c r="D679" s="2">
        <v>23.248877276143975</v>
      </c>
      <c r="E679" s="2">
        <v>20.72145750662435</v>
      </c>
      <c r="F679" s="2">
        <v>23.200843525495983</v>
      </c>
      <c r="G679" s="2">
        <v>23.295621639401954</v>
      </c>
      <c r="H679" s="2">
        <v>25.456216595342784</v>
      </c>
    </row>
    <row r="680" spans="1:8" x14ac:dyDescent="0.2">
      <c r="A680" s="16">
        <f>DATE(2019,12,18)</f>
        <v>43817</v>
      </c>
      <c r="B680" s="2">
        <v>23.100616901913408</v>
      </c>
      <c r="C680" s="2">
        <v>20.018384083278583</v>
      </c>
      <c r="D680" s="2">
        <v>23.274806197008591</v>
      </c>
      <c r="E680" s="2">
        <v>20.809987820773056</v>
      </c>
      <c r="F680" s="2">
        <v>23.294894517096942</v>
      </c>
      <c r="G680" s="2">
        <v>23.389885142249511</v>
      </c>
      <c r="H680" s="2">
        <v>25.555353671872052</v>
      </c>
    </row>
    <row r="681" spans="1:8" x14ac:dyDescent="0.2">
      <c r="A681" s="16">
        <f>DATE(2019,12,19)</f>
        <v>43818</v>
      </c>
      <c r="B681" s="2">
        <v>23.00509688695147</v>
      </c>
      <c r="C681" s="2">
        <v>20.038893495557677</v>
      </c>
      <c r="D681" s="2">
        <v>23.300740572762145</v>
      </c>
      <c r="E681" s="2">
        <v>20.898583058065423</v>
      </c>
      <c r="F681" s="2">
        <v>23.389017306818527</v>
      </c>
      <c r="G681" s="2">
        <v>23.484220712603232</v>
      </c>
      <c r="H681" s="2">
        <v>25.654569087763157</v>
      </c>
    </row>
    <row r="682" spans="1:8" x14ac:dyDescent="0.2">
      <c r="A682" s="16">
        <f>DATE(2019,12,20)</f>
        <v>43819</v>
      </c>
      <c r="B682" s="2">
        <v>22.791498942777054</v>
      </c>
      <c r="C682" s="2">
        <v>20.059406412599756</v>
      </c>
      <c r="D682" s="2">
        <v>23.326680404552235</v>
      </c>
      <c r="E682" s="2">
        <v>20.987243266112319</v>
      </c>
      <c r="F682" s="2">
        <v>23.483211949471027</v>
      </c>
      <c r="G682" s="2">
        <v>23.578628405560973</v>
      </c>
      <c r="H682" s="2">
        <v>25.753862904920766</v>
      </c>
    </row>
    <row r="683" spans="1:8" x14ac:dyDescent="0.2">
      <c r="A683" s="16">
        <f>DATE(2019,12,23)</f>
        <v>43822</v>
      </c>
      <c r="B683" s="2">
        <v>23.011257342292968</v>
      </c>
      <c r="C683" s="2">
        <v>20.07992283500375</v>
      </c>
      <c r="D683" s="2">
        <v>23.352625693526672</v>
      </c>
      <c r="E683" s="2">
        <v>21.075968492559728</v>
      </c>
      <c r="F683" s="2">
        <v>23.577478499906746</v>
      </c>
      <c r="G683" s="2">
        <v>23.673108276262901</v>
      </c>
      <c r="H683" s="2">
        <v>25.853235185298605</v>
      </c>
    </row>
    <row r="684" spans="1:8" x14ac:dyDescent="0.2">
      <c r="A684" s="16">
        <f>DATE(2019,12,24)</f>
        <v>43823</v>
      </c>
      <c r="B684" s="2">
        <v>23.023542760640691</v>
      </c>
      <c r="C684" s="2">
        <v>20.100442763368687</v>
      </c>
      <c r="D684" s="2">
        <v>23.378576440833545</v>
      </c>
      <c r="E684" s="2">
        <v>21.164758785088434</v>
      </c>
      <c r="F684" s="2">
        <v>23.671817013019748</v>
      </c>
      <c r="G684" s="2">
        <v>23.767660379891218</v>
      </c>
      <c r="H684" s="2">
        <v>25.95268599089928</v>
      </c>
    </row>
    <row r="685" spans="1:8" x14ac:dyDescent="0.2">
      <c r="A685" s="16">
        <f>DATE(2019,12,26)</f>
        <v>43825</v>
      </c>
      <c r="B685" s="2">
        <v>23.434544003425106</v>
      </c>
      <c r="C685" s="2">
        <v>20.120966198293665</v>
      </c>
      <c r="D685" s="2">
        <v>23.404532647621167</v>
      </c>
      <c r="E685" s="2">
        <v>21.25361419141425</v>
      </c>
      <c r="F685" s="2">
        <v>23.76622754374602</v>
      </c>
      <c r="G685" s="2">
        <v>23.862284771670318</v>
      </c>
      <c r="H685" s="2">
        <v>26.052215383774424</v>
      </c>
    </row>
    <row r="686" spans="1:8" x14ac:dyDescent="0.2">
      <c r="A686" s="16">
        <f>DATE(2019,12,27)</f>
        <v>43826</v>
      </c>
      <c r="B686" s="2">
        <v>23.910181859126077</v>
      </c>
      <c r="C686" s="2">
        <v>20.141493140377921</v>
      </c>
      <c r="D686" s="2">
        <v>23.430494315038121</v>
      </c>
      <c r="E686" s="2">
        <v>21.342534759287979</v>
      </c>
      <c r="F686" s="2">
        <v>23.860710147063504</v>
      </c>
      <c r="G686" s="2">
        <v>23.95698150686685</v>
      </c>
      <c r="H686" s="2">
        <v>26.15182342602467</v>
      </c>
    </row>
    <row r="687" spans="1:8" x14ac:dyDescent="0.2">
      <c r="A687" s="16">
        <f>DATE(2019,12,30)</f>
        <v>43829</v>
      </c>
      <c r="B687" s="2">
        <v>24.040489433016511</v>
      </c>
      <c r="C687" s="2">
        <v>20.16202359022077</v>
      </c>
      <c r="D687" s="2">
        <v>23.456461444233167</v>
      </c>
      <c r="E687" s="2">
        <v>21.43152053649542</v>
      </c>
      <c r="F687" s="2">
        <v>23.955264877992111</v>
      </c>
      <c r="G687" s="2">
        <v>24.051750640789702</v>
      </c>
      <c r="H687" s="2">
        <v>26.251510179799741</v>
      </c>
    </row>
    <row r="688" spans="1:8" x14ac:dyDescent="0.2">
      <c r="A688" s="16">
        <f>DATE(2019,12,31)</f>
        <v>43830</v>
      </c>
      <c r="B688" s="2">
        <v>24.053104423049177</v>
      </c>
      <c r="C688" s="2">
        <v>20.18255754842162</v>
      </c>
      <c r="D688" s="2">
        <v>23.482434036355372</v>
      </c>
      <c r="E688" s="2">
        <v>21.520571570857406</v>
      </c>
      <c r="F688" s="2">
        <v>24.049891791593737</v>
      </c>
      <c r="G688" s="2">
        <v>24.146592228790055</v>
      </c>
      <c r="H688" s="2">
        <v>26.35127570729847</v>
      </c>
    </row>
    <row r="689" spans="1:8" x14ac:dyDescent="0.2">
      <c r="A689" s="16">
        <f>DATE(2020,1,2)</f>
        <v>43832</v>
      </c>
      <c r="B689" s="2">
        <v>24.47037259818099</v>
      </c>
      <c r="C689" s="2">
        <v>20.203095015580018</v>
      </c>
      <c r="D689" s="2">
        <v>23.508412092554011</v>
      </c>
      <c r="E689" s="2">
        <v>21.5499733164072</v>
      </c>
      <c r="F689" s="2">
        <v>24.083631623440851</v>
      </c>
      <c r="G689" s="2">
        <v>24.180499417900059</v>
      </c>
      <c r="H689" s="2">
        <v>26.389028165072801</v>
      </c>
    </row>
    <row r="690" spans="1:8" x14ac:dyDescent="0.2">
      <c r="A690" s="16">
        <f>DATE(2020,1,3)</f>
        <v>43833</v>
      </c>
      <c r="B690" s="2">
        <v>24.361471972810602</v>
      </c>
      <c r="C690" s="2">
        <v>20.223635992295598</v>
      </c>
      <c r="D690" s="2">
        <v>23.53439561397861</v>
      </c>
      <c r="E690" s="2">
        <v>21.579382175671391</v>
      </c>
      <c r="F690" s="2">
        <v>24.117380632049311</v>
      </c>
      <c r="G690" s="2">
        <v>24.214415867815784</v>
      </c>
      <c r="H690" s="2">
        <v>26.426791902892081</v>
      </c>
    </row>
    <row r="691" spans="1:8" x14ac:dyDescent="0.2">
      <c r="A691" s="16">
        <f>DATE(2020,1,6)</f>
        <v>43836</v>
      </c>
      <c r="B691" s="2">
        <v>24.075839798976205</v>
      </c>
      <c r="C691" s="2">
        <v>20.244180479168094</v>
      </c>
      <c r="D691" s="2">
        <v>23.560384601778939</v>
      </c>
      <c r="E691" s="2">
        <v>21.608798150371157</v>
      </c>
      <c r="F691" s="2">
        <v>24.151138819915086</v>
      </c>
      <c r="G691" s="2">
        <v>24.24834158106659</v>
      </c>
      <c r="H691" s="2">
        <v>26.46456692412664</v>
      </c>
    </row>
    <row r="692" spans="1:8" x14ac:dyDescent="0.2">
      <c r="A692" s="16">
        <f>DATE(2020,1,7)</f>
        <v>43837</v>
      </c>
      <c r="B692" s="2">
        <v>23.720460115941933</v>
      </c>
      <c r="C692" s="2">
        <v>20.264728476797323</v>
      </c>
      <c r="D692" s="2">
        <v>23.586379057104988</v>
      </c>
      <c r="E692" s="2">
        <v>21.638221242228049</v>
      </c>
      <c r="F692" s="2">
        <v>24.184906189534793</v>
      </c>
      <c r="G692" s="2">
        <v>24.282276560182471</v>
      </c>
      <c r="H692" s="2">
        <v>26.50235323214789</v>
      </c>
    </row>
    <row r="693" spans="1:8" x14ac:dyDescent="0.2">
      <c r="A693" s="16">
        <f>DATE(2020,1,8)</f>
        <v>43838</v>
      </c>
      <c r="B693" s="2">
        <v>23.744919405297882</v>
      </c>
      <c r="C693" s="2">
        <v>20.285279985783244</v>
      </c>
      <c r="D693" s="2">
        <v>23.612378981107017</v>
      </c>
      <c r="E693" s="2">
        <v>21.667651452964076</v>
      </c>
      <c r="F693" s="2">
        <v>24.218682743405751</v>
      </c>
      <c r="G693" s="2">
        <v>24.316220807694155</v>
      </c>
      <c r="H693" s="2">
        <v>26.540150830328169</v>
      </c>
    </row>
    <row r="694" spans="1:8" x14ac:dyDescent="0.2">
      <c r="A694" s="16">
        <f>DATE(2020,1,9)</f>
        <v>43839</v>
      </c>
      <c r="B694" s="2">
        <v>23.408061650957034</v>
      </c>
      <c r="C694" s="2">
        <v>20.305835006725893</v>
      </c>
      <c r="D694" s="2">
        <v>23.638384374935526</v>
      </c>
      <c r="E694" s="2">
        <v>21.697088784301631</v>
      </c>
      <c r="F694" s="2">
        <v>24.252468484025936</v>
      </c>
      <c r="G694" s="2">
        <v>24.350174326133047</v>
      </c>
      <c r="H694" s="2">
        <v>26.577959722040866</v>
      </c>
    </row>
    <row r="695" spans="1:8" x14ac:dyDescent="0.2">
      <c r="A695" s="16">
        <f>DATE(2020,1,10)</f>
        <v>43840</v>
      </c>
      <c r="B695" s="2">
        <v>23.471805885157448</v>
      </c>
      <c r="C695" s="2">
        <v>20.326393540225428</v>
      </c>
      <c r="D695" s="2">
        <v>23.664395239741264</v>
      </c>
      <c r="E695" s="2">
        <v>21.726533237963562</v>
      </c>
      <c r="F695" s="2">
        <v>24.286263413894037</v>
      </c>
      <c r="G695" s="2">
        <v>24.384137118031269</v>
      </c>
      <c r="H695" s="2">
        <v>26.615779910660422</v>
      </c>
    </row>
    <row r="696" spans="1:8" x14ac:dyDescent="0.2">
      <c r="A696" s="16">
        <f>DATE(2020,1,13)</f>
        <v>43843</v>
      </c>
      <c r="B696" s="2">
        <v>23.460255665183837</v>
      </c>
      <c r="C696" s="2">
        <v>20.346955586882022</v>
      </c>
      <c r="D696" s="2">
        <v>23.690411576675153</v>
      </c>
      <c r="E696" s="2">
        <v>21.755984815673024</v>
      </c>
      <c r="F696" s="2">
        <v>24.320067535509327</v>
      </c>
      <c r="G696" s="2">
        <v>24.418109185921534</v>
      </c>
      <c r="H696" s="2">
        <v>26.653611399562127</v>
      </c>
    </row>
    <row r="697" spans="1:8" x14ac:dyDescent="0.2">
      <c r="A697" s="16">
        <f>DATE(2020,1,14)</f>
        <v>43844</v>
      </c>
      <c r="B697" s="2">
        <v>23.516607352974429</v>
      </c>
      <c r="C697" s="2">
        <v>20.367521147296095</v>
      </c>
      <c r="D697" s="2">
        <v>23.716433386888468</v>
      </c>
      <c r="E697" s="2">
        <v>21.785443519153748</v>
      </c>
      <c r="F697" s="2">
        <v>24.353880851371912</v>
      </c>
      <c r="G697" s="2">
        <v>24.45209053233739</v>
      </c>
      <c r="H697" s="2">
        <v>26.691454192122489</v>
      </c>
    </row>
    <row r="698" spans="1:8" x14ac:dyDescent="0.2">
      <c r="A698" s="16">
        <f>DATE(2020,1,15)</f>
        <v>43845</v>
      </c>
      <c r="B698" s="2">
        <v>23.011404381967825</v>
      </c>
      <c r="C698" s="2">
        <v>20.38809022206809</v>
      </c>
      <c r="D698" s="2">
        <v>23.742460671532651</v>
      </c>
      <c r="E698" s="2">
        <v>21.814909350129774</v>
      </c>
      <c r="F698" s="2">
        <v>24.387703363982482</v>
      </c>
      <c r="G698" s="2">
        <v>24.48608115981299</v>
      </c>
      <c r="H698" s="2">
        <v>26.72930829171889</v>
      </c>
    </row>
    <row r="699" spans="1:8" x14ac:dyDescent="0.2">
      <c r="A699" s="16">
        <f>DATE(2020,1,16)</f>
        <v>43846</v>
      </c>
      <c r="B699" s="2">
        <v>22.57193321593849</v>
      </c>
      <c r="C699" s="2">
        <v>20.408662811798539</v>
      </c>
      <c r="D699" s="2">
        <v>23.768493431759396</v>
      </c>
      <c r="E699" s="2">
        <v>21.844382310325617</v>
      </c>
      <c r="F699" s="2">
        <v>24.421535075842414</v>
      </c>
      <c r="G699" s="2">
        <v>24.520081070883194</v>
      </c>
      <c r="H699" s="2">
        <v>26.767173701729764</v>
      </c>
    </row>
    <row r="700" spans="1:8" x14ac:dyDescent="0.2">
      <c r="A700" s="16">
        <f>DATE(2020,1,17)</f>
        <v>43847</v>
      </c>
      <c r="B700" s="2">
        <v>22.982635309039633</v>
      </c>
      <c r="C700" s="2">
        <v>20.429238917088121</v>
      </c>
      <c r="D700" s="2">
        <v>23.794531668720676</v>
      </c>
      <c r="E700" s="2">
        <v>21.873862401466159</v>
      </c>
      <c r="F700" s="2">
        <v>24.455375989453778</v>
      </c>
      <c r="G700" s="2">
        <v>24.554090268083549</v>
      </c>
      <c r="H700" s="2">
        <v>26.805050425534539</v>
      </c>
    </row>
    <row r="701" spans="1:8" x14ac:dyDescent="0.2">
      <c r="A701" s="16">
        <f>DATE(2020,1,20)</f>
        <v>43850</v>
      </c>
      <c r="B701" s="2">
        <v>22.914814526613235</v>
      </c>
      <c r="C701" s="2">
        <v>20.449818538537535</v>
      </c>
      <c r="D701" s="2">
        <v>23.82057538356861</v>
      </c>
      <c r="E701" s="2">
        <v>21.903349625276736</v>
      </c>
      <c r="F701" s="2">
        <v>24.489226107319318</v>
      </c>
      <c r="G701" s="2">
        <v>24.588108753950323</v>
      </c>
      <c r="H701" s="2">
        <v>26.842938466513665</v>
      </c>
    </row>
    <row r="702" spans="1:8" x14ac:dyDescent="0.2">
      <c r="A702" s="16">
        <f>DATE(2020,1,21)</f>
        <v>43851</v>
      </c>
      <c r="B702" s="2">
        <v>22.163720656642006</v>
      </c>
      <c r="C702" s="2">
        <v>20.470401676747716</v>
      </c>
      <c r="D702" s="2">
        <v>23.8466245774557</v>
      </c>
      <c r="E702" s="2">
        <v>21.932843983483075</v>
      </c>
      <c r="F702" s="2">
        <v>24.523085431942459</v>
      </c>
      <c r="G702" s="2">
        <v>24.622136531020455</v>
      </c>
      <c r="H702" s="2">
        <v>26.880837828048598</v>
      </c>
    </row>
    <row r="703" spans="1:8" x14ac:dyDescent="0.2">
      <c r="A703" s="16">
        <f>DATE(2020,1,22)</f>
        <v>43852</v>
      </c>
      <c r="B703" s="2">
        <v>22.495239349686869</v>
      </c>
      <c r="C703" s="2">
        <v>20.490988332319592</v>
      </c>
      <c r="D703" s="2">
        <v>23.872679251534581</v>
      </c>
      <c r="E703" s="2">
        <v>21.962345477811329</v>
      </c>
      <c r="F703" s="2">
        <v>24.556953965827311</v>
      </c>
      <c r="G703" s="2">
        <v>24.656173601831565</v>
      </c>
      <c r="H703" s="2">
        <v>26.918748513521784</v>
      </c>
    </row>
    <row r="704" spans="1:8" x14ac:dyDescent="0.2">
      <c r="A704" s="16">
        <f>DATE(2020,1,23)</f>
        <v>43853</v>
      </c>
      <c r="B704" s="2">
        <v>22.676458143399646</v>
      </c>
      <c r="C704" s="2">
        <v>20.511578505854231</v>
      </c>
      <c r="D704" s="2">
        <v>23.898739406958171</v>
      </c>
      <c r="E704" s="2">
        <v>21.991854109988097</v>
      </c>
      <c r="F704" s="2">
        <v>24.590831711478668</v>
      </c>
      <c r="G704" s="2">
        <v>24.690219968921976</v>
      </c>
      <c r="H704" s="2">
        <v>26.956670526316721</v>
      </c>
    </row>
    <row r="705" spans="1:8" x14ac:dyDescent="0.2">
      <c r="A705" s="16">
        <f>DATE(2020,1,24)</f>
        <v>43854</v>
      </c>
      <c r="B705" s="2">
        <v>22.334073725419113</v>
      </c>
      <c r="C705" s="2">
        <v>20.532172197952804</v>
      </c>
      <c r="D705" s="2">
        <v>23.924805044879637</v>
      </c>
      <c r="E705" s="2">
        <v>22.021369881740348</v>
      </c>
      <c r="F705" s="2">
        <v>24.624718671402015</v>
      </c>
      <c r="G705" s="2">
        <v>24.724275634830729</v>
      </c>
      <c r="H705" s="2">
        <v>26.994603869817869</v>
      </c>
    </row>
    <row r="706" spans="1:8" x14ac:dyDescent="0.2">
      <c r="A706" s="16">
        <f>DATE(2020,1,27)</f>
        <v>43857</v>
      </c>
      <c r="B706" s="2">
        <v>22.192226072222265</v>
      </c>
      <c r="C706" s="2">
        <v>20.552769409216598</v>
      </c>
      <c r="D706" s="2">
        <v>23.950876166452396</v>
      </c>
      <c r="E706" s="2">
        <v>22.05089279479553</v>
      </c>
      <c r="F706" s="2">
        <v>24.658614848103522</v>
      </c>
      <c r="G706" s="2">
        <v>24.75834060209754</v>
      </c>
      <c r="H706" s="2">
        <v>27.032548547410794</v>
      </c>
    </row>
    <row r="707" spans="1:8" x14ac:dyDescent="0.2">
      <c r="A707" s="16">
        <f>DATE(2020,1,28)</f>
        <v>43858</v>
      </c>
      <c r="B707" s="2">
        <v>22.484297569746992</v>
      </c>
      <c r="C707" s="2">
        <v>20.573370140246961</v>
      </c>
      <c r="D707" s="2">
        <v>23.97695277283005</v>
      </c>
      <c r="E707" s="2">
        <v>22.080422850881433</v>
      </c>
      <c r="F707" s="2">
        <v>24.692520244089966</v>
      </c>
      <c r="G707" s="2">
        <v>24.792414873262778</v>
      </c>
      <c r="H707" s="2">
        <v>27.070504562481922</v>
      </c>
    </row>
    <row r="708" spans="1:8" x14ac:dyDescent="0.2">
      <c r="A708" s="16">
        <f>DATE(2020,1,29)</f>
        <v>43859</v>
      </c>
      <c r="B708" s="2">
        <v>21.997763567108652</v>
      </c>
      <c r="C708" s="2">
        <v>20.593974391645386</v>
      </c>
      <c r="D708" s="2">
        <v>24.003034865166526</v>
      </c>
      <c r="E708" s="2">
        <v>22.109960051726276</v>
      </c>
      <c r="F708" s="2">
        <v>24.726434861868849</v>
      </c>
      <c r="G708" s="2">
        <v>24.82649845086755</v>
      </c>
      <c r="H708" s="2">
        <v>27.108471918418786</v>
      </c>
    </row>
    <row r="709" spans="1:8" x14ac:dyDescent="0.2">
      <c r="A709" s="16">
        <f>DATE(2020,1,30)</f>
        <v>43860</v>
      </c>
      <c r="B709" s="2">
        <v>21.644680745201693</v>
      </c>
      <c r="C709" s="2">
        <v>20.614582164013463</v>
      </c>
      <c r="D709" s="2">
        <v>24.029122444615926</v>
      </c>
      <c r="E709" s="2">
        <v>22.139504399058787</v>
      </c>
      <c r="F709" s="2">
        <v>24.760358703948437</v>
      </c>
      <c r="G709" s="2">
        <v>24.860591337453688</v>
      </c>
      <c r="H709" s="2">
        <v>27.146450618609961</v>
      </c>
    </row>
    <row r="710" spans="1:8" x14ac:dyDescent="0.2">
      <c r="A710" s="16">
        <f>DATE(2020,1,31)</f>
        <v>43861</v>
      </c>
      <c r="B710" s="2">
        <v>21.199525735190594</v>
      </c>
      <c r="C710" s="2">
        <v>20.635193457952859</v>
      </c>
      <c r="D710" s="2">
        <v>24.055215512332627</v>
      </c>
      <c r="E710" s="2">
        <v>22.169055894608025</v>
      </c>
      <c r="F710" s="2">
        <v>24.794291772837585</v>
      </c>
      <c r="G710" s="2">
        <v>24.894693535563661</v>
      </c>
      <c r="H710" s="2">
        <v>27.184440666444988</v>
      </c>
    </row>
    <row r="711" spans="1:8" x14ac:dyDescent="0.2">
      <c r="A711" s="16">
        <f>DATE(2020,2,3)</f>
        <v>43864</v>
      </c>
      <c r="B711" s="2">
        <v>21.642946691105578</v>
      </c>
      <c r="C711" s="2">
        <v>20.655808274065368</v>
      </c>
      <c r="D711" s="2">
        <v>24.081314069471251</v>
      </c>
      <c r="E711" s="2">
        <v>22.199602222076798</v>
      </c>
      <c r="F711" s="2">
        <v>24.829243007170177</v>
      </c>
      <c r="G711" s="2">
        <v>24.929814796739478</v>
      </c>
      <c r="H711" s="2">
        <v>27.223470352853507</v>
      </c>
    </row>
    <row r="712" spans="1:8" x14ac:dyDescent="0.2">
      <c r="A712" s="16">
        <f>DATE(2020,2,4)</f>
        <v>43865</v>
      </c>
      <c r="B712" s="2">
        <v>22.10382480565498</v>
      </c>
      <c r="C712" s="2">
        <v>20.676426612952859</v>
      </c>
      <c r="D712" s="2">
        <v>24.10741811718664</v>
      </c>
      <c r="E712" s="2">
        <v>22.230156187143457</v>
      </c>
      <c r="F712" s="2">
        <v>24.864204030322188</v>
      </c>
      <c r="G712" s="2">
        <v>24.964945934259575</v>
      </c>
      <c r="H712" s="2">
        <v>27.26251201648515</v>
      </c>
    </row>
    <row r="713" spans="1:8" x14ac:dyDescent="0.2">
      <c r="A713" s="16">
        <f>DATE(2020,2,5)</f>
        <v>43866</v>
      </c>
      <c r="B713" s="2">
        <v>22.420958962235726</v>
      </c>
      <c r="C713" s="2">
        <v>20.69704847521734</v>
      </c>
      <c r="D713" s="2">
        <v>24.133527656633902</v>
      </c>
      <c r="E713" s="2">
        <v>22.260717791717632</v>
      </c>
      <c r="F713" s="2">
        <v>24.899174845035098</v>
      </c>
      <c r="G713" s="2">
        <v>25.000086950901171</v>
      </c>
      <c r="H713" s="2">
        <v>27.301565661015381</v>
      </c>
    </row>
    <row r="714" spans="1:8" x14ac:dyDescent="0.2">
      <c r="A714" s="16">
        <f>DATE(2020,2,6)</f>
        <v>43867</v>
      </c>
      <c r="B714" s="2">
        <v>21.895718032784959</v>
      </c>
      <c r="C714" s="2">
        <v>20.717673861460906</v>
      </c>
      <c r="D714" s="2">
        <v>24.159642688968376</v>
      </c>
      <c r="E714" s="2">
        <v>22.291287037709463</v>
      </c>
      <c r="F714" s="2">
        <v>24.93415545405129</v>
      </c>
      <c r="G714" s="2">
        <v>25.035237849442371</v>
      </c>
      <c r="H714" s="2">
        <v>27.340631290120854</v>
      </c>
    </row>
    <row r="715" spans="1:8" x14ac:dyDescent="0.2">
      <c r="A715" s="16">
        <f>DATE(2020,2,7)</f>
        <v>43868</v>
      </c>
      <c r="B715" s="2">
        <v>21.057688222661007</v>
      </c>
      <c r="C715" s="2">
        <v>20.737154083243681</v>
      </c>
      <c r="D715" s="2">
        <v>24.184581727598097</v>
      </c>
      <c r="E715" s="2">
        <v>22.321863927029529</v>
      </c>
      <c r="F715" s="2">
        <v>24.969145860113805</v>
      </c>
      <c r="G715" s="2">
        <v>25.07039863266203</v>
      </c>
      <c r="H715" s="2">
        <v>27.379708907479294</v>
      </c>
    </row>
    <row r="716" spans="1:8" x14ac:dyDescent="0.2">
      <c r="A716" s="16">
        <f>DATE(2020,2,10)</f>
        <v>43871</v>
      </c>
      <c r="B716" s="2">
        <v>20.709026731665816</v>
      </c>
      <c r="C716" s="2">
        <v>20.756637448551587</v>
      </c>
      <c r="D716" s="2">
        <v>24.209525775549956</v>
      </c>
      <c r="E716" s="2">
        <v>22.352448461588992</v>
      </c>
      <c r="F716" s="2">
        <v>25.004146065966591</v>
      </c>
      <c r="G716" s="2">
        <v>25.105569303339824</v>
      </c>
      <c r="H716" s="2">
        <v>27.41879851676967</v>
      </c>
    </row>
    <row r="717" spans="1:8" x14ac:dyDescent="0.2">
      <c r="A717" s="16">
        <f>DATE(2020,2,11)</f>
        <v>43872</v>
      </c>
      <c r="B717" s="2">
        <v>21.777127999877454</v>
      </c>
      <c r="C717" s="2">
        <v>20.77612395789188</v>
      </c>
      <c r="D717" s="2">
        <v>24.234474833830145</v>
      </c>
      <c r="E717" s="2">
        <v>22.383040643299367</v>
      </c>
      <c r="F717" s="2">
        <v>25.039156074354249</v>
      </c>
      <c r="G717" s="2">
        <v>25.14074986425614</v>
      </c>
      <c r="H717" s="2">
        <v>27.457900121671972</v>
      </c>
    </row>
    <row r="718" spans="1:8" x14ac:dyDescent="0.2">
      <c r="A718" s="16">
        <f>DATE(2020,2,12)</f>
        <v>43873</v>
      </c>
      <c r="B718" s="2">
        <v>22.366026967857167</v>
      </c>
      <c r="C718" s="2">
        <v>20.795613611771913</v>
      </c>
      <c r="D718" s="2">
        <v>24.259428903445055</v>
      </c>
      <c r="E718" s="2">
        <v>22.413640474072704</v>
      </c>
      <c r="F718" s="2">
        <v>25.074175888022165</v>
      </c>
      <c r="G718" s="2">
        <v>25.17594031819219</v>
      </c>
      <c r="H718" s="2">
        <v>27.497013725867351</v>
      </c>
    </row>
    <row r="719" spans="1:8" x14ac:dyDescent="0.2">
      <c r="A719" s="16">
        <f>DATE(2020,2,13)</f>
        <v>43874</v>
      </c>
      <c r="B719" s="2">
        <v>21.940955549292763</v>
      </c>
      <c r="C719" s="2">
        <v>20.815106410699126</v>
      </c>
      <c r="D719" s="2">
        <v>24.284387985401288</v>
      </c>
      <c r="E719" s="2">
        <v>22.444247955821496</v>
      </c>
      <c r="F719" s="2">
        <v>25.109205509716514</v>
      </c>
      <c r="G719" s="2">
        <v>25.211140667929953</v>
      </c>
      <c r="H719" s="2">
        <v>27.536139333038022</v>
      </c>
    </row>
    <row r="720" spans="1:8" x14ac:dyDescent="0.2">
      <c r="A720" s="16">
        <f>DATE(2020,2,14)</f>
        <v>43875</v>
      </c>
      <c r="B720" s="2">
        <v>22.005039495845359</v>
      </c>
      <c r="C720" s="2">
        <v>20.83460235518104</v>
      </c>
      <c r="D720" s="2">
        <v>24.309352080705615</v>
      </c>
      <c r="E720" s="2">
        <v>22.474863090458786</v>
      </c>
      <c r="F720" s="2">
        <v>25.14424494218428</v>
      </c>
      <c r="G720" s="2">
        <v>25.246350916252226</v>
      </c>
      <c r="H720" s="2">
        <v>27.575276946867501</v>
      </c>
    </row>
    <row r="721" spans="1:8" x14ac:dyDescent="0.2">
      <c r="A721" s="16">
        <f>DATE(2020,2,17)</f>
        <v>43878</v>
      </c>
      <c r="B721" s="2">
        <v>22.060432890582813</v>
      </c>
      <c r="C721" s="2">
        <v>20.854101445725259</v>
      </c>
      <c r="D721" s="2">
        <v>24.334321190365049</v>
      </c>
      <c r="E721" s="2">
        <v>22.505485879898046</v>
      </c>
      <c r="F721" s="2">
        <v>25.179294188173131</v>
      </c>
      <c r="G721" s="2">
        <v>25.281571065942554</v>
      </c>
      <c r="H721" s="2">
        <v>27.614426571040273</v>
      </c>
    </row>
    <row r="722" spans="1:8" x14ac:dyDescent="0.2">
      <c r="A722" s="16">
        <f>DATE(2020,2,18)</f>
        <v>43879</v>
      </c>
      <c r="B722" s="2">
        <v>21.799787320800256</v>
      </c>
      <c r="C722" s="2">
        <v>20.873603682839459</v>
      </c>
      <c r="D722" s="2">
        <v>24.359295315386763</v>
      </c>
      <c r="E722" s="2">
        <v>22.536116326053214</v>
      </c>
      <c r="F722" s="2">
        <v>25.214353250431554</v>
      </c>
      <c r="G722" s="2">
        <v>25.31680111978525</v>
      </c>
      <c r="H722" s="2">
        <v>27.65358820924202</v>
      </c>
    </row>
    <row r="723" spans="1:8" x14ac:dyDescent="0.2">
      <c r="A723" s="16">
        <f>DATE(2020,2,19)</f>
        <v>43880</v>
      </c>
      <c r="B723" s="2">
        <v>22.362092388972378</v>
      </c>
      <c r="C723" s="2">
        <v>20.893109067031389</v>
      </c>
      <c r="D723" s="2">
        <v>24.384274456778176</v>
      </c>
      <c r="E723" s="2">
        <v>22.566754430838731</v>
      </c>
      <c r="F723" s="2">
        <v>25.249422131708801</v>
      </c>
      <c r="G723" s="2">
        <v>25.352041080565435</v>
      </c>
      <c r="H723" s="2">
        <v>27.692761865159522</v>
      </c>
    </row>
    <row r="724" spans="1:8" x14ac:dyDescent="0.2">
      <c r="A724" s="16">
        <f>DATE(2020,2,20)</f>
        <v>43881</v>
      </c>
      <c r="B724" s="2">
        <v>21.31158517840279</v>
      </c>
      <c r="C724" s="2">
        <v>20.912617598808914</v>
      </c>
      <c r="D724" s="2">
        <v>24.409258615546879</v>
      </c>
      <c r="E724" s="2">
        <v>22.597400196169492</v>
      </c>
      <c r="F724" s="2">
        <v>25.284500834754908</v>
      </c>
      <c r="G724" s="2">
        <v>25.387290951069019</v>
      </c>
      <c r="H724" s="2">
        <v>27.731947542480739</v>
      </c>
    </row>
    <row r="725" spans="1:8" x14ac:dyDescent="0.2">
      <c r="A725" s="16">
        <f>DATE(2020,2,21)</f>
        <v>43882</v>
      </c>
      <c r="B725" s="2">
        <v>20.619560695039496</v>
      </c>
      <c r="C725" s="2">
        <v>20.932129278679955</v>
      </c>
      <c r="D725" s="2">
        <v>24.434247792700692</v>
      </c>
      <c r="E725" s="2">
        <v>22.62805362396092</v>
      </c>
      <c r="F725" s="2">
        <v>25.319589362320659</v>
      </c>
      <c r="G725" s="2">
        <v>25.422550734082684</v>
      </c>
      <c r="H725" s="2">
        <v>27.771145244894726</v>
      </c>
    </row>
    <row r="726" spans="1:8" x14ac:dyDescent="0.2">
      <c r="A726" s="16">
        <f>DATE(2020,2,26)</f>
        <v>43887</v>
      </c>
      <c r="B726" s="2">
        <v>18.646283188648226</v>
      </c>
      <c r="C726" s="2">
        <v>20.951644107152511</v>
      </c>
      <c r="D726" s="2">
        <v>24.459241989247605</v>
      </c>
      <c r="E726" s="2">
        <v>22.658714716128859</v>
      </c>
      <c r="F726" s="2">
        <v>25.35468771715761</v>
      </c>
      <c r="G726" s="2">
        <v>25.457820432393884</v>
      </c>
      <c r="H726" s="2">
        <v>27.810354976091656</v>
      </c>
    </row>
    <row r="727" spans="1:8" x14ac:dyDescent="0.2">
      <c r="A727" s="16">
        <f>DATE(2020,2,27)</f>
        <v>43888</v>
      </c>
      <c r="B727" s="2">
        <v>17.936324935290738</v>
      </c>
      <c r="C727" s="2">
        <v>20.971162084734662</v>
      </c>
      <c r="D727" s="2">
        <v>24.484241206195833</v>
      </c>
      <c r="E727" s="2">
        <v>22.689383474589665</v>
      </c>
      <c r="F727" s="2">
        <v>25.389795902018086</v>
      </c>
      <c r="G727" s="2">
        <v>25.493100048790883</v>
      </c>
      <c r="H727" s="2">
        <v>27.849576739762892</v>
      </c>
    </row>
    <row r="728" spans="1:8" x14ac:dyDescent="0.2">
      <c r="A728" s="16">
        <f>DATE(2020,2,28)</f>
        <v>43889</v>
      </c>
      <c r="B728" s="2">
        <v>17.686758044455676</v>
      </c>
      <c r="C728" s="2">
        <v>20.990683211934602</v>
      </c>
      <c r="D728" s="2">
        <v>24.509245444553773</v>
      </c>
      <c r="E728" s="2">
        <v>22.720059901260161</v>
      </c>
      <c r="F728" s="2">
        <v>25.424913919655179</v>
      </c>
      <c r="G728" s="2">
        <v>25.528389586062715</v>
      </c>
      <c r="H728" s="2">
        <v>27.888810539600883</v>
      </c>
    </row>
    <row r="729" spans="1:8" x14ac:dyDescent="0.2">
      <c r="A729" s="16">
        <f>DATE(2020,3,2)</f>
        <v>43892</v>
      </c>
      <c r="B729" s="2">
        <v>18.780586185426817</v>
      </c>
      <c r="C729" s="2">
        <v>21.010207489260569</v>
      </c>
      <c r="D729" s="2">
        <v>24.53425470533006</v>
      </c>
      <c r="E729" s="2">
        <v>22.749194939617489</v>
      </c>
      <c r="F729" s="2">
        <v>25.45845852427955</v>
      </c>
      <c r="G729" s="2">
        <v>25.562104490474599</v>
      </c>
      <c r="H729" s="2">
        <v>27.926441985536552</v>
      </c>
    </row>
    <row r="730" spans="1:8" x14ac:dyDescent="0.2">
      <c r="A730" s="16">
        <f>DATE(2020,3,3)</f>
        <v>43893</v>
      </c>
      <c r="B730" s="2">
        <v>19.044542683059596</v>
      </c>
      <c r="C730" s="2">
        <v>21.02973491722091</v>
      </c>
      <c r="D730" s="2">
        <v>24.559268989533511</v>
      </c>
      <c r="E730" s="2">
        <v>22.778336894940644</v>
      </c>
      <c r="F730" s="2">
        <v>25.492012100331252</v>
      </c>
      <c r="G730" s="2">
        <v>25.595828450167012</v>
      </c>
      <c r="H730" s="2">
        <v>27.964084504573282</v>
      </c>
    </row>
    <row r="731" spans="1:8" x14ac:dyDescent="0.2">
      <c r="A731" s="16">
        <f>DATE(2020,3,4)</f>
        <v>43894</v>
      </c>
      <c r="B731" s="2">
        <v>19.167143349856119</v>
      </c>
      <c r="C731" s="2">
        <v>21.049265496324043</v>
      </c>
      <c r="D731" s="2">
        <v>24.584288298173117</v>
      </c>
      <c r="E731" s="2">
        <v>22.807485768871771</v>
      </c>
      <c r="F731" s="2">
        <v>25.525574650209659</v>
      </c>
      <c r="G731" s="2">
        <v>25.629561467572024</v>
      </c>
      <c r="H731" s="2">
        <v>28.001738099969351</v>
      </c>
    </row>
    <row r="732" spans="1:8" x14ac:dyDescent="0.2">
      <c r="A732" s="16">
        <f>DATE(2020,3,5)</f>
        <v>43895</v>
      </c>
      <c r="B732" s="2">
        <v>17.979696569028448</v>
      </c>
      <c r="C732" s="2">
        <v>21.068799227078472</v>
      </c>
      <c r="D732" s="2">
        <v>24.609312632258117</v>
      </c>
      <c r="E732" s="2">
        <v>22.836641563053426</v>
      </c>
      <c r="F732" s="2">
        <v>25.559146176314805</v>
      </c>
      <c r="G732" s="2">
        <v>25.663303545122407</v>
      </c>
      <c r="H732" s="2">
        <v>28.03940277498398</v>
      </c>
    </row>
    <row r="733" spans="1:8" x14ac:dyDescent="0.2">
      <c r="A733" s="16">
        <f>DATE(2020,3,6)</f>
        <v>43896</v>
      </c>
      <c r="B733" s="2">
        <v>18.015979876373201</v>
      </c>
      <c r="C733" s="2">
        <v>21.088336109992767</v>
      </c>
      <c r="D733" s="2">
        <v>24.63434199279795</v>
      </c>
      <c r="E733" s="2">
        <v>22.865804279128565</v>
      </c>
      <c r="F733" s="2">
        <v>25.592726681047349</v>
      </c>
      <c r="G733" s="2">
        <v>25.697054685251565</v>
      </c>
      <c r="H733" s="2">
        <v>28.077078532877376</v>
      </c>
    </row>
    <row r="734" spans="1:8" x14ac:dyDescent="0.2">
      <c r="A734" s="16">
        <f>DATE(2020,3,9)</f>
        <v>43899</v>
      </c>
      <c r="B734" s="2">
        <v>16.245535995892958</v>
      </c>
      <c r="C734" s="2">
        <v>21.107876145575567</v>
      </c>
      <c r="D734" s="2">
        <v>24.6593763808022</v>
      </c>
      <c r="E734" s="2">
        <v>22.894973918740511</v>
      </c>
      <c r="F734" s="2">
        <v>25.626316166808618</v>
      </c>
      <c r="G734" s="2">
        <v>25.73081489039355</v>
      </c>
      <c r="H734" s="2">
        <v>28.114765376910665</v>
      </c>
    </row>
    <row r="735" spans="1:8" x14ac:dyDescent="0.2">
      <c r="A735" s="16">
        <f>DATE(2020,3,10)</f>
        <v>43900</v>
      </c>
      <c r="B735" s="2">
        <v>17.248595024498869</v>
      </c>
      <c r="C735" s="2">
        <v>21.127419334335706</v>
      </c>
      <c r="D735" s="2">
        <v>24.684415797280781</v>
      </c>
      <c r="E735" s="2">
        <v>22.92415048353298</v>
      </c>
      <c r="F735" s="2">
        <v>25.659914636000568</v>
      </c>
      <c r="G735" s="2">
        <v>25.764584162983105</v>
      </c>
      <c r="H735" s="2">
        <v>28.152463310345976</v>
      </c>
    </row>
    <row r="736" spans="1:8" x14ac:dyDescent="0.2">
      <c r="A736" s="16">
        <f>DATE(2020,3,11)</f>
        <v>43901</v>
      </c>
      <c r="B736" s="2">
        <v>14.250663938637897</v>
      </c>
      <c r="C736" s="2">
        <v>21.146965676781939</v>
      </c>
      <c r="D736" s="2">
        <v>24.709460243243655</v>
      </c>
      <c r="E736" s="2">
        <v>22.953333975150091</v>
      </c>
      <c r="F736" s="2">
        <v>25.693522091025802</v>
      </c>
      <c r="G736" s="2">
        <v>25.798362505455575</v>
      </c>
      <c r="H736" s="2">
        <v>28.190172336446384</v>
      </c>
    </row>
    <row r="737" spans="1:8" x14ac:dyDescent="0.2">
      <c r="A737" s="16">
        <f>DATE(2020,3,12)</f>
        <v>43902</v>
      </c>
      <c r="B737" s="2">
        <v>12.913495276510156</v>
      </c>
      <c r="C737" s="2">
        <v>21.166515173423186</v>
      </c>
      <c r="D737" s="2">
        <v>24.734509719701059</v>
      </c>
      <c r="E737" s="2">
        <v>22.982524395236336</v>
      </c>
      <c r="F737" s="2">
        <v>25.72713853428754</v>
      </c>
      <c r="G737" s="2">
        <v>25.832149920247005</v>
      </c>
      <c r="H737" s="2">
        <v>28.2278924584759</v>
      </c>
    </row>
    <row r="738" spans="1:8" x14ac:dyDescent="0.2">
      <c r="A738" s="16">
        <f>DATE(2020,3,13)</f>
        <v>43903</v>
      </c>
      <c r="B738" s="2">
        <v>14.545762425330411</v>
      </c>
      <c r="C738" s="2">
        <v>21.18606782476844</v>
      </c>
      <c r="D738" s="2">
        <v>24.759564227663454</v>
      </c>
      <c r="E738" s="2">
        <v>23.011721745436621</v>
      </c>
      <c r="F738" s="2">
        <v>25.760763968189671</v>
      </c>
      <c r="G738" s="2">
        <v>25.86594640979407</v>
      </c>
      <c r="H738" s="2">
        <v>28.265623679699537</v>
      </c>
    </row>
    <row r="739" spans="1:8" x14ac:dyDescent="0.2">
      <c r="A739" s="16">
        <f>DATE(2020,3,16)</f>
        <v>43906</v>
      </c>
      <c r="B739" s="2">
        <v>14.310265710275338</v>
      </c>
      <c r="C739" s="2">
        <v>21.205623631326787</v>
      </c>
      <c r="D739" s="2">
        <v>24.784623768141479</v>
      </c>
      <c r="E739" s="2">
        <v>23.040926027396225</v>
      </c>
      <c r="F739" s="2">
        <v>25.794398395136753</v>
      </c>
      <c r="G739" s="2">
        <v>25.899751976534112</v>
      </c>
      <c r="H739" s="2">
        <v>28.303366003383257</v>
      </c>
    </row>
    <row r="740" spans="1:8" x14ac:dyDescent="0.2">
      <c r="A740" s="16">
        <f>DATE(2020,3,17)</f>
        <v>43907</v>
      </c>
      <c r="B740" s="2">
        <v>14.853197033706801</v>
      </c>
      <c r="C740" s="2">
        <v>21.225182593607371</v>
      </c>
      <c r="D740" s="2">
        <v>24.809688342145964</v>
      </c>
      <c r="E740" s="2">
        <v>23.070137242760769</v>
      </c>
      <c r="F740" s="2">
        <v>25.828041817533887</v>
      </c>
      <c r="G740" s="2">
        <v>25.933566622905047</v>
      </c>
      <c r="H740" s="2">
        <v>28.341119432793892</v>
      </c>
    </row>
    <row r="741" spans="1:8" x14ac:dyDescent="0.2">
      <c r="A741" s="16">
        <f>DATE(2020,3,18)</f>
        <v>43908</v>
      </c>
      <c r="B741" s="2">
        <v>13.728581827028918</v>
      </c>
      <c r="C741" s="2">
        <v>21.244744712119456</v>
      </c>
      <c r="D741" s="2">
        <v>24.834757950687969</v>
      </c>
      <c r="E741" s="2">
        <v>23.099355393176381</v>
      </c>
      <c r="F741" s="2">
        <v>25.861694237786949</v>
      </c>
      <c r="G741" s="2">
        <v>25.96739035134561</v>
      </c>
      <c r="H741" s="2">
        <v>28.378883971199411</v>
      </c>
    </row>
    <row r="742" spans="1:8" x14ac:dyDescent="0.2">
      <c r="A742" s="16">
        <f>DATE(2020,3,19)</f>
        <v>43909</v>
      </c>
      <c r="B742" s="2">
        <v>13.516611459944716</v>
      </c>
      <c r="C742" s="2">
        <v>21.264309987372343</v>
      </c>
      <c r="D742" s="2">
        <v>24.859832594778752</v>
      </c>
      <c r="E742" s="2">
        <v>23.128580480289497</v>
      </c>
      <c r="F742" s="2">
        <v>25.895355658302368</v>
      </c>
      <c r="G742" s="2">
        <v>26.001223164295052</v>
      </c>
      <c r="H742" s="2">
        <v>28.416659621868611</v>
      </c>
    </row>
    <row r="743" spans="1:8" x14ac:dyDescent="0.2">
      <c r="A743" s="16">
        <f>DATE(2020,3,20)</f>
        <v>43910</v>
      </c>
      <c r="B743" s="2">
        <v>13.295549984689892</v>
      </c>
      <c r="C743" s="2">
        <v>21.281562339195826</v>
      </c>
      <c r="D743" s="2">
        <v>24.882527428109036</v>
      </c>
      <c r="E743" s="2">
        <v>23.157812505746953</v>
      </c>
      <c r="F743" s="2">
        <v>25.929026081487262</v>
      </c>
      <c r="G743" s="2">
        <v>26.035065064193351</v>
      </c>
      <c r="H743" s="2">
        <v>28.454446388071311</v>
      </c>
    </row>
    <row r="744" spans="1:8" x14ac:dyDescent="0.2">
      <c r="A744" s="16">
        <f>DATE(2020,3,23)</f>
        <v>43913</v>
      </c>
      <c r="B744" s="2">
        <v>13.1227327337762</v>
      </c>
      <c r="C744" s="2">
        <v>21.298817145522577</v>
      </c>
      <c r="D744" s="2">
        <v>24.905226386508605</v>
      </c>
      <c r="E744" s="2">
        <v>23.187051471196018</v>
      </c>
      <c r="F744" s="2">
        <v>25.962705509749352</v>
      </c>
      <c r="G744" s="2">
        <v>26.068916053481097</v>
      </c>
      <c r="H744" s="2">
        <v>28.492244273078239</v>
      </c>
    </row>
    <row r="745" spans="1:8" x14ac:dyDescent="0.2">
      <c r="A745" s="16">
        <f>DATE(2020,3,24)</f>
        <v>43914</v>
      </c>
      <c r="B745" s="2">
        <v>14.020060095520726</v>
      </c>
      <c r="C745" s="2">
        <v>21.31607440670178</v>
      </c>
      <c r="D745" s="2">
        <v>24.927929470727239</v>
      </c>
      <c r="E745" s="2">
        <v>23.216297378284278</v>
      </c>
      <c r="F745" s="2">
        <v>25.99639394549704</v>
      </c>
      <c r="G745" s="2">
        <v>26.102776134599551</v>
      </c>
      <c r="H745" s="2">
        <v>28.530053280161141</v>
      </c>
    </row>
    <row r="746" spans="1:8" x14ac:dyDescent="0.2">
      <c r="A746" s="16">
        <f>DATE(2020,3,25)</f>
        <v>43915</v>
      </c>
      <c r="B746" s="2">
        <v>14.284594611185542</v>
      </c>
      <c r="C746" s="2">
        <v>21.333334123082693</v>
      </c>
      <c r="D746" s="2">
        <v>24.950636681514847</v>
      </c>
      <c r="E746" s="2">
        <v>23.245550228659773</v>
      </c>
      <c r="F746" s="2">
        <v>26.030091391139344</v>
      </c>
      <c r="G746" s="2">
        <v>26.136645309990648</v>
      </c>
      <c r="H746" s="2">
        <v>28.567873412592704</v>
      </c>
    </row>
    <row r="747" spans="1:8" x14ac:dyDescent="0.2">
      <c r="A747" s="16">
        <f>DATE(2020,3,26)</f>
        <v>43916</v>
      </c>
      <c r="B747" s="2">
        <v>14.71313413794222</v>
      </c>
      <c r="C747" s="2">
        <v>21.350596295014611</v>
      </c>
      <c r="D747" s="2">
        <v>24.973348019621501</v>
      </c>
      <c r="E747" s="2">
        <v>23.274810023970915</v>
      </c>
      <c r="F747" s="2">
        <v>26.063797849085947</v>
      </c>
      <c r="G747" s="2">
        <v>26.170523582096951</v>
      </c>
      <c r="H747" s="2">
        <v>28.60570467364656</v>
      </c>
    </row>
    <row r="748" spans="1:8" x14ac:dyDescent="0.2">
      <c r="A748" s="16">
        <f>DATE(2020,3,27)</f>
        <v>43917</v>
      </c>
      <c r="B748" s="2">
        <v>14.666552983026593</v>
      </c>
      <c r="C748" s="2">
        <v>21.367860922846905</v>
      </c>
      <c r="D748" s="2">
        <v>24.996063485797393</v>
      </c>
      <c r="E748" s="2">
        <v>23.304076765866501</v>
      </c>
      <c r="F748" s="2">
        <v>26.097513321747169</v>
      </c>
      <c r="G748" s="2">
        <v>26.204410953361698</v>
      </c>
      <c r="H748" s="2">
        <v>28.643547066597328</v>
      </c>
    </row>
    <row r="749" spans="1:8" x14ac:dyDescent="0.2">
      <c r="A749" s="16">
        <f>DATE(2020,3,30)</f>
        <v>43920</v>
      </c>
      <c r="B749" s="2">
        <v>14.960353464313814</v>
      </c>
      <c r="C749" s="2">
        <v>21.385128006928955</v>
      </c>
      <c r="D749" s="2">
        <v>25.01878308079284</v>
      </c>
      <c r="E749" s="2">
        <v>23.333350455995717</v>
      </c>
      <c r="F749" s="2">
        <v>26.131237811533971</v>
      </c>
      <c r="G749" s="2">
        <v>26.238307426228769</v>
      </c>
      <c r="H749" s="2">
        <v>28.681400594720596</v>
      </c>
    </row>
    <row r="750" spans="1:8" x14ac:dyDescent="0.2">
      <c r="A750" s="16">
        <f>DATE(2020,3,31)</f>
        <v>43921</v>
      </c>
      <c r="B750" s="2">
        <v>14.728471897125806</v>
      </c>
      <c r="C750" s="2">
        <v>21.402397547610239</v>
      </c>
      <c r="D750" s="2">
        <v>25.041506805358306</v>
      </c>
      <c r="E750" s="2">
        <v>23.362631096008133</v>
      </c>
      <c r="F750" s="2">
        <v>26.164971320857976</v>
      </c>
      <c r="G750" s="2">
        <v>26.27221300314271</v>
      </c>
      <c r="H750" s="2">
        <v>28.719265261292868</v>
      </c>
    </row>
    <row r="751" spans="1:8" x14ac:dyDescent="0.2">
      <c r="A751" s="16">
        <f>DATE(2020,4,1)</f>
        <v>43922</v>
      </c>
      <c r="B751" s="2">
        <v>14.488569062159828</v>
      </c>
      <c r="C751" s="2">
        <v>21.419669545240239</v>
      </c>
      <c r="D751" s="2">
        <v>25.064234660244392</v>
      </c>
      <c r="E751" s="2">
        <v>23.367628037278521</v>
      </c>
      <c r="F751" s="2">
        <v>26.173870662593799</v>
      </c>
      <c r="G751" s="2">
        <v>26.281263351769901</v>
      </c>
      <c r="H751" s="2">
        <v>28.731794233936412</v>
      </c>
    </row>
    <row r="752" spans="1:8" x14ac:dyDescent="0.2">
      <c r="A752" s="16">
        <f>DATE(2020,4,2)</f>
        <v>43923</v>
      </c>
      <c r="B752" s="2">
        <v>14.730712984583372</v>
      </c>
      <c r="C752" s="2">
        <v>21.436944000168513</v>
      </c>
      <c r="D752" s="2">
        <v>25.086966646201848</v>
      </c>
      <c r="E752" s="2">
        <v>23.37262518095562</v>
      </c>
      <c r="F752" s="2">
        <v>26.18277063206558</v>
      </c>
      <c r="G752" s="2">
        <v>26.29031434906566</v>
      </c>
      <c r="H752" s="2">
        <v>28.744324426095623</v>
      </c>
    </row>
    <row r="753" spans="1:8" x14ac:dyDescent="0.2">
      <c r="A753" s="16">
        <f>DATE(2020,4,3)</f>
        <v>43924</v>
      </c>
      <c r="B753" s="2">
        <v>14.443042536635996</v>
      </c>
      <c r="C753" s="2">
        <v>21.45422091274467</v>
      </c>
      <c r="D753" s="2">
        <v>25.109702763981524</v>
      </c>
      <c r="E753" s="2">
        <v>23.377622527047581</v>
      </c>
      <c r="F753" s="2">
        <v>26.191671229317489</v>
      </c>
      <c r="G753" s="2">
        <v>26.299365995076361</v>
      </c>
      <c r="H753" s="2">
        <v>28.756855837889116</v>
      </c>
    </row>
    <row r="754" spans="1:8" x14ac:dyDescent="0.2">
      <c r="A754" s="16">
        <f>DATE(2020,4,6)</f>
        <v>43927</v>
      </c>
      <c r="B754" s="2">
        <v>15.014043226956829</v>
      </c>
      <c r="C754" s="2">
        <v>21.471500283318367</v>
      </c>
      <c r="D754" s="2">
        <v>25.132443014334459</v>
      </c>
      <c r="E754" s="2">
        <v>23.382620075562642</v>
      </c>
      <c r="F754" s="2">
        <v>26.20057245439391</v>
      </c>
      <c r="G754" s="2">
        <v>26.308418289848625</v>
      </c>
      <c r="H754" s="2">
        <v>28.769388469435665</v>
      </c>
    </row>
    <row r="755" spans="1:8" x14ac:dyDescent="0.2">
      <c r="A755" s="16">
        <f>DATE(2020,4,7)</f>
        <v>43928</v>
      </c>
      <c r="B755" s="2">
        <v>15.473562492097592</v>
      </c>
      <c r="C755" s="2">
        <v>21.488782112239281</v>
      </c>
      <c r="D755" s="2">
        <v>25.15518739801179</v>
      </c>
      <c r="E755" s="2">
        <v>23.387617826508976</v>
      </c>
      <c r="F755" s="2">
        <v>26.209474307339086</v>
      </c>
      <c r="G755" s="2">
        <v>26.31747123342889</v>
      </c>
      <c r="H755" s="2">
        <v>28.781922320853969</v>
      </c>
    </row>
    <row r="756" spans="1:8" x14ac:dyDescent="0.2">
      <c r="A756" s="16">
        <f>DATE(2020,4,8)</f>
        <v>43929</v>
      </c>
      <c r="B756" s="2">
        <v>15.838702567339613</v>
      </c>
      <c r="C756" s="2">
        <v>21.506066399857168</v>
      </c>
      <c r="D756" s="2">
        <v>25.177935915764781</v>
      </c>
      <c r="E756" s="2">
        <v>23.3926157798948</v>
      </c>
      <c r="F756" s="2">
        <v>26.218376788197293</v>
      </c>
      <c r="G756" s="2">
        <v>26.326524825863661</v>
      </c>
      <c r="H756" s="2">
        <v>28.794457392262785</v>
      </c>
    </row>
    <row r="757" spans="1:8" x14ac:dyDescent="0.2">
      <c r="A757" s="16">
        <f>DATE(2020,4,9)</f>
        <v>43930</v>
      </c>
      <c r="B757" s="2">
        <v>15.950442579534039</v>
      </c>
      <c r="C757" s="2">
        <v>21.523353146521849</v>
      </c>
      <c r="D757" s="2">
        <v>25.200688568344876</v>
      </c>
      <c r="E757" s="2">
        <v>23.397613935728323</v>
      </c>
      <c r="F757" s="2">
        <v>26.227279897012835</v>
      </c>
      <c r="G757" s="2">
        <v>26.335579067199454</v>
      </c>
      <c r="H757" s="2">
        <v>28.806993683780856</v>
      </c>
    </row>
    <row r="758" spans="1:8" x14ac:dyDescent="0.2">
      <c r="A758" s="16">
        <f>DATE(2020,4,13)</f>
        <v>43934</v>
      </c>
      <c r="B758" s="2">
        <v>15.94035768597497</v>
      </c>
      <c r="C758" s="2">
        <v>21.540642352583149</v>
      </c>
      <c r="D758" s="2">
        <v>25.223445356503628</v>
      </c>
      <c r="E758" s="2">
        <v>23.402612294017722</v>
      </c>
      <c r="F758" s="2">
        <v>26.236183633830024</v>
      </c>
      <c r="G758" s="2">
        <v>26.344633957482792</v>
      </c>
      <c r="H758" s="2">
        <v>28.819531195526942</v>
      </c>
    </row>
    <row r="759" spans="1:8" x14ac:dyDescent="0.2">
      <c r="A759" s="16">
        <f>DATE(2020,4,14)</f>
        <v>43935</v>
      </c>
      <c r="B759" s="2">
        <v>16.174870756308856</v>
      </c>
      <c r="C759" s="2">
        <v>21.557934018390991</v>
      </c>
      <c r="D759" s="2">
        <v>25.24620628099272</v>
      </c>
      <c r="E759" s="2">
        <v>23.40761085477121</v>
      </c>
      <c r="F759" s="2">
        <v>26.24508799869314</v>
      </c>
      <c r="G759" s="2">
        <v>26.353689496760161</v>
      </c>
      <c r="H759" s="2">
        <v>28.83206992761982</v>
      </c>
    </row>
    <row r="760" spans="1:8" x14ac:dyDescent="0.2">
      <c r="A760" s="16">
        <f>DATE(2020,4,15)</f>
        <v>43936</v>
      </c>
      <c r="B760" s="2">
        <v>15.70525645694183</v>
      </c>
      <c r="C760" s="2">
        <v>21.575228144295309</v>
      </c>
      <c r="D760" s="2">
        <v>25.268971342563983</v>
      </c>
      <c r="E760" s="2">
        <v>23.412609617997003</v>
      </c>
      <c r="F760" s="2">
        <v>26.253992991646481</v>
      </c>
      <c r="G760" s="2">
        <v>26.362745685078082</v>
      </c>
      <c r="H760" s="2">
        <v>28.84460988017825</v>
      </c>
    </row>
    <row r="761" spans="1:8" x14ac:dyDescent="0.2">
      <c r="A761" s="16">
        <f>DATE(2020,4,16)</f>
        <v>43937</v>
      </c>
      <c r="B761" s="2">
        <v>15.575815910099443</v>
      </c>
      <c r="C761" s="2">
        <v>21.592524730646101</v>
      </c>
      <c r="D761" s="2">
        <v>25.291740541969389</v>
      </c>
      <c r="E761" s="2">
        <v>23.417608583703274</v>
      </c>
      <c r="F761" s="2">
        <v>26.262898612734318</v>
      </c>
      <c r="G761" s="2">
        <v>26.371802522483058</v>
      </c>
      <c r="H761" s="2">
        <v>28.857151053321051</v>
      </c>
    </row>
    <row r="762" spans="1:8" x14ac:dyDescent="0.2">
      <c r="A762" s="16">
        <f>DATE(2020,4,17)</f>
        <v>43938</v>
      </c>
      <c r="B762" s="2">
        <v>15.637597925191059</v>
      </c>
      <c r="C762" s="2">
        <v>21.609823777793434</v>
      </c>
      <c r="D762" s="2">
        <v>25.314513879961041</v>
      </c>
      <c r="E762" s="2">
        <v>23.422607751898283</v>
      </c>
      <c r="F762" s="2">
        <v>26.271804862001026</v>
      </c>
      <c r="G762" s="2">
        <v>26.380860009021646</v>
      </c>
      <c r="H762" s="2">
        <v>28.869693447167055</v>
      </c>
    </row>
    <row r="763" spans="1:8" x14ac:dyDescent="0.2">
      <c r="A763" s="16">
        <f>DATE(2020,4,20)</f>
        <v>43941</v>
      </c>
      <c r="B763" s="2">
        <v>16.121971965709658</v>
      </c>
      <c r="C763" s="2">
        <v>21.627125286087391</v>
      </c>
      <c r="D763" s="2">
        <v>25.337291357291171</v>
      </c>
      <c r="E763" s="2">
        <v>23.427607122590157</v>
      </c>
      <c r="F763" s="2">
        <v>26.28071173949089</v>
      </c>
      <c r="G763" s="2">
        <v>26.389918144740363</v>
      </c>
      <c r="H763" s="2">
        <v>28.882237061835013</v>
      </c>
    </row>
    <row r="764" spans="1:8" x14ac:dyDescent="0.2">
      <c r="A764" s="16">
        <f>DATE(2020,4,22)</f>
        <v>43943</v>
      </c>
      <c r="B764" s="2">
        <v>16.785825675511258</v>
      </c>
      <c r="C764" s="2">
        <v>21.644429255878126</v>
      </c>
      <c r="D764" s="2">
        <v>25.360072974712168</v>
      </c>
      <c r="E764" s="2">
        <v>23.43260669578715</v>
      </c>
      <c r="F764" s="2">
        <v>26.289619245248218</v>
      </c>
      <c r="G764" s="2">
        <v>26.398976929685738</v>
      </c>
      <c r="H764" s="2">
        <v>28.894781897443831</v>
      </c>
    </row>
    <row r="765" spans="1:8" x14ac:dyDescent="0.2">
      <c r="A765" s="16">
        <f>DATE(2020,4,23)</f>
        <v>43944</v>
      </c>
      <c r="B765" s="2">
        <v>16.222161757930476</v>
      </c>
      <c r="C765" s="2">
        <v>21.661735687515836</v>
      </c>
      <c r="D765" s="2">
        <v>25.382858732976519</v>
      </c>
      <c r="E765" s="2">
        <v>23.437606471497418</v>
      </c>
      <c r="F765" s="2">
        <v>26.298527379317306</v>
      </c>
      <c r="G765" s="2">
        <v>26.408036363904277</v>
      </c>
      <c r="H765" s="2">
        <v>28.907327954112283</v>
      </c>
    </row>
    <row r="766" spans="1:8" x14ac:dyDescent="0.2">
      <c r="A766" s="16">
        <f>DATE(2020,4,24)</f>
        <v>43945</v>
      </c>
      <c r="B766" s="2">
        <v>15.175249413893477</v>
      </c>
      <c r="C766" s="2">
        <v>21.67904458135077</v>
      </c>
      <c r="D766" s="2">
        <v>25.405648632836897</v>
      </c>
      <c r="E766" s="2">
        <v>23.442606449729197</v>
      </c>
      <c r="F766" s="2">
        <v>26.307436141742514</v>
      </c>
      <c r="G766" s="2">
        <v>26.417096447442546</v>
      </c>
      <c r="H766" s="2">
        <v>28.919875231959246</v>
      </c>
    </row>
    <row r="767" spans="1:8" x14ac:dyDescent="0.2">
      <c r="A767" s="16">
        <f>DATE(2020,4,27)</f>
        <v>43948</v>
      </c>
      <c r="B767" s="2">
        <v>15.260476651618182</v>
      </c>
      <c r="C767" s="2">
        <v>21.696355937733227</v>
      </c>
      <c r="D767" s="2">
        <v>25.428442675046089</v>
      </c>
      <c r="E767" s="2">
        <v>23.447606630490679</v>
      </c>
      <c r="F767" s="2">
        <v>26.316345532568139</v>
      </c>
      <c r="G767" s="2">
        <v>26.42615718034709</v>
      </c>
      <c r="H767" s="2">
        <v>28.932423731103587</v>
      </c>
    </row>
    <row r="768" spans="1:8" x14ac:dyDescent="0.2">
      <c r="A768" s="16">
        <f>DATE(2020,4,28)</f>
        <v>43949</v>
      </c>
      <c r="B768" s="2">
        <v>16.472184978790839</v>
      </c>
      <c r="C768" s="2">
        <v>21.713669757013545</v>
      </c>
      <c r="D768" s="2">
        <v>25.451240860357014</v>
      </c>
      <c r="E768" s="2">
        <v>23.452607013790104</v>
      </c>
      <c r="F768" s="2">
        <v>26.325255551838556</v>
      </c>
      <c r="G768" s="2">
        <v>26.435218562664463</v>
      </c>
      <c r="H768" s="2">
        <v>28.9449734516642</v>
      </c>
    </row>
    <row r="769" spans="1:8" x14ac:dyDescent="0.2">
      <c r="A769" s="16">
        <f>DATE(2020,4,29)</f>
        <v>43950</v>
      </c>
      <c r="B769" s="2">
        <v>16.856800205445818</v>
      </c>
      <c r="C769" s="2">
        <v>21.730986039542135</v>
      </c>
      <c r="D769" s="2">
        <v>25.474043189522732</v>
      </c>
      <c r="E769" s="2">
        <v>23.457607599635622</v>
      </c>
      <c r="F769" s="2">
        <v>26.334166199597988</v>
      </c>
      <c r="G769" s="2">
        <v>26.444280594441128</v>
      </c>
      <c r="H769" s="2">
        <v>28.957524393759915</v>
      </c>
    </row>
    <row r="770" spans="1:8" x14ac:dyDescent="0.2">
      <c r="A770" s="16">
        <f>DATE(2020,4,30)</f>
        <v>43951</v>
      </c>
      <c r="B770" s="2">
        <v>16.521088346501855</v>
      </c>
      <c r="C770" s="2">
        <v>21.748304785669447</v>
      </c>
      <c r="D770" s="2">
        <v>25.496849663296441</v>
      </c>
      <c r="E770" s="2">
        <v>23.462608388035445</v>
      </c>
      <c r="F770" s="2">
        <v>26.343077475890841</v>
      </c>
      <c r="G770" s="2">
        <v>26.453343275723707</v>
      </c>
      <c r="H770" s="2">
        <v>28.970076557509671</v>
      </c>
    </row>
    <row r="771" spans="1:8" x14ac:dyDescent="0.2">
      <c r="A771" s="16">
        <f>DATE(2020,5,4)</f>
        <v>43955</v>
      </c>
      <c r="B771" s="2">
        <v>16.175398071004743</v>
      </c>
      <c r="C771" s="2">
        <v>21.765625995745964</v>
      </c>
      <c r="D771" s="2">
        <v>25.519660282431492</v>
      </c>
      <c r="E771" s="2">
        <v>23.466371738751501</v>
      </c>
      <c r="F771" s="2">
        <v>26.350722827468264</v>
      </c>
      <c r="G771" s="2">
        <v>26.461138946442439</v>
      </c>
      <c r="H771" s="2">
        <v>28.981337020178401</v>
      </c>
    </row>
    <row r="772" spans="1:8" x14ac:dyDescent="0.2">
      <c r="A772" s="16">
        <f>DATE(2020,5,5)</f>
        <v>43956</v>
      </c>
      <c r="B772" s="2">
        <v>16.410605777043784</v>
      </c>
      <c r="C772" s="2">
        <v>21.782949670122242</v>
      </c>
      <c r="D772" s="2">
        <v>25.542475047681322</v>
      </c>
      <c r="E772" s="2">
        <v>23.470135204180909</v>
      </c>
      <c r="F772" s="2">
        <v>26.358368641686013</v>
      </c>
      <c r="G772" s="2">
        <v>26.468935097753342</v>
      </c>
      <c r="H772" s="2">
        <v>28.992598466005571</v>
      </c>
    </row>
    <row r="773" spans="1:8" x14ac:dyDescent="0.2">
      <c r="A773" s="16">
        <f>DATE(2020,5,6)</f>
        <v>43957</v>
      </c>
      <c r="B773" s="2">
        <v>16.142182315496733</v>
      </c>
      <c r="C773" s="2">
        <v>21.800275809148896</v>
      </c>
      <c r="D773" s="2">
        <v>25.565293959799561</v>
      </c>
      <c r="E773" s="2">
        <v>23.473898784327151</v>
      </c>
      <c r="F773" s="2">
        <v>26.366014918572066</v>
      </c>
      <c r="G773" s="2">
        <v>26.476731729685966</v>
      </c>
      <c r="H773" s="2">
        <v>29.003860895077025</v>
      </c>
    </row>
    <row r="774" spans="1:8" x14ac:dyDescent="0.2">
      <c r="A774" s="16">
        <f>DATE(2020,5,7)</f>
        <v>43958</v>
      </c>
      <c r="B774" s="2">
        <v>16.781318148928069</v>
      </c>
      <c r="C774" s="2">
        <v>21.81760441317655</v>
      </c>
      <c r="D774" s="2">
        <v>25.588117019539961</v>
      </c>
      <c r="E774" s="2">
        <v>23.477662479193718</v>
      </c>
      <c r="F774" s="2">
        <v>26.373661658154425</v>
      </c>
      <c r="G774" s="2">
        <v>26.484528842269995</v>
      </c>
      <c r="H774" s="2">
        <v>29.015124307478612</v>
      </c>
    </row>
    <row r="775" spans="1:8" x14ac:dyDescent="0.2">
      <c r="A775" s="16">
        <f>DATE(2020,5,8)</f>
        <v>43959</v>
      </c>
      <c r="B775" s="2">
        <v>17.262862943289804</v>
      </c>
      <c r="C775" s="2">
        <v>21.83142446494757</v>
      </c>
      <c r="D775" s="2">
        <v>25.607324393696306</v>
      </c>
      <c r="E775" s="2">
        <v>23.481426288784135</v>
      </c>
      <c r="F775" s="2">
        <v>26.381308860461083</v>
      </c>
      <c r="G775" s="2">
        <v>26.492326435535031</v>
      </c>
      <c r="H775" s="2">
        <v>29.026388703296188</v>
      </c>
    </row>
    <row r="776" spans="1:8" x14ac:dyDescent="0.2">
      <c r="A776" s="16">
        <f>DATE(2020,5,11)</f>
        <v>43962</v>
      </c>
      <c r="B776" s="2">
        <v>16.948968729888669</v>
      </c>
      <c r="C776" s="2">
        <v>21.845246084585824</v>
      </c>
      <c r="D776" s="2">
        <v>25.626534705417381</v>
      </c>
      <c r="E776" s="2">
        <v>23.48519021310187</v>
      </c>
      <c r="F776" s="2">
        <v>26.388956525520047</v>
      </c>
      <c r="G776" s="2">
        <v>26.500124509510737</v>
      </c>
      <c r="H776" s="2">
        <v>29.037654082615607</v>
      </c>
    </row>
    <row r="777" spans="1:8" x14ac:dyDescent="0.2">
      <c r="A777" s="16">
        <f>DATE(2020,5,12)</f>
        <v>43963</v>
      </c>
      <c r="B777" s="2">
        <v>16.554197625004008</v>
      </c>
      <c r="C777" s="2">
        <v>21.859069272269195</v>
      </c>
      <c r="D777" s="2">
        <v>25.645747955152441</v>
      </c>
      <c r="E777" s="2">
        <v>23.488954252150432</v>
      </c>
      <c r="F777" s="2">
        <v>26.396604653359311</v>
      </c>
      <c r="G777" s="2">
        <v>26.507923064226734</v>
      </c>
      <c r="H777" s="2">
        <v>29.048920445522739</v>
      </c>
    </row>
    <row r="778" spans="1:8" x14ac:dyDescent="0.2">
      <c r="A778" s="16">
        <f>DATE(2020,5,13)</f>
        <v>43964</v>
      </c>
      <c r="B778" s="2">
        <v>16.577480596961404</v>
      </c>
      <c r="C778" s="2">
        <v>21.872894028175558</v>
      </c>
      <c r="D778" s="2">
        <v>25.664964143350844</v>
      </c>
      <c r="E778" s="2">
        <v>23.492718405933299</v>
      </c>
      <c r="F778" s="2">
        <v>26.40425324400686</v>
      </c>
      <c r="G778" s="2">
        <v>26.515722099712647</v>
      </c>
      <c r="H778" s="2">
        <v>29.060187792103441</v>
      </c>
    </row>
    <row r="779" spans="1:8" x14ac:dyDescent="0.2">
      <c r="A779" s="16">
        <f>DATE(2020,5,14)</f>
        <v>43965</v>
      </c>
      <c r="B779" s="2">
        <v>17.020617614193956</v>
      </c>
      <c r="C779" s="2">
        <v>21.886720352482826</v>
      </c>
      <c r="D779" s="2">
        <v>25.684183270461961</v>
      </c>
      <c r="E779" s="2">
        <v>23.496482674454011</v>
      </c>
      <c r="F779" s="2">
        <v>26.411902297490752</v>
      </c>
      <c r="G779" s="2">
        <v>26.52352161599816</v>
      </c>
      <c r="H779" s="2">
        <v>29.07145612244366</v>
      </c>
    </row>
    <row r="780" spans="1:8" x14ac:dyDescent="0.2">
      <c r="A780" s="16">
        <f>DATE(2020,5,15)</f>
        <v>43966</v>
      </c>
      <c r="B780" s="2">
        <v>17.084103261380037</v>
      </c>
      <c r="C780" s="2">
        <v>21.900548245368999</v>
      </c>
      <c r="D780" s="2">
        <v>25.703405336935337</v>
      </c>
      <c r="E780" s="2">
        <v>23.500247057716049</v>
      </c>
      <c r="F780" s="2">
        <v>26.419551813838972</v>
      </c>
      <c r="G780" s="2">
        <v>26.531321613112848</v>
      </c>
      <c r="H780" s="2">
        <v>29.082725436629239</v>
      </c>
    </row>
    <row r="781" spans="1:8" x14ac:dyDescent="0.2">
      <c r="A781" s="16">
        <f>DATE(2020,5,18)</f>
        <v>43969</v>
      </c>
      <c r="B781" s="2">
        <v>18.149887387129858</v>
      </c>
      <c r="C781" s="2">
        <v>21.914377707011944</v>
      </c>
      <c r="D781" s="2">
        <v>25.722630343220445</v>
      </c>
      <c r="E781" s="2">
        <v>23.504011555722904</v>
      </c>
      <c r="F781" s="2">
        <v>26.427201793079512</v>
      </c>
      <c r="G781" s="2">
        <v>26.539122091086419</v>
      </c>
      <c r="H781" s="2">
        <v>29.093995734746112</v>
      </c>
    </row>
    <row r="782" spans="1:8" x14ac:dyDescent="0.2">
      <c r="A782" s="16">
        <f>DATE(2020,5,19)</f>
        <v>43970</v>
      </c>
      <c r="B782" s="2">
        <v>18.134559768613489</v>
      </c>
      <c r="C782" s="2">
        <v>21.928208737589671</v>
      </c>
      <c r="D782" s="2">
        <v>25.741858289766917</v>
      </c>
      <c r="E782" s="2">
        <v>23.507776168478014</v>
      </c>
      <c r="F782" s="2">
        <v>26.43485223524036</v>
      </c>
      <c r="G782" s="2">
        <v>26.546923049948433</v>
      </c>
      <c r="H782" s="2">
        <v>29.105267016880099</v>
      </c>
    </row>
    <row r="783" spans="1:8" x14ac:dyDescent="0.2">
      <c r="A783" s="16">
        <f>DATE(2020,5,20)</f>
        <v>43971</v>
      </c>
      <c r="B783" s="2">
        <v>18.48646627312187</v>
      </c>
      <c r="C783" s="2">
        <v>21.942041337280148</v>
      </c>
      <c r="D783" s="2">
        <v>25.761089177024441</v>
      </c>
      <c r="E783" s="2">
        <v>23.511540895985018</v>
      </c>
      <c r="F783" s="2">
        <v>26.44250314034964</v>
      </c>
      <c r="G783" s="2">
        <v>26.554724489728638</v>
      </c>
      <c r="H783" s="2">
        <v>29.116539283117259</v>
      </c>
    </row>
    <row r="784" spans="1:8" x14ac:dyDescent="0.2">
      <c r="A784" s="16">
        <f>DATE(2020,5,21)</f>
        <v>43972</v>
      </c>
      <c r="B784" s="2">
        <v>19.26293716283325</v>
      </c>
      <c r="C784" s="2">
        <v>21.955875506261414</v>
      </c>
      <c r="D784" s="2">
        <v>25.780323005442774</v>
      </c>
      <c r="E784" s="2">
        <v>23.515305738247317</v>
      </c>
      <c r="F784" s="2">
        <v>26.450154508435265</v>
      </c>
      <c r="G784" s="2">
        <v>26.56252641045662</v>
      </c>
      <c r="H784" s="2">
        <v>29.12781253354342</v>
      </c>
    </row>
    <row r="785" spans="1:8" x14ac:dyDescent="0.2">
      <c r="A785" s="16">
        <f>DATE(2020,5,22)</f>
        <v>43973</v>
      </c>
      <c r="B785" s="2">
        <v>18.789763489268886</v>
      </c>
      <c r="C785" s="2">
        <v>21.969711244711497</v>
      </c>
      <c r="D785" s="2">
        <v>25.799559775471725</v>
      </c>
      <c r="E785" s="2">
        <v>23.519070695268418</v>
      </c>
      <c r="F785" s="2">
        <v>26.457806339525259</v>
      </c>
      <c r="G785" s="2">
        <v>26.570328812162014</v>
      </c>
      <c r="H785" s="2">
        <v>29.139086768244525</v>
      </c>
    </row>
    <row r="786" spans="1:8" x14ac:dyDescent="0.2">
      <c r="A786" s="16">
        <f>DATE(2020,5,25)</f>
        <v>43976</v>
      </c>
      <c r="B786" s="2">
        <v>19.631656893607019</v>
      </c>
      <c r="C786" s="2">
        <v>21.983548552808486</v>
      </c>
      <c r="D786" s="2">
        <v>25.818799487561208</v>
      </c>
      <c r="E786" s="2">
        <v>23.522835767051831</v>
      </c>
      <c r="F786" s="2">
        <v>26.465458633647664</v>
      </c>
      <c r="G786" s="2">
        <v>26.578131694874529</v>
      </c>
      <c r="H786" s="2">
        <v>29.150361987306518</v>
      </c>
    </row>
    <row r="787" spans="1:8" x14ac:dyDescent="0.2">
      <c r="A787" s="16">
        <f>DATE(2020,5,26)</f>
        <v>43977</v>
      </c>
      <c r="B787" s="2">
        <v>20.338907588814404</v>
      </c>
      <c r="C787" s="2">
        <v>21.997387430730363</v>
      </c>
      <c r="D787" s="2">
        <v>25.8380421421611</v>
      </c>
      <c r="E787" s="2">
        <v>23.52660095360104</v>
      </c>
      <c r="F787" s="2">
        <v>26.473111390830507</v>
      </c>
      <c r="G787" s="2">
        <v>26.585935058623765</v>
      </c>
      <c r="H787" s="2">
        <v>29.161638190815339</v>
      </c>
    </row>
    <row r="788" spans="1:8" x14ac:dyDescent="0.2">
      <c r="A788" s="16">
        <f>DATE(2020,5,27)</f>
        <v>43978</v>
      </c>
      <c r="B788" s="2">
        <v>21.602784578545787</v>
      </c>
      <c r="C788" s="2">
        <v>22.011227878655305</v>
      </c>
      <c r="D788" s="2">
        <v>25.857287739721514</v>
      </c>
      <c r="E788" s="2">
        <v>23.530366254919556</v>
      </c>
      <c r="F788" s="2">
        <v>26.48076461110178</v>
      </c>
      <c r="G788" s="2">
        <v>26.593738903439391</v>
      </c>
      <c r="H788" s="2">
        <v>29.172915378856956</v>
      </c>
    </row>
    <row r="789" spans="1:8" x14ac:dyDescent="0.2">
      <c r="A789" s="16">
        <f>DATE(2020,5,28)</f>
        <v>43979</v>
      </c>
      <c r="B789" s="2">
        <v>20.87627168593724</v>
      </c>
      <c r="C789" s="2">
        <v>22.025069896761408</v>
      </c>
      <c r="D789" s="2">
        <v>25.876536280692509</v>
      </c>
      <c r="E789" s="2">
        <v>23.534131671010861</v>
      </c>
      <c r="F789" s="2">
        <v>26.488418294489534</v>
      </c>
      <c r="G789" s="2">
        <v>26.601543229351066</v>
      </c>
      <c r="H789" s="2">
        <v>29.184193551517311</v>
      </c>
    </row>
    <row r="790" spans="1:8" x14ac:dyDescent="0.2">
      <c r="A790" s="16">
        <f>DATE(2020,5,29)</f>
        <v>43980</v>
      </c>
      <c r="B790" s="2">
        <v>20.662927258443542</v>
      </c>
      <c r="C790" s="2">
        <v>22.038913485226796</v>
      </c>
      <c r="D790" s="2">
        <v>25.895787765524261</v>
      </c>
      <c r="E790" s="2">
        <v>23.537897201878465</v>
      </c>
      <c r="F790" s="2">
        <v>26.49607244102177</v>
      </c>
      <c r="G790" s="2">
        <v>26.609348036388461</v>
      </c>
      <c r="H790" s="2">
        <v>29.195472708882384</v>
      </c>
    </row>
    <row r="791" spans="1:8" x14ac:dyDescent="0.2">
      <c r="A791" s="16">
        <f>DATE(2020,6,1)</f>
        <v>43983</v>
      </c>
      <c r="B791" s="2">
        <v>21.050032018903231</v>
      </c>
      <c r="C791" s="2">
        <v>22.052758644229641</v>
      </c>
      <c r="D791" s="2">
        <v>25.915042194666981</v>
      </c>
      <c r="E791" s="2">
        <v>23.574751709989261</v>
      </c>
      <c r="F791" s="2">
        <v>26.537609259602512</v>
      </c>
      <c r="G791" s="2">
        <v>26.65106591305786</v>
      </c>
      <c r="H791" s="2">
        <v>29.241359026605874</v>
      </c>
    </row>
    <row r="792" spans="1:8" x14ac:dyDescent="0.2">
      <c r="A792" s="16">
        <f>DATE(2020,6,2)</f>
        <v>43984</v>
      </c>
      <c r="B792" s="2">
        <v>22.718780218079161</v>
      </c>
      <c r="C792" s="2">
        <v>22.066605373948111</v>
      </c>
      <c r="D792" s="2">
        <v>25.934299568571006</v>
      </c>
      <c r="E792" s="2">
        <v>23.611617212740565</v>
      </c>
      <c r="F792" s="2">
        <v>26.579159717399591</v>
      </c>
      <c r="G792" s="2">
        <v>26.692797535799407</v>
      </c>
      <c r="H792" s="2">
        <v>29.287261641759208</v>
      </c>
    </row>
    <row r="793" spans="1:8" x14ac:dyDescent="0.2">
      <c r="A793" s="16">
        <f>DATE(2020,6,3)</f>
        <v>43985</v>
      </c>
      <c r="B793" s="2">
        <v>24.265977309516764</v>
      </c>
      <c r="C793" s="2">
        <v>22.080453674560395</v>
      </c>
      <c r="D793" s="2">
        <v>25.953559887686684</v>
      </c>
      <c r="E793" s="2">
        <v>23.648493713412353</v>
      </c>
      <c r="F793" s="2">
        <v>26.620723818891644</v>
      </c>
      <c r="G793" s="2">
        <v>26.734542909142455</v>
      </c>
      <c r="H793" s="2">
        <v>29.333180560130767</v>
      </c>
    </row>
    <row r="794" spans="1:8" x14ac:dyDescent="0.2">
      <c r="A794" s="16">
        <f>DATE(2020,6,4)</f>
        <v>43986</v>
      </c>
      <c r="B794" s="2">
        <v>24.515544200351847</v>
      </c>
      <c r="C794" s="2">
        <v>22.09430354624471</v>
      </c>
      <c r="D794" s="2">
        <v>25.97282315246445</v>
      </c>
      <c r="E794" s="2">
        <v>23.685381215285584</v>
      </c>
      <c r="F794" s="2">
        <v>26.662301568558778</v>
      </c>
      <c r="G794" s="2">
        <v>26.776302037617828</v>
      </c>
      <c r="H794" s="2">
        <v>29.379115787510933</v>
      </c>
    </row>
    <row r="795" spans="1:8" x14ac:dyDescent="0.2">
      <c r="A795" s="16">
        <f>DATE(2020,6,5)</f>
        <v>43987</v>
      </c>
      <c r="B795" s="2">
        <v>25.019322407612801</v>
      </c>
      <c r="C795" s="2">
        <v>22.108154989179283</v>
      </c>
      <c r="D795" s="2">
        <v>25.992089363354818</v>
      </c>
      <c r="E795" s="2">
        <v>23.722279721642181</v>
      </c>
      <c r="F795" s="2">
        <v>26.703892970882539</v>
      </c>
      <c r="G795" s="2">
        <v>26.818074925757831</v>
      </c>
      <c r="H795" s="2">
        <v>29.425067329692165</v>
      </c>
    </row>
    <row r="796" spans="1:8" x14ac:dyDescent="0.2">
      <c r="A796" s="16">
        <f>DATE(2020,6,8)</f>
        <v>43990</v>
      </c>
      <c r="B796" s="2">
        <v>25.340938739108701</v>
      </c>
      <c r="C796" s="2">
        <v>22.122008003542383</v>
      </c>
      <c r="D796" s="2">
        <v>26.011358520808361</v>
      </c>
      <c r="E796" s="2">
        <v>23.75918923576512</v>
      </c>
      <c r="F796" s="2">
        <v>26.745498030346049</v>
      </c>
      <c r="G796" s="2">
        <v>26.859861578096368</v>
      </c>
      <c r="H796" s="2">
        <v>29.471035192469053</v>
      </c>
    </row>
    <row r="797" spans="1:8" x14ac:dyDescent="0.2">
      <c r="A797" s="16">
        <f>DATE(2020,6,9)</f>
        <v>43991</v>
      </c>
      <c r="B797" s="2">
        <v>25.115770293626195</v>
      </c>
      <c r="C797" s="2">
        <v>22.135862589512278</v>
      </c>
      <c r="D797" s="2">
        <v>26.03063062527573</v>
      </c>
      <c r="E797" s="2">
        <v>23.796109760938243</v>
      </c>
      <c r="F797" s="2">
        <v>26.78711675143375</v>
      </c>
      <c r="G797" s="2">
        <v>26.901661999168681</v>
      </c>
      <c r="H797" s="2">
        <v>29.517019381638111</v>
      </c>
    </row>
    <row r="798" spans="1:8" x14ac:dyDescent="0.2">
      <c r="A798" s="16">
        <f>DATE(2020,6,10)</f>
        <v>43992</v>
      </c>
      <c r="B798" s="2">
        <v>24.452601078862514</v>
      </c>
      <c r="C798" s="2">
        <v>22.149718747267276</v>
      </c>
      <c r="D798" s="2">
        <v>26.04990567720764</v>
      </c>
      <c r="E798" s="2">
        <v>23.833041300446435</v>
      </c>
      <c r="F798" s="2">
        <v>26.828749138631672</v>
      </c>
      <c r="G798" s="2">
        <v>26.943476193511582</v>
      </c>
      <c r="H798" s="2">
        <v>29.56301990299799</v>
      </c>
    </row>
    <row r="799" spans="1:8" x14ac:dyDescent="0.2">
      <c r="A799" s="16">
        <f>DATE(2020,6,12)</f>
        <v>43994</v>
      </c>
      <c r="B799" s="2">
        <v>24.222823700124497</v>
      </c>
      <c r="C799" s="2">
        <v>22.163576476985703</v>
      </c>
      <c r="D799" s="2">
        <v>26.069183677054863</v>
      </c>
      <c r="E799" s="2">
        <v>23.869983857575573</v>
      </c>
      <c r="F799" s="2">
        <v>26.870395196427268</v>
      </c>
      <c r="G799" s="2">
        <v>26.985304165663404</v>
      </c>
      <c r="H799" s="2">
        <v>29.609036762349383</v>
      </c>
    </row>
    <row r="800" spans="1:8" x14ac:dyDescent="0.2">
      <c r="A800" s="16">
        <f>DATE(2020,6,15)</f>
        <v>43997</v>
      </c>
      <c r="B800" s="2">
        <v>24.045184561943511</v>
      </c>
      <c r="C800" s="2">
        <v>22.177435778845879</v>
      </c>
      <c r="D800" s="2">
        <v>26.088464625268259</v>
      </c>
      <c r="E800" s="2">
        <v>23.906937435612473</v>
      </c>
      <c r="F800" s="2">
        <v>26.91205492930948</v>
      </c>
      <c r="G800" s="2">
        <v>27.02714592016391</v>
      </c>
      <c r="H800" s="2">
        <v>29.655069965495073</v>
      </c>
    </row>
    <row r="801" spans="1:8" x14ac:dyDescent="0.2">
      <c r="A801" s="16">
        <f>DATE(2020,6,16)</f>
        <v>43998</v>
      </c>
      <c r="B801" s="2">
        <v>24.322222520301473</v>
      </c>
      <c r="C801" s="2">
        <v>22.191296653026171</v>
      </c>
      <c r="D801" s="2">
        <v>26.107748522298756</v>
      </c>
      <c r="E801" s="2">
        <v>23.943902037844953</v>
      </c>
      <c r="F801" s="2">
        <v>26.953728341768723</v>
      </c>
      <c r="G801" s="2">
        <v>27.069001461554421</v>
      </c>
      <c r="H801" s="2">
        <v>29.701119518239882</v>
      </c>
    </row>
    <row r="802" spans="1:8" x14ac:dyDescent="0.2">
      <c r="A802" s="16">
        <f>DATE(2020,6,17)</f>
        <v>43999</v>
      </c>
      <c r="B802" s="2">
        <v>24.498512949741038</v>
      </c>
      <c r="C802" s="2">
        <v>22.205159099704954</v>
      </c>
      <c r="D802" s="2">
        <v>26.12703536859733</v>
      </c>
      <c r="E802" s="2">
        <v>23.980877667561828</v>
      </c>
      <c r="F802" s="2">
        <v>26.995415438296892</v>
      </c>
      <c r="G802" s="2">
        <v>27.110870794377728</v>
      </c>
      <c r="H802" s="2">
        <v>29.747185426390676</v>
      </c>
    </row>
    <row r="803" spans="1:8" x14ac:dyDescent="0.2">
      <c r="A803" s="16">
        <f>DATE(2020,6,18)</f>
        <v>44000</v>
      </c>
      <c r="B803" s="2">
        <v>24.504501013739667</v>
      </c>
      <c r="C803" s="2">
        <v>22.219023119060608</v>
      </c>
      <c r="D803" s="2">
        <v>26.14632516461506</v>
      </c>
      <c r="E803" s="2">
        <v>24.017864328052884</v>
      </c>
      <c r="F803" s="2">
        <v>27.037116223387315</v>
      </c>
      <c r="G803" s="2">
        <v>27.152753923178111</v>
      </c>
      <c r="H803" s="2">
        <v>29.793267695756409</v>
      </c>
    </row>
    <row r="804" spans="1:8" x14ac:dyDescent="0.2">
      <c r="A804" s="16">
        <f>DATE(2020,6,19)</f>
        <v>44001</v>
      </c>
      <c r="B804" s="2">
        <v>24.729268902866664</v>
      </c>
      <c r="C804" s="2">
        <v>22.229340457661404</v>
      </c>
      <c r="D804" s="2">
        <v>26.16195549544209</v>
      </c>
      <c r="E804" s="2">
        <v>24.054862022608823</v>
      </c>
      <c r="F804" s="2">
        <v>27.07883070153483</v>
      </c>
      <c r="G804" s="2">
        <v>27.194650852501322</v>
      </c>
      <c r="H804" s="2">
        <v>29.839366332148053</v>
      </c>
    </row>
    <row r="805" spans="1:8" x14ac:dyDescent="0.2">
      <c r="A805" s="16">
        <f>DATE(2020,6,22)</f>
        <v>44004</v>
      </c>
      <c r="B805" s="2">
        <v>25.248182055966641</v>
      </c>
      <c r="C805" s="2">
        <v>22.239658667218887</v>
      </c>
      <c r="D805" s="2">
        <v>26.177587762966368</v>
      </c>
      <c r="E805" s="2">
        <v>24.091870754521505</v>
      </c>
      <c r="F805" s="2">
        <v>27.120558877235833</v>
      </c>
      <c r="G805" s="2">
        <v>27.236561586894737</v>
      </c>
      <c r="H805" s="2">
        <v>29.88548134137876</v>
      </c>
    </row>
    <row r="806" spans="1:8" x14ac:dyDescent="0.2">
      <c r="A806" s="16">
        <f>DATE(2020,6,23)</f>
        <v>44005</v>
      </c>
      <c r="B806" s="2">
        <v>26.092275985093451</v>
      </c>
      <c r="C806" s="2">
        <v>22.249977747806593</v>
      </c>
      <c r="D806" s="2">
        <v>26.193221967427881</v>
      </c>
      <c r="E806" s="2">
        <v>24.128890527083556</v>
      </c>
      <c r="F806" s="2">
        <v>27.162300754988046</v>
      </c>
      <c r="G806" s="2">
        <v>27.278486130907041</v>
      </c>
      <c r="H806" s="2">
        <v>29.931612729263591</v>
      </c>
    </row>
    <row r="807" spans="1:8" x14ac:dyDescent="0.2">
      <c r="A807" s="16">
        <f>DATE(2020,6,24)</f>
        <v>44006</v>
      </c>
      <c r="B807" s="2">
        <v>25.023333041501814</v>
      </c>
      <c r="C807" s="2">
        <v>22.260297699498022</v>
      </c>
      <c r="D807" s="2">
        <v>26.208858109066615</v>
      </c>
      <c r="E807" s="2">
        <v>24.165921343588703</v>
      </c>
      <c r="F807" s="2">
        <v>27.20405633929073</v>
      </c>
      <c r="G807" s="2">
        <v>27.320424489088534</v>
      </c>
      <c r="H807" s="2">
        <v>29.977760501619777</v>
      </c>
    </row>
    <row r="808" spans="1:8" x14ac:dyDescent="0.2">
      <c r="A808" s="16">
        <f>DATE(2020,6,25)</f>
        <v>44007</v>
      </c>
      <c r="B808" s="2">
        <v>24.862213050236591</v>
      </c>
      <c r="C808" s="2">
        <v>22.270618522366735</v>
      </c>
      <c r="D808" s="2">
        <v>26.22449618812259</v>
      </c>
      <c r="E808" s="2">
        <v>24.202963207331663</v>
      </c>
      <c r="F808" s="2">
        <v>27.245825634644639</v>
      </c>
      <c r="G808" s="2">
        <v>27.362376665991022</v>
      </c>
      <c r="H808" s="2">
        <v>30.023924664266577</v>
      </c>
    </row>
    <row r="809" spans="1:8" x14ac:dyDescent="0.2">
      <c r="A809" s="16">
        <f>DATE(2020,6,26)</f>
        <v>44008</v>
      </c>
      <c r="B809" s="2">
        <v>23.869685104547809</v>
      </c>
      <c r="C809" s="2">
        <v>22.280940216486279</v>
      </c>
      <c r="D809" s="2">
        <v>26.240136204835895</v>
      </c>
      <c r="E809" s="2">
        <v>24.24001612160809</v>
      </c>
      <c r="F809" s="2">
        <v>27.287608645552019</v>
      </c>
      <c r="G809" s="2">
        <v>27.404342666167761</v>
      </c>
      <c r="H809" s="2">
        <v>30.070105223025333</v>
      </c>
    </row>
    <row r="810" spans="1:8" x14ac:dyDescent="0.2">
      <c r="A810" s="16">
        <f>DATE(2020,6,29)</f>
        <v>44011</v>
      </c>
      <c r="B810" s="2">
        <v>24.446481186189949</v>
      </c>
      <c r="C810" s="2">
        <v>22.29126278193019</v>
      </c>
      <c r="D810" s="2">
        <v>26.255778159446596</v>
      </c>
      <c r="E810" s="2">
        <v>24.27708008971463</v>
      </c>
      <c r="F810" s="2">
        <v>27.329405376516561</v>
      </c>
      <c r="G810" s="2">
        <v>27.446322494173536</v>
      </c>
      <c r="H810" s="2">
        <v>30.116302183719458</v>
      </c>
    </row>
    <row r="811" spans="1:8" x14ac:dyDescent="0.2">
      <c r="A811" s="16">
        <f>DATE(2020,6,30)</f>
        <v>44012</v>
      </c>
      <c r="B811" s="2">
        <v>24.667385481102745</v>
      </c>
      <c r="C811" s="2">
        <v>22.301586218772005</v>
      </c>
      <c r="D811" s="2">
        <v>26.271422052194815</v>
      </c>
      <c r="E811" s="2">
        <v>24.314155114948942</v>
      </c>
      <c r="F811" s="2">
        <v>27.371215832043429</v>
      </c>
      <c r="G811" s="2">
        <v>27.48831615456464</v>
      </c>
      <c r="H811" s="2">
        <v>30.162515552174398</v>
      </c>
    </row>
    <row r="812" spans="1:8" x14ac:dyDescent="0.2">
      <c r="A812" s="16">
        <f>DATE(2020,7,1)</f>
        <v>44013</v>
      </c>
      <c r="B812" s="2">
        <v>25.457368809896529</v>
      </c>
      <c r="C812" s="2">
        <v>22.31191052708532</v>
      </c>
      <c r="D812" s="2">
        <v>26.287067883320692</v>
      </c>
      <c r="E812" s="2">
        <v>24.357240226260867</v>
      </c>
      <c r="F812" s="2">
        <v>27.419186751388235</v>
      </c>
      <c r="G812" s="2">
        <v>27.536476044713829</v>
      </c>
      <c r="H812" s="2">
        <v>30.215026941025446</v>
      </c>
    </row>
    <row r="813" spans="1:8" x14ac:dyDescent="0.2">
      <c r="A813" s="16">
        <f>DATE(2020,7,2)</f>
        <v>44014</v>
      </c>
      <c r="B813" s="2">
        <v>25.493454374230321</v>
      </c>
      <c r="C813" s="2">
        <v>22.322235706943694</v>
      </c>
      <c r="D813" s="2">
        <v>26.302715653064411</v>
      </c>
      <c r="E813" s="2">
        <v>24.400340270118615</v>
      </c>
      <c r="F813" s="2">
        <v>27.467175737680805</v>
      </c>
      <c r="G813" s="2">
        <v>27.584654127706788</v>
      </c>
      <c r="H813" s="2">
        <v>30.26755951451592</v>
      </c>
    </row>
    <row r="814" spans="1:8" x14ac:dyDescent="0.2">
      <c r="A814" s="16">
        <f>DATE(2020,7,3)</f>
        <v>44015</v>
      </c>
      <c r="B814" s="2">
        <v>25.892114424997214</v>
      </c>
      <c r="C814" s="2">
        <v>22.332561758420688</v>
      </c>
      <c r="D814" s="2">
        <v>26.318365361666185</v>
      </c>
      <c r="E814" s="2">
        <v>24.443455251697532</v>
      </c>
      <c r="F814" s="2">
        <v>27.515182797725558</v>
      </c>
      <c r="G814" s="2">
        <v>27.632850410416054</v>
      </c>
      <c r="H814" s="2">
        <v>30.320113281192331</v>
      </c>
    </row>
    <row r="815" spans="1:8" x14ac:dyDescent="0.2">
      <c r="A815" s="16">
        <f>DATE(2020,7,6)</f>
        <v>44018</v>
      </c>
      <c r="B815" s="2">
        <v>26.257421821248531</v>
      </c>
      <c r="C815" s="2">
        <v>22.342888681589869</v>
      </c>
      <c r="D815" s="2">
        <v>26.334017009366239</v>
      </c>
      <c r="E815" s="2">
        <v>24.486585176174771</v>
      </c>
      <c r="F815" s="2">
        <v>27.563207938329491</v>
      </c>
      <c r="G815" s="2">
        <v>27.681064899716709</v>
      </c>
      <c r="H815" s="2">
        <v>30.372688249604639</v>
      </c>
    </row>
    <row r="816" spans="1:8" x14ac:dyDescent="0.2">
      <c r="A816" s="16">
        <f>DATE(2020,7,7)</f>
        <v>44019</v>
      </c>
      <c r="B816" s="2">
        <v>26.179369105588247</v>
      </c>
      <c r="C816" s="2">
        <v>22.353216476524839</v>
      </c>
      <c r="D816" s="2">
        <v>26.349670596404849</v>
      </c>
      <c r="E816" s="2">
        <v>24.529730048729292</v>
      </c>
      <c r="F816" s="2">
        <v>27.611251166302164</v>
      </c>
      <c r="G816" s="2">
        <v>27.729297602486479</v>
      </c>
      <c r="H816" s="2">
        <v>30.425284428306231</v>
      </c>
    </row>
    <row r="817" spans="1:8" x14ac:dyDescent="0.2">
      <c r="A817" s="16">
        <f>DATE(2020,7,8)</f>
        <v>44020</v>
      </c>
      <c r="B817" s="2">
        <v>27.040083588303101</v>
      </c>
      <c r="C817" s="2">
        <v>22.363545143299191</v>
      </c>
      <c r="D817" s="2">
        <v>26.365326123022289</v>
      </c>
      <c r="E817" s="2">
        <v>24.572889874541826</v>
      </c>
      <c r="F817" s="2">
        <v>27.659312488455679</v>
      </c>
      <c r="G817" s="2">
        <v>27.777548525605681</v>
      </c>
      <c r="H817" s="2">
        <v>30.477901825853969</v>
      </c>
    </row>
    <row r="818" spans="1:8" x14ac:dyDescent="0.2">
      <c r="A818" s="16">
        <f>DATE(2020,7,9)</f>
        <v>44021</v>
      </c>
      <c r="B818" s="2">
        <v>26.794187619004848</v>
      </c>
      <c r="C818" s="2">
        <v>22.373874681986528</v>
      </c>
      <c r="D818" s="2">
        <v>26.380983589458928</v>
      </c>
      <c r="E818" s="2">
        <v>24.616064658794912</v>
      </c>
      <c r="F818" s="2">
        <v>27.707391911604741</v>
      </c>
      <c r="G818" s="2">
        <v>27.8258176759572</v>
      </c>
      <c r="H818" s="2">
        <v>30.530540450808164</v>
      </c>
    </row>
    <row r="819" spans="1:8" x14ac:dyDescent="0.2">
      <c r="A819" s="16">
        <f>DATE(2020,7,10)</f>
        <v>44022</v>
      </c>
      <c r="B819" s="2">
        <v>26.874876908144628</v>
      </c>
      <c r="C819" s="2">
        <v>22.384205092660437</v>
      </c>
      <c r="D819" s="2">
        <v>26.39664299595508</v>
      </c>
      <c r="E819" s="2">
        <v>24.659254406672893</v>
      </c>
      <c r="F819" s="2">
        <v>27.75548944256656</v>
      </c>
      <c r="G819" s="2">
        <v>27.874105060426533</v>
      </c>
      <c r="H819" s="2">
        <v>30.583200311732583</v>
      </c>
    </row>
    <row r="820" spans="1:8" x14ac:dyDescent="0.2">
      <c r="A820" s="16">
        <f>DATE(2020,7,13)</f>
        <v>44025</v>
      </c>
      <c r="B820" s="2">
        <v>26.650504505039585</v>
      </c>
      <c r="C820" s="2">
        <v>22.394536375394548</v>
      </c>
      <c r="D820" s="2">
        <v>26.412304342751149</v>
      </c>
      <c r="E820" s="2">
        <v>24.702459123361862</v>
      </c>
      <c r="F820" s="2">
        <v>27.803605088160953</v>
      </c>
      <c r="G820" s="2">
        <v>27.922410685901781</v>
      </c>
      <c r="H820" s="2">
        <v>30.635881417194401</v>
      </c>
    </row>
    <row r="821" spans="1:8" x14ac:dyDescent="0.2">
      <c r="A821" s="16">
        <f>DATE(2020,7,14)</f>
        <v>44026</v>
      </c>
      <c r="B821" s="2">
        <v>26.853150528606886</v>
      </c>
      <c r="C821" s="2">
        <v>22.404868530262465</v>
      </c>
      <c r="D821" s="2">
        <v>26.427967630087544</v>
      </c>
      <c r="E821" s="2">
        <v>24.745678814049832</v>
      </c>
      <c r="F821" s="2">
        <v>27.851738855210396</v>
      </c>
      <c r="G821" s="2">
        <v>27.970734559273723</v>
      </c>
      <c r="H821" s="2">
        <v>30.688583775764378</v>
      </c>
    </row>
    <row r="822" spans="1:8" x14ac:dyDescent="0.2">
      <c r="A822" s="16">
        <f>DATE(2020,7,15)</f>
        <v>44027</v>
      </c>
      <c r="B822" s="2">
        <v>26.856253572778918</v>
      </c>
      <c r="C822" s="2">
        <v>22.415201557337785</v>
      </c>
      <c r="D822" s="2">
        <v>26.443632858204701</v>
      </c>
      <c r="E822" s="2">
        <v>24.788913483926446</v>
      </c>
      <c r="F822" s="2">
        <v>27.899890750539761</v>
      </c>
      <c r="G822" s="2">
        <v>28.019076687435597</v>
      </c>
      <c r="H822" s="2">
        <v>30.74130739601657</v>
      </c>
    </row>
    <row r="823" spans="1:8" x14ac:dyDescent="0.2">
      <c r="A823" s="16">
        <f>DATE(2020,7,16)</f>
        <v>44028</v>
      </c>
      <c r="B823" s="2">
        <v>26.996640969894781</v>
      </c>
      <c r="C823" s="2">
        <v>22.425535456694213</v>
      </c>
      <c r="D823" s="2">
        <v>26.459300027343161</v>
      </c>
      <c r="E823" s="2">
        <v>24.832163138183262</v>
      </c>
      <c r="F823" s="2">
        <v>27.948060780976579</v>
      </c>
      <c r="G823" s="2">
        <v>28.067437077283341</v>
      </c>
      <c r="H823" s="2">
        <v>30.794052286528583</v>
      </c>
    </row>
    <row r="824" spans="1:8" x14ac:dyDescent="0.2">
      <c r="A824" s="16">
        <f>DATE(2020,7,17)</f>
        <v>44029</v>
      </c>
      <c r="B824" s="2">
        <v>27.164261128853685</v>
      </c>
      <c r="C824" s="2">
        <v>22.435870228405321</v>
      </c>
      <c r="D824" s="2">
        <v>26.47496913774334</v>
      </c>
      <c r="E824" s="2">
        <v>24.875427782013592</v>
      </c>
      <c r="F824" s="2">
        <v>27.996248953350953</v>
      </c>
      <c r="G824" s="2">
        <v>28.11581573571549</v>
      </c>
      <c r="H824" s="2">
        <v>30.846818455881465</v>
      </c>
    </row>
    <row r="825" spans="1:8" x14ac:dyDescent="0.2">
      <c r="A825" s="16">
        <f>DATE(2020,7,20)</f>
        <v>44032</v>
      </c>
      <c r="B825" s="2">
        <v>27.603245542856051</v>
      </c>
      <c r="C825" s="2">
        <v>22.446205872544756</v>
      </c>
      <c r="D825" s="2">
        <v>26.49064018964582</v>
      </c>
      <c r="E825" s="2">
        <v>24.918707420612574</v>
      </c>
      <c r="F825" s="2">
        <v>28.044455274495569</v>
      </c>
      <c r="G825" s="2">
        <v>28.164212669633141</v>
      </c>
      <c r="H825" s="2">
        <v>30.89960591265972</v>
      </c>
    </row>
    <row r="826" spans="1:8" x14ac:dyDescent="0.2">
      <c r="A826" s="16">
        <f>DATE(2020,7,21)</f>
        <v>44033</v>
      </c>
      <c r="B826" s="2">
        <v>28.28388205692136</v>
      </c>
      <c r="C826" s="2">
        <v>22.456542389186197</v>
      </c>
      <c r="D826" s="2">
        <v>26.506313183291152</v>
      </c>
      <c r="E826" s="2">
        <v>24.962002059177113</v>
      </c>
      <c r="F826" s="2">
        <v>28.092679751245651</v>
      </c>
      <c r="G826" s="2">
        <v>28.212627885940055</v>
      </c>
      <c r="H826" s="2">
        <v>30.952414665451332</v>
      </c>
    </row>
    <row r="827" spans="1:8" x14ac:dyDescent="0.2">
      <c r="A827" s="16">
        <f>DATE(2020,7,22)</f>
        <v>44034</v>
      </c>
      <c r="B827" s="2">
        <v>28.317594705123629</v>
      </c>
      <c r="C827" s="2">
        <v>22.466879778403271</v>
      </c>
      <c r="D827" s="2">
        <v>26.52198811891995</v>
      </c>
      <c r="E827" s="2">
        <v>25.005311702905964</v>
      </c>
      <c r="F827" s="2">
        <v>28.140922390439041</v>
      </c>
      <c r="G827" s="2">
        <v>28.261061391542562</v>
      </c>
      <c r="H827" s="2">
        <v>31.005244722847735</v>
      </c>
    </row>
    <row r="828" spans="1:8" x14ac:dyDescent="0.2">
      <c r="A828" s="16">
        <f>DATE(2020,7,23)</f>
        <v>44035</v>
      </c>
      <c r="B828" s="2">
        <v>28.177019705663977</v>
      </c>
      <c r="C828" s="2">
        <v>22.47721804026963</v>
      </c>
      <c r="D828" s="2">
        <v>26.537664996772815</v>
      </c>
      <c r="E828" s="2">
        <v>25.04863635699963</v>
      </c>
      <c r="F828" s="2">
        <v>28.189183198916101</v>
      </c>
      <c r="G828" s="2">
        <v>28.309513193349598</v>
      </c>
      <c r="H828" s="2">
        <v>31.058096093443829</v>
      </c>
    </row>
    <row r="829" spans="1:8" x14ac:dyDescent="0.2">
      <c r="A829" s="16">
        <f>DATE(2020,7,24)</f>
        <v>44036</v>
      </c>
      <c r="B829" s="2">
        <v>27.735966595546934</v>
      </c>
      <c r="C829" s="2">
        <v>22.487557174858953</v>
      </c>
      <c r="D829" s="2">
        <v>26.553343817090401</v>
      </c>
      <c r="E829" s="2">
        <v>25.091976026660443</v>
      </c>
      <c r="F829" s="2">
        <v>28.23746218351981</v>
      </c>
      <c r="G829" s="2">
        <v>28.35798329827275</v>
      </c>
      <c r="H829" s="2">
        <v>31.11096878583799</v>
      </c>
    </row>
    <row r="830" spans="1:8" x14ac:dyDescent="0.2">
      <c r="A830" s="16">
        <f>DATE(2020,7,27)</f>
        <v>44039</v>
      </c>
      <c r="B830" s="2">
        <v>27.90528024593306</v>
      </c>
      <c r="C830" s="2">
        <v>22.49789718224493</v>
      </c>
      <c r="D830" s="2">
        <v>26.56902458011341</v>
      </c>
      <c r="E830" s="2">
        <v>25.13533071709255</v>
      </c>
      <c r="F830" s="2">
        <v>28.285759351095741</v>
      </c>
      <c r="G830" s="2">
        <v>28.406471713226168</v>
      </c>
      <c r="H830" s="2">
        <v>31.163862808632061</v>
      </c>
    </row>
    <row r="831" spans="1:8" x14ac:dyDescent="0.2">
      <c r="A831" s="16">
        <f>DATE(2020,7,28)</f>
        <v>44040</v>
      </c>
      <c r="B831" s="2">
        <v>27.708105112335723</v>
      </c>
      <c r="C831" s="2">
        <v>22.508238062501217</v>
      </c>
      <c r="D831" s="2">
        <v>26.58470728608253</v>
      </c>
      <c r="E831" s="2">
        <v>25.178700433501877</v>
      </c>
      <c r="F831" s="2">
        <v>28.334074708491986</v>
      </c>
      <c r="G831" s="2">
        <v>28.454978445126656</v>
      </c>
      <c r="H831" s="2">
        <v>31.216778170431361</v>
      </c>
    </row>
    <row r="832" spans="1:8" x14ac:dyDescent="0.2">
      <c r="A832" s="16">
        <f>DATE(2020,7,29)</f>
        <v>44041</v>
      </c>
      <c r="B832" s="2">
        <v>28.012421465539258</v>
      </c>
      <c r="C832" s="2">
        <v>22.518579815701511</v>
      </c>
      <c r="D832" s="2">
        <v>26.60039193523853</v>
      </c>
      <c r="E832" s="2">
        <v>25.222085181096165</v>
      </c>
      <c r="F832" s="2">
        <v>28.382408262559267</v>
      </c>
      <c r="G832" s="2">
        <v>28.50350350089359</v>
      </c>
      <c r="H832" s="2">
        <v>31.269714879844646</v>
      </c>
    </row>
    <row r="833" spans="1:8" x14ac:dyDescent="0.2">
      <c r="A833" s="16">
        <f>DATE(2020,7,30)</f>
        <v>44042</v>
      </c>
      <c r="B833" s="2">
        <v>27.671624061980026</v>
      </c>
      <c r="C833" s="2">
        <v>22.528922441919487</v>
      </c>
      <c r="D833" s="2">
        <v>26.616078527822172</v>
      </c>
      <c r="E833" s="2">
        <v>25.265484965084983</v>
      </c>
      <c r="F833" s="2">
        <v>28.430760020150881</v>
      </c>
      <c r="G833" s="2">
        <v>28.552046887449034</v>
      </c>
      <c r="H833" s="2">
        <v>31.322672945484229</v>
      </c>
    </row>
    <row r="834" spans="1:8" x14ac:dyDescent="0.2">
      <c r="A834" s="16">
        <f>DATE(2020,7,31)</f>
        <v>44043</v>
      </c>
      <c r="B834" s="2">
        <v>27.206831649880289</v>
      </c>
      <c r="C834" s="2">
        <v>22.53926594122888</v>
      </c>
      <c r="D834" s="2">
        <v>26.631767064074285</v>
      </c>
      <c r="E834" s="2">
        <v>25.308899790679607</v>
      </c>
      <c r="F834" s="2">
        <v>28.479129988122612</v>
      </c>
      <c r="G834" s="2">
        <v>28.600608611717494</v>
      </c>
      <c r="H834" s="2">
        <v>31.375652375965757</v>
      </c>
    </row>
    <row r="835" spans="1:8" x14ac:dyDescent="0.2">
      <c r="A835" s="16">
        <f>DATE(2020,8,3)</f>
        <v>44046</v>
      </c>
      <c r="B835" s="2">
        <v>27.149197167685244</v>
      </c>
      <c r="C835" s="2">
        <v>22.549610313703305</v>
      </c>
      <c r="D835" s="2">
        <v>26.647457544235611</v>
      </c>
      <c r="E835" s="2">
        <v>25.349852227870649</v>
      </c>
      <c r="F835" s="2">
        <v>28.524977984399481</v>
      </c>
      <c r="G835" s="2">
        <v>28.646646087024298</v>
      </c>
      <c r="H835" s="2">
        <v>31.426055653595864</v>
      </c>
    </row>
    <row r="836" spans="1:8" x14ac:dyDescent="0.2">
      <c r="A836" s="16">
        <f>DATE(2020,8,4)</f>
        <v>44047</v>
      </c>
      <c r="B836" s="2">
        <v>26.86341288384244</v>
      </c>
      <c r="C836" s="2">
        <v>22.559955559416569</v>
      </c>
      <c r="D836" s="2">
        <v>26.663149968547106</v>
      </c>
      <c r="E836" s="2">
        <v>25.390818048804654</v>
      </c>
      <c r="F836" s="2">
        <v>28.570842341611822</v>
      </c>
      <c r="G836" s="2">
        <v>28.692700043194996</v>
      </c>
      <c r="H836" s="2">
        <v>31.476478268830309</v>
      </c>
    </row>
    <row r="837" spans="1:8" x14ac:dyDescent="0.2">
      <c r="A837" s="16">
        <f>DATE(2020,8,5)</f>
        <v>44048</v>
      </c>
      <c r="B837" s="2">
        <v>27.299137073330716</v>
      </c>
      <c r="C837" s="2">
        <v>22.570301678442341</v>
      </c>
      <c r="D837" s="2">
        <v>26.678844337249629</v>
      </c>
      <c r="E837" s="2">
        <v>25.431797257855649</v>
      </c>
      <c r="F837" s="2">
        <v>28.616723065598151</v>
      </c>
      <c r="G837" s="2">
        <v>28.738770486129606</v>
      </c>
      <c r="H837" s="2">
        <v>31.52692022908823</v>
      </c>
    </row>
    <row r="838" spans="1:8" x14ac:dyDescent="0.2">
      <c r="A838" s="16">
        <f>DATE(2020,8,6)</f>
        <v>44049</v>
      </c>
      <c r="B838" s="2">
        <v>26.8836992886337</v>
      </c>
      <c r="C838" s="2">
        <v>22.580648670854362</v>
      </c>
      <c r="D838" s="2">
        <v>26.69454065058412</v>
      </c>
      <c r="E838" s="2">
        <v>25.472789859399025</v>
      </c>
      <c r="F838" s="2">
        <v>28.662620162198941</v>
      </c>
      <c r="G838" s="2">
        <v>28.784857421730159</v>
      </c>
      <c r="H838" s="2">
        <v>31.577381541791461</v>
      </c>
    </row>
    <row r="839" spans="1:8" x14ac:dyDescent="0.2">
      <c r="A839" s="16">
        <f>DATE(2020,8,7)</f>
        <v>44050</v>
      </c>
      <c r="B839" s="2">
        <v>26.219952055838004</v>
      </c>
      <c r="C839" s="2">
        <v>22.589804500248214</v>
      </c>
      <c r="D839" s="2">
        <v>26.709006818089875</v>
      </c>
      <c r="E839" s="2">
        <v>25.513795857811594</v>
      </c>
      <c r="F839" s="2">
        <v>28.708533637256807</v>
      </c>
      <c r="G839" s="2">
        <v>28.830960855900845</v>
      </c>
      <c r="H839" s="2">
        <v>31.627862214364711</v>
      </c>
    </row>
    <row r="840" spans="1:8" x14ac:dyDescent="0.2">
      <c r="A840" s="16">
        <f>DATE(2020,8,10)</f>
        <v>44053</v>
      </c>
      <c r="B840" s="2">
        <v>26.271314535352008</v>
      </c>
      <c r="C840" s="2">
        <v>22.598961013511929</v>
      </c>
      <c r="D840" s="2">
        <v>26.723474637363754</v>
      </c>
      <c r="E840" s="2">
        <v>25.554815257471631</v>
      </c>
      <c r="F840" s="2">
        <v>28.75446349661641</v>
      </c>
      <c r="G840" s="2">
        <v>28.877080794547961</v>
      </c>
      <c r="H840" s="2">
        <v>31.678362254235552</v>
      </c>
    </row>
    <row r="841" spans="1:8" x14ac:dyDescent="0.2">
      <c r="A841" s="16">
        <f>DATE(2020,8,11)</f>
        <v>44054</v>
      </c>
      <c r="B841" s="2">
        <v>26.447686090129395</v>
      </c>
      <c r="C841" s="2">
        <v>22.608118210696592</v>
      </c>
      <c r="D841" s="2">
        <v>26.737944108594338</v>
      </c>
      <c r="E841" s="2">
        <v>25.595848062758812</v>
      </c>
      <c r="F841" s="2">
        <v>28.800409746124519</v>
      </c>
      <c r="G841" s="2">
        <v>28.923217243579892</v>
      </c>
      <c r="H841" s="2">
        <v>31.728881668834386</v>
      </c>
    </row>
    <row r="842" spans="1:8" x14ac:dyDescent="0.2">
      <c r="A842" s="16">
        <f>DATE(2020,8,12)</f>
        <v>44055</v>
      </c>
      <c r="B842" s="2">
        <v>26.9766993477893</v>
      </c>
      <c r="C842" s="2">
        <v>22.617276091853292</v>
      </c>
      <c r="D842" s="2">
        <v>26.752415231970271</v>
      </c>
      <c r="E842" s="2">
        <v>25.636894278054246</v>
      </c>
      <c r="F842" s="2">
        <v>28.846372391629991</v>
      </c>
      <c r="G842" s="2">
        <v>28.969370208907151</v>
      </c>
      <c r="H842" s="2">
        <v>31.779420465594477</v>
      </c>
    </row>
    <row r="843" spans="1:8" x14ac:dyDescent="0.2">
      <c r="A843" s="16">
        <f>DATE(2020,8,13)</f>
        <v>44056</v>
      </c>
      <c r="B843" s="2">
        <v>26.983742041179728</v>
      </c>
      <c r="C843" s="2">
        <v>22.626434657033091</v>
      </c>
      <c r="D843" s="2">
        <v>26.76688800768019</v>
      </c>
      <c r="E843" s="2">
        <v>25.677953907740502</v>
      </c>
      <c r="F843" s="2">
        <v>28.892351438983766</v>
      </c>
      <c r="G843" s="2">
        <v>29.015539696442396</v>
      </c>
      <c r="H843" s="2">
        <v>31.82997865195194</v>
      </c>
    </row>
    <row r="844" spans="1:8" x14ac:dyDescent="0.2">
      <c r="A844" s="16">
        <f>DATE(2020,8,14)</f>
        <v>44057</v>
      </c>
      <c r="B844" s="2">
        <v>26.98701747669465</v>
      </c>
      <c r="C844" s="2">
        <v>22.635593906287109</v>
      </c>
      <c r="D844" s="2">
        <v>26.781362435912762</v>
      </c>
      <c r="E844" s="2">
        <v>25.719026956201539</v>
      </c>
      <c r="F844" s="2">
        <v>28.938346894038869</v>
      </c>
      <c r="G844" s="2">
        <v>29.061725712100369</v>
      </c>
      <c r="H844" s="2">
        <v>31.880556235345736</v>
      </c>
    </row>
    <row r="845" spans="1:8" x14ac:dyDescent="0.2">
      <c r="A845" s="16">
        <f>DATE(2020,8,17)</f>
        <v>44060</v>
      </c>
      <c r="B845" s="2">
        <v>26.256924928554337</v>
      </c>
      <c r="C845" s="2">
        <v>22.644753839666443</v>
      </c>
      <c r="D845" s="2">
        <v>26.795838516856652</v>
      </c>
      <c r="E845" s="2">
        <v>25.760113427822784</v>
      </c>
      <c r="F845" s="2">
        <v>28.98435876265042</v>
      </c>
      <c r="G845" s="2">
        <v>29.107928261797955</v>
      </c>
      <c r="H845" s="2">
        <v>31.931153223217692</v>
      </c>
    </row>
    <row r="846" spans="1:8" x14ac:dyDescent="0.2">
      <c r="A846" s="16">
        <f>DATE(2020,8,18)</f>
        <v>44061</v>
      </c>
      <c r="B846" s="2">
        <v>26.823286263617984</v>
      </c>
      <c r="C846" s="2">
        <v>22.653914457222157</v>
      </c>
      <c r="D846" s="2">
        <v>26.810316250700584</v>
      </c>
      <c r="E846" s="2">
        <v>25.801213326991078</v>
      </c>
      <c r="F846" s="2">
        <v>29.030387050675621</v>
      </c>
      <c r="G846" s="2">
        <v>29.154147351454121</v>
      </c>
      <c r="H846" s="2">
        <v>31.981769623012489</v>
      </c>
    </row>
    <row r="847" spans="1:8" x14ac:dyDescent="0.2">
      <c r="A847" s="16">
        <f>DATE(2020,8,19)</f>
        <v>44062</v>
      </c>
      <c r="B847" s="2">
        <v>26.822535854243057</v>
      </c>
      <c r="C847" s="2">
        <v>22.663075759005391</v>
      </c>
      <c r="D847" s="2">
        <v>26.82479563763329</v>
      </c>
      <c r="E847" s="2">
        <v>25.842326658094716</v>
      </c>
      <c r="F847" s="2">
        <v>29.076431763973765</v>
      </c>
      <c r="G847" s="2">
        <v>29.200382986989968</v>
      </c>
      <c r="H847" s="2">
        <v>32.032405442177669</v>
      </c>
    </row>
    <row r="848" spans="1:8" x14ac:dyDescent="0.2">
      <c r="A848" s="16">
        <f>DATE(2020,8,20)</f>
        <v>44063</v>
      </c>
      <c r="B848" s="2">
        <v>27.280371768623809</v>
      </c>
      <c r="C848" s="2">
        <v>22.672237745067235</v>
      </c>
      <c r="D848" s="2">
        <v>26.839276677843539</v>
      </c>
      <c r="E848" s="2">
        <v>25.883453425523406</v>
      </c>
      <c r="F848" s="2">
        <v>29.122492908406251</v>
      </c>
      <c r="G848" s="2">
        <v>29.246635174328748</v>
      </c>
      <c r="H848" s="2">
        <v>32.083060688163599</v>
      </c>
    </row>
    <row r="849" spans="1:8" x14ac:dyDescent="0.2">
      <c r="A849" s="16">
        <f>DATE(2020,8,21)</f>
        <v>44064</v>
      </c>
      <c r="B849" s="2">
        <v>27.150449540088051</v>
      </c>
      <c r="C849" s="2">
        <v>22.681400415458828</v>
      </c>
      <c r="D849" s="2">
        <v>26.853759371520102</v>
      </c>
      <c r="E849" s="2">
        <v>25.924593633668302</v>
      </c>
      <c r="F849" s="2">
        <v>29.16857048983654</v>
      </c>
      <c r="G849" s="2">
        <v>29.292903919395808</v>
      </c>
      <c r="H849" s="2">
        <v>32.133735368423544</v>
      </c>
    </row>
    <row r="850" spans="1:8" x14ac:dyDescent="0.2">
      <c r="A850" s="16">
        <f>DATE(2020,8,24)</f>
        <v>44067</v>
      </c>
      <c r="B850" s="2">
        <v>26.975999641750526</v>
      </c>
      <c r="C850" s="2">
        <v>22.690563770231197</v>
      </c>
      <c r="D850" s="2">
        <v>26.868243718851701</v>
      </c>
      <c r="E850" s="2">
        <v>25.965747286922003</v>
      </c>
      <c r="F850" s="2">
        <v>29.21466451413022</v>
      </c>
      <c r="G850" s="2">
        <v>29.339189228118599</v>
      </c>
      <c r="H850" s="2">
        <v>32.184429490413621</v>
      </c>
    </row>
    <row r="851" spans="1:8" x14ac:dyDescent="0.2">
      <c r="A851" s="16">
        <f>DATE(2020,8,25)</f>
        <v>44068</v>
      </c>
      <c r="B851" s="2">
        <v>27.267959591935711</v>
      </c>
      <c r="C851" s="2">
        <v>22.699727809435565</v>
      </c>
      <c r="D851" s="2">
        <v>26.882729720027253</v>
      </c>
      <c r="E851" s="2">
        <v>26.006914389678528</v>
      </c>
      <c r="F851" s="2">
        <v>29.260774987154981</v>
      </c>
      <c r="G851" s="2">
        <v>29.385491106426741</v>
      </c>
      <c r="H851" s="2">
        <v>32.235143061592808</v>
      </c>
    </row>
    <row r="852" spans="1:8" x14ac:dyDescent="0.2">
      <c r="A852" s="16">
        <f>DATE(2020,8,26)</f>
        <v>44069</v>
      </c>
      <c r="B852" s="2">
        <v>27.161563711370839</v>
      </c>
      <c r="C852" s="2">
        <v>22.708892533123002</v>
      </c>
      <c r="D852" s="2">
        <v>26.897217375235542</v>
      </c>
      <c r="E852" s="2">
        <v>26.04809494633329</v>
      </c>
      <c r="F852" s="2">
        <v>29.306901914780514</v>
      </c>
      <c r="G852" s="2">
        <v>29.431809560251889</v>
      </c>
      <c r="H852" s="2">
        <v>32.285876089422878</v>
      </c>
    </row>
    <row r="853" spans="1:8" x14ac:dyDescent="0.2">
      <c r="A853" s="16">
        <f>DATE(2020,8,27)</f>
        <v>44070</v>
      </c>
      <c r="B853" s="2">
        <v>27.081229345584056</v>
      </c>
      <c r="C853" s="2">
        <v>22.71805794134465</v>
      </c>
      <c r="D853" s="2">
        <v>26.91170668466545</v>
      </c>
      <c r="E853" s="2">
        <v>26.08928896128322</v>
      </c>
      <c r="F853" s="2">
        <v>29.353045302878702</v>
      </c>
      <c r="G853" s="2">
        <v>29.478144595527912</v>
      </c>
      <c r="H853" s="2">
        <v>32.336628581368586</v>
      </c>
    </row>
    <row r="854" spans="1:8" x14ac:dyDescent="0.2">
      <c r="A854" s="16">
        <f>DATE(2020,8,28)</f>
        <v>44071</v>
      </c>
      <c r="B854" s="2">
        <v>28.008882372676425</v>
      </c>
      <c r="C854" s="2">
        <v>22.727224034151615</v>
      </c>
      <c r="D854" s="2">
        <v>26.926197648505834</v>
      </c>
      <c r="E854" s="2">
        <v>26.13049643892662</v>
      </c>
      <c r="F854" s="2">
        <v>29.399205157323461</v>
      </c>
      <c r="G854" s="2">
        <v>29.524496218190755</v>
      </c>
      <c r="H854" s="2">
        <v>32.387400544897417</v>
      </c>
    </row>
    <row r="855" spans="1:8" x14ac:dyDescent="0.2">
      <c r="A855" s="16">
        <f>DATE(2020,8,31)</f>
        <v>44074</v>
      </c>
      <c r="B855" s="2">
        <v>27.306392720732966</v>
      </c>
      <c r="C855" s="2">
        <v>22.736390811595044</v>
      </c>
      <c r="D855" s="2">
        <v>26.94069026694563</v>
      </c>
      <c r="E855" s="2">
        <v>26.171717383663331</v>
      </c>
      <c r="F855" s="2">
        <v>29.445381483990921</v>
      </c>
      <c r="G855" s="2">
        <v>29.570864434178556</v>
      </c>
      <c r="H855" s="2">
        <v>32.438191987479904</v>
      </c>
    </row>
    <row r="856" spans="1:8" x14ac:dyDescent="0.2">
      <c r="A856" s="16">
        <f>DATE(2020,9,1)</f>
        <v>44075</v>
      </c>
      <c r="B856" s="2">
        <v>28.031217192247926</v>
      </c>
      <c r="C856" s="2">
        <v>22.745558273726086</v>
      </c>
      <c r="D856" s="2">
        <v>26.95518454017374</v>
      </c>
      <c r="E856" s="2">
        <v>26.243419903110876</v>
      </c>
      <c r="F856" s="2">
        <v>29.52283385915042</v>
      </c>
      <c r="G856" s="2">
        <v>29.648539158053655</v>
      </c>
      <c r="H856" s="2">
        <v>32.520986073296456</v>
      </c>
    </row>
    <row r="857" spans="1:8" x14ac:dyDescent="0.2">
      <c r="A857" s="16">
        <f>DATE(2020,9,2)</f>
        <v>44076</v>
      </c>
      <c r="B857" s="2">
        <v>27.970003054521111</v>
      </c>
      <c r="C857" s="2">
        <v>22.754726420595858</v>
      </c>
      <c r="D857" s="2">
        <v>26.96968046837911</v>
      </c>
      <c r="E857" s="2">
        <v>26.315163170607203</v>
      </c>
      <c r="F857" s="2">
        <v>29.600332577179401</v>
      </c>
      <c r="G857" s="2">
        <v>29.726260446121682</v>
      </c>
      <c r="H857" s="2">
        <v>32.603831918054624</v>
      </c>
    </row>
    <row r="858" spans="1:8" x14ac:dyDescent="0.2">
      <c r="A858" s="16">
        <f>DATE(2020,9,3)</f>
        <v>44077</v>
      </c>
      <c r="B858" s="2">
        <v>27.70952987608144</v>
      </c>
      <c r="C858" s="2">
        <v>22.763895252255526</v>
      </c>
      <c r="D858" s="2">
        <v>26.984178051750707</v>
      </c>
      <c r="E858" s="2">
        <v>26.386947209309163</v>
      </c>
      <c r="F858" s="2">
        <v>29.677877665806651</v>
      </c>
      <c r="G858" s="2">
        <v>29.804028326296784</v>
      </c>
      <c r="H858" s="2">
        <v>32.68672955411165</v>
      </c>
    </row>
    <row r="859" spans="1:8" x14ac:dyDescent="0.2">
      <c r="A859" s="16">
        <f>DATE(2020,9,4)</f>
        <v>44078</v>
      </c>
      <c r="B859" s="2">
        <v>28.0235001444868</v>
      </c>
      <c r="C859" s="2">
        <v>22.773064768756225</v>
      </c>
      <c r="D859" s="2">
        <v>26.998677290477534</v>
      </c>
      <c r="E859" s="2">
        <v>26.458772042386737</v>
      </c>
      <c r="F859" s="2">
        <v>29.755469152777561</v>
      </c>
      <c r="G859" s="2">
        <v>29.88184282650985</v>
      </c>
      <c r="H859" s="2">
        <v>32.769679013845</v>
      </c>
    </row>
    <row r="860" spans="1:8" x14ac:dyDescent="0.2">
      <c r="A860" s="16">
        <f>DATE(2020,9,8)</f>
        <v>44082</v>
      </c>
      <c r="B860" s="2">
        <v>27.074490872210543</v>
      </c>
      <c r="C860" s="2">
        <v>22.782234970149108</v>
      </c>
      <c r="D860" s="2">
        <v>27.0131781847486</v>
      </c>
      <c r="E860" s="2">
        <v>26.530637693023085</v>
      </c>
      <c r="F860" s="2">
        <v>29.833107065854136</v>
      </c>
      <c r="G860" s="2">
        <v>29.959703974708507</v>
      </c>
      <c r="H860" s="2">
        <v>32.852680329652358</v>
      </c>
    </row>
    <row r="861" spans="1:8" x14ac:dyDescent="0.2">
      <c r="A861" s="16">
        <f>DATE(2020,9,9)</f>
        <v>44083</v>
      </c>
      <c r="B861" s="2">
        <v>27.806276911778085</v>
      </c>
      <c r="C861" s="2">
        <v>22.791405856485337</v>
      </c>
      <c r="D861" s="2">
        <v>27.027680734752924</v>
      </c>
      <c r="E861" s="2">
        <v>26.602544184414544</v>
      </c>
      <c r="F861" s="2">
        <v>29.910791432814985</v>
      </c>
      <c r="G861" s="2">
        <v>30.037611798857156</v>
      </c>
      <c r="H861" s="2">
        <v>32.935733533951719</v>
      </c>
    </row>
    <row r="862" spans="1:8" x14ac:dyDescent="0.2">
      <c r="A862" s="16">
        <f>DATE(2020,9,10)</f>
        <v>44084</v>
      </c>
      <c r="B862" s="2">
        <v>26.734864715716245</v>
      </c>
      <c r="C862" s="2">
        <v>22.800577427816069</v>
      </c>
      <c r="D862" s="2">
        <v>27.042184940679579</v>
      </c>
      <c r="E862" s="2">
        <v>26.674491539770639</v>
      </c>
      <c r="F862" s="2">
        <v>29.988522281455321</v>
      </c>
      <c r="G862" s="2">
        <v>30.115566326936928</v>
      </c>
      <c r="H862" s="2">
        <v>33.018838659181291</v>
      </c>
    </row>
    <row r="863" spans="1:8" x14ac:dyDescent="0.2">
      <c r="A863" s="16">
        <f>DATE(2020,9,11)</f>
        <v>44085</v>
      </c>
      <c r="B863" s="2">
        <v>26.360831275314521</v>
      </c>
      <c r="C863" s="2">
        <v>22.809749684192472</v>
      </c>
      <c r="D863" s="2">
        <v>27.056690802717618</v>
      </c>
      <c r="E863" s="2">
        <v>26.746479782314079</v>
      </c>
      <c r="F863" s="2">
        <v>30.066299639587001</v>
      </c>
      <c r="G863" s="2">
        <v>30.193567586945736</v>
      </c>
      <c r="H863" s="2">
        <v>33.101995737799591</v>
      </c>
    </row>
    <row r="864" spans="1:8" x14ac:dyDescent="0.2">
      <c r="A864" s="16">
        <f>DATE(2020,9,14)</f>
        <v>44088</v>
      </c>
      <c r="B864" s="2">
        <v>27.311574601686893</v>
      </c>
      <c r="C864" s="2">
        <v>22.818922625665717</v>
      </c>
      <c r="D864" s="2">
        <v>27.071198321056155</v>
      </c>
      <c r="E864" s="2">
        <v>26.818508935280793</v>
      </c>
      <c r="F864" s="2">
        <v>30.144123535038524</v>
      </c>
      <c r="G864" s="2">
        <v>30.271615606898305</v>
      </c>
      <c r="H864" s="2">
        <v>33.185204802285419</v>
      </c>
    </row>
    <row r="865" spans="1:8" x14ac:dyDescent="0.2">
      <c r="A865" s="16">
        <f>DATE(2020,9,15)</f>
        <v>44089</v>
      </c>
      <c r="B865" s="2">
        <v>27.342006744040589</v>
      </c>
      <c r="C865" s="2">
        <v>22.828096252286969</v>
      </c>
      <c r="D865" s="2">
        <v>27.085707495884304</v>
      </c>
      <c r="E865" s="2">
        <v>26.890579021919869</v>
      </c>
      <c r="F865" s="2">
        <v>30.221993995655058</v>
      </c>
      <c r="G865" s="2">
        <v>30.349710414826124</v>
      </c>
      <c r="H865" s="2">
        <v>33.268465885137857</v>
      </c>
    </row>
    <row r="866" spans="1:8" x14ac:dyDescent="0.2">
      <c r="A866" s="16">
        <f>DATE(2020,9,16)</f>
        <v>44090</v>
      </c>
      <c r="B866" s="2">
        <v>27.132683091103129</v>
      </c>
      <c r="C866" s="2">
        <v>22.837270564107403</v>
      </c>
      <c r="D866" s="2">
        <v>27.1002183273912</v>
      </c>
      <c r="E866" s="2">
        <v>26.962690065493632</v>
      </c>
      <c r="F866" s="2">
        <v>30.299911049298391</v>
      </c>
      <c r="G866" s="2">
        <v>30.427852038777512</v>
      </c>
      <c r="H866" s="2">
        <v>33.351779018876343</v>
      </c>
    </row>
    <row r="867" spans="1:8" x14ac:dyDescent="0.2">
      <c r="A867" s="16">
        <f>DATE(2020,9,17)</f>
        <v>44091</v>
      </c>
      <c r="B867" s="2">
        <v>27.177514980921782</v>
      </c>
      <c r="C867" s="2">
        <v>22.846445561178186</v>
      </c>
      <c r="D867" s="2">
        <v>27.114730815766009</v>
      </c>
      <c r="E867" s="2">
        <v>27.034842089277621</v>
      </c>
      <c r="F867" s="2">
        <v>30.377874723847011</v>
      </c>
      <c r="G867" s="2">
        <v>30.50604050681758</v>
      </c>
      <c r="H867" s="2">
        <v>33.435144236040614</v>
      </c>
    </row>
    <row r="868" spans="1:8" x14ac:dyDescent="0.2">
      <c r="A868" s="16">
        <f>DATE(2020,9,18)</f>
        <v>44092</v>
      </c>
      <c r="B868" s="2">
        <v>25.827756680429449</v>
      </c>
      <c r="C868" s="2">
        <v>22.855621243550516</v>
      </c>
      <c r="D868" s="2">
        <v>27.129244961197909</v>
      </c>
      <c r="E868" s="2">
        <v>27.107035116560631</v>
      </c>
      <c r="F868" s="2">
        <v>30.455885047196073</v>
      </c>
      <c r="G868" s="2">
        <v>30.584275847028248</v>
      </c>
      <c r="H868" s="2">
        <v>33.518561569190773</v>
      </c>
    </row>
    <row r="869" spans="1:8" x14ac:dyDescent="0.2">
      <c r="A869" s="16">
        <f>DATE(2020,9,21)</f>
        <v>44095</v>
      </c>
      <c r="B869" s="2">
        <v>24.744844967730128</v>
      </c>
      <c r="C869" s="2">
        <v>22.864797611275577</v>
      </c>
      <c r="D869" s="2">
        <v>27.143760763876124</v>
      </c>
      <c r="E869" s="2">
        <v>27.179269170644659</v>
      </c>
      <c r="F869" s="2">
        <v>30.533942047257455</v>
      </c>
      <c r="G869" s="2">
        <v>30.66255808750833</v>
      </c>
      <c r="H869" s="2">
        <v>33.602031050907264</v>
      </c>
    </row>
    <row r="870" spans="1:8" x14ac:dyDescent="0.2">
      <c r="A870" s="16">
        <f>DATE(2020,9,22)</f>
        <v>44096</v>
      </c>
      <c r="B870" s="2">
        <v>25.282665394878244</v>
      </c>
      <c r="C870" s="2">
        <v>22.873974664404574</v>
      </c>
      <c r="D870" s="2">
        <v>27.158278223989861</v>
      </c>
      <c r="E870" s="2">
        <v>27.251544274844949</v>
      </c>
      <c r="F870" s="2">
        <v>30.61204575195968</v>
      </c>
      <c r="G870" s="2">
        <v>30.74088725637343</v>
      </c>
      <c r="H870" s="2">
        <v>33.685552713790898</v>
      </c>
    </row>
    <row r="871" spans="1:8" x14ac:dyDescent="0.2">
      <c r="A871" s="16">
        <f>DATE(2020,9,23)</f>
        <v>44097</v>
      </c>
      <c r="B871" s="2">
        <v>24.022844672038389</v>
      </c>
      <c r="C871" s="2">
        <v>22.883152402988681</v>
      </c>
      <c r="D871" s="2">
        <v>27.172797341728369</v>
      </c>
      <c r="E871" s="2">
        <v>27.323860452489999</v>
      </c>
      <c r="F871" s="2">
        <v>30.690196189248041</v>
      </c>
      <c r="G871" s="2">
        <v>30.819263381756024</v>
      </c>
      <c r="H871" s="2">
        <v>33.769126590462868</v>
      </c>
    </row>
    <row r="872" spans="1:8" x14ac:dyDescent="0.2">
      <c r="A872" s="16">
        <f>DATE(2020,9,24)</f>
        <v>44098</v>
      </c>
      <c r="B872" s="2">
        <v>24.561684236242986</v>
      </c>
      <c r="C872" s="2">
        <v>22.89233082707911</v>
      </c>
      <c r="D872" s="2">
        <v>27.187318117280945</v>
      </c>
      <c r="E872" s="2">
        <v>27.396217726921599</v>
      </c>
      <c r="F872" s="2">
        <v>30.768393387084526</v>
      </c>
      <c r="G872" s="2">
        <v>30.897686491805487</v>
      </c>
      <c r="H872" s="2">
        <v>33.852752713564804</v>
      </c>
    </row>
    <row r="873" spans="1:8" x14ac:dyDescent="0.2">
      <c r="A873" s="16">
        <f>DATE(2020,9,25)</f>
        <v>44099</v>
      </c>
      <c r="B873" s="2">
        <v>24.628688694957468</v>
      </c>
      <c r="C873" s="2">
        <v>22.901509936727038</v>
      </c>
      <c r="D873" s="2">
        <v>27.201840550836852</v>
      </c>
      <c r="E873" s="2">
        <v>27.468616121494694</v>
      </c>
      <c r="F873" s="2">
        <v>30.846637373447795</v>
      </c>
      <c r="G873" s="2">
        <v>30.97615661468798</v>
      </c>
      <c r="H873" s="2">
        <v>33.936431115758616</v>
      </c>
    </row>
    <row r="874" spans="1:8" x14ac:dyDescent="0.2">
      <c r="A874" s="16">
        <f>DATE(2020,9,28)</f>
        <v>44102</v>
      </c>
      <c r="B874" s="2">
        <v>23.599933215593705</v>
      </c>
      <c r="C874" s="2">
        <v>22.910689731983691</v>
      </c>
      <c r="D874" s="2">
        <v>27.216364642585411</v>
      </c>
      <c r="E874" s="2">
        <v>27.54105565957763</v>
      </c>
      <c r="F874" s="2">
        <v>30.924928176333346</v>
      </c>
      <c r="G874" s="2">
        <v>31.054673778586618</v>
      </c>
      <c r="H874" s="2">
        <v>34.02016182972676</v>
      </c>
    </row>
    <row r="875" spans="1:8" x14ac:dyDescent="0.2">
      <c r="A875" s="16">
        <f>DATE(2020,9,29)</f>
        <v>44103</v>
      </c>
      <c r="B875" s="2">
        <v>23.549011855104141</v>
      </c>
      <c r="C875" s="2">
        <v>22.919870212900275</v>
      </c>
      <c r="D875" s="2">
        <v>27.230890392715956</v>
      </c>
      <c r="E875" s="2">
        <v>27.613536364551969</v>
      </c>
      <c r="F875" s="2">
        <v>31.00326582375337</v>
      </c>
      <c r="G875" s="2">
        <v>31.133238011701426</v>
      </c>
      <c r="H875" s="2">
        <v>34.10394488817208</v>
      </c>
    </row>
    <row r="876" spans="1:8" x14ac:dyDescent="0.2">
      <c r="A876" s="16">
        <f>DATE(2020,9,30)</f>
        <v>44104</v>
      </c>
      <c r="B876" s="2">
        <v>24.181972022193143</v>
      </c>
      <c r="C876" s="2">
        <v>22.929051379528008</v>
      </c>
      <c r="D876" s="2">
        <v>27.245417801417851</v>
      </c>
      <c r="E876" s="2">
        <v>27.686058259812587</v>
      </c>
      <c r="F876" s="2">
        <v>31.081650343736843</v>
      </c>
      <c r="G876" s="2">
        <v>31.211849342249277</v>
      </c>
      <c r="H876" s="2">
        <v>34.187780323817861</v>
      </c>
    </row>
    <row r="877" spans="1:8" x14ac:dyDescent="0.2">
      <c r="A877" s="16">
        <f>DATE(2020,10,1)</f>
        <v>44105</v>
      </c>
      <c r="B877" s="2">
        <v>24.84624149935113</v>
      </c>
      <c r="C877" s="2">
        <v>22.938233231918105</v>
      </c>
      <c r="D877" s="2">
        <v>27.259946868880448</v>
      </c>
      <c r="E877" s="2">
        <v>27.759827509253785</v>
      </c>
      <c r="F877" s="2">
        <v>31.161320017240257</v>
      </c>
      <c r="G877" s="2">
        <v>31.29174728269766</v>
      </c>
      <c r="H877" s="2">
        <v>34.272935798107881</v>
      </c>
    </row>
    <row r="878" spans="1:8" x14ac:dyDescent="0.2">
      <c r="A878" s="16">
        <f>DATE(2020,10,2)</f>
        <v>44106</v>
      </c>
      <c r="B878" s="2">
        <v>24.140811053911303</v>
      </c>
      <c r="C878" s="2">
        <v>22.947415770121783</v>
      </c>
      <c r="D878" s="2">
        <v>27.274477595293181</v>
      </c>
      <c r="E878" s="2">
        <v>27.833639378086939</v>
      </c>
      <c r="F878" s="2">
        <v>31.241038112905439</v>
      </c>
      <c r="G878" s="2">
        <v>31.37169387485639</v>
      </c>
      <c r="H878" s="2">
        <v>34.358145312004076</v>
      </c>
    </row>
    <row r="879" spans="1:8" x14ac:dyDescent="0.2">
      <c r="A879" s="16">
        <f>DATE(2020,10,5)</f>
        <v>44109</v>
      </c>
      <c r="B879" s="2">
        <v>25.253419710590276</v>
      </c>
      <c r="C879" s="2">
        <v>22.956598994190269</v>
      </c>
      <c r="D879" s="2">
        <v>27.289009980845446</v>
      </c>
      <c r="E879" s="2">
        <v>27.907493890934919</v>
      </c>
      <c r="F879" s="2">
        <v>31.320804660162715</v>
      </c>
      <c r="G879" s="2">
        <v>31.451689148350614</v>
      </c>
      <c r="H879" s="2">
        <v>34.443408899799927</v>
      </c>
    </row>
    <row r="880" spans="1:8" x14ac:dyDescent="0.2">
      <c r="A880" s="16">
        <f>DATE(2020,10,6)</f>
        <v>44110</v>
      </c>
      <c r="B880" s="2">
        <v>24.538649710632686</v>
      </c>
      <c r="C880" s="2">
        <v>22.965782904174791</v>
      </c>
      <c r="D880" s="2">
        <v>27.303544025726701</v>
      </c>
      <c r="E880" s="2">
        <v>27.981391072434871</v>
      </c>
      <c r="F880" s="2">
        <v>31.40061968846031</v>
      </c>
      <c r="G880" s="2">
        <v>31.531733132823536</v>
      </c>
      <c r="H880" s="2">
        <v>34.528726595810717</v>
      </c>
    </row>
    <row r="881" spans="1:8" x14ac:dyDescent="0.2">
      <c r="A881" s="16">
        <f>DATE(2020,10,7)</f>
        <v>44111</v>
      </c>
      <c r="B881" s="2">
        <v>24.460328267290855</v>
      </c>
      <c r="C881" s="2">
        <v>22.974967500126596</v>
      </c>
      <c r="D881" s="2">
        <v>27.31807973012641</v>
      </c>
      <c r="E881" s="2">
        <v>28.055330947238154</v>
      </c>
      <c r="F881" s="2">
        <v>31.480483227264354</v>
      </c>
      <c r="G881" s="2">
        <v>31.611825857936402</v>
      </c>
      <c r="H881" s="2">
        <v>34.614098434373489</v>
      </c>
    </row>
    <row r="882" spans="1:8" x14ac:dyDescent="0.2">
      <c r="A882" s="16">
        <f>DATE(2020,10,8)</f>
        <v>44112</v>
      </c>
      <c r="B882" s="2">
        <v>25.35276275709748</v>
      </c>
      <c r="C882" s="2">
        <v>22.984152782096913</v>
      </c>
      <c r="D882" s="2">
        <v>27.332617094234045</v>
      </c>
      <c r="E882" s="2">
        <v>28.129313540010362</v>
      </c>
      <c r="F882" s="2">
        <v>31.560395306058897</v>
      </c>
      <c r="G882" s="2">
        <v>31.691967353368518</v>
      </c>
      <c r="H882" s="2">
        <v>34.699524449847033</v>
      </c>
    </row>
    <row r="883" spans="1:8" x14ac:dyDescent="0.2">
      <c r="A883" s="16">
        <f>DATE(2020,10,9)</f>
        <v>44113</v>
      </c>
      <c r="B883" s="2">
        <v>26.225853924165119</v>
      </c>
      <c r="C883" s="2">
        <v>22.99333875013696</v>
      </c>
      <c r="D883" s="2">
        <v>27.347156118239145</v>
      </c>
      <c r="E883" s="2">
        <v>28.203338875431317</v>
      </c>
      <c r="F883" s="2">
        <v>31.640355954345889</v>
      </c>
      <c r="G883" s="2">
        <v>31.77215764881727</v>
      </c>
      <c r="H883" s="2">
        <v>34.785004676612012</v>
      </c>
    </row>
    <row r="884" spans="1:8" x14ac:dyDescent="0.2">
      <c r="A884" s="16">
        <f>DATE(2020,10,13)</f>
        <v>44117</v>
      </c>
      <c r="B884" s="2">
        <v>26.151122277022274</v>
      </c>
      <c r="C884" s="2">
        <v>23.002525404298012</v>
      </c>
      <c r="D884" s="2">
        <v>27.361696802331203</v>
      </c>
      <c r="E884" s="2">
        <v>28.277406978195138</v>
      </c>
      <c r="F884" s="2">
        <v>31.72036520164523</v>
      </c>
      <c r="G884" s="2">
        <v>31.852396773998095</v>
      </c>
      <c r="H884" s="2">
        <v>34.870539149070858</v>
      </c>
    </row>
    <row r="885" spans="1:8" x14ac:dyDescent="0.2">
      <c r="A885" s="16">
        <f>DATE(2020,10,14)</f>
        <v>44118</v>
      </c>
      <c r="B885" s="2">
        <v>26.220737957548199</v>
      </c>
      <c r="C885" s="2">
        <v>23.011712744631296</v>
      </c>
      <c r="D885" s="2">
        <v>27.376239146699799</v>
      </c>
      <c r="E885" s="2">
        <v>28.351517873010224</v>
      </c>
      <c r="F885" s="2">
        <v>31.800423077494731</v>
      </c>
      <c r="G885" s="2">
        <v>31.932684758644569</v>
      </c>
      <c r="H885" s="2">
        <v>34.956127901647839</v>
      </c>
    </row>
    <row r="886" spans="1:8" x14ac:dyDescent="0.2">
      <c r="A886" s="16">
        <f>DATE(2020,10,15)</f>
        <v>44119</v>
      </c>
      <c r="B886" s="2">
        <v>25.847465067188647</v>
      </c>
      <c r="C886" s="2">
        <v>23.020900771188082</v>
      </c>
      <c r="D886" s="2">
        <v>27.390783151534489</v>
      </c>
      <c r="E886" s="2">
        <v>28.42567158459919</v>
      </c>
      <c r="F886" s="2">
        <v>31.880529611450179</v>
      </c>
      <c r="G886" s="2">
        <v>32.013021632508362</v>
      </c>
      <c r="H886" s="2">
        <v>35.041770968789109</v>
      </c>
    </row>
    <row r="887" spans="1:8" x14ac:dyDescent="0.2">
      <c r="A887" s="16">
        <f>DATE(2020,10,16)</f>
        <v>44120</v>
      </c>
      <c r="B887" s="2">
        <v>25.705277701639641</v>
      </c>
      <c r="C887" s="2">
        <v>23.030089484019609</v>
      </c>
      <c r="D887" s="2">
        <v>27.405328817024866</v>
      </c>
      <c r="E887" s="2">
        <v>28.499868137698979</v>
      </c>
      <c r="F887" s="2">
        <v>31.96068483308532</v>
      </c>
      <c r="G887" s="2">
        <v>32.093407425359246</v>
      </c>
      <c r="H887" s="2">
        <v>35.127468384962633</v>
      </c>
    </row>
    <row r="888" spans="1:8" x14ac:dyDescent="0.2">
      <c r="A888" s="16">
        <f>DATE(2020,10,19)</f>
        <v>44123</v>
      </c>
      <c r="B888" s="2">
        <v>25.628137646029938</v>
      </c>
      <c r="C888" s="2">
        <v>23.03927888317714</v>
      </c>
      <c r="D888" s="2">
        <v>27.419876143360543</v>
      </c>
      <c r="E888" s="2">
        <v>28.574107557060824</v>
      </c>
      <c r="F888" s="2">
        <v>32.040888771991867</v>
      </c>
      <c r="G888" s="2">
        <v>32.173842166985111</v>
      </c>
      <c r="H888" s="2">
        <v>35.21322018465829</v>
      </c>
    </row>
    <row r="889" spans="1:8" x14ac:dyDescent="0.2">
      <c r="A889" s="16">
        <f>DATE(2020,10,20)</f>
        <v>44124</v>
      </c>
      <c r="B889" s="2">
        <v>26.421918654700914</v>
      </c>
      <c r="C889" s="2">
        <v>23.048468968711934</v>
      </c>
      <c r="D889" s="2">
        <v>27.434425130731178</v>
      </c>
      <c r="E889" s="2">
        <v>28.648389867450241</v>
      </c>
      <c r="F889" s="2">
        <v>32.121141457779537</v>
      </c>
      <c r="G889" s="2">
        <v>32.254325887192017</v>
      </c>
      <c r="H889" s="2">
        <v>35.299026402387803</v>
      </c>
    </row>
    <row r="890" spans="1:8" x14ac:dyDescent="0.2">
      <c r="A890" s="16">
        <f>DATE(2020,10,21)</f>
        <v>44125</v>
      </c>
      <c r="B890" s="2">
        <v>26.731452381193677</v>
      </c>
      <c r="C890" s="2">
        <v>23.057659740675263</v>
      </c>
      <c r="D890" s="2">
        <v>27.44897577932641</v>
      </c>
      <c r="E890" s="2">
        <v>28.722715093647054</v>
      </c>
      <c r="F890" s="2">
        <v>32.201442920076033</v>
      </c>
      <c r="G890" s="2">
        <v>32.334858615804166</v>
      </c>
      <c r="H890" s="2">
        <v>35.384887072684833</v>
      </c>
    </row>
    <row r="891" spans="1:8" x14ac:dyDescent="0.2">
      <c r="A891" s="16">
        <f>DATE(2020,10,22)</f>
        <v>44126</v>
      </c>
      <c r="B891" s="2">
        <v>26.983524016834281</v>
      </c>
      <c r="C891" s="2">
        <v>23.0668511991184</v>
      </c>
      <c r="D891" s="2">
        <v>27.463528089335941</v>
      </c>
      <c r="E891" s="2">
        <v>28.797083260445433</v>
      </c>
      <c r="F891" s="2">
        <v>32.281793188527061</v>
      </c>
      <c r="G891" s="2">
        <v>32.41544038266391</v>
      </c>
      <c r="H891" s="2">
        <v>35.470802230104951</v>
      </c>
    </row>
    <row r="892" spans="1:8" x14ac:dyDescent="0.2">
      <c r="A892" s="16">
        <f>DATE(2020,10,23)</f>
        <v>44127</v>
      </c>
      <c r="B892" s="2">
        <v>27.035403670376954</v>
      </c>
      <c r="C892" s="2">
        <v>23.076043344092636</v>
      </c>
      <c r="D892" s="2">
        <v>27.478082060949461</v>
      </c>
      <c r="E892" s="2">
        <v>28.87149439265384</v>
      </c>
      <c r="F892" s="2">
        <v>32.362192292796379</v>
      </c>
      <c r="G892" s="2">
        <v>32.49607121763178</v>
      </c>
      <c r="H892" s="2">
        <v>35.55677190922566</v>
      </c>
    </row>
    <row r="893" spans="1:8" x14ac:dyDescent="0.2">
      <c r="A893" s="16">
        <f>DATE(2020,10,26)</f>
        <v>44130</v>
      </c>
      <c r="B893" s="2">
        <v>26.9420334768675</v>
      </c>
      <c r="C893" s="2">
        <v>23.085236175649214</v>
      </c>
      <c r="D893" s="2">
        <v>27.492637694356702</v>
      </c>
      <c r="E893" s="2">
        <v>28.945948515095044</v>
      </c>
      <c r="F893" s="2">
        <v>32.442640262565689</v>
      </c>
      <c r="G893" s="2">
        <v>32.576751150586468</v>
      </c>
      <c r="H893" s="2">
        <v>35.64279614464634</v>
      </c>
    </row>
    <row r="894" spans="1:8" x14ac:dyDescent="0.2">
      <c r="A894" s="16">
        <f>DATE(2020,10,27)</f>
        <v>44131</v>
      </c>
      <c r="B894" s="2">
        <v>26.304864932878559</v>
      </c>
      <c r="C894" s="2">
        <v>23.094429693839437</v>
      </c>
      <c r="D894" s="2">
        <v>27.507194989747386</v>
      </c>
      <c r="E894" s="2">
        <v>29.02044565260622</v>
      </c>
      <c r="F894" s="2">
        <v>32.52313712753481</v>
      </c>
      <c r="G894" s="2">
        <v>32.657480211424868</v>
      </c>
      <c r="H894" s="2">
        <v>35.728874970988421</v>
      </c>
    </row>
    <row r="895" spans="1:8" x14ac:dyDescent="0.2">
      <c r="A895" s="16">
        <f>DATE(2020,10,28)</f>
        <v>44132</v>
      </c>
      <c r="B895" s="2">
        <v>24.345069443568001</v>
      </c>
      <c r="C895" s="2">
        <v>23.103623898714588</v>
      </c>
      <c r="D895" s="2">
        <v>27.521753947311311</v>
      </c>
      <c r="E895" s="2">
        <v>29.094985830038866</v>
      </c>
      <c r="F895" s="2">
        <v>32.603682917421594</v>
      </c>
      <c r="G895" s="2">
        <v>32.738258430062132</v>
      </c>
      <c r="H895" s="2">
        <v>35.815008422895268</v>
      </c>
    </row>
    <row r="896" spans="1:8" x14ac:dyDescent="0.2">
      <c r="A896" s="16">
        <f>DATE(2020,10,29)</f>
        <v>44133</v>
      </c>
      <c r="B896" s="2">
        <v>24.894668255702435</v>
      </c>
      <c r="C896" s="2">
        <v>23.112818790325964</v>
      </c>
      <c r="D896" s="2">
        <v>27.536314567238239</v>
      </c>
      <c r="E896" s="2">
        <v>29.169569072258831</v>
      </c>
      <c r="F896" s="2">
        <v>32.684277661961957</v>
      </c>
      <c r="G896" s="2">
        <v>32.81908583643154</v>
      </c>
      <c r="H896" s="2">
        <v>35.901196535032213</v>
      </c>
    </row>
    <row r="897" spans="1:8" x14ac:dyDescent="0.2">
      <c r="A897" s="16">
        <f>DATE(2020,10,30)</f>
        <v>44134</v>
      </c>
      <c r="B897" s="2">
        <v>23.451367370357801</v>
      </c>
      <c r="C897" s="2">
        <v>23.122014368724852</v>
      </c>
      <c r="D897" s="2">
        <v>27.550876849718001</v>
      </c>
      <c r="E897" s="2">
        <v>29.244195404146335</v>
      </c>
      <c r="F897" s="2">
        <v>32.764921390909876</v>
      </c>
      <c r="G897" s="2">
        <v>32.89996246048468</v>
      </c>
      <c r="H897" s="2">
        <v>35.987439342086589</v>
      </c>
    </row>
    <row r="898" spans="1:8" x14ac:dyDescent="0.2">
      <c r="A898" s="16">
        <f>DATE(2020,11,3)</f>
        <v>44138</v>
      </c>
      <c r="B898" s="2">
        <v>23.818885432064985</v>
      </c>
      <c r="C898" s="2">
        <v>23.131210633962549</v>
      </c>
      <c r="D898" s="2">
        <v>27.565440794940429</v>
      </c>
      <c r="E898" s="2">
        <v>29.325437422779157</v>
      </c>
      <c r="F898" s="2">
        <v>32.852365951640557</v>
      </c>
      <c r="G898" s="2">
        <v>32.987647025043756</v>
      </c>
      <c r="H898" s="2">
        <v>36.080652764233577</v>
      </c>
    </row>
    <row r="899" spans="1:8" x14ac:dyDescent="0.2">
      <c r="A899" s="16">
        <f>DATE(2020,11,4)</f>
        <v>44139</v>
      </c>
      <c r="B899" s="2">
        <v>25.262916445450092</v>
      </c>
      <c r="C899" s="2">
        <v>23.140407586090372</v>
      </c>
      <c r="D899" s="2">
        <v>27.580006403095371</v>
      </c>
      <c r="E899" s="2">
        <v>29.406730509590083</v>
      </c>
      <c r="F899" s="2">
        <v>32.93986810703646</v>
      </c>
      <c r="G899" s="2">
        <v>33.075389442010916</v>
      </c>
      <c r="H899" s="2">
        <v>36.173930080090976</v>
      </c>
    </row>
    <row r="900" spans="1:8" x14ac:dyDescent="0.2">
      <c r="A900" s="16">
        <f>DATE(2020,11,5)</f>
        <v>44140</v>
      </c>
      <c r="B900" s="2">
        <v>27.006938817465631</v>
      </c>
      <c r="C900" s="2">
        <v>23.149605225159608</v>
      </c>
      <c r="D900" s="2">
        <v>27.5945736743727</v>
      </c>
      <c r="E900" s="2">
        <v>29.488074696680243</v>
      </c>
      <c r="F900" s="2">
        <v>33.027427895031863</v>
      </c>
      <c r="G900" s="2">
        <v>33.163189749555947</v>
      </c>
      <c r="H900" s="2">
        <v>36.267271333455128</v>
      </c>
    </row>
    <row r="901" spans="1:8" x14ac:dyDescent="0.2">
      <c r="A901" s="16">
        <f>DATE(2020,11,6)</f>
        <v>44141</v>
      </c>
      <c r="B901" s="2">
        <v>27.411166094541173</v>
      </c>
      <c r="C901" s="2">
        <v>23.158803551221574</v>
      </c>
      <c r="D901" s="2">
        <v>27.609142608962319</v>
      </c>
      <c r="E901" s="2">
        <v>29.569470016170921</v>
      </c>
      <c r="F901" s="2">
        <v>33.115045353586005</v>
      </c>
      <c r="G901" s="2">
        <v>33.251047985873797</v>
      </c>
      <c r="H901" s="2">
        <v>36.360676568152357</v>
      </c>
    </row>
    <row r="902" spans="1:8" x14ac:dyDescent="0.2">
      <c r="A902" s="16">
        <f>DATE(2020,11,9)</f>
        <v>44144</v>
      </c>
      <c r="B902" s="2">
        <v>28.47084046828563</v>
      </c>
      <c r="C902" s="2">
        <v>23.168002564327583</v>
      </c>
      <c r="D902" s="2">
        <v>27.623713207054145</v>
      </c>
      <c r="E902" s="2">
        <v>29.650916500203572</v>
      </c>
      <c r="F902" s="2">
        <v>33.202720520683158</v>
      </c>
      <c r="G902" s="2">
        <v>33.338964189184651</v>
      </c>
      <c r="H902" s="2">
        <v>36.454145828039103</v>
      </c>
    </row>
    <row r="903" spans="1:8" x14ac:dyDescent="0.2">
      <c r="A903" s="16">
        <f>DATE(2020,11,10)</f>
        <v>44145</v>
      </c>
      <c r="B903" s="2">
        <v>28.829815017852511</v>
      </c>
      <c r="C903" s="2">
        <v>23.177202264528951</v>
      </c>
      <c r="D903" s="2">
        <v>27.638285468838131</v>
      </c>
      <c r="E903" s="2">
        <v>29.732414180939926</v>
      </c>
      <c r="F903" s="2">
        <v>33.290453434332633</v>
      </c>
      <c r="G903" s="2">
        <v>33.426938397733942</v>
      </c>
      <c r="H903" s="2">
        <v>36.547679157001809</v>
      </c>
    </row>
    <row r="904" spans="1:8" x14ac:dyDescent="0.2">
      <c r="A904" s="16">
        <f>DATE(2020,11,11)</f>
        <v>44146</v>
      </c>
      <c r="B904" s="2">
        <v>28.73780874408536</v>
      </c>
      <c r="C904" s="2">
        <v>23.186402651876993</v>
      </c>
      <c r="D904" s="2">
        <v>27.652859394504215</v>
      </c>
      <c r="E904" s="2">
        <v>29.813963090561789</v>
      </c>
      <c r="F904" s="2">
        <v>33.378244132568625</v>
      </c>
      <c r="G904" s="2">
        <v>33.514970649792183</v>
      </c>
      <c r="H904" s="2">
        <v>36.641276598956949</v>
      </c>
    </row>
    <row r="905" spans="1:8" x14ac:dyDescent="0.2">
      <c r="A905" s="16">
        <f>DATE(2020,11,12)</f>
        <v>44147</v>
      </c>
      <c r="B905" s="2">
        <v>28.042306011862571</v>
      </c>
      <c r="C905" s="2">
        <v>23.195603726423041</v>
      </c>
      <c r="D905" s="2">
        <v>27.667434984242401</v>
      </c>
      <c r="E905" s="2">
        <v>29.895563261271384</v>
      </c>
      <c r="F905" s="2">
        <v>33.466092653450595</v>
      </c>
      <c r="G905" s="2">
        <v>33.603060983655354</v>
      </c>
      <c r="H905" s="2">
        <v>36.73493819785125</v>
      </c>
    </row>
    <row r="906" spans="1:8" x14ac:dyDescent="0.2">
      <c r="A906" s="16">
        <f>DATE(2020,11,13)</f>
        <v>44148</v>
      </c>
      <c r="B906" s="2">
        <v>28.606329923129991</v>
      </c>
      <c r="C906" s="2">
        <v>23.204805488218415</v>
      </c>
      <c r="D906" s="2">
        <v>27.682012238242692</v>
      </c>
      <c r="E906" s="2">
        <v>29.977214725291091</v>
      </c>
      <c r="F906" s="2">
        <v>33.553999035062979</v>
      </c>
      <c r="G906" s="2">
        <v>33.691209437644567</v>
      </c>
      <c r="H906" s="2">
        <v>36.828663997661486</v>
      </c>
    </row>
    <row r="907" spans="1:8" x14ac:dyDescent="0.2">
      <c r="A907" s="16">
        <f>DATE(2020,11,16)</f>
        <v>44151</v>
      </c>
      <c r="B907" s="2">
        <v>29.264023177590069</v>
      </c>
      <c r="C907" s="2">
        <v>23.214007937314452</v>
      </c>
      <c r="D907" s="2">
        <v>27.696591156695117</v>
      </c>
      <c r="E907" s="2">
        <v>30.058917514863449</v>
      </c>
      <c r="F907" s="2">
        <v>33.641963315515191</v>
      </c>
      <c r="G907" s="2">
        <v>33.779416050106192</v>
      </c>
      <c r="H907" s="2">
        <v>36.922454042394513</v>
      </c>
    </row>
    <row r="908" spans="1:8" x14ac:dyDescent="0.2">
      <c r="A908" s="16">
        <f>DATE(2020,11,17)</f>
        <v>44152</v>
      </c>
      <c r="B908" s="2">
        <v>29.05149000347469</v>
      </c>
      <c r="C908" s="2">
        <v>23.223211073762485</v>
      </c>
      <c r="D908" s="2">
        <v>27.711171739789719</v>
      </c>
      <c r="E908" s="2">
        <v>30.140671662251385</v>
      </c>
      <c r="F908" s="2">
        <v>33.72998553294191</v>
      </c>
      <c r="G908" s="2">
        <v>33.867680859411983</v>
      </c>
      <c r="H908" s="2">
        <v>37.016308376087423</v>
      </c>
    </row>
    <row r="909" spans="1:8" x14ac:dyDescent="0.2">
      <c r="A909" s="16">
        <f>DATE(2020,11,18)</f>
        <v>44153</v>
      </c>
      <c r="B909" s="2">
        <v>28.767505688064965</v>
      </c>
      <c r="C909" s="2">
        <v>23.23241489761385</v>
      </c>
      <c r="D909" s="2">
        <v>27.725753987716569</v>
      </c>
      <c r="E909" s="2">
        <v>30.222477199738073</v>
      </c>
      <c r="F909" s="2">
        <v>33.818065725502827</v>
      </c>
      <c r="G909" s="2">
        <v>33.956003903958987</v>
      </c>
      <c r="H909" s="2">
        <v>37.110227042807487</v>
      </c>
    </row>
    <row r="910" spans="1:8" x14ac:dyDescent="0.2">
      <c r="A910" s="16">
        <f>DATE(2020,11,19)</f>
        <v>44154</v>
      </c>
      <c r="B910" s="2">
        <v>29.144119928276435</v>
      </c>
      <c r="C910" s="2">
        <v>23.24161940891991</v>
      </c>
      <c r="D910" s="2">
        <v>27.740337900665772</v>
      </c>
      <c r="E910" s="2">
        <v>30.30433415962699</v>
      </c>
      <c r="F910" s="2">
        <v>33.906203931382841</v>
      </c>
      <c r="G910" s="2">
        <v>34.044385222169552</v>
      </c>
      <c r="H910" s="2">
        <v>37.204210086652154</v>
      </c>
    </row>
    <row r="911" spans="1:8" x14ac:dyDescent="0.2">
      <c r="A911" s="16">
        <f>DATE(2020,11,20)</f>
        <v>44155</v>
      </c>
      <c r="B911" s="2">
        <v>28.780739258798604</v>
      </c>
      <c r="C911" s="2">
        <v>23.250824607732</v>
      </c>
      <c r="D911" s="2">
        <v>27.754923478827418</v>
      </c>
      <c r="E911" s="2">
        <v>30.386242574241894</v>
      </c>
      <c r="F911" s="2">
        <v>33.994400188791943</v>
      </c>
      <c r="G911" s="2">
        <v>34.132824852491403</v>
      </c>
      <c r="H911" s="2">
        <v>37.298257551749138</v>
      </c>
    </row>
    <row r="912" spans="1:8" x14ac:dyDescent="0.2">
      <c r="A912" s="16">
        <f>DATE(2020,11,23)</f>
        <v>44158</v>
      </c>
      <c r="B912" s="2">
        <v>28.673988454880739</v>
      </c>
      <c r="C912" s="2">
        <v>23.260030494101457</v>
      </c>
      <c r="D912" s="2">
        <v>27.769510722391665</v>
      </c>
      <c r="E912" s="2">
        <v>30.468202475926901</v>
      </c>
      <c r="F912" s="2">
        <v>34.082654535965332</v>
      </c>
      <c r="G912" s="2">
        <v>34.22132283339765</v>
      </c>
      <c r="H912" s="2">
        <v>37.39236948225637</v>
      </c>
    </row>
    <row r="913" spans="1:8" x14ac:dyDescent="0.2">
      <c r="A913" s="16">
        <f>DATE(2020,11,24)</f>
        <v>44159</v>
      </c>
      <c r="B913" s="2">
        <v>29.557468735524317</v>
      </c>
      <c r="C913" s="2">
        <v>23.269237068079661</v>
      </c>
      <c r="D913" s="2">
        <v>27.784099631548663</v>
      </c>
      <c r="E913" s="2">
        <v>30.550213897046397</v>
      </c>
      <c r="F913" s="2">
        <v>34.170967011163356</v>
      </c>
      <c r="G913" s="2">
        <v>34.309879203386771</v>
      </c>
      <c r="H913" s="2">
        <v>37.486545922362048</v>
      </c>
    </row>
    <row r="914" spans="1:8" x14ac:dyDescent="0.2">
      <c r="A914" s="16">
        <f>DATE(2020,11,25)</f>
        <v>44160</v>
      </c>
      <c r="B914" s="2">
        <v>29.878836620673098</v>
      </c>
      <c r="C914" s="2">
        <v>23.278444329717974</v>
      </c>
      <c r="D914" s="2">
        <v>27.798690206488597</v>
      </c>
      <c r="E914" s="2">
        <v>30.632276869985152</v>
      </c>
      <c r="F914" s="2">
        <v>34.259337652671576</v>
      </c>
      <c r="G914" s="2">
        <v>34.39849400098263</v>
      </c>
      <c r="H914" s="2">
        <v>37.58078691628468</v>
      </c>
    </row>
    <row r="915" spans="1:8" x14ac:dyDescent="0.2">
      <c r="A915" s="16">
        <f>DATE(2020,11,26)</f>
        <v>44161</v>
      </c>
      <c r="B915" s="2">
        <v>30.147412192228582</v>
      </c>
      <c r="C915" s="2">
        <v>23.287652279067729</v>
      </c>
      <c r="D915" s="2">
        <v>27.813282447401665</v>
      </c>
      <c r="E915" s="2">
        <v>30.714391427148289</v>
      </c>
      <c r="F915" s="2">
        <v>34.347766498800759</v>
      </c>
      <c r="G915" s="2">
        <v>34.487167264734488</v>
      </c>
      <c r="H915" s="2">
        <v>37.675092508273103</v>
      </c>
    </row>
    <row r="916" spans="1:8" x14ac:dyDescent="0.2">
      <c r="A916" s="16">
        <f>DATE(2020,11,27)</f>
        <v>44162</v>
      </c>
      <c r="B916" s="2">
        <v>30.233126181980264</v>
      </c>
      <c r="C916" s="2">
        <v>23.296860916180307</v>
      </c>
      <c r="D916" s="2">
        <v>27.8278763544781</v>
      </c>
      <c r="E916" s="2">
        <v>30.796557600961314</v>
      </c>
      <c r="F916" s="2">
        <v>34.436253587886931</v>
      </c>
      <c r="G916" s="2">
        <v>34.575899033217098</v>
      </c>
      <c r="H916" s="2">
        <v>37.769462742606422</v>
      </c>
    </row>
    <row r="917" spans="1:8" x14ac:dyDescent="0.2">
      <c r="A917" s="16">
        <f>DATE(2020,11,30)</f>
        <v>44165</v>
      </c>
      <c r="B917" s="2">
        <v>29.633898944427983</v>
      </c>
      <c r="C917" s="2">
        <v>23.30607024110709</v>
      </c>
      <c r="D917" s="2">
        <v>27.842471927908139</v>
      </c>
      <c r="E917" s="2">
        <v>30.878775423870099</v>
      </c>
      <c r="F917" s="2">
        <v>34.524798958291349</v>
      </c>
      <c r="G917" s="2">
        <v>34.664689345030638</v>
      </c>
      <c r="H917" s="2">
        <v>37.863897663594123</v>
      </c>
    </row>
    <row r="918" spans="1:8" x14ac:dyDescent="0.2">
      <c r="A918" s="16">
        <f>DATE(2020,12,1)</f>
        <v>44166</v>
      </c>
      <c r="B918" s="2">
        <v>31.148787870074536</v>
      </c>
      <c r="C918" s="2">
        <v>23.315280253899441</v>
      </c>
      <c r="D918" s="2">
        <v>27.857069167882042</v>
      </c>
      <c r="E918" s="2">
        <v>30.985416495520337</v>
      </c>
      <c r="F918" s="2">
        <v>34.638453911451286</v>
      </c>
      <c r="G918" s="2">
        <v>34.778615580781725</v>
      </c>
      <c r="H918" s="2">
        <v>37.984071074898829</v>
      </c>
    </row>
    <row r="919" spans="1:8" x14ac:dyDescent="0.2">
      <c r="A919" s="16">
        <f>DATE(2020,12,2)</f>
        <v>44167</v>
      </c>
      <c r="B919" s="2">
        <v>31.515717773082439</v>
      </c>
      <c r="C919" s="2">
        <v>23.324490954608734</v>
      </c>
      <c r="D919" s="2">
        <v>27.871668074590119</v>
      </c>
      <c r="E919" s="2">
        <v>31.092144459167571</v>
      </c>
      <c r="F919" s="2">
        <v>34.75220488741504</v>
      </c>
      <c r="G919" s="2">
        <v>34.892638198050882</v>
      </c>
      <c r="H919" s="2">
        <v>38.104349239144852</v>
      </c>
    </row>
    <row r="920" spans="1:8" x14ac:dyDescent="0.2">
      <c r="A920" s="16">
        <f>DATE(2020,12,3)</f>
        <v>44168</v>
      </c>
      <c r="B920" s="2">
        <v>32.555856151410566</v>
      </c>
      <c r="C920" s="2">
        <v>23.333702343286355</v>
      </c>
      <c r="D920" s="2">
        <v>27.886268648222657</v>
      </c>
      <c r="E920" s="2">
        <v>31.198959385612099</v>
      </c>
      <c r="F920" s="2">
        <v>34.86605196730865</v>
      </c>
      <c r="G920" s="2">
        <v>35.006757278376831</v>
      </c>
      <c r="H920" s="2">
        <v>38.224732247643423</v>
      </c>
    </row>
    <row r="921" spans="1:8" x14ac:dyDescent="0.2">
      <c r="A921" s="16">
        <f>DATE(2020,12,4)</f>
        <v>44169</v>
      </c>
      <c r="B921" s="2">
        <v>32.468114028213144</v>
      </c>
      <c r="C921" s="2">
        <v>23.342914419983707</v>
      </c>
      <c r="D921" s="2">
        <v>27.900870888970001</v>
      </c>
      <c r="E921" s="2">
        <v>31.305861345711939</v>
      </c>
      <c r="F921" s="2">
        <v>34.979995232326758</v>
      </c>
      <c r="G921" s="2">
        <v>35.120972903367267</v>
      </c>
      <c r="H921" s="2">
        <v>38.345220191785323</v>
      </c>
    </row>
    <row r="922" spans="1:8" x14ac:dyDescent="0.2">
      <c r="A922" s="16">
        <f>DATE(2020,12,7)</f>
        <v>44172</v>
      </c>
      <c r="B922" s="2">
        <v>32.412979220490001</v>
      </c>
      <c r="C922" s="2">
        <v>23.35212718475217</v>
      </c>
      <c r="D922" s="2">
        <v>27.915474797022476</v>
      </c>
      <c r="E922" s="2">
        <v>31.412850410382774</v>
      </c>
      <c r="F922" s="2">
        <v>35.094034763732523</v>
      </c>
      <c r="G922" s="2">
        <v>35.235285154698893</v>
      </c>
      <c r="H922" s="2">
        <v>38.465813163041027</v>
      </c>
    </row>
    <row r="923" spans="1:8" x14ac:dyDescent="0.2">
      <c r="A923" s="16">
        <f>DATE(2020,12,8)</f>
        <v>44173</v>
      </c>
      <c r="B923" s="2">
        <v>32.539737560850334</v>
      </c>
      <c r="C923" s="2">
        <v>23.361340637643124</v>
      </c>
      <c r="D923" s="2">
        <v>27.930080372570501</v>
      </c>
      <c r="E923" s="2">
        <v>31.519926650598109</v>
      </c>
      <c r="F923" s="2">
        <v>35.208170642857816</v>
      </c>
      <c r="G923" s="2">
        <v>35.349694114117526</v>
      </c>
      <c r="H923" s="2">
        <v>38.586511252960733</v>
      </c>
    </row>
    <row r="924" spans="1:8" x14ac:dyDescent="0.2">
      <c r="A924" s="16">
        <f>DATE(2020,12,9)</f>
        <v>44174</v>
      </c>
      <c r="B924" s="2">
        <v>31.81081118944131</v>
      </c>
      <c r="C924" s="2">
        <v>23.370554778707977</v>
      </c>
      <c r="D924" s="2">
        <v>27.94468761580444</v>
      </c>
      <c r="E924" s="2">
        <v>31.627090137389271</v>
      </c>
      <c r="F924" s="2">
        <v>35.322402951103228</v>
      </c>
      <c r="G924" s="2">
        <v>35.464199863438139</v>
      </c>
      <c r="H924" s="2">
        <v>38.70731455317442</v>
      </c>
    </row>
    <row r="925" spans="1:8" x14ac:dyDescent="0.2">
      <c r="A925" s="16">
        <f>DATE(2020,12,10)</f>
        <v>44175</v>
      </c>
      <c r="B925" s="2">
        <v>32.694210344747063</v>
      </c>
      <c r="C925" s="2">
        <v>23.379769607998124</v>
      </c>
      <c r="D925" s="2">
        <v>27.959296526914734</v>
      </c>
      <c r="E925" s="2">
        <v>31.73434094184546</v>
      </c>
      <c r="F925" s="2">
        <v>35.436731769938092</v>
      </c>
      <c r="G925" s="2">
        <v>35.578802484544923</v>
      </c>
      <c r="H925" s="2">
        <v>38.82822315539196</v>
      </c>
    </row>
    <row r="926" spans="1:8" x14ac:dyDescent="0.2">
      <c r="A926" s="16">
        <f>DATE(2020,12,11)</f>
        <v>44176</v>
      </c>
      <c r="B926" s="2">
        <v>32.726264993857399</v>
      </c>
      <c r="C926" s="2">
        <v>23.388985125564975</v>
      </c>
      <c r="D926" s="2">
        <v>27.973907106091801</v>
      </c>
      <c r="E926" s="2">
        <v>31.841679135113843</v>
      </c>
      <c r="F926" s="2">
        <v>35.55115718090056</v>
      </c>
      <c r="G926" s="2">
        <v>35.693502059391371</v>
      </c>
      <c r="H926" s="2">
        <v>38.949237151403167</v>
      </c>
    </row>
    <row r="927" spans="1:8" x14ac:dyDescent="0.2">
      <c r="A927" s="16">
        <f>DATE(2020,12,14)</f>
        <v>44179</v>
      </c>
      <c r="B927" s="2">
        <v>32.495225102049382</v>
      </c>
      <c r="C927" s="2">
        <v>23.398201331459955</v>
      </c>
      <c r="D927" s="2">
        <v>27.988519353526129</v>
      </c>
      <c r="E927" s="2">
        <v>31.949104788399495</v>
      </c>
      <c r="F927" s="2">
        <v>35.665679265597738</v>
      </c>
      <c r="G927" s="2">
        <v>35.808298670000241</v>
      </c>
      <c r="H927" s="2">
        <v>39.070356633077871</v>
      </c>
    </row>
    <row r="928" spans="1:8" x14ac:dyDescent="0.2">
      <c r="A928" s="16">
        <f>DATE(2020,12,15)</f>
        <v>44180</v>
      </c>
      <c r="B928" s="2">
        <v>33.080042451469538</v>
      </c>
      <c r="C928" s="2">
        <v>23.407418225734443</v>
      </c>
      <c r="D928" s="2">
        <v>28.003133269408178</v>
      </c>
      <c r="E928" s="2">
        <v>32.056617972965533</v>
      </c>
      <c r="F928" s="2">
        <v>35.780298105705597</v>
      </c>
      <c r="G928" s="2">
        <v>35.923192398463755</v>
      </c>
      <c r="H928" s="2">
        <v>39.191581692365958</v>
      </c>
    </row>
    <row r="929" spans="1:8" x14ac:dyDescent="0.2">
      <c r="A929" s="16">
        <f>DATE(2020,12,16)</f>
        <v>44181</v>
      </c>
      <c r="B929" s="2">
        <v>33.199215572742744</v>
      </c>
      <c r="C929" s="2">
        <v>23.416635808439889</v>
      </c>
      <c r="D929" s="2">
        <v>28.01774885392847</v>
      </c>
      <c r="E929" s="2">
        <v>32.164218760133132</v>
      </c>
      <c r="F929" s="2">
        <v>35.895013782969173</v>
      </c>
      <c r="G929" s="2">
        <v>36.038183326943532</v>
      </c>
      <c r="H929" s="2">
        <v>39.312912421297511</v>
      </c>
    </row>
    <row r="930" spans="1:8" x14ac:dyDescent="0.2">
      <c r="A930" s="16">
        <f>DATE(2020,12,17)</f>
        <v>44182</v>
      </c>
      <c r="B930" s="2">
        <v>33.59237431153803</v>
      </c>
      <c r="C930" s="2">
        <v>23.425854079627694</v>
      </c>
      <c r="D930" s="2">
        <v>28.032366107277529</v>
      </c>
      <c r="E930" s="2">
        <v>32.271907221281637</v>
      </c>
      <c r="F930" s="2">
        <v>36.009826379202536</v>
      </c>
      <c r="G930" s="2">
        <v>36.153271537670719</v>
      </c>
      <c r="H930" s="2">
        <v>39.434348911982767</v>
      </c>
    </row>
    <row r="931" spans="1:8" x14ac:dyDescent="0.2">
      <c r="A931" s="16">
        <f>DATE(2020,12,18)</f>
        <v>44183</v>
      </c>
      <c r="B931" s="2">
        <v>33.437921808975759</v>
      </c>
      <c r="C931" s="2">
        <v>23.435073039349287</v>
      </c>
      <c r="D931" s="2">
        <v>28.04698502964591</v>
      </c>
      <c r="E931" s="2">
        <v>32.37968342784847</v>
      </c>
      <c r="F931" s="2">
        <v>36.124735976288889</v>
      </c>
      <c r="G931" s="2">
        <v>36.268457112946038</v>
      </c>
      <c r="H931" s="2">
        <v>39.55589125661232</v>
      </c>
    </row>
    <row r="932" spans="1:8" x14ac:dyDescent="0.2">
      <c r="A932" s="16">
        <f>DATE(2020,12,21)</f>
        <v>44186</v>
      </c>
      <c r="B932" s="2">
        <v>32.728201861298167</v>
      </c>
      <c r="C932" s="2">
        <v>23.444292687656088</v>
      </c>
      <c r="D932" s="2">
        <v>28.061605621224171</v>
      </c>
      <c r="E932" s="2">
        <v>32.487547451329313</v>
      </c>
      <c r="F932" s="2">
        <v>36.239742656180617</v>
      </c>
      <c r="G932" s="2">
        <v>36.383740135139853</v>
      </c>
      <c r="H932" s="2">
        <v>39.677539547457073</v>
      </c>
    </row>
    <row r="933" spans="1:8" x14ac:dyDescent="0.2">
      <c r="A933" s="16">
        <f>DATE(2020,12,22)</f>
        <v>44187</v>
      </c>
      <c r="B933" s="2">
        <v>32.026026570038809</v>
      </c>
      <c r="C933" s="2">
        <v>23.453513024599548</v>
      </c>
      <c r="D933" s="2">
        <v>28.076227882202922</v>
      </c>
      <c r="E933" s="2">
        <v>32.595499363278059</v>
      </c>
      <c r="F933" s="2">
        <v>36.354846500899285</v>
      </c>
      <c r="G933" s="2">
        <v>36.499120686692123</v>
      </c>
      <c r="H933" s="2">
        <v>39.799293876868383</v>
      </c>
    </row>
    <row r="934" spans="1:8" x14ac:dyDescent="0.2">
      <c r="A934" s="16">
        <f>DATE(2020,12,23)</f>
        <v>44188</v>
      </c>
      <c r="B934" s="2">
        <v>32.221016389848309</v>
      </c>
      <c r="C934" s="2">
        <v>23.462734050231049</v>
      </c>
      <c r="D934" s="2">
        <v>28.09085181277273</v>
      </c>
      <c r="E934" s="2">
        <v>32.703539235306955</v>
      </c>
      <c r="F934" s="2">
        <v>36.47004759253587</v>
      </c>
      <c r="G934" s="2">
        <v>36.614598850112671</v>
      </c>
      <c r="H934" s="2">
        <v>39.921154337278118</v>
      </c>
    </row>
    <row r="935" spans="1:8" x14ac:dyDescent="0.2">
      <c r="A935" s="16">
        <f>DATE(2020,12,24)</f>
        <v>44189</v>
      </c>
      <c r="B935" s="2">
        <v>32.247214803633973</v>
      </c>
      <c r="C935" s="2">
        <v>23.471955764602104</v>
      </c>
      <c r="D935" s="2">
        <v>28.105477413124301</v>
      </c>
      <c r="E935" s="2">
        <v>32.811667139086609</v>
      </c>
      <c r="F935" s="2">
        <v>36.58534601325065</v>
      </c>
      <c r="G935" s="2">
        <v>36.730174707981099</v>
      </c>
      <c r="H935" s="2">
        <v>40.043121021198736</v>
      </c>
    </row>
    <row r="936" spans="1:8" x14ac:dyDescent="0.2">
      <c r="A936" s="16">
        <f>DATE(2020,12,28)</f>
        <v>44193</v>
      </c>
      <c r="B936" s="2">
        <v>32.340448098135809</v>
      </c>
      <c r="C936" s="2">
        <v>23.48117816776416</v>
      </c>
      <c r="D936" s="2">
        <v>28.120104683448275</v>
      </c>
      <c r="E936" s="2">
        <v>32.919883146345974</v>
      </c>
      <c r="F936" s="2">
        <v>36.700741845273299</v>
      </c>
      <c r="G936" s="2">
        <v>36.845848342946795</v>
      </c>
      <c r="H936" s="2">
        <v>40.165194021223293</v>
      </c>
    </row>
    <row r="937" spans="1:8" x14ac:dyDescent="0.2">
      <c r="A937" s="16">
        <f>DATE(2020,12,29)</f>
        <v>44194</v>
      </c>
      <c r="B937" s="2">
        <v>32.806077115281894</v>
      </c>
      <c r="C937" s="2">
        <v>23.4904012597686</v>
      </c>
      <c r="D937" s="2">
        <v>28.134733623935279</v>
      </c>
      <c r="E937" s="2">
        <v>33.028187328872448</v>
      </c>
      <c r="F937" s="2">
        <v>36.816235170902956</v>
      </c>
      <c r="G937" s="2">
        <v>36.961619837729138</v>
      </c>
      <c r="H937" s="2">
        <v>40.287373430025553</v>
      </c>
    </row>
    <row r="938" spans="1:8" x14ac:dyDescent="0.2">
      <c r="A938" s="16">
        <f>DATE(2020,12,30)</f>
        <v>44195</v>
      </c>
      <c r="B938" s="2">
        <v>33.125614609995878</v>
      </c>
      <c r="C938" s="2">
        <v>23.499625040666917</v>
      </c>
      <c r="D938" s="2">
        <v>28.149364234776076</v>
      </c>
      <c r="E938" s="2">
        <v>33.136579758511964</v>
      </c>
      <c r="F938" s="2">
        <v>36.931826072508308</v>
      </c>
      <c r="G938" s="2">
        <v>37.077489275117472</v>
      </c>
      <c r="H938" s="2">
        <v>40.409659340360093</v>
      </c>
    </row>
    <row r="939" spans="1:8" x14ac:dyDescent="0.2">
      <c r="A939" s="16">
        <f>DATE(2020,12,31)</f>
        <v>44196</v>
      </c>
      <c r="B939" s="2">
        <v>33.151757250111814</v>
      </c>
      <c r="C939" s="2">
        <v>23.508849510510533</v>
      </c>
      <c r="D939" s="2">
        <v>28.163996516161351</v>
      </c>
      <c r="E939" s="2">
        <v>33.245060507168979</v>
      </c>
      <c r="F939" s="2">
        <v>37.047514632527644</v>
      </c>
      <c r="G939" s="2">
        <v>37.19345673797114</v>
      </c>
      <c r="H939" s="2">
        <v>40.532051845062348</v>
      </c>
    </row>
    <row r="940" spans="1:8" x14ac:dyDescent="0.2">
      <c r="A940" s="16">
        <f>DATE(2021,1,4)</f>
        <v>44200</v>
      </c>
      <c r="B940" s="2">
        <v>31.997891288812387</v>
      </c>
      <c r="C940" s="2">
        <v>23.518074669350963</v>
      </c>
      <c r="D940" s="2">
        <v>28.178630468281884</v>
      </c>
      <c r="E940" s="2">
        <v>33.283767932671381</v>
      </c>
      <c r="F940" s="2">
        <v>37.091443396894697</v>
      </c>
      <c r="G940" s="2">
        <v>37.237588169736497</v>
      </c>
      <c r="H940" s="2">
        <v>40.580864493514859</v>
      </c>
    </row>
    <row r="941" spans="1:8" x14ac:dyDescent="0.2">
      <c r="A941" s="16">
        <f>DATE(2021,1,5)</f>
        <v>44201</v>
      </c>
      <c r="B941" s="2">
        <v>32.283771908993877</v>
      </c>
      <c r="C941" s="2">
        <v>23.527300517239613</v>
      </c>
      <c r="D941" s="2">
        <v>28.193266091328393</v>
      </c>
      <c r="E941" s="2">
        <v>33.322486602604059</v>
      </c>
      <c r="F941" s="2">
        <v>37.13538624204498</v>
      </c>
      <c r="G941" s="2">
        <v>37.281733797392235</v>
      </c>
      <c r="H941" s="2">
        <v>40.629694096638012</v>
      </c>
    </row>
    <row r="942" spans="1:8" x14ac:dyDescent="0.2">
      <c r="A942" s="16">
        <f>DATE(2021,1,6)</f>
        <v>44202</v>
      </c>
      <c r="B942" s="2">
        <v>31.598916877361361</v>
      </c>
      <c r="C942" s="2">
        <v>23.536527054227975</v>
      </c>
      <c r="D942" s="2">
        <v>28.207903385491704</v>
      </c>
      <c r="E942" s="2">
        <v>33.361216520233469</v>
      </c>
      <c r="F942" s="2">
        <v>37.179343172491834</v>
      </c>
      <c r="G942" s="2">
        <v>37.325893625504762</v>
      </c>
      <c r="H942" s="2">
        <v>40.678540660320841</v>
      </c>
    </row>
    <row r="943" spans="1:8" x14ac:dyDescent="0.2">
      <c r="A943" s="16">
        <f>DATE(2021,1,7)</f>
        <v>44203</v>
      </c>
      <c r="B943" s="2">
        <v>30.673667188402256</v>
      </c>
      <c r="C943" s="2">
        <v>23.545754280367515</v>
      </c>
      <c r="D943" s="2">
        <v>28.22254235096262</v>
      </c>
      <c r="E943" s="2">
        <v>33.399957688827087</v>
      </c>
      <c r="F943" s="2">
        <v>37.223314192750159</v>
      </c>
      <c r="G943" s="2">
        <v>37.370067658642014</v>
      </c>
      <c r="H943" s="2">
        <v>40.727404190454486</v>
      </c>
    </row>
    <row r="944" spans="1:8" x14ac:dyDescent="0.2">
      <c r="A944" s="16">
        <f>DATE(2021,1,8)</f>
        <v>44204</v>
      </c>
      <c r="B944" s="2">
        <v>30.722813932126748</v>
      </c>
      <c r="C944" s="2">
        <v>23.554982195709705</v>
      </c>
      <c r="D944" s="2">
        <v>28.237182987931963</v>
      </c>
      <c r="E944" s="2">
        <v>33.43871011165318</v>
      </c>
      <c r="F944" s="2">
        <v>37.267299307336167</v>
      </c>
      <c r="G944" s="2">
        <v>37.414255901373281</v>
      </c>
      <c r="H944" s="2">
        <v>40.776284692931995</v>
      </c>
    </row>
    <row r="945" spans="1:8" x14ac:dyDescent="0.2">
      <c r="A945" s="16">
        <f>DATE(2021,1,11)</f>
        <v>44207</v>
      </c>
      <c r="B945" s="2">
        <v>29.971466545474801</v>
      </c>
      <c r="C945" s="2">
        <v>23.564210800306018</v>
      </c>
      <c r="D945" s="2">
        <v>28.251825296590606</v>
      </c>
      <c r="E945" s="2">
        <v>33.477473791981204</v>
      </c>
      <c r="F945" s="2">
        <v>37.311298520767707</v>
      </c>
      <c r="G945" s="2">
        <v>37.458458358269489</v>
      </c>
      <c r="H945" s="2">
        <v>40.825182173648699</v>
      </c>
    </row>
    <row r="946" spans="1:8" x14ac:dyDescent="0.2">
      <c r="A946" s="16">
        <f>DATE(2021,1,12)</f>
        <v>44208</v>
      </c>
      <c r="B946" s="2">
        <v>31.335589101096751</v>
      </c>
      <c r="C946" s="2">
        <v>23.573440094207943</v>
      </c>
      <c r="D946" s="2">
        <v>28.266469277129413</v>
      </c>
      <c r="E946" s="2">
        <v>33.51624873308139</v>
      </c>
      <c r="F946" s="2">
        <v>37.355311837563953</v>
      </c>
      <c r="G946" s="2">
        <v>37.502675033902918</v>
      </c>
      <c r="H946" s="2">
        <v>40.87409663850179</v>
      </c>
    </row>
    <row r="947" spans="1:8" x14ac:dyDescent="0.2">
      <c r="A947" s="16">
        <f>DATE(2021,1,13)</f>
        <v>44209</v>
      </c>
      <c r="B947" s="2">
        <v>31.87129012879404</v>
      </c>
      <c r="C947" s="2">
        <v>23.582670077466972</v>
      </c>
      <c r="D947" s="2">
        <v>28.281114929739282</v>
      </c>
      <c r="E947" s="2">
        <v>33.555034938224935</v>
      </c>
      <c r="F947" s="2">
        <v>37.399339262245498</v>
      </c>
      <c r="G947" s="2">
        <v>37.546905932847331</v>
      </c>
      <c r="H947" s="2">
        <v>40.923028093390542</v>
      </c>
    </row>
    <row r="948" spans="1:8" x14ac:dyDescent="0.2">
      <c r="A948" s="16">
        <f>DATE(2021,1,14)</f>
        <v>44210</v>
      </c>
      <c r="B948" s="2">
        <v>32.942038111152392</v>
      </c>
      <c r="C948" s="2">
        <v>23.591900750134599</v>
      </c>
      <c r="D948" s="2">
        <v>28.295762254611144</v>
      </c>
      <c r="E948" s="2">
        <v>33.593832410684122</v>
      </c>
      <c r="F948" s="2">
        <v>37.443380799334534</v>
      </c>
      <c r="G948" s="2">
        <v>37.591151059678076</v>
      </c>
      <c r="H948" s="2">
        <v>40.971976544216403</v>
      </c>
    </row>
    <row r="949" spans="1:8" x14ac:dyDescent="0.2">
      <c r="A949" s="16">
        <f>DATE(2021,1,15)</f>
        <v>44211</v>
      </c>
      <c r="B949" s="2">
        <v>31.947299500007741</v>
      </c>
      <c r="C949" s="2">
        <v>23.601132112262313</v>
      </c>
      <c r="D949" s="2">
        <v>28.310411251935939</v>
      </c>
      <c r="E949" s="2">
        <v>33.63264115373201</v>
      </c>
      <c r="F949" s="2">
        <v>37.487436453354547</v>
      </c>
      <c r="G949" s="2">
        <v>37.635410418971802</v>
      </c>
      <c r="H949" s="2">
        <v>41.020941996882712</v>
      </c>
    </row>
    <row r="950" spans="1:8" x14ac:dyDescent="0.2">
      <c r="A950" s="16">
        <f>DATE(2021,1,18)</f>
        <v>44214</v>
      </c>
      <c r="B950" s="2">
        <v>31.72348483360026</v>
      </c>
      <c r="C950" s="2">
        <v>23.610364163901586</v>
      </c>
      <c r="D950" s="2">
        <v>28.325061921904602</v>
      </c>
      <c r="E950" s="2">
        <v>33.671461170642679</v>
      </c>
      <c r="F950" s="2">
        <v>37.531506228830523</v>
      </c>
      <c r="G950" s="2">
        <v>37.679684015306698</v>
      </c>
      <c r="H950" s="2">
        <v>41.069924457294867</v>
      </c>
    </row>
    <row r="951" spans="1:8" x14ac:dyDescent="0.2">
      <c r="A951" s="16">
        <f>DATE(2021,1,19)</f>
        <v>44215</v>
      </c>
      <c r="B951" s="2">
        <v>31.569843584416279</v>
      </c>
      <c r="C951" s="2">
        <v>23.619596905103958</v>
      </c>
      <c r="D951" s="2">
        <v>28.33971426470816</v>
      </c>
      <c r="E951" s="2">
        <v>33.710292464691172</v>
      </c>
      <c r="F951" s="2">
        <v>37.575590130288901</v>
      </c>
      <c r="G951" s="2">
        <v>37.723971853262462</v>
      </c>
      <c r="H951" s="2">
        <v>41.118923931360428</v>
      </c>
    </row>
    <row r="952" spans="1:8" x14ac:dyDescent="0.2">
      <c r="A952" s="16">
        <f>DATE(2021,1,20)</f>
        <v>44216</v>
      </c>
      <c r="B952" s="2">
        <v>31.507306089616094</v>
      </c>
      <c r="C952" s="2">
        <v>23.628830335920913</v>
      </c>
      <c r="D952" s="2">
        <v>28.354368280537589</v>
      </c>
      <c r="E952" s="2">
        <v>33.749135039153487</v>
      </c>
      <c r="F952" s="2">
        <v>37.619688162257603</v>
      </c>
      <c r="G952" s="2">
        <v>37.768273937420219</v>
      </c>
      <c r="H952" s="2">
        <v>41.167940424988927</v>
      </c>
    </row>
    <row r="953" spans="1:8" x14ac:dyDescent="0.2">
      <c r="A953" s="16">
        <f>DATE(2021,1,21)</f>
        <v>44217</v>
      </c>
      <c r="B953" s="2">
        <v>31.053242503444455</v>
      </c>
      <c r="C953" s="2">
        <v>23.638064456403949</v>
      </c>
      <c r="D953" s="2">
        <v>28.369023969583921</v>
      </c>
      <c r="E953" s="2">
        <v>33.787988897306562</v>
      </c>
      <c r="F953" s="2">
        <v>37.663800329265975</v>
      </c>
      <c r="G953" s="2">
        <v>37.812590272362613</v>
      </c>
      <c r="H953" s="2">
        <v>41.216973944091961</v>
      </c>
    </row>
    <row r="954" spans="1:8" x14ac:dyDescent="0.2">
      <c r="A954" s="16">
        <f>DATE(2021,1,22)</f>
        <v>44218</v>
      </c>
      <c r="B954" s="2">
        <v>30.08530060545198</v>
      </c>
      <c r="C954" s="2">
        <v>23.647299266604605</v>
      </c>
      <c r="D954" s="2">
        <v>28.383681332038211</v>
      </c>
      <c r="E954" s="2">
        <v>33.826854042428266</v>
      </c>
      <c r="F954" s="2">
        <v>37.707926635844814</v>
      </c>
      <c r="G954" s="2">
        <v>37.856920862673718</v>
      </c>
      <c r="H954" s="2">
        <v>41.266024494583213</v>
      </c>
    </row>
    <row r="955" spans="1:8" x14ac:dyDescent="0.2">
      <c r="A955" s="16">
        <f>DATE(2021,1,25)</f>
        <v>44221</v>
      </c>
      <c r="B955" s="2">
        <v>30.08731352789691</v>
      </c>
      <c r="C955" s="2">
        <v>23.656534766574389</v>
      </c>
      <c r="D955" s="2">
        <v>28.398340368091546</v>
      </c>
      <c r="E955" s="2">
        <v>33.865730477797463</v>
      </c>
      <c r="F955" s="2">
        <v>37.752067086526367</v>
      </c>
      <c r="G955" s="2">
        <v>37.9012657129391</v>
      </c>
      <c r="H955" s="2">
        <v>41.315092082378378</v>
      </c>
    </row>
    <row r="956" spans="1:8" x14ac:dyDescent="0.2">
      <c r="A956" s="16">
        <f>DATE(2021,1,26)</f>
        <v>44222</v>
      </c>
      <c r="B956" s="2">
        <v>29.835677940947171</v>
      </c>
      <c r="C956" s="2">
        <v>23.665770956364817</v>
      </c>
      <c r="D956" s="2">
        <v>28.413001077934986</v>
      </c>
      <c r="E956" s="2">
        <v>33.904618206693968</v>
      </c>
      <c r="F956" s="2">
        <v>37.79622168584438</v>
      </c>
      <c r="G956" s="2">
        <v>37.94562482774586</v>
      </c>
      <c r="H956" s="2">
        <v>41.364176713395274</v>
      </c>
    </row>
    <row r="957" spans="1:8" x14ac:dyDescent="0.2">
      <c r="A957" s="16">
        <f>DATE(2021,1,27)</f>
        <v>44223</v>
      </c>
      <c r="B957" s="2">
        <v>29.712058137094143</v>
      </c>
      <c r="C957" s="2">
        <v>23.675007836027405</v>
      </c>
      <c r="D957" s="2">
        <v>28.427663461759668</v>
      </c>
      <c r="E957" s="2">
        <v>33.943517232398456</v>
      </c>
      <c r="F957" s="2">
        <v>37.840390438333891</v>
      </c>
      <c r="G957" s="2">
        <v>37.989998211682412</v>
      </c>
      <c r="H957" s="2">
        <v>41.413278393553597</v>
      </c>
    </row>
    <row r="958" spans="1:8" x14ac:dyDescent="0.2">
      <c r="A958" s="16">
        <f>DATE(2021,1,28)</f>
        <v>44224</v>
      </c>
      <c r="B958" s="2">
        <v>30.178280383273126</v>
      </c>
      <c r="C958" s="2">
        <v>23.684245405613691</v>
      </c>
      <c r="D958" s="2">
        <v>28.442327519756727</v>
      </c>
      <c r="E958" s="2">
        <v>33.982427558192697</v>
      </c>
      <c r="F958" s="2">
        <v>37.884573348531639</v>
      </c>
      <c r="G958" s="2">
        <v>38.034385869338806</v>
      </c>
      <c r="H958" s="2">
        <v>41.462397128775351</v>
      </c>
    </row>
    <row r="959" spans="1:8" x14ac:dyDescent="0.2">
      <c r="A959" s="16">
        <f>DATE(2021,1,29)</f>
        <v>44225</v>
      </c>
      <c r="B959" s="2">
        <v>28.279491148011203</v>
      </c>
      <c r="C959" s="2">
        <v>23.693483665175208</v>
      </c>
      <c r="D959" s="2">
        <v>28.456993252117325</v>
      </c>
      <c r="E959" s="2">
        <v>34.021349187359306</v>
      </c>
      <c r="F959" s="2">
        <v>37.928770420975646</v>
      </c>
      <c r="G959" s="2">
        <v>38.078787805306511</v>
      </c>
      <c r="H959" s="2">
        <v>41.511532924984422</v>
      </c>
    </row>
    <row r="960" spans="1:8" x14ac:dyDescent="0.2">
      <c r="A960" s="16">
        <f>DATE(2021,2,1)</f>
        <v>44228</v>
      </c>
      <c r="B960" s="2">
        <v>29.86730161170026</v>
      </c>
      <c r="C960" s="2">
        <v>23.702722614763495</v>
      </c>
      <c r="D960" s="2">
        <v>28.47166065903264</v>
      </c>
      <c r="E960" s="2">
        <v>34.103038062279794</v>
      </c>
      <c r="F960" s="2">
        <v>38.016985479290291</v>
      </c>
      <c r="G960" s="2">
        <v>38.167255753786456</v>
      </c>
      <c r="H960" s="2">
        <v>41.605833836166603</v>
      </c>
    </row>
    <row r="961" spans="1:8" x14ac:dyDescent="0.2">
      <c r="A961" s="16">
        <f>DATE(2021,2,2)</f>
        <v>44229</v>
      </c>
      <c r="B961" s="2">
        <v>30.631547927067281</v>
      </c>
      <c r="C961" s="2">
        <v>23.711962254430087</v>
      </c>
      <c r="D961" s="2">
        <v>28.486329740693893</v>
      </c>
      <c r="E961" s="2">
        <v>34.184776728314347</v>
      </c>
      <c r="F961" s="2">
        <v>38.105256957280751</v>
      </c>
      <c r="G961" s="2">
        <v>38.255780384237873</v>
      </c>
      <c r="H961" s="2">
        <v>41.700197587893761</v>
      </c>
    </row>
    <row r="962" spans="1:8" x14ac:dyDescent="0.2">
      <c r="A962" s="16">
        <f>DATE(2021,2,3)</f>
        <v>44230</v>
      </c>
      <c r="B962" s="2">
        <v>31.168759914181688</v>
      </c>
      <c r="C962" s="2">
        <v>23.721202584226521</v>
      </c>
      <c r="D962" s="2">
        <v>28.501000497292296</v>
      </c>
      <c r="E962" s="2">
        <v>34.266565215811731</v>
      </c>
      <c r="F962" s="2">
        <v>38.19358489103135</v>
      </c>
      <c r="G962" s="2">
        <v>38.34436173297722</v>
      </c>
      <c r="H962" s="2">
        <v>41.79462422204179</v>
      </c>
    </row>
    <row r="963" spans="1:8" x14ac:dyDescent="0.2">
      <c r="A963" s="16">
        <f>DATE(2021,2,4)</f>
        <v>44231</v>
      </c>
      <c r="B963" s="2">
        <v>31.261141392636315</v>
      </c>
      <c r="C963" s="2">
        <v>23.730443604204353</v>
      </c>
      <c r="D963" s="2">
        <v>28.515672929019086</v>
      </c>
      <c r="E963" s="2">
        <v>34.348403555139171</v>
      </c>
      <c r="F963" s="2">
        <v>38.281969316649466</v>
      </c>
      <c r="G963" s="2">
        <v>38.432999836344273</v>
      </c>
      <c r="H963" s="2">
        <v>41.889113780514478</v>
      </c>
    </row>
    <row r="964" spans="1:8" x14ac:dyDescent="0.2">
      <c r="A964" s="16">
        <f>DATE(2021,2,5)</f>
        <v>44232</v>
      </c>
      <c r="B964" s="2">
        <v>31.973624672133781</v>
      </c>
      <c r="C964" s="2">
        <v>23.739685314415127</v>
      </c>
      <c r="D964" s="2">
        <v>28.530347036065539</v>
      </c>
      <c r="E964" s="2">
        <v>34.430291776682438</v>
      </c>
      <c r="F964" s="2">
        <v>38.370410270265602</v>
      </c>
      <c r="G964" s="2">
        <v>38.52169473070208</v>
      </c>
      <c r="H964" s="2">
        <v>41.983666305243531</v>
      </c>
    </row>
    <row r="965" spans="1:8" x14ac:dyDescent="0.2">
      <c r="A965" s="16">
        <f>DATE(2021,2,8)</f>
        <v>44235</v>
      </c>
      <c r="B965" s="2">
        <v>31.937103059109173</v>
      </c>
      <c r="C965" s="2">
        <v>23.748927714910394</v>
      </c>
      <c r="D965" s="2">
        <v>28.545022818622947</v>
      </c>
      <c r="E965" s="2">
        <v>34.51222991084579</v>
      </c>
      <c r="F965" s="2">
        <v>38.458907788033336</v>
      </c>
      <c r="G965" s="2">
        <v>38.61044645243701</v>
      </c>
      <c r="H965" s="2">
        <v>42.078281838188602</v>
      </c>
    </row>
    <row r="966" spans="1:8" x14ac:dyDescent="0.2">
      <c r="A966" s="16">
        <f>DATE(2021,2,9)</f>
        <v>44236</v>
      </c>
      <c r="B966" s="2">
        <v>31.57468575301807</v>
      </c>
      <c r="C966" s="2">
        <v>23.758170805741742</v>
      </c>
      <c r="D966" s="2">
        <v>28.559700276882616</v>
      </c>
      <c r="E966" s="2">
        <v>34.594217988052073</v>
      </c>
      <c r="F966" s="2">
        <v>38.547461906129392</v>
      </c>
      <c r="G966" s="2">
        <v>38.699255037958679</v>
      </c>
      <c r="H966" s="2">
        <v>42.172960421337315</v>
      </c>
    </row>
    <row r="967" spans="1:8" x14ac:dyDescent="0.2">
      <c r="A967" s="16">
        <f>DATE(2021,2,10)</f>
        <v>44237</v>
      </c>
      <c r="B967" s="2">
        <v>30.87825007941025</v>
      </c>
      <c r="C967" s="2">
        <v>23.76741458696068</v>
      </c>
      <c r="D967" s="2">
        <v>28.574379411035842</v>
      </c>
      <c r="E967" s="2">
        <v>34.676256038742601</v>
      </c>
      <c r="F967" s="2">
        <v>38.636072660753619</v>
      </c>
      <c r="G967" s="2">
        <v>38.788120523700108</v>
      </c>
      <c r="H967" s="2">
        <v>42.267702096705271</v>
      </c>
    </row>
    <row r="968" spans="1:8" x14ac:dyDescent="0.2">
      <c r="A968" s="16">
        <f>DATE(2021,2,11)</f>
        <v>44238</v>
      </c>
      <c r="B968" s="2">
        <v>31.22097420974297</v>
      </c>
      <c r="C968" s="2">
        <v>23.776659058618854</v>
      </c>
      <c r="D968" s="2">
        <v>28.589060221274099</v>
      </c>
      <c r="E968" s="2">
        <v>34.758344093377325</v>
      </c>
      <c r="F968" s="2">
        <v>38.724740088129053</v>
      </c>
      <c r="G968" s="2">
        <v>38.877042946117648</v>
      </c>
      <c r="H968" s="2">
        <v>42.362506906336094</v>
      </c>
    </row>
    <row r="969" spans="1:8" x14ac:dyDescent="0.2">
      <c r="A969" s="16">
        <f>DATE(2021,2,12)</f>
        <v>44239</v>
      </c>
      <c r="B969" s="2">
        <v>31.485554358410315</v>
      </c>
      <c r="C969" s="2">
        <v>23.785904220767762</v>
      </c>
      <c r="D969" s="2">
        <v>28.603742707788651</v>
      </c>
      <c r="E969" s="2">
        <v>34.840482182434627</v>
      </c>
      <c r="F969" s="2">
        <v>38.813464224501779</v>
      </c>
      <c r="G969" s="2">
        <v>38.966022341690888</v>
      </c>
      <c r="H969" s="2">
        <v>42.457374892301303</v>
      </c>
    </row>
    <row r="970" spans="1:8" x14ac:dyDescent="0.2">
      <c r="A970" s="16">
        <f>DATE(2021,2,17)</f>
        <v>44244</v>
      </c>
      <c r="B970" s="2">
        <v>31.777387550255142</v>
      </c>
      <c r="C970" s="2">
        <v>23.795150073459006</v>
      </c>
      <c r="D970" s="2">
        <v>28.618426870770939</v>
      </c>
      <c r="E970" s="2">
        <v>34.922670336411628</v>
      </c>
      <c r="F970" s="2">
        <v>38.902245106141237</v>
      </c>
      <c r="G970" s="2">
        <v>39.055058746922967</v>
      </c>
      <c r="H970" s="2">
        <v>42.55230609670064</v>
      </c>
    </row>
    <row r="971" spans="1:8" x14ac:dyDescent="0.2">
      <c r="A971" s="16">
        <f>DATE(2021,2,18)</f>
        <v>44245</v>
      </c>
      <c r="B971" s="2">
        <v>31.35183952033098</v>
      </c>
      <c r="C971" s="2">
        <v>23.80439661674416</v>
      </c>
      <c r="D971" s="2">
        <v>28.63311271041238</v>
      </c>
      <c r="E971" s="2">
        <v>35.004908585823969</v>
      </c>
      <c r="F971" s="2">
        <v>38.991082769339982</v>
      </c>
      <c r="G971" s="2">
        <v>39.144152198340329</v>
      </c>
      <c r="H971" s="2">
        <v>42.647300561661794</v>
      </c>
    </row>
    <row r="972" spans="1:8" x14ac:dyDescent="0.2">
      <c r="A972" s="16">
        <f>DATE(2021,2,19)</f>
        <v>44246</v>
      </c>
      <c r="B972" s="2">
        <v>31.259219736196474</v>
      </c>
      <c r="C972" s="2">
        <v>23.813643850674815</v>
      </c>
      <c r="D972" s="2">
        <v>28.64780022690443</v>
      </c>
      <c r="E972" s="2">
        <v>35.087196961205862</v>
      </c>
      <c r="F972" s="2">
        <v>39.07997725041372</v>
      </c>
      <c r="G972" s="2">
        <v>39.233302732492817</v>
      </c>
      <c r="H972" s="2">
        <v>42.742358329340526</v>
      </c>
    </row>
    <row r="973" spans="1:8" x14ac:dyDescent="0.2">
      <c r="A973" s="16">
        <f>DATE(2021,2,22)</f>
        <v>44249</v>
      </c>
      <c r="B973" s="2">
        <v>29.675653141742696</v>
      </c>
      <c r="C973" s="2">
        <v>23.822891775302548</v>
      </c>
      <c r="D973" s="2">
        <v>28.66248942043854</v>
      </c>
      <c r="E973" s="2">
        <v>35.169535493110168</v>
      </c>
      <c r="F973" s="2">
        <v>39.168928585701487</v>
      </c>
      <c r="G973" s="2">
        <v>39.32251038595367</v>
      </c>
      <c r="H973" s="2">
        <v>42.837479441920692</v>
      </c>
    </row>
    <row r="974" spans="1:8" x14ac:dyDescent="0.2">
      <c r="A974" s="16">
        <f>DATE(2021,2,23)</f>
        <v>44250</v>
      </c>
      <c r="B974" s="2">
        <v>30.412124169569928</v>
      </c>
      <c r="C974" s="2">
        <v>23.832140390678958</v>
      </c>
      <c r="D974" s="2">
        <v>28.677180291206206</v>
      </c>
      <c r="E974" s="2">
        <v>35.251924212108364</v>
      </c>
      <c r="F974" s="2">
        <v>39.257936811565486</v>
      </c>
      <c r="G974" s="2">
        <v>39.41177519531962</v>
      </c>
      <c r="H974" s="2">
        <v>42.932663941614301</v>
      </c>
    </row>
    <row r="975" spans="1:8" x14ac:dyDescent="0.2">
      <c r="A975" s="16">
        <f>DATE(2021,2,24)</f>
        <v>44251</v>
      </c>
      <c r="B975" s="2">
        <v>30.696118625646896</v>
      </c>
      <c r="C975" s="2">
        <v>23.841389696855629</v>
      </c>
      <c r="D975" s="2">
        <v>28.691872839398911</v>
      </c>
      <c r="E975" s="2">
        <v>35.334363148790551</v>
      </c>
      <c r="F975" s="2">
        <v>39.347001964391225</v>
      </c>
      <c r="G975" s="2">
        <v>39.501097197210797</v>
      </c>
      <c r="H975" s="2">
        <v>43.027911870661441</v>
      </c>
    </row>
    <row r="976" spans="1:8" x14ac:dyDescent="0.2">
      <c r="A976" s="16">
        <f>DATE(2021,2,25)</f>
        <v>44252</v>
      </c>
      <c r="B976" s="2">
        <v>29.215819515917875</v>
      </c>
      <c r="C976" s="2">
        <v>23.850639693884169</v>
      </c>
      <c r="D976" s="2">
        <v>28.706567065208219</v>
      </c>
      <c r="E976" s="2">
        <v>35.416852333765462</v>
      </c>
      <c r="F976" s="2">
        <v>39.436124080587454</v>
      </c>
      <c r="G976" s="2">
        <v>39.590476428270826</v>
      </c>
      <c r="H976" s="2">
        <v>43.123223271330382</v>
      </c>
    </row>
    <row r="977" spans="1:8" x14ac:dyDescent="0.2">
      <c r="A977" s="16">
        <f>DATE(2021,2,26)</f>
        <v>44253</v>
      </c>
      <c r="B977" s="2">
        <v>28.010662059775026</v>
      </c>
      <c r="C977" s="2">
        <v>23.859890381816172</v>
      </c>
      <c r="D977" s="2">
        <v>28.721262968825666</v>
      </c>
      <c r="E977" s="2">
        <v>35.499391797660529</v>
      </c>
      <c r="F977" s="2">
        <v>39.525303196586201</v>
      </c>
      <c r="G977" s="2">
        <v>39.679912925166796</v>
      </c>
      <c r="H977" s="2">
        <v>43.218598185917536</v>
      </c>
    </row>
    <row r="978" spans="1:8" x14ac:dyDescent="0.2">
      <c r="A978" s="16">
        <f>DATE(2021,3,1)</f>
        <v>44256</v>
      </c>
      <c r="B978" s="2">
        <v>28.97787890006067</v>
      </c>
      <c r="C978" s="2">
        <v>23.869141760703251</v>
      </c>
      <c r="D978" s="2">
        <v>28.735960550442829</v>
      </c>
      <c r="E978" s="2">
        <v>35.570947877217904</v>
      </c>
      <c r="F978" s="2">
        <v>39.603177484427938</v>
      </c>
      <c r="G978" s="2">
        <v>39.758032257030543</v>
      </c>
      <c r="H978" s="2">
        <v>43.3023737263619</v>
      </c>
    </row>
    <row r="979" spans="1:8" x14ac:dyDescent="0.2">
      <c r="A979" s="16">
        <f>DATE(2021,3,2)</f>
        <v>44257</v>
      </c>
      <c r="B979" s="2">
        <v>28.936712861445258</v>
      </c>
      <c r="C979" s="2">
        <v>23.878393830596998</v>
      </c>
      <c r="D979" s="2">
        <v>28.75065981025131</v>
      </c>
      <c r="E979" s="2">
        <v>35.642541744933972</v>
      </c>
      <c r="F979" s="2">
        <v>39.681095236821037</v>
      </c>
      <c r="G979" s="2">
        <v>39.836195278998908</v>
      </c>
      <c r="H979" s="2">
        <v>43.386198271204201</v>
      </c>
    </row>
    <row r="980" spans="1:8" x14ac:dyDescent="0.2">
      <c r="A980" s="16">
        <f>DATE(2021,3,3)</f>
        <v>44258</v>
      </c>
      <c r="B980" s="2">
        <v>27.7892760831689</v>
      </c>
      <c r="C980" s="2">
        <v>23.887646591549029</v>
      </c>
      <c r="D980" s="2">
        <v>28.765360748442713</v>
      </c>
      <c r="E980" s="2">
        <v>35.714173420764368</v>
      </c>
      <c r="F980" s="2">
        <v>39.759056478024689</v>
      </c>
      <c r="G980" s="2">
        <v>39.914402015506646</v>
      </c>
      <c r="H980" s="2">
        <v>43.470071849109495</v>
      </c>
    </row>
    <row r="981" spans="1:8" x14ac:dyDescent="0.2">
      <c r="A981" s="16">
        <f>DATE(2021,3,4)</f>
        <v>44259</v>
      </c>
      <c r="B981" s="2">
        <v>29.317205906871745</v>
      </c>
      <c r="C981" s="2">
        <v>23.89690004361098</v>
      </c>
      <c r="D981" s="2">
        <v>28.780063365208687</v>
      </c>
      <c r="E981" s="2">
        <v>35.785842924675215</v>
      </c>
      <c r="F981" s="2">
        <v>39.837061232311633</v>
      </c>
      <c r="G981" s="2">
        <v>39.992652491002147</v>
      </c>
      <c r="H981" s="2">
        <v>43.553994488759606</v>
      </c>
    </row>
    <row r="982" spans="1:8" x14ac:dyDescent="0.2">
      <c r="A982" s="16">
        <f>DATE(2021,3,5)</f>
        <v>44260</v>
      </c>
      <c r="B982" s="2">
        <v>30.129209694552905</v>
      </c>
      <c r="C982" s="2">
        <v>23.90615418683446</v>
      </c>
      <c r="D982" s="2">
        <v>28.794767660740895</v>
      </c>
      <c r="E982" s="2">
        <v>35.857550276643188</v>
      </c>
      <c r="F982" s="2">
        <v>39.915109523968127</v>
      </c>
      <c r="G982" s="2">
        <v>40.070946729947508</v>
      </c>
      <c r="H982" s="2">
        <v>43.637966218853165</v>
      </c>
    </row>
    <row r="983" spans="1:8" x14ac:dyDescent="0.2">
      <c r="A983" s="16">
        <f>DATE(2021,3,8)</f>
        <v>44263</v>
      </c>
      <c r="B983" s="2">
        <v>27.196609857313671</v>
      </c>
      <c r="C983" s="2">
        <v>23.915409021271071</v>
      </c>
      <c r="D983" s="2">
        <v>28.809473635231029</v>
      </c>
      <c r="E983" s="2">
        <v>35.929295496655556</v>
      </c>
      <c r="F983" s="2">
        <v>39.993201377294028</v>
      </c>
      <c r="G983" s="2">
        <v>40.149284756818467</v>
      </c>
      <c r="H983" s="2">
        <v>43.721987068105527</v>
      </c>
    </row>
    <row r="984" spans="1:8" x14ac:dyDescent="0.2">
      <c r="A984" s="16">
        <f>DATE(2021,3,9)</f>
        <v>44264</v>
      </c>
      <c r="B984" s="2">
        <v>27.176835556217441</v>
      </c>
      <c r="C984" s="2">
        <v>23.924664546972483</v>
      </c>
      <c r="D984" s="2">
        <v>28.824181288870786</v>
      </c>
      <c r="E984" s="2">
        <v>36.001078604710088</v>
      </c>
      <c r="F984" s="2">
        <v>40.07133681660271</v>
      </c>
      <c r="G984" s="2">
        <v>40.227666596104484</v>
      </c>
      <c r="H984" s="2">
        <v>43.806057065248915</v>
      </c>
    </row>
    <row r="985" spans="1:8" x14ac:dyDescent="0.2">
      <c r="A985" s="16">
        <f>DATE(2021,3,10)</f>
        <v>44265</v>
      </c>
      <c r="B985" s="2">
        <v>27.493229444090495</v>
      </c>
      <c r="C985" s="2">
        <v>23.933920763990301</v>
      </c>
      <c r="D985" s="2">
        <v>28.838890621851899</v>
      </c>
      <c r="E985" s="2">
        <v>36.072899620815171</v>
      </c>
      <c r="F985" s="2">
        <v>40.149515866221151</v>
      </c>
      <c r="G985" s="2">
        <v>40.306092272308682</v>
      </c>
      <c r="H985" s="2">
        <v>43.890176239032307</v>
      </c>
    </row>
    <row r="986" spans="1:8" x14ac:dyDescent="0.2">
      <c r="A986" s="16">
        <f>DATE(2021,3,11)</f>
        <v>44266</v>
      </c>
      <c r="B986" s="2">
        <v>29.869699879499969</v>
      </c>
      <c r="C986" s="2">
        <v>23.943177672376169</v>
      </c>
      <c r="D986" s="2">
        <v>28.8536016343661</v>
      </c>
      <c r="E986" s="2">
        <v>36.144758564989687</v>
      </c>
      <c r="F986" s="2">
        <v>40.227738550489889</v>
      </c>
      <c r="G986" s="2">
        <v>40.384561809947897</v>
      </c>
      <c r="H986" s="2">
        <v>43.974344618221515</v>
      </c>
    </row>
    <row r="987" spans="1:8" x14ac:dyDescent="0.2">
      <c r="A987" s="16">
        <f>DATE(2021,3,12)</f>
        <v>44267</v>
      </c>
      <c r="B987" s="2">
        <v>29.346005401801591</v>
      </c>
      <c r="C987" s="2">
        <v>23.952435272181717</v>
      </c>
      <c r="D987" s="2">
        <v>28.868314326605194</v>
      </c>
      <c r="E987" s="2">
        <v>36.216655457263137</v>
      </c>
      <c r="F987" s="2">
        <v>40.30600489376306</v>
      </c>
      <c r="G987" s="2">
        <v>40.463075233552701</v>
      </c>
      <c r="H987" s="2">
        <v>44.058562231599211</v>
      </c>
    </row>
    <row r="988" spans="1:8" x14ac:dyDescent="0.2">
      <c r="A988" s="16">
        <f>DATE(2021,3,15)</f>
        <v>44270</v>
      </c>
      <c r="B988" s="2">
        <v>29.490697512156139</v>
      </c>
      <c r="C988" s="2">
        <v>23.961693563458606</v>
      </c>
      <c r="D988" s="2">
        <v>28.883028698760938</v>
      </c>
      <c r="E988" s="2">
        <v>36.288590317675592</v>
      </c>
      <c r="F988" s="2">
        <v>40.384314920408393</v>
      </c>
      <c r="G988" s="2">
        <v>40.541632567667385</v>
      </c>
      <c r="H988" s="2">
        <v>44.142829107964829</v>
      </c>
    </row>
    <row r="989" spans="1:8" x14ac:dyDescent="0.2">
      <c r="A989" s="16">
        <f>DATE(2021,3,16)</f>
        <v>44271</v>
      </c>
      <c r="B989" s="2">
        <v>29.144018521604178</v>
      </c>
      <c r="C989" s="2">
        <v>23.970952546258474</v>
      </c>
      <c r="D989" s="2">
        <v>28.897744751025179</v>
      </c>
      <c r="E989" s="2">
        <v>36.360563166277714</v>
      </c>
      <c r="F989" s="2">
        <v>40.462668654807189</v>
      </c>
      <c r="G989" s="2">
        <v>40.62023383684992</v>
      </c>
      <c r="H989" s="2">
        <v>44.227145276134713</v>
      </c>
    </row>
    <row r="990" spans="1:8" x14ac:dyDescent="0.2">
      <c r="A990" s="16">
        <f>DATE(2021,3,17)</f>
        <v>44272</v>
      </c>
      <c r="B990" s="2">
        <v>29.839465480157209</v>
      </c>
      <c r="C990" s="2">
        <v>23.980212220633003</v>
      </c>
      <c r="D990" s="2">
        <v>28.91246248358976</v>
      </c>
      <c r="E990" s="2">
        <v>36.432574023130734</v>
      </c>
      <c r="F990" s="2">
        <v>40.541066121354397</v>
      </c>
      <c r="G990" s="2">
        <v>40.698879065672067</v>
      </c>
      <c r="H990" s="2">
        <v>44.311510764942064</v>
      </c>
    </row>
    <row r="991" spans="1:8" x14ac:dyDescent="0.2">
      <c r="A991" s="16">
        <f>DATE(2021,3,18)</f>
        <v>44273</v>
      </c>
      <c r="B991" s="2">
        <v>29.328710493842824</v>
      </c>
      <c r="C991" s="2">
        <v>23.989472586633752</v>
      </c>
      <c r="D991" s="2">
        <v>28.92718189664647</v>
      </c>
      <c r="E991" s="2">
        <v>36.504622908306473</v>
      </c>
      <c r="F991" s="2">
        <v>40.61950734445854</v>
      </c>
      <c r="G991" s="2">
        <v>40.777568278719258</v>
      </c>
      <c r="H991" s="2">
        <v>44.395925603236861</v>
      </c>
    </row>
    <row r="992" spans="1:8" x14ac:dyDescent="0.2">
      <c r="A992" s="16">
        <f>DATE(2021,3,19)</f>
        <v>44274</v>
      </c>
      <c r="B992" s="2">
        <v>30.153937711590405</v>
      </c>
      <c r="C992" s="2">
        <v>24.002342061556202</v>
      </c>
      <c r="D992" s="2">
        <v>28.945655256015424</v>
      </c>
      <c r="E992" s="2">
        <v>36.576709841887407</v>
      </c>
      <c r="F992" s="2">
        <v>40.697992348541831</v>
      </c>
      <c r="G992" s="2">
        <v>40.85630150059081</v>
      </c>
      <c r="H992" s="2">
        <v>44.480389819886113</v>
      </c>
    </row>
    <row r="993" spans="1:8" x14ac:dyDescent="0.2">
      <c r="A993" s="16">
        <f>DATE(2021,3,22)</f>
        <v>44277</v>
      </c>
      <c r="B993" s="2">
        <v>29.960327022524002</v>
      </c>
      <c r="C993" s="2">
        <v>24.015212872264513</v>
      </c>
      <c r="D993" s="2">
        <v>28.964131262343695</v>
      </c>
      <c r="E993" s="2">
        <v>36.648834843966569</v>
      </c>
      <c r="F993" s="2">
        <v>40.776521158040048</v>
      </c>
      <c r="G993" s="2">
        <v>40.935078755899653</v>
      </c>
      <c r="H993" s="2">
        <v>44.564903443773574</v>
      </c>
    </row>
    <row r="994" spans="1:8" x14ac:dyDescent="0.2">
      <c r="A994" s="16">
        <f>DATE(2021,3,23)</f>
        <v>44278</v>
      </c>
      <c r="B994" s="2">
        <v>28.978472129093547</v>
      </c>
      <c r="C994" s="2">
        <v>24.028085018897325</v>
      </c>
      <c r="D994" s="2">
        <v>28.98260991601056</v>
      </c>
      <c r="E994" s="2">
        <v>36.720997934647578</v>
      </c>
      <c r="F994" s="2">
        <v>40.855093797402617</v>
      </c>
      <c r="G994" s="2">
        <v>41.013900069272545</v>
      </c>
      <c r="H994" s="2">
        <v>44.64946650379995</v>
      </c>
    </row>
    <row r="995" spans="1:8" x14ac:dyDescent="0.2">
      <c r="A995" s="16">
        <f>DATE(2021,3,24)</f>
        <v>44279</v>
      </c>
      <c r="B995" s="2">
        <v>27.412266356935501</v>
      </c>
      <c r="C995" s="2">
        <v>24.040958501593291</v>
      </c>
      <c r="D995" s="2">
        <v>29.001091217395313</v>
      </c>
      <c r="E995" s="2">
        <v>36.793199134044727</v>
      </c>
      <c r="F995" s="2">
        <v>40.933710291092652</v>
      </c>
      <c r="G995" s="2">
        <v>41.092765465350034</v>
      </c>
      <c r="H995" s="2">
        <v>44.734079028882867</v>
      </c>
    </row>
    <row r="996" spans="1:8" x14ac:dyDescent="0.2">
      <c r="A996" s="16">
        <f>DATE(2021,3,25)</f>
        <v>44280</v>
      </c>
      <c r="B996" s="2">
        <v>28.17972219348044</v>
      </c>
      <c r="C996" s="2">
        <v>24.053833320491158</v>
      </c>
      <c r="D996" s="2">
        <v>29.019575166877431</v>
      </c>
      <c r="E996" s="2">
        <v>36.865438462282896</v>
      </c>
      <c r="F996" s="2">
        <v>41.012370663586871</v>
      </c>
      <c r="G996" s="2">
        <v>41.171674968786398</v>
      </c>
      <c r="H996" s="2">
        <v>44.81874104795682</v>
      </c>
    </row>
    <row r="997" spans="1:8" x14ac:dyDescent="0.2">
      <c r="A997" s="16">
        <f>DATE(2021,3,26)</f>
        <v>44281</v>
      </c>
      <c r="B997" s="2">
        <v>28.181253434231969</v>
      </c>
      <c r="C997" s="2">
        <v>24.066709475729553</v>
      </c>
      <c r="D997" s="2">
        <v>29.038061764836254</v>
      </c>
      <c r="E997" s="2">
        <v>36.937715939497643</v>
      </c>
      <c r="F997" s="2">
        <v>41.091074939375716</v>
      </c>
      <c r="G997" s="2">
        <v>41.250628604249769</v>
      </c>
      <c r="H997" s="2">
        <v>44.903452589973327</v>
      </c>
    </row>
    <row r="998" spans="1:8" x14ac:dyDescent="0.2">
      <c r="A998" s="16">
        <f>DATE(2021,3,29)</f>
        <v>44284</v>
      </c>
      <c r="B998" s="2">
        <v>27.72554705996928</v>
      </c>
      <c r="C998" s="2">
        <v>24.079586967447185</v>
      </c>
      <c r="D998" s="2">
        <v>29.056551011651301</v>
      </c>
      <c r="E998" s="2">
        <v>37.010031585835023</v>
      </c>
      <c r="F998" s="2">
        <v>41.169823142963203</v>
      </c>
      <c r="G998" s="2">
        <v>41.329626396421993</v>
      </c>
      <c r="H998" s="2">
        <v>44.988213683900668</v>
      </c>
    </row>
    <row r="999" spans="1:8" x14ac:dyDescent="0.2">
      <c r="A999" s="16">
        <f>DATE(2021,3,30)</f>
        <v>44285</v>
      </c>
      <c r="B999" s="2">
        <v>29.241206676325216</v>
      </c>
      <c r="C999" s="2">
        <v>24.09246579578279</v>
      </c>
      <c r="D999" s="2">
        <v>29.075042907702109</v>
      </c>
      <c r="E999" s="2">
        <v>37.08238542145186</v>
      </c>
      <c r="F999" s="2">
        <v>41.248615298867051</v>
      </c>
      <c r="G999" s="2">
        <v>41.40866836999875</v>
      </c>
      <c r="H999" s="2">
        <v>45.073024358724197</v>
      </c>
    </row>
    <row r="1000" spans="1:8" x14ac:dyDescent="0.2">
      <c r="A1000" s="16">
        <f>DATE(2021,3,31)</f>
        <v>44286</v>
      </c>
      <c r="B1000" s="2">
        <v>29.52348228930688</v>
      </c>
      <c r="C1000" s="2">
        <v>24.105345960875102</v>
      </c>
      <c r="D1000" s="2">
        <v>29.09353745336827</v>
      </c>
      <c r="E1000" s="2">
        <v>37.154777466515654</v>
      </c>
      <c r="F1000" s="2">
        <v>41.327451431618783</v>
      </c>
      <c r="G1000" s="2">
        <v>41.487754549689626</v>
      </c>
      <c r="H1000" s="2">
        <v>45.157884643446259</v>
      </c>
    </row>
    <row r="1001" spans="1:8" x14ac:dyDescent="0.2">
      <c r="A1001" s="16">
        <f>DATE(2021,4,1)</f>
        <v>44287</v>
      </c>
      <c r="B1001" s="2">
        <v>29.217604273350119</v>
      </c>
      <c r="C1001" s="2">
        <v>24.118227462862851</v>
      </c>
      <c r="D1001" s="2">
        <v>29.112034649029429</v>
      </c>
      <c r="E1001" s="2">
        <v>37.202142123994463</v>
      </c>
      <c r="F1001" s="2">
        <v>41.380502599070667</v>
      </c>
      <c r="G1001" s="2">
        <v>41.541026667198388</v>
      </c>
      <c r="H1001" s="2">
        <v>45.216264840575903</v>
      </c>
    </row>
    <row r="1002" spans="1:8" x14ac:dyDescent="0.2">
      <c r="A1002" s="16">
        <f>DATE(2021,4,5)</f>
        <v>44291</v>
      </c>
      <c r="B1002" s="2">
        <v>30.088824487314024</v>
      </c>
      <c r="C1002" s="2">
        <v>24.131110301884817</v>
      </c>
      <c r="D1002" s="2">
        <v>29.130534495065309</v>
      </c>
      <c r="E1002" s="2">
        <v>37.249523138255135</v>
      </c>
      <c r="F1002" s="2">
        <v>41.433573680745432</v>
      </c>
      <c r="G1002" s="2">
        <v>41.594318842404121</v>
      </c>
      <c r="H1002" s="2">
        <v>45.274668517294181</v>
      </c>
    </row>
    <row r="1003" spans="1:8" x14ac:dyDescent="0.2">
      <c r="A1003" s="16">
        <f>DATE(2021,4,6)</f>
        <v>44292</v>
      </c>
      <c r="B1003" s="2">
        <v>30.146433617840994</v>
      </c>
      <c r="C1003" s="2">
        <v>24.143994478079779</v>
      </c>
      <c r="D1003" s="2">
        <v>29.14903699185567</v>
      </c>
      <c r="E1003" s="2">
        <v>37.296920514946287</v>
      </c>
      <c r="F1003" s="2">
        <v>41.486664684118438</v>
      </c>
      <c r="G1003" s="2">
        <v>41.647631082858808</v>
      </c>
      <c r="H1003" s="2">
        <v>45.333095683044199</v>
      </c>
    </row>
    <row r="1004" spans="1:8" x14ac:dyDescent="0.2">
      <c r="A1004" s="16">
        <f>DATE(2021,4,7)</f>
        <v>44293</v>
      </c>
      <c r="B1004" s="2">
        <v>29.413106196854692</v>
      </c>
      <c r="C1004" s="2">
        <v>24.156879991586511</v>
      </c>
      <c r="D1004" s="2">
        <v>29.16754213978032</v>
      </c>
      <c r="E1004" s="2">
        <v>37.34433425971848</v>
      </c>
      <c r="F1004" s="2">
        <v>41.539775616667839</v>
      </c>
      <c r="G1004" s="2">
        <v>41.700963396117288</v>
      </c>
      <c r="H1004" s="2">
        <v>45.391546347272872</v>
      </c>
    </row>
    <row r="1005" spans="1:8" x14ac:dyDescent="0.2">
      <c r="A1005" s="16">
        <f>DATE(2021,4,8)</f>
        <v>44294</v>
      </c>
      <c r="B1005" s="2">
        <v>30.471355806853495</v>
      </c>
      <c r="C1005" s="2">
        <v>24.169766842543837</v>
      </c>
      <c r="D1005" s="2">
        <v>29.186049939219117</v>
      </c>
      <c r="E1005" s="2">
        <v>37.391764378224224</v>
      </c>
      <c r="F1005" s="2">
        <v>41.592906485874614</v>
      </c>
      <c r="G1005" s="2">
        <v>41.754315789737277</v>
      </c>
      <c r="H1005" s="2">
        <v>45.450020519430922</v>
      </c>
    </row>
    <row r="1006" spans="1:8" x14ac:dyDescent="0.2">
      <c r="A1006" s="16">
        <f>DATE(2021,4,9)</f>
        <v>44295</v>
      </c>
      <c r="B1006" s="2">
        <v>30.625032548372765</v>
      </c>
      <c r="C1006" s="2">
        <v>24.182655031090562</v>
      </c>
      <c r="D1006" s="2">
        <v>29.20456039055199</v>
      </c>
      <c r="E1006" s="2">
        <v>37.439210876117968</v>
      </c>
      <c r="F1006" s="2">
        <v>41.646057299222548</v>
      </c>
      <c r="G1006" s="2">
        <v>41.807688271279297</v>
      </c>
      <c r="H1006" s="2">
        <v>45.508518208972859</v>
      </c>
    </row>
    <row r="1007" spans="1:8" x14ac:dyDescent="0.2">
      <c r="A1007" s="16">
        <f>DATE(2021,4,12)</f>
        <v>44298</v>
      </c>
      <c r="B1007" s="2">
        <v>30.752084968082769</v>
      </c>
      <c r="C1007" s="2">
        <v>24.195544557365523</v>
      </c>
      <c r="D1007" s="2">
        <v>29.223073494158914</v>
      </c>
      <c r="E1007" s="2">
        <v>37.486673759056146</v>
      </c>
      <c r="F1007" s="2">
        <v>41.699228064198209</v>
      </c>
      <c r="G1007" s="2">
        <v>41.861080848306727</v>
      </c>
      <c r="H1007" s="2">
        <v>45.567039425357002</v>
      </c>
    </row>
    <row r="1008" spans="1:8" x14ac:dyDescent="0.2">
      <c r="A1008" s="16">
        <f>DATE(2021,4,13)</f>
        <v>44299</v>
      </c>
      <c r="B1008" s="2">
        <v>30.67379901707621</v>
      </c>
      <c r="C1008" s="2">
        <v>24.208435421507591</v>
      </c>
      <c r="D1008" s="2">
        <v>29.241589250419931</v>
      </c>
      <c r="E1008" s="2">
        <v>37.534153032697112</v>
      </c>
      <c r="F1008" s="2">
        <v>41.752418788290989</v>
      </c>
      <c r="G1008" s="2">
        <v>41.914493528385833</v>
      </c>
      <c r="H1008" s="2">
        <v>45.625584178045472</v>
      </c>
    </row>
    <row r="1009" spans="1:8" x14ac:dyDescent="0.2">
      <c r="A1009" s="16">
        <f>DATE(2021,4,14)</f>
        <v>44300</v>
      </c>
      <c r="B1009" s="2">
        <v>30.416403531140457</v>
      </c>
      <c r="C1009" s="2">
        <v>24.221327623655608</v>
      </c>
      <c r="D1009" s="2">
        <v>29.260107659715121</v>
      </c>
      <c r="E1009" s="2">
        <v>37.581648702701173</v>
      </c>
      <c r="F1009" s="2">
        <v>41.805629478993112</v>
      </c>
      <c r="G1009" s="2">
        <v>41.967926319085663</v>
      </c>
      <c r="H1009" s="2">
        <v>45.684152476504217</v>
      </c>
    </row>
    <row r="1010" spans="1:8" x14ac:dyDescent="0.2">
      <c r="A1010" s="16">
        <f>DATE(2021,4,15)</f>
        <v>44301</v>
      </c>
      <c r="B1010" s="2">
        <v>30.554291253784442</v>
      </c>
      <c r="C1010" s="2">
        <v>24.234221163948465</v>
      </c>
      <c r="D1010" s="2">
        <v>29.278628722424617</v>
      </c>
      <c r="E1010" s="2">
        <v>37.6291607747306</v>
      </c>
      <c r="F1010" s="2">
        <v>41.858860143799561</v>
      </c>
      <c r="G1010" s="2">
        <v>42.021379227978109</v>
      </c>
      <c r="H1010" s="2">
        <v>45.74274433020291</v>
      </c>
    </row>
    <row r="1011" spans="1:8" x14ac:dyDescent="0.2">
      <c r="A1011" s="16">
        <f>DATE(2021,4,16)</f>
        <v>44302</v>
      </c>
      <c r="B1011" s="2">
        <v>31.180041406473769</v>
      </c>
      <c r="C1011" s="2">
        <v>24.24711604252505</v>
      </c>
      <c r="D1011" s="2">
        <v>29.297152438928631</v>
      </c>
      <c r="E1011" s="2">
        <v>37.67668925444967</v>
      </c>
      <c r="F1011" s="2">
        <v>41.912110790208224</v>
      </c>
      <c r="G1011" s="2">
        <v>42.074852262638032</v>
      </c>
      <c r="H1011" s="2">
        <v>45.80135974861517</v>
      </c>
    </row>
    <row r="1012" spans="1:8" x14ac:dyDescent="0.2">
      <c r="A1012" s="16">
        <f>DATE(2021,4,19)</f>
        <v>44305</v>
      </c>
      <c r="B1012" s="2">
        <v>31.244236900365841</v>
      </c>
      <c r="C1012" s="2">
        <v>24.260012259524277</v>
      </c>
      <c r="D1012" s="2">
        <v>29.315678809607395</v>
      </c>
      <c r="E1012" s="2">
        <v>37.724234147524527</v>
      </c>
      <c r="F1012" s="2">
        <v>41.965381425719706</v>
      </c>
      <c r="G1012" s="2">
        <v>42.12834543064303</v>
      </c>
      <c r="H1012" s="2">
        <v>45.859998741218313</v>
      </c>
    </row>
    <row r="1013" spans="1:8" x14ac:dyDescent="0.2">
      <c r="A1013" s="16">
        <f>DATE(2021,4,20)</f>
        <v>44306</v>
      </c>
      <c r="B1013" s="2">
        <v>30.230433834830993</v>
      </c>
      <c r="C1013" s="2">
        <v>24.272909815085054</v>
      </c>
      <c r="D1013" s="2">
        <v>29.334207834841219</v>
      </c>
      <c r="E1013" s="2">
        <v>37.771795459623348</v>
      </c>
      <c r="F1013" s="2">
        <v>42.018672057837492</v>
      </c>
      <c r="G1013" s="2">
        <v>42.181858739573585</v>
      </c>
      <c r="H1013" s="2">
        <v>45.918661317493516</v>
      </c>
    </row>
    <row r="1014" spans="1:8" x14ac:dyDescent="0.2">
      <c r="A1014" s="16">
        <f>DATE(2021,4,22)</f>
        <v>44308</v>
      </c>
      <c r="B1014" s="2">
        <v>30.323733043669819</v>
      </c>
      <c r="C1014" s="2">
        <v>24.285808709346313</v>
      </c>
      <c r="D1014" s="2">
        <v>29.352739515010473</v>
      </c>
      <c r="E1014" s="2">
        <v>37.819373196416194</v>
      </c>
      <c r="F1014" s="2">
        <v>42.071982694067842</v>
      </c>
      <c r="G1014" s="2">
        <v>42.235392197013041</v>
      </c>
      <c r="H1014" s="2">
        <v>45.977347486925744</v>
      </c>
    </row>
    <row r="1015" spans="1:8" x14ac:dyDescent="0.2">
      <c r="A1015" s="16">
        <f>DATE(2021,4,23)</f>
        <v>44309</v>
      </c>
      <c r="B1015" s="2">
        <v>30.957357424462284</v>
      </c>
      <c r="C1015" s="2">
        <v>24.298708942447011</v>
      </c>
      <c r="D1015" s="2">
        <v>29.371273850495559</v>
      </c>
      <c r="E1015" s="2">
        <v>37.866967363575156</v>
      </c>
      <c r="F1015" s="2">
        <v>42.12531334191987</v>
      </c>
      <c r="G1015" s="2">
        <v>42.288945810547588</v>
      </c>
      <c r="H1015" s="2">
        <v>46.036057259003812</v>
      </c>
    </row>
    <row r="1016" spans="1:8" x14ac:dyDescent="0.2">
      <c r="A1016" s="16">
        <f>DATE(2021,4,26)</f>
        <v>44312</v>
      </c>
      <c r="B1016" s="2">
        <v>31.67552961827511</v>
      </c>
      <c r="C1016" s="2">
        <v>24.311610514526127</v>
      </c>
      <c r="D1016" s="2">
        <v>29.389810841676955</v>
      </c>
      <c r="E1016" s="2">
        <v>37.914577966774246</v>
      </c>
      <c r="F1016" s="2">
        <v>42.178664008905486</v>
      </c>
      <c r="G1016" s="2">
        <v>42.342519587766269</v>
      </c>
      <c r="H1016" s="2">
        <v>46.094790643220307</v>
      </c>
    </row>
    <row r="1017" spans="1:8" x14ac:dyDescent="0.2">
      <c r="A1017" s="16">
        <f>DATE(2021,4,27)</f>
        <v>44313</v>
      </c>
      <c r="B1017" s="2">
        <v>30.986319170067802</v>
      </c>
      <c r="C1017" s="2">
        <v>24.324513425722618</v>
      </c>
      <c r="D1017" s="2">
        <v>29.408350488935174</v>
      </c>
      <c r="E1017" s="2">
        <v>37.962205011689427</v>
      </c>
      <c r="F1017" s="2">
        <v>42.232034702539423</v>
      </c>
      <c r="G1017" s="2">
        <v>42.396113536261026</v>
      </c>
      <c r="H1017" s="2">
        <v>46.153547649071669</v>
      </c>
    </row>
    <row r="1018" spans="1:8" x14ac:dyDescent="0.2">
      <c r="A1018" s="16">
        <f>DATE(2021,4,28)</f>
        <v>44314</v>
      </c>
      <c r="B1018" s="2">
        <v>31.951690408917791</v>
      </c>
      <c r="C1018" s="2">
        <v>24.337417676175502</v>
      </c>
      <c r="D1018" s="2">
        <v>29.426892792650783</v>
      </c>
      <c r="E1018" s="2">
        <v>38.009848503998647</v>
      </c>
      <c r="F1018" s="2">
        <v>42.285425430339238</v>
      </c>
      <c r="G1018" s="2">
        <v>42.449727663626597</v>
      </c>
      <c r="H1018" s="2">
        <v>46.212328286058145</v>
      </c>
    </row>
    <row r="1019" spans="1:8" x14ac:dyDescent="0.2">
      <c r="A1019" s="16">
        <f>DATE(2021,4,29)</f>
        <v>44315</v>
      </c>
      <c r="B1019" s="2">
        <v>31.412587187365215</v>
      </c>
      <c r="C1019" s="2">
        <v>24.350323266023754</v>
      </c>
      <c r="D1019" s="2">
        <v>29.44543775320443</v>
      </c>
      <c r="E1019" s="2">
        <v>38.057508449381807</v>
      </c>
      <c r="F1019" s="2">
        <v>42.338836199825302</v>
      </c>
      <c r="G1019" s="2">
        <v>42.503361977460628</v>
      </c>
      <c r="H1019" s="2">
        <v>46.2711325636838</v>
      </c>
    </row>
    <row r="1020" spans="1:8" x14ac:dyDescent="0.2">
      <c r="A1020" s="16">
        <f>DATE(2021,4,30)</f>
        <v>44316</v>
      </c>
      <c r="B1020" s="2">
        <v>30.25357483744715</v>
      </c>
      <c r="C1020" s="2">
        <v>24.363230195406427</v>
      </c>
      <c r="D1020" s="2">
        <v>29.463985370976786</v>
      </c>
      <c r="E1020" s="2">
        <v>38.105184853520768</v>
      </c>
      <c r="F1020" s="2">
        <v>42.392267018520833</v>
      </c>
      <c r="G1020" s="2">
        <v>42.557016485363583</v>
      </c>
      <c r="H1020" s="2">
        <v>46.329960491456525</v>
      </c>
    </row>
    <row r="1021" spans="1:8" x14ac:dyDescent="0.2">
      <c r="A1021" s="16">
        <f>DATE(2021,5,3)</f>
        <v>44319</v>
      </c>
      <c r="B1021" s="2">
        <v>30.438434130695089</v>
      </c>
      <c r="C1021" s="2">
        <v>24.376138464462539</v>
      </c>
      <c r="D1021" s="2">
        <v>29.482535646348595</v>
      </c>
      <c r="E1021" s="2">
        <v>38.189537666311345</v>
      </c>
      <c r="F1021" s="2">
        <v>42.483516976803635</v>
      </c>
      <c r="G1021" s="2">
        <v>42.64853405474345</v>
      </c>
      <c r="H1021" s="2">
        <v>46.427657492552662</v>
      </c>
    </row>
    <row r="1022" spans="1:8" x14ac:dyDescent="0.2">
      <c r="A1022" s="16">
        <f>DATE(2021,5,4)</f>
        <v>44320</v>
      </c>
      <c r="B1022" s="2">
        <v>29.51678944893581</v>
      </c>
      <c r="C1022" s="2">
        <v>24.389048073331153</v>
      </c>
      <c r="D1022" s="2">
        <v>29.501088579700664</v>
      </c>
      <c r="E1022" s="2">
        <v>38.273942000679703</v>
      </c>
      <c r="F1022" s="2">
        <v>42.574825411259766</v>
      </c>
      <c r="G1022" s="2">
        <v>42.740110375812357</v>
      </c>
      <c r="H1022" s="2">
        <v>46.525419720920034</v>
      </c>
    </row>
    <row r="1023" spans="1:8" x14ac:dyDescent="0.2">
      <c r="A1023" s="16">
        <f>DATE(2021,5,5)</f>
        <v>44321</v>
      </c>
      <c r="B1023" s="2">
        <v>30.448508883586921</v>
      </c>
      <c r="C1023" s="2">
        <v>24.401959022151321</v>
      </c>
      <c r="D1023" s="2">
        <v>29.519644171413841</v>
      </c>
      <c r="E1023" s="2">
        <v>38.358397888094565</v>
      </c>
      <c r="F1023" s="2">
        <v>42.666192359362803</v>
      </c>
      <c r="G1023" s="2">
        <v>42.831745486287254</v>
      </c>
      <c r="H1023" s="2">
        <v>46.623247220107558</v>
      </c>
    </row>
    <row r="1024" spans="1:8" x14ac:dyDescent="0.2">
      <c r="A1024" s="16">
        <f>DATE(2021,5,6)</f>
        <v>44322</v>
      </c>
      <c r="B1024" s="2">
        <v>30.288321833706732</v>
      </c>
      <c r="C1024" s="2">
        <v>24.414871311062146</v>
      </c>
      <c r="D1024" s="2">
        <v>29.53820242186902</v>
      </c>
      <c r="E1024" s="2">
        <v>38.442905360043845</v>
      </c>
      <c r="F1024" s="2">
        <v>42.757617858610338</v>
      </c>
      <c r="G1024" s="2">
        <v>42.923439423909258</v>
      </c>
      <c r="H1024" s="2">
        <v>46.721140033693189</v>
      </c>
    </row>
    <row r="1025" spans="1:8" x14ac:dyDescent="0.2">
      <c r="A1025" s="16">
        <f>DATE(2021,5,7)</f>
        <v>44323</v>
      </c>
      <c r="B1025" s="2">
        <v>31.7687071391072</v>
      </c>
      <c r="C1025" s="2">
        <v>24.431379483012527</v>
      </c>
      <c r="D1025" s="2">
        <v>29.560506043192134</v>
      </c>
      <c r="E1025" s="2">
        <v>38.527464448034678</v>
      </c>
      <c r="F1025" s="2">
        <v>42.849101946524002</v>
      </c>
      <c r="G1025" s="2">
        <v>43.015192226443745</v>
      </c>
      <c r="H1025" s="2">
        <v>46.819098205284007</v>
      </c>
    </row>
    <row r="1026" spans="1:8" x14ac:dyDescent="0.2">
      <c r="A1026" s="16">
        <f>DATE(2021,5,10)</f>
        <v>44326</v>
      </c>
      <c r="B1026" s="2">
        <v>31.777047837902895</v>
      </c>
      <c r="C1026" s="2">
        <v>24.447889845374227</v>
      </c>
      <c r="D1026" s="2">
        <v>29.582813504706905</v>
      </c>
      <c r="E1026" s="2">
        <v>38.612075183593461</v>
      </c>
      <c r="F1026" s="2">
        <v>42.940644660649482</v>
      </c>
      <c r="G1026" s="2">
        <v>43.107003931680303</v>
      </c>
      <c r="H1026" s="2">
        <v>46.91712177851619</v>
      </c>
    </row>
    <row r="1027" spans="1:8" x14ac:dyDescent="0.2">
      <c r="A1027" s="16">
        <f>DATE(2021,5,11)</f>
        <v>44327</v>
      </c>
      <c r="B1027" s="2">
        <v>32.283391633972762</v>
      </c>
      <c r="C1027" s="2">
        <v>24.464402398437858</v>
      </c>
      <c r="D1027" s="2">
        <v>29.605124807074535</v>
      </c>
      <c r="E1027" s="2">
        <v>38.696737598265841</v>
      </c>
      <c r="F1027" s="2">
        <v>43.032246038556487</v>
      </c>
      <c r="G1027" s="2">
        <v>43.198874577432811</v>
      </c>
      <c r="H1027" s="2">
        <v>47.015210797055062</v>
      </c>
    </row>
    <row r="1028" spans="1:8" x14ac:dyDescent="0.2">
      <c r="A1028" s="16">
        <f>DATE(2021,5,12)</f>
        <v>44328</v>
      </c>
      <c r="B1028" s="2">
        <v>30.669960774530079</v>
      </c>
      <c r="C1028" s="2">
        <v>24.480917142494118</v>
      </c>
      <c r="D1028" s="2">
        <v>29.627439950956315</v>
      </c>
      <c r="E1028" s="2">
        <v>38.781451723616712</v>
      </c>
      <c r="F1028" s="2">
        <v>43.123906117838807</v>
      </c>
      <c r="G1028" s="2">
        <v>43.290804201539387</v>
      </c>
      <c r="H1028" s="2">
        <v>47.113365304595042</v>
      </c>
    </row>
    <row r="1029" spans="1:8" x14ac:dyDescent="0.2">
      <c r="A1029" s="16">
        <f>DATE(2021,5,13)</f>
        <v>44329</v>
      </c>
      <c r="B1029" s="2">
        <v>31.418169624674675</v>
      </c>
      <c r="C1029" s="2">
        <v>24.497434077833713</v>
      </c>
      <c r="D1029" s="2">
        <v>29.64975893701369</v>
      </c>
      <c r="E1029" s="2">
        <v>38.866217591230324</v>
      </c>
      <c r="F1029" s="2">
        <v>43.215624936114416</v>
      </c>
      <c r="G1029" s="2">
        <v>43.382792841862532</v>
      </c>
      <c r="H1029" s="2">
        <v>47.211585344859849</v>
      </c>
    </row>
    <row r="1030" spans="1:8" x14ac:dyDescent="0.2">
      <c r="A1030" s="16">
        <f>DATE(2021,5,14)</f>
        <v>44330</v>
      </c>
      <c r="B1030" s="2">
        <v>32.280866607832763</v>
      </c>
      <c r="C1030" s="2">
        <v>24.513953204747406</v>
      </c>
      <c r="D1030" s="2">
        <v>29.672081765908185</v>
      </c>
      <c r="E1030" s="2">
        <v>38.951035232710133</v>
      </c>
      <c r="F1030" s="2">
        <v>43.307402531025275</v>
      </c>
      <c r="G1030" s="2">
        <v>43.474840536288916</v>
      </c>
      <c r="H1030" s="2">
        <v>47.309870961602307</v>
      </c>
    </row>
    <row r="1031" spans="1:8" x14ac:dyDescent="0.2">
      <c r="A1031" s="16">
        <f>DATE(2021,5,17)</f>
        <v>44333</v>
      </c>
      <c r="B1031" s="2">
        <v>32.626435195323154</v>
      </c>
      <c r="C1031" s="2">
        <v>24.530474523525989</v>
      </c>
      <c r="D1031" s="2">
        <v>29.694408438301469</v>
      </c>
      <c r="E1031" s="2">
        <v>39.035904679678922</v>
      </c>
      <c r="F1031" s="2">
        <v>43.399238940237517</v>
      </c>
      <c r="G1031" s="2">
        <v>43.566947322729654</v>
      </c>
      <c r="H1031" s="2">
        <v>47.408222198604427</v>
      </c>
    </row>
    <row r="1032" spans="1:8" x14ac:dyDescent="0.2">
      <c r="A1032" s="16">
        <f>DATE(2021,5,18)</f>
        <v>44334</v>
      </c>
      <c r="B1032" s="2">
        <v>32.560632405675278</v>
      </c>
      <c r="C1032" s="2">
        <v>24.546998034460277</v>
      </c>
      <c r="D1032" s="2">
        <v>29.71673895485527</v>
      </c>
      <c r="E1032" s="2">
        <v>39.120825963778813</v>
      </c>
      <c r="F1032" s="2">
        <v>43.491134201441398</v>
      </c>
      <c r="G1032" s="2">
        <v>43.659113239120103</v>
      </c>
      <c r="H1032" s="2">
        <v>47.506639099677514</v>
      </c>
    </row>
    <row r="1033" spans="1:8" x14ac:dyDescent="0.2">
      <c r="A1033" s="16">
        <f>DATE(2021,5,19)</f>
        <v>44335</v>
      </c>
      <c r="B1033" s="2">
        <v>32.158899732738043</v>
      </c>
      <c r="C1033" s="2">
        <v>24.563523737841162</v>
      </c>
      <c r="D1033" s="2">
        <v>29.739073316231512</v>
      </c>
      <c r="E1033" s="2">
        <v>39.205799116671216</v>
      </c>
      <c r="F1033" s="2">
        <v>43.583088352351361</v>
      </c>
      <c r="G1033" s="2">
        <v>43.751338323420043</v>
      </c>
      <c r="H1033" s="2">
        <v>47.605121708662089</v>
      </c>
    </row>
    <row r="1034" spans="1:8" x14ac:dyDescent="0.2">
      <c r="A1034" s="16">
        <f>DATE(2021,5,20)</f>
        <v>44336</v>
      </c>
      <c r="B1034" s="2">
        <v>32.909440936345291</v>
      </c>
      <c r="C1034" s="2">
        <v>24.580051633959531</v>
      </c>
      <c r="D1034" s="2">
        <v>29.76141152309215</v>
      </c>
      <c r="E1034" s="2">
        <v>39.290824170036913</v>
      </c>
      <c r="F1034" s="2">
        <v>43.675101430705986</v>
      </c>
      <c r="G1034" s="2">
        <v>43.843622613613583</v>
      </c>
      <c r="H1034" s="2">
        <v>47.70367006942795</v>
      </c>
    </row>
    <row r="1035" spans="1:8" x14ac:dyDescent="0.2">
      <c r="A1035" s="16">
        <f>DATE(2021,5,21)</f>
        <v>44337</v>
      </c>
      <c r="B1035" s="2">
        <v>32.284943156058766</v>
      </c>
      <c r="C1035" s="2">
        <v>24.596581723106347</v>
      </c>
      <c r="D1035" s="2">
        <v>29.783753576099325</v>
      </c>
      <c r="E1035" s="2">
        <v>39.37590115557601</v>
      </c>
      <c r="F1035" s="2">
        <v>43.767173474268041</v>
      </c>
      <c r="G1035" s="2">
        <v>43.935966147709252</v>
      </c>
      <c r="H1035" s="2">
        <v>47.802284225874182</v>
      </c>
    </row>
    <row r="1036" spans="1:8" x14ac:dyDescent="0.2">
      <c r="A1036" s="16">
        <f>DATE(2021,5,24)</f>
        <v>44340</v>
      </c>
      <c r="B1036" s="2">
        <v>32.691401379924635</v>
      </c>
      <c r="C1036" s="2">
        <v>24.613114005572577</v>
      </c>
      <c r="D1036" s="2">
        <v>29.806099475915239</v>
      </c>
      <c r="E1036" s="2">
        <v>39.461030105008007</v>
      </c>
      <c r="F1036" s="2">
        <v>43.859304520824494</v>
      </c>
      <c r="G1036" s="2">
        <v>44.028368963739943</v>
      </c>
      <c r="H1036" s="2">
        <v>47.9009642219292</v>
      </c>
    </row>
    <row r="1037" spans="1:8" x14ac:dyDescent="0.2">
      <c r="A1037" s="16">
        <f>DATE(2021,5,25)</f>
        <v>44341</v>
      </c>
      <c r="B1037" s="2">
        <v>32.901313191561378</v>
      </c>
      <c r="C1037" s="2">
        <v>24.629648481649259</v>
      </c>
      <c r="D1037" s="2">
        <v>29.828449223202249</v>
      </c>
      <c r="E1037" s="2">
        <v>39.546211050071769</v>
      </c>
      <c r="F1037" s="2">
        <v>43.951494608186522</v>
      </c>
      <c r="G1037" s="2">
        <v>44.120831099762967</v>
      </c>
      <c r="H1037" s="2">
        <v>47.999710101550711</v>
      </c>
    </row>
    <row r="1038" spans="1:8" x14ac:dyDescent="0.2">
      <c r="A1038" s="16">
        <f>DATE(2021,5,26)</f>
        <v>44342</v>
      </c>
      <c r="B1038" s="2">
        <v>33.450835948691577</v>
      </c>
      <c r="C1038" s="2">
        <v>24.646185151627442</v>
      </c>
      <c r="D1038" s="2">
        <v>29.850802818622778</v>
      </c>
      <c r="E1038" s="2">
        <v>39.631444022525521</v>
      </c>
      <c r="F1038" s="2">
        <v>44.043743774189579</v>
      </c>
      <c r="G1038" s="2">
        <v>44.213352593860101</v>
      </c>
      <c r="H1038" s="2">
        <v>48.098521908725793</v>
      </c>
    </row>
    <row r="1039" spans="1:8" x14ac:dyDescent="0.2">
      <c r="A1039" s="16">
        <f>DATE(2021,5,27)</f>
        <v>44343</v>
      </c>
      <c r="B1039" s="2">
        <v>34.171142752956051</v>
      </c>
      <c r="C1039" s="2">
        <v>24.662724015798254</v>
      </c>
      <c r="D1039" s="2">
        <v>29.873160262839392</v>
      </c>
      <c r="E1039" s="2">
        <v>39.716729054146896</v>
      </c>
      <c r="F1039" s="2">
        <v>44.136052056693309</v>
      </c>
      <c r="G1039" s="2">
        <v>44.30593348413754</v>
      </c>
      <c r="H1039" s="2">
        <v>48.197399687470899</v>
      </c>
    </row>
    <row r="1040" spans="1:8" x14ac:dyDescent="0.2">
      <c r="A1040" s="16">
        <f>DATE(2021,5,28)</f>
        <v>44344</v>
      </c>
      <c r="B1040" s="2">
        <v>34.558678491772987</v>
      </c>
      <c r="C1040" s="2">
        <v>24.679265074452815</v>
      </c>
      <c r="D1040" s="2">
        <v>29.89552155651478</v>
      </c>
      <c r="E1040" s="2">
        <v>39.802066176732943</v>
      </c>
      <c r="F1040" s="2">
        <v>44.228419493581647</v>
      </c>
      <c r="G1040" s="2">
        <v>44.398573808725963</v>
      </c>
      <c r="H1040" s="2">
        <v>48.296343481831848</v>
      </c>
    </row>
    <row r="1041" spans="1:8" x14ac:dyDescent="0.2">
      <c r="A1041" s="16">
        <f>DATE(2021,5,31)</f>
        <v>44347</v>
      </c>
      <c r="B1041" s="2">
        <v>34.405721737626948</v>
      </c>
      <c r="C1041" s="2">
        <v>24.695808327882297</v>
      </c>
      <c r="D1041" s="2">
        <v>29.917886700311747</v>
      </c>
      <c r="E1041" s="2">
        <v>39.887455422100153</v>
      </c>
      <c r="F1041" s="2">
        <v>44.320846122762788</v>
      </c>
      <c r="G1041" s="2">
        <v>44.491273605780492</v>
      </c>
      <c r="H1041" s="2">
        <v>48.395353335883875</v>
      </c>
    </row>
    <row r="1042" spans="1:8" x14ac:dyDescent="0.2">
      <c r="A1042" s="16">
        <f>DATE(2021,6,1)</f>
        <v>44348</v>
      </c>
      <c r="B1042" s="2">
        <v>35.32837541577549</v>
      </c>
      <c r="C1042" s="2">
        <v>24.712353776377928</v>
      </c>
      <c r="D1042" s="2">
        <v>29.940255694893182</v>
      </c>
      <c r="E1042" s="2">
        <v>39.949089183126695</v>
      </c>
      <c r="F1042" s="2">
        <v>44.388769080732104</v>
      </c>
      <c r="G1042" s="2">
        <v>44.559440977950352</v>
      </c>
      <c r="H1042" s="2">
        <v>48.469172248688473</v>
      </c>
    </row>
    <row r="1043" spans="1:8" x14ac:dyDescent="0.2">
      <c r="A1043" s="16">
        <f>DATE(2021,6,2)</f>
        <v>44349</v>
      </c>
      <c r="B1043" s="2">
        <v>35.775700528573552</v>
      </c>
      <c r="C1043" s="2">
        <v>24.728901420230986</v>
      </c>
      <c r="D1043" s="2">
        <v>29.962628540922129</v>
      </c>
      <c r="E1043" s="2">
        <v>40.010750099701141</v>
      </c>
      <c r="F1043" s="2">
        <v>44.456724005865844</v>
      </c>
      <c r="G1043" s="2">
        <v>44.627640509782957</v>
      </c>
      <c r="H1043" s="2">
        <v>48.543027882534304</v>
      </c>
    </row>
    <row r="1044" spans="1:8" x14ac:dyDescent="0.2">
      <c r="A1044" s="16">
        <f>DATE(2021,6,4)</f>
        <v>44351</v>
      </c>
      <c r="B1044" s="2">
        <v>36.354387844653836</v>
      </c>
      <c r="C1044" s="2">
        <v>24.745451259732686</v>
      </c>
      <c r="D1044" s="2">
        <v>29.985005239061646</v>
      </c>
      <c r="E1044" s="2">
        <v>40.072438183788115</v>
      </c>
      <c r="F1044" s="2">
        <v>44.524710913208999</v>
      </c>
      <c r="G1044" s="2">
        <v>44.695872216450439</v>
      </c>
      <c r="H1044" s="2">
        <v>48.616920255688157</v>
      </c>
    </row>
    <row r="1045" spans="1:8" x14ac:dyDescent="0.2">
      <c r="A1045" s="16">
        <f>DATE(2021,6,7)</f>
        <v>44354</v>
      </c>
      <c r="B1045" s="2">
        <v>36.207637178851868</v>
      </c>
      <c r="C1045" s="2">
        <v>24.762003295174463</v>
      </c>
      <c r="D1045" s="2">
        <v>30.007385789975061</v>
      </c>
      <c r="E1045" s="2">
        <v>40.134153447357491</v>
      </c>
      <c r="F1045" s="2">
        <v>44.592729817813634</v>
      </c>
      <c r="G1045" s="2">
        <v>44.764136113132061</v>
      </c>
      <c r="H1045" s="2">
        <v>48.690849386425917</v>
      </c>
    </row>
    <row r="1046" spans="1:8" x14ac:dyDescent="0.2">
      <c r="A1046" s="16">
        <f>DATE(2021,6,8)</f>
        <v>44355</v>
      </c>
      <c r="B1046" s="2">
        <v>35.91986025389857</v>
      </c>
      <c r="C1046" s="2">
        <v>24.778557526847631</v>
      </c>
      <c r="D1046" s="2">
        <v>30.02977019432571</v>
      </c>
      <c r="E1046" s="2">
        <v>40.195895902384414</v>
      </c>
      <c r="F1046" s="2">
        <v>44.660780734738893</v>
      </c>
      <c r="G1046" s="2">
        <v>44.832432215014272</v>
      </c>
      <c r="H1046" s="2">
        <v>48.764815293032541</v>
      </c>
    </row>
    <row r="1047" spans="1:8" x14ac:dyDescent="0.2">
      <c r="A1047" s="16">
        <f>DATE(2021,6,9)</f>
        <v>44356</v>
      </c>
      <c r="B1047" s="2">
        <v>35.379600996281901</v>
      </c>
      <c r="C1047" s="2">
        <v>24.795113955043615</v>
      </c>
      <c r="D1047" s="2">
        <v>30.052158452777068</v>
      </c>
      <c r="E1047" s="2">
        <v>40.257665560849354</v>
      </c>
      <c r="F1047" s="2">
        <v>44.728863679051024</v>
      </c>
      <c r="G1047" s="2">
        <v>44.900760537290729</v>
      </c>
      <c r="H1047" s="2">
        <v>48.838817993802138</v>
      </c>
    </row>
    <row r="1048" spans="1:8" x14ac:dyDescent="0.2">
      <c r="A1048" s="16">
        <f>DATE(2021,6,10)</f>
        <v>44357</v>
      </c>
      <c r="B1048" s="2">
        <v>35.011469424207384</v>
      </c>
      <c r="C1048" s="2">
        <v>24.811672580053855</v>
      </c>
      <c r="D1048" s="2">
        <v>30.07455056599273</v>
      </c>
      <c r="E1048" s="2">
        <v>40.319462434737957</v>
      </c>
      <c r="F1048" s="2">
        <v>44.796978665823303</v>
      </c>
      <c r="G1048" s="2">
        <v>44.969121095162137</v>
      </c>
      <c r="H1048" s="2">
        <v>48.91285750703782</v>
      </c>
    </row>
    <row r="1049" spans="1:8" x14ac:dyDescent="0.2">
      <c r="A1049" s="16">
        <f>DATE(2021,6,11)</f>
        <v>44358</v>
      </c>
      <c r="B1049" s="2">
        <v>34.31677287502928</v>
      </c>
      <c r="C1049" s="2">
        <v>24.828233402169865</v>
      </c>
      <c r="D1049" s="2">
        <v>30.096946534636441</v>
      </c>
      <c r="E1049" s="2">
        <v>40.381286536041294</v>
      </c>
      <c r="F1049" s="2">
        <v>44.865125710136212</v>
      </c>
      <c r="G1049" s="2">
        <v>45.037513903836498</v>
      </c>
      <c r="H1049" s="2">
        <v>48.986933851051909</v>
      </c>
    </row>
    <row r="1050" spans="1:8" x14ac:dyDescent="0.2">
      <c r="A1050" s="16">
        <f>DATE(2021,6,14)</f>
        <v>44361</v>
      </c>
      <c r="B1050" s="2">
        <v>35.010719014832439</v>
      </c>
      <c r="C1050" s="2">
        <v>24.844796421683089</v>
      </c>
      <c r="D1050" s="2">
        <v>30.1193463593719</v>
      </c>
      <c r="E1050" s="2">
        <v>40.443137876755529</v>
      </c>
      <c r="F1050" s="2">
        <v>44.933304827077201</v>
      </c>
      <c r="G1050" s="2">
        <v>45.105938978528904</v>
      </c>
      <c r="H1050" s="2">
        <v>49.061047044165718</v>
      </c>
    </row>
    <row r="1051" spans="1:8" x14ac:dyDescent="0.2">
      <c r="A1051" s="16">
        <f>DATE(2021,6,15)</f>
        <v>44362</v>
      </c>
      <c r="B1051" s="2">
        <v>35.160060621111363</v>
      </c>
      <c r="C1051" s="2">
        <v>24.861361638885192</v>
      </c>
      <c r="D1051" s="2">
        <v>30.141750040863169</v>
      </c>
      <c r="E1051" s="2">
        <v>40.505016468882296</v>
      </c>
      <c r="F1051" s="2">
        <v>45.00151603174092</v>
      </c>
      <c r="G1051" s="2">
        <v>45.174396334461655</v>
      </c>
      <c r="H1051" s="2">
        <v>49.135197104709796</v>
      </c>
    </row>
    <row r="1052" spans="1:8" x14ac:dyDescent="0.2">
      <c r="A1052" s="16">
        <f>DATE(2021,6,16)</f>
        <v>44363</v>
      </c>
      <c r="B1052" s="2">
        <v>35.336472738557688</v>
      </c>
      <c r="C1052" s="2">
        <v>24.877929054067739</v>
      </c>
      <c r="D1052" s="2">
        <v>30.164157579774241</v>
      </c>
      <c r="E1052" s="2">
        <v>40.566922324428397</v>
      </c>
      <c r="F1052" s="2">
        <v>45.069759339229101</v>
      </c>
      <c r="G1052" s="2">
        <v>45.242885986864231</v>
      </c>
      <c r="H1052" s="2">
        <v>49.209384051023747</v>
      </c>
    </row>
    <row r="1053" spans="1:8" x14ac:dyDescent="0.2">
      <c r="A1053" s="16">
        <f>DATE(2021,6,17)</f>
        <v>44364</v>
      </c>
      <c r="B1053" s="2">
        <v>35.211656335971654</v>
      </c>
      <c r="C1053" s="2">
        <v>24.894498667522381</v>
      </c>
      <c r="D1053" s="2">
        <v>30.18656897676928</v>
      </c>
      <c r="E1053" s="2">
        <v>40.62885545540604</v>
      </c>
      <c r="F1053" s="2">
        <v>45.138034764650591</v>
      </c>
      <c r="G1053" s="2">
        <v>45.311407950973347</v>
      </c>
      <c r="H1053" s="2">
        <v>49.283607901456357</v>
      </c>
    </row>
    <row r="1054" spans="1:8" x14ac:dyDescent="0.2">
      <c r="A1054" s="16">
        <f>DATE(2021,6,18)</f>
        <v>44365</v>
      </c>
      <c r="B1054" s="2">
        <v>35.750724065188891</v>
      </c>
      <c r="C1054" s="2">
        <v>24.914652903896116</v>
      </c>
      <c r="D1054" s="2">
        <v>30.212718599967815</v>
      </c>
      <c r="E1054" s="2">
        <v>40.690815873832541</v>
      </c>
      <c r="F1054" s="2">
        <v>45.20634232312122</v>
      </c>
      <c r="G1054" s="2">
        <v>45.379962242032754</v>
      </c>
      <c r="H1054" s="2">
        <v>49.357868674365378</v>
      </c>
    </row>
    <row r="1055" spans="1:8" x14ac:dyDescent="0.2">
      <c r="A1055" s="16">
        <f>DATE(2021,6,21)</f>
        <v>44368</v>
      </c>
      <c r="B1055" s="2">
        <v>35.552975983893155</v>
      </c>
      <c r="C1055" s="2">
        <v>24.934810392560781</v>
      </c>
      <c r="D1055" s="2">
        <v>30.238873475649775</v>
      </c>
      <c r="E1055" s="2">
        <v>40.752803591730697</v>
      </c>
      <c r="F1055" s="2">
        <v>45.274682029764143</v>
      </c>
      <c r="G1055" s="2">
        <v>45.448548875293618</v>
      </c>
      <c r="H1055" s="2">
        <v>49.432166388117913</v>
      </c>
    </row>
    <row r="1056" spans="1:8" x14ac:dyDescent="0.2">
      <c r="A1056" s="16">
        <f>DATE(2021,6,22)</f>
        <v>44369</v>
      </c>
      <c r="B1056" s="2">
        <v>35.214799942812583</v>
      </c>
      <c r="C1056" s="2">
        <v>24.95497113404117</v>
      </c>
      <c r="D1056" s="2">
        <v>30.265033604870158</v>
      </c>
      <c r="E1056" s="2">
        <v>40.814818621128524</v>
      </c>
      <c r="F1056" s="2">
        <v>45.343053899709517</v>
      </c>
      <c r="G1056" s="2">
        <v>45.51716786601412</v>
      </c>
      <c r="H1056" s="2">
        <v>49.506501061090049</v>
      </c>
    </row>
    <row r="1057" spans="1:8" x14ac:dyDescent="0.2">
      <c r="A1057" s="16">
        <f>DATE(2021,6,23)</f>
        <v>44370</v>
      </c>
      <c r="B1057" s="2">
        <v>35.262826142808308</v>
      </c>
      <c r="C1057" s="2">
        <v>24.975135128862224</v>
      </c>
      <c r="D1057" s="2">
        <v>30.291198988684219</v>
      </c>
      <c r="E1057" s="2">
        <v>40.87686097405934</v>
      </c>
      <c r="F1057" s="2">
        <v>45.411457948094622</v>
      </c>
      <c r="G1057" s="2">
        <v>45.585819229459723</v>
      </c>
      <c r="H1057" s="2">
        <v>49.58087271166707</v>
      </c>
    </row>
    <row r="1058" spans="1:8" x14ac:dyDescent="0.2">
      <c r="A1058" s="16">
        <f>DATE(2021,6,24)</f>
        <v>44371</v>
      </c>
      <c r="B1058" s="2">
        <v>35.667884954596609</v>
      </c>
      <c r="C1058" s="2">
        <v>24.995302377548899</v>
      </c>
      <c r="D1058" s="2">
        <v>30.317369628147418</v>
      </c>
      <c r="E1058" s="2">
        <v>40.938930662561759</v>
      </c>
      <c r="F1058" s="2">
        <v>45.47989419006386</v>
      </c>
      <c r="G1058" s="2">
        <v>45.654502980903054</v>
      </c>
      <c r="H1058" s="2">
        <v>49.6552813582434</v>
      </c>
    </row>
    <row r="1059" spans="1:8" x14ac:dyDescent="0.2">
      <c r="A1059" s="16">
        <f>DATE(2021,6,25)</f>
        <v>44372</v>
      </c>
      <c r="B1059" s="2">
        <v>35.382212218093301</v>
      </c>
      <c r="C1059" s="2">
        <v>25.015472880626309</v>
      </c>
      <c r="D1059" s="2">
        <v>30.343545524315395</v>
      </c>
      <c r="E1059" s="2">
        <v>41.001027698679707</v>
      </c>
      <c r="F1059" s="2">
        <v>45.548362640768801</v>
      </c>
      <c r="G1059" s="2">
        <v>45.723219135623957</v>
      </c>
      <c r="H1059" s="2">
        <v>49.729727019222601</v>
      </c>
    </row>
    <row r="1060" spans="1:8" x14ac:dyDescent="0.2">
      <c r="A1060" s="16">
        <f>DATE(2021,6,28)</f>
        <v>44375</v>
      </c>
      <c r="B1060" s="2">
        <v>35.707768198807592</v>
      </c>
      <c r="C1060" s="2">
        <v>25.035646638619589</v>
      </c>
      <c r="D1060" s="2">
        <v>30.369726678244046</v>
      </c>
      <c r="E1060" s="2">
        <v>41.06315209446241</v>
      </c>
      <c r="F1060" s="2">
        <v>45.616863315368093</v>
      </c>
      <c r="G1060" s="2">
        <v>45.791967708909503</v>
      </c>
      <c r="H1060" s="2">
        <v>49.8042097130174</v>
      </c>
    </row>
    <row r="1061" spans="1:8" x14ac:dyDescent="0.2">
      <c r="A1061" s="16">
        <f>DATE(2021,6,29)</f>
        <v>44376</v>
      </c>
      <c r="B1061" s="2">
        <v>35.592838946769682</v>
      </c>
      <c r="C1061" s="2">
        <v>25.055823652053991</v>
      </c>
      <c r="D1061" s="2">
        <v>30.395913090989456</v>
      </c>
      <c r="E1061" s="2">
        <v>41.125303861964397</v>
      </c>
      <c r="F1061" s="2">
        <v>45.685396229027567</v>
      </c>
      <c r="G1061" s="2">
        <v>45.860748716053948</v>
      </c>
      <c r="H1061" s="2">
        <v>49.878729458049698</v>
      </c>
    </row>
    <row r="1062" spans="1:8" x14ac:dyDescent="0.2">
      <c r="A1062" s="16">
        <f>DATE(2021,6,30)</f>
        <v>44377</v>
      </c>
      <c r="B1062" s="2">
        <v>35.158686560701867</v>
      </c>
      <c r="C1062" s="2">
        <v>25.076003921454838</v>
      </c>
      <c r="D1062" s="2">
        <v>30.422104763607916</v>
      </c>
      <c r="E1062" s="2">
        <v>41.187483013245547</v>
      </c>
      <c r="F1062" s="2">
        <v>45.75396139692014</v>
      </c>
      <c r="G1062" s="2">
        <v>45.929562172358793</v>
      </c>
      <c r="H1062" s="2">
        <v>49.953286272750532</v>
      </c>
    </row>
    <row r="1063" spans="1:8" x14ac:dyDescent="0.2">
      <c r="A1063" s="16">
        <f>DATE(2021,7,1)</f>
        <v>44378</v>
      </c>
      <c r="B1063" s="2">
        <v>34.582012167066466</v>
      </c>
      <c r="C1063" s="2">
        <v>25.09618744734756</v>
      </c>
      <c r="D1063" s="2">
        <v>30.448301697155934</v>
      </c>
      <c r="E1063" s="2">
        <v>41.274612048724045</v>
      </c>
      <c r="F1063" s="2">
        <v>45.848288172360839</v>
      </c>
      <c r="G1063" s="2">
        <v>46.024168458600307</v>
      </c>
      <c r="H1063" s="2">
        <v>50.054351512296762</v>
      </c>
    </row>
    <row r="1064" spans="1:8" x14ac:dyDescent="0.2">
      <c r="A1064" s="16">
        <f>DATE(2021,7,2)</f>
        <v>44379</v>
      </c>
      <c r="B1064" s="2">
        <v>34.999513577544583</v>
      </c>
      <c r="C1064" s="2">
        <v>25.116374230257655</v>
      </c>
      <c r="D1064" s="2">
        <v>30.47450389269024</v>
      </c>
      <c r="E1064" s="2">
        <v>41.361794852912489</v>
      </c>
      <c r="F1064" s="2">
        <v>45.942675992732873</v>
      </c>
      <c r="G1064" s="2">
        <v>46.118836078195159</v>
      </c>
      <c r="H1064" s="2">
        <v>50.155484867606901</v>
      </c>
    </row>
    <row r="1065" spans="1:8" x14ac:dyDescent="0.2">
      <c r="A1065" s="16">
        <f>DATE(2021,7,5)</f>
        <v>44382</v>
      </c>
      <c r="B1065" s="2">
        <v>34.494853132234724</v>
      </c>
      <c r="C1065" s="2">
        <v>25.136564270710714</v>
      </c>
      <c r="D1065" s="2">
        <v>30.500711351267775</v>
      </c>
      <c r="E1065" s="2">
        <v>41.449031458992415</v>
      </c>
      <c r="F1065" s="2">
        <v>46.037124897542348</v>
      </c>
      <c r="G1065" s="2">
        <v>46.213565070905794</v>
      </c>
      <c r="H1065" s="2">
        <v>50.256686384589493</v>
      </c>
    </row>
    <row r="1066" spans="1:8" x14ac:dyDescent="0.2">
      <c r="A1066" s="16">
        <f>DATE(2021,7,6)</f>
        <v>44383</v>
      </c>
      <c r="B1066" s="2">
        <v>32.90248950895991</v>
      </c>
      <c r="C1066" s="2">
        <v>25.15675756923239</v>
      </c>
      <c r="D1066" s="2">
        <v>30.526924073945679</v>
      </c>
      <c r="E1066" s="2">
        <v>41.536321900165788</v>
      </c>
      <c r="F1066" s="2">
        <v>46.131634926320913</v>
      </c>
      <c r="G1066" s="2">
        <v>46.308355476520461</v>
      </c>
      <c r="H1066" s="2">
        <v>50.357956109183966</v>
      </c>
    </row>
    <row r="1067" spans="1:8" x14ac:dyDescent="0.2">
      <c r="A1067" s="16">
        <f>DATE(2021,7,7)</f>
        <v>44384</v>
      </c>
      <c r="B1067" s="2">
        <v>33.203327613303955</v>
      </c>
      <c r="C1067" s="2">
        <v>25.176954126348459</v>
      </c>
      <c r="D1067" s="2">
        <v>30.553142061781347</v>
      </c>
      <c r="E1067" s="2">
        <v>41.623666209655163</v>
      </c>
      <c r="F1067" s="2">
        <v>46.226206118625868</v>
      </c>
      <c r="G1067" s="2">
        <v>46.403207334853263</v>
      </c>
      <c r="H1067" s="2">
        <v>50.459294087360831</v>
      </c>
    </row>
    <row r="1068" spans="1:8" x14ac:dyDescent="0.2">
      <c r="A1068" s="16">
        <f>DATE(2021,7,8)</f>
        <v>44385</v>
      </c>
      <c r="B1068" s="2">
        <v>31.79001268095498</v>
      </c>
      <c r="C1068" s="2">
        <v>25.197153942584752</v>
      </c>
      <c r="D1068" s="2">
        <v>30.57936531583232</v>
      </c>
      <c r="E1068" s="2">
        <v>41.711064420703515</v>
      </c>
      <c r="F1068" s="2">
        <v>46.320838514040048</v>
      </c>
      <c r="G1068" s="2">
        <v>46.498120685744013</v>
      </c>
      <c r="H1068" s="2">
        <v>50.560700365121477</v>
      </c>
    </row>
    <row r="1069" spans="1:8" x14ac:dyDescent="0.2">
      <c r="A1069" s="16">
        <f>DATE(2021,7,9)</f>
        <v>44386</v>
      </c>
      <c r="B1069" s="2">
        <v>31.80199894961946</v>
      </c>
      <c r="C1069" s="2">
        <v>25.21735701846719</v>
      </c>
      <c r="D1069" s="2">
        <v>30.605593837156373</v>
      </c>
      <c r="E1069" s="2">
        <v>41.798516566574321</v>
      </c>
      <c r="F1069" s="2">
        <v>46.415532152171934</v>
      </c>
      <c r="G1069" s="2">
        <v>46.59309556905842</v>
      </c>
      <c r="H1069" s="2">
        <v>50.662174988498343</v>
      </c>
    </row>
    <row r="1070" spans="1:8" x14ac:dyDescent="0.2">
      <c r="A1070" s="16">
        <f>DATE(2021,7,12)</f>
        <v>44389</v>
      </c>
      <c r="B1070" s="2">
        <v>32.982458810726499</v>
      </c>
      <c r="C1070" s="2">
        <v>25.237563354521786</v>
      </c>
      <c r="D1070" s="2">
        <v>30.631827626811535</v>
      </c>
      <c r="E1070" s="2">
        <v>41.88602268055164</v>
      </c>
      <c r="F1070" s="2">
        <v>46.510287072655629</v>
      </c>
      <c r="G1070" s="2">
        <v>46.688132024688002</v>
      </c>
      <c r="H1070" s="2">
        <v>50.763718003554857</v>
      </c>
    </row>
    <row r="1071" spans="1:8" x14ac:dyDescent="0.2">
      <c r="A1071" s="16">
        <f>DATE(2021,7,13)</f>
        <v>44390</v>
      </c>
      <c r="B1071" s="2">
        <v>33.357744623530976</v>
      </c>
      <c r="C1071" s="2">
        <v>25.257772951274625</v>
      </c>
      <c r="D1071" s="2">
        <v>30.658066685855999</v>
      </c>
      <c r="E1071" s="2">
        <v>41.973582795940032</v>
      </c>
      <c r="F1071" s="2">
        <v>46.605103315150885</v>
      </c>
      <c r="G1071" s="2">
        <v>46.783230092550163</v>
      </c>
      <c r="H1071" s="2">
        <v>50.86532945638556</v>
      </c>
    </row>
    <row r="1072" spans="1:8" x14ac:dyDescent="0.2">
      <c r="A1072" s="16">
        <f>DATE(2021,7,14)</f>
        <v>44391</v>
      </c>
      <c r="B1072" s="2">
        <v>33.289898489436489</v>
      </c>
      <c r="C1072" s="2">
        <v>25.277985809251891</v>
      </c>
      <c r="D1072" s="2">
        <v>30.684311015348211</v>
      </c>
      <c r="E1072" s="2">
        <v>42.061196946064634</v>
      </c>
      <c r="F1072" s="2">
        <v>46.699980919343133</v>
      </c>
      <c r="G1072" s="2">
        <v>46.878389812588182</v>
      </c>
      <c r="H1072" s="2">
        <v>50.96700939311598</v>
      </c>
    </row>
    <row r="1073" spans="1:8" x14ac:dyDescent="0.2">
      <c r="A1073" s="16">
        <f>DATE(2021,7,15)</f>
        <v>44392</v>
      </c>
      <c r="B1073" s="2">
        <v>32.489039295039788</v>
      </c>
      <c r="C1073" s="2">
        <v>25.298201928979847</v>
      </c>
      <c r="D1073" s="2">
        <v>30.710560616346779</v>
      </c>
      <c r="E1073" s="2">
        <v>42.148865164271122</v>
      </c>
      <c r="F1073" s="2">
        <v>46.794919924943471</v>
      </c>
      <c r="G1073" s="2">
        <v>46.973611224771219</v>
      </c>
      <c r="H1073" s="2">
        <v>51.068757859902767</v>
      </c>
    </row>
    <row r="1074" spans="1:8" x14ac:dyDescent="0.2">
      <c r="A1074" s="16">
        <f>DATE(2021,7,16)</f>
        <v>44393</v>
      </c>
      <c r="B1074" s="2">
        <v>32.091357818660441</v>
      </c>
      <c r="C1074" s="2">
        <v>25.318421310984849</v>
      </c>
      <c r="D1074" s="2">
        <v>30.736815489910562</v>
      </c>
      <c r="E1074" s="2">
        <v>42.236587483925781</v>
      </c>
      <c r="F1074" s="2">
        <v>46.88992037168871</v>
      </c>
      <c r="G1074" s="2">
        <v>47.068894369094359</v>
      </c>
      <c r="H1074" s="2">
        <v>51.170574902933708</v>
      </c>
    </row>
    <row r="1075" spans="1:8" x14ac:dyDescent="0.2">
      <c r="A1075" s="16">
        <f>DATE(2021,7,19)</f>
        <v>44396</v>
      </c>
      <c r="B1075" s="2">
        <v>31.771216954246359</v>
      </c>
      <c r="C1075" s="2">
        <v>25.33864395579333</v>
      </c>
      <c r="D1075" s="2">
        <v>30.763075637098613</v>
      </c>
      <c r="E1075" s="2">
        <v>42.32436393841548</v>
      </c>
      <c r="F1075" s="2">
        <v>46.984982299341361</v>
      </c>
      <c r="G1075" s="2">
        <v>47.164239285578624</v>
      </c>
      <c r="H1075" s="2">
        <v>51.272460568427668</v>
      </c>
    </row>
    <row r="1076" spans="1:8" x14ac:dyDescent="0.2">
      <c r="A1076" s="16">
        <f>DATE(2021,7,20)</f>
        <v>44397</v>
      </c>
      <c r="B1076" s="2">
        <v>31.951061687549618</v>
      </c>
      <c r="C1076" s="2">
        <v>25.35886986393179</v>
      </c>
      <c r="D1076" s="2">
        <v>30.789341058970219</v>
      </c>
      <c r="E1076" s="2">
        <v>42.412194561147665</v>
      </c>
      <c r="F1076" s="2">
        <v>47.080105747689707</v>
      </c>
      <c r="G1076" s="2">
        <v>47.259646014270949</v>
      </c>
      <c r="H1076" s="2">
        <v>51.374414902634719</v>
      </c>
    </row>
    <row r="1077" spans="1:8" x14ac:dyDescent="0.2">
      <c r="A1077" s="16">
        <f>DATE(2021,7,21)</f>
        <v>44398</v>
      </c>
      <c r="B1077" s="2">
        <v>31.911573929360571</v>
      </c>
      <c r="C1077" s="2">
        <v>25.379099035926856</v>
      </c>
      <c r="D1077" s="2">
        <v>30.815611756584872</v>
      </c>
      <c r="E1077" s="2">
        <v>42.500079385550428</v>
      </c>
      <c r="F1077" s="2">
        <v>47.175290756547717</v>
      </c>
      <c r="G1077" s="2">
        <v>47.35511459524426</v>
      </c>
      <c r="H1077" s="2">
        <v>51.476437951836047</v>
      </c>
    </row>
    <row r="1078" spans="1:8" x14ac:dyDescent="0.2">
      <c r="A1078" s="16">
        <f>DATE(2021,7,22)</f>
        <v>44399</v>
      </c>
      <c r="B1078" s="2">
        <v>31.7632463898045</v>
      </c>
      <c r="C1078" s="2">
        <v>25.399331472305199</v>
      </c>
      <c r="D1078" s="2">
        <v>30.84188773100227</v>
      </c>
      <c r="E1078" s="2">
        <v>42.588018445072493</v>
      </c>
      <c r="F1078" s="2">
        <v>47.270537365755168</v>
      </c>
      <c r="G1078" s="2">
        <v>47.45064506859746</v>
      </c>
      <c r="H1078" s="2">
        <v>51.578529762344068</v>
      </c>
    </row>
    <row r="1079" spans="1:8" x14ac:dyDescent="0.2">
      <c r="A1079" s="16">
        <f>DATE(2021,7,23)</f>
        <v>44400</v>
      </c>
      <c r="B1079" s="2">
        <v>30.773415861598611</v>
      </c>
      <c r="C1079" s="2">
        <v>25.419567173593617</v>
      </c>
      <c r="D1079" s="2">
        <v>30.868168983282306</v>
      </c>
      <c r="E1079" s="2">
        <v>42.676011773183212</v>
      </c>
      <c r="F1079" s="2">
        <v>47.365845615177648</v>
      </c>
      <c r="G1079" s="2">
        <v>47.546237474455431</v>
      </c>
      <c r="H1079" s="2">
        <v>51.680690380502398</v>
      </c>
    </row>
    <row r="1080" spans="1:8" x14ac:dyDescent="0.2">
      <c r="A1080" s="16">
        <f>DATE(2021,7,26)</f>
        <v>44403</v>
      </c>
      <c r="B1080" s="2">
        <v>30.283687548783188</v>
      </c>
      <c r="C1080" s="2">
        <v>25.439806140318954</v>
      </c>
      <c r="D1080" s="2">
        <v>30.894455514485131</v>
      </c>
      <c r="E1080" s="2">
        <v>42.764059403372556</v>
      </c>
      <c r="F1080" s="2">
        <v>47.461215544706477</v>
      </c>
      <c r="G1080" s="2">
        <v>47.641891852969103</v>
      </c>
      <c r="H1080" s="2">
        <v>51.7829198526859</v>
      </c>
    </row>
    <row r="1081" spans="1:8" x14ac:dyDescent="0.2">
      <c r="A1081" s="16">
        <f>DATE(2021,7,27)</f>
        <v>44404</v>
      </c>
      <c r="B1081" s="2">
        <v>29.165248008447666</v>
      </c>
      <c r="C1081" s="2">
        <v>25.460048373008149</v>
      </c>
      <c r="D1081" s="2">
        <v>30.920747325671069</v>
      </c>
      <c r="E1081" s="2">
        <v>42.85216136915124</v>
      </c>
      <c r="F1081" s="2">
        <v>47.556647194258829</v>
      </c>
      <c r="G1081" s="2">
        <v>47.737608244315389</v>
      </c>
      <c r="H1081" s="2">
        <v>51.885218225300683</v>
      </c>
    </row>
    <row r="1082" spans="1:8" x14ac:dyDescent="0.2">
      <c r="A1082" s="16">
        <f>DATE(2021,7,28)</f>
        <v>44405</v>
      </c>
      <c r="B1082" s="2">
        <v>30.008059143170041</v>
      </c>
      <c r="C1082" s="2">
        <v>25.480293872188241</v>
      </c>
      <c r="D1082" s="2">
        <v>30.947044417900681</v>
      </c>
      <c r="E1082" s="2">
        <v>42.940317704050599</v>
      </c>
      <c r="F1082" s="2">
        <v>47.652140603777717</v>
      </c>
      <c r="G1082" s="2">
        <v>47.833386688697274</v>
      </c>
      <c r="H1082" s="2">
        <v>51.98758554478411</v>
      </c>
    </row>
    <row r="1083" spans="1:8" x14ac:dyDescent="0.2">
      <c r="A1083" s="16">
        <f>DATE(2021,7,29)</f>
        <v>44406</v>
      </c>
      <c r="B1083" s="2">
        <v>29.941282849468202</v>
      </c>
      <c r="C1083" s="2">
        <v>25.500542638386325</v>
      </c>
      <c r="D1083" s="2">
        <v>30.973346792234711</v>
      </c>
      <c r="E1083" s="2">
        <v>43.028528441622683</v>
      </c>
      <c r="F1083" s="2">
        <v>47.747695813231971</v>
      </c>
      <c r="G1083" s="2">
        <v>47.929227226343833</v>
      </c>
      <c r="H1083" s="2">
        <v>52.090021857604867</v>
      </c>
    </row>
    <row r="1084" spans="1:8" x14ac:dyDescent="0.2">
      <c r="A1084" s="16">
        <f>DATE(2021,7,30)</f>
        <v>44407</v>
      </c>
      <c r="B1084" s="2">
        <v>28.371086724755635</v>
      </c>
      <c r="C1084" s="2">
        <v>25.520794672129622</v>
      </c>
      <c r="D1084" s="2">
        <v>30.999654449734159</v>
      </c>
      <c r="E1084" s="2">
        <v>43.11679361544023</v>
      </c>
      <c r="F1084" s="2">
        <v>47.843312862616337</v>
      </c>
      <c r="G1084" s="2">
        <v>48.025129897510155</v>
      </c>
      <c r="H1084" s="2">
        <v>52.192527210263002</v>
      </c>
    </row>
    <row r="1085" spans="1:8" x14ac:dyDescent="0.2">
      <c r="A1085" s="16">
        <f>DATE(2021,8,2)</f>
        <v>44410</v>
      </c>
      <c r="B1085" s="2">
        <v>28.631742435205432</v>
      </c>
      <c r="C1085" s="2">
        <v>25.541049973945395</v>
      </c>
      <c r="D1085" s="2">
        <v>31.02596739146022</v>
      </c>
      <c r="E1085" s="2">
        <v>43.19608624879816</v>
      </c>
      <c r="F1085" s="2">
        <v>47.929666379107715</v>
      </c>
      <c r="G1085" s="2">
        <v>48.111757850677741</v>
      </c>
      <c r="H1085" s="2">
        <v>52.285501646749921</v>
      </c>
    </row>
    <row r="1086" spans="1:8" x14ac:dyDescent="0.2">
      <c r="A1086" s="16">
        <f>DATE(2021,8,3)</f>
        <v>44411</v>
      </c>
      <c r="B1086" s="2">
        <v>28.697175090499428</v>
      </c>
      <c r="C1086" s="2">
        <v>25.56130854436103</v>
      </c>
      <c r="D1086" s="2">
        <v>31.052285618474261</v>
      </c>
      <c r="E1086" s="2">
        <v>43.275422813560269</v>
      </c>
      <c r="F1086" s="2">
        <v>48.016070333658583</v>
      </c>
      <c r="G1086" s="2">
        <v>48.198436500657913</v>
      </c>
      <c r="H1086" s="2">
        <v>52.378532881333321</v>
      </c>
    </row>
    <row r="1087" spans="1:8" x14ac:dyDescent="0.2">
      <c r="A1087" s="16">
        <f>DATE(2021,8,4)</f>
        <v>44412</v>
      </c>
      <c r="B1087" s="2">
        <v>28.182632564975084</v>
      </c>
      <c r="C1087" s="2">
        <v>25.581570383903983</v>
      </c>
      <c r="D1087" s="2">
        <v>31.078609131837929</v>
      </c>
      <c r="E1087" s="2">
        <v>43.354803334066382</v>
      </c>
      <c r="F1087" s="2">
        <v>48.102524755729227</v>
      </c>
      <c r="G1087" s="2">
        <v>48.285165877119709</v>
      </c>
      <c r="H1087" s="2">
        <v>52.47162094871112</v>
      </c>
    </row>
    <row r="1088" spans="1:8" x14ac:dyDescent="0.2">
      <c r="A1088" s="16">
        <f>DATE(2021,8,5)</f>
        <v>44413</v>
      </c>
      <c r="B1088" s="2">
        <v>28.343240452545281</v>
      </c>
      <c r="C1088" s="2">
        <v>25.601835493101799</v>
      </c>
      <c r="D1088" s="2">
        <v>31.104937932613065</v>
      </c>
      <c r="E1088" s="2">
        <v>43.434227834669791</v>
      </c>
      <c r="F1088" s="2">
        <v>48.189029674797098</v>
      </c>
      <c r="G1088" s="2">
        <v>48.3719460097495</v>
      </c>
      <c r="H1088" s="2">
        <v>52.564765883602497</v>
      </c>
    </row>
    <row r="1089" spans="1:8" x14ac:dyDescent="0.2">
      <c r="A1089" s="16">
        <f>DATE(2021,8,6)</f>
        <v>44414</v>
      </c>
      <c r="B1089" s="2">
        <v>28.828461238777489</v>
      </c>
      <c r="C1089" s="2">
        <v>25.626867500356919</v>
      </c>
      <c r="D1089" s="2">
        <v>31.13624455904591</v>
      </c>
      <c r="E1089" s="2">
        <v>43.513696339737322</v>
      </c>
      <c r="F1089" s="2">
        <v>48.275585120356943</v>
      </c>
      <c r="G1089" s="2">
        <v>48.458776928251112</v>
      </c>
      <c r="H1089" s="2">
        <v>52.657967720747891</v>
      </c>
    </row>
    <row r="1090" spans="1:8" x14ac:dyDescent="0.2">
      <c r="A1090" s="16">
        <f>DATE(2021,8,9)</f>
        <v>44417</v>
      </c>
      <c r="B1090" s="2">
        <v>28.86096207724589</v>
      </c>
      <c r="C1090" s="2">
        <v>25.651904496403667</v>
      </c>
      <c r="D1090" s="2">
        <v>31.167558661206773</v>
      </c>
      <c r="E1090" s="2">
        <v>43.59320887364921</v>
      </c>
      <c r="F1090" s="2">
        <v>48.362191121920617</v>
      </c>
      <c r="G1090" s="2">
        <v>48.545658662345588</v>
      </c>
      <c r="H1090" s="2">
        <v>52.751226494908778</v>
      </c>
    </row>
    <row r="1091" spans="1:8" x14ac:dyDescent="0.2">
      <c r="A1091" s="16">
        <f>DATE(2021,8,10)</f>
        <v>44418</v>
      </c>
      <c r="B1091" s="2">
        <v>28.969218770247231</v>
      </c>
      <c r="C1091" s="2">
        <v>25.676946482236307</v>
      </c>
      <c r="D1091" s="2">
        <v>31.198880240880801</v>
      </c>
      <c r="E1091" s="2">
        <v>43.672765460799297</v>
      </c>
      <c r="F1091" s="2">
        <v>48.448847709017322</v>
      </c>
      <c r="G1091" s="2">
        <v>48.632591241771529</v>
      </c>
      <c r="H1091" s="2">
        <v>52.844542240868051</v>
      </c>
    </row>
    <row r="1092" spans="1:8" x14ac:dyDescent="0.2">
      <c r="A1092" s="16">
        <f>DATE(2021,8,11)</f>
        <v>44419</v>
      </c>
      <c r="B1092" s="2">
        <v>28.378575607504139</v>
      </c>
      <c r="C1092" s="2">
        <v>25.701993458849291</v>
      </c>
      <c r="D1092" s="2">
        <v>31.230209299853541</v>
      </c>
      <c r="E1092" s="2">
        <v>43.752366125594897</v>
      </c>
      <c r="F1092" s="2">
        <v>48.535554911193437</v>
      </c>
      <c r="G1092" s="2">
        <v>48.719574696284852</v>
      </c>
      <c r="H1092" s="2">
        <v>52.937914993429793</v>
      </c>
    </row>
    <row r="1093" spans="1:8" x14ac:dyDescent="0.2">
      <c r="A1093" s="16">
        <f>DATE(2021,8,12)</f>
        <v>44420</v>
      </c>
      <c r="B1093" s="2">
        <v>28.029614966825701</v>
      </c>
      <c r="C1093" s="2">
        <v>25.727045427237272</v>
      </c>
      <c r="D1093" s="2">
        <v>31.261545839910987</v>
      </c>
      <c r="E1093" s="2">
        <v>43.83201089245685</v>
      </c>
      <c r="F1093" s="2">
        <v>48.622312758012654</v>
      </c>
      <c r="G1093" s="2">
        <v>48.806609055658903</v>
      </c>
      <c r="H1093" s="2">
        <v>53.031344787419329</v>
      </c>
    </row>
    <row r="1094" spans="1:8" x14ac:dyDescent="0.2">
      <c r="A1094" s="16">
        <f>DATE(2021,8,13)</f>
        <v>44421</v>
      </c>
      <c r="B1094" s="2">
        <v>27.413026906977667</v>
      </c>
      <c r="C1094" s="2">
        <v>25.75210238839507</v>
      </c>
      <c r="D1094" s="2">
        <v>31.292889862839559</v>
      </c>
      <c r="E1094" s="2">
        <v>43.911699785819501</v>
      </c>
      <c r="F1094" s="2">
        <v>48.709121279055843</v>
      </c>
      <c r="G1094" s="2">
        <v>48.893694349684445</v>
      </c>
      <c r="H1094" s="2">
        <v>53.124831657683252</v>
      </c>
    </row>
    <row r="1095" spans="1:8" x14ac:dyDescent="0.2">
      <c r="A1095" s="16">
        <f>DATE(2021,8,16)</f>
        <v>44424</v>
      </c>
      <c r="B1095" s="2">
        <v>26.198195254298518</v>
      </c>
      <c r="C1095" s="2">
        <v>25.77716434331774</v>
      </c>
      <c r="D1095" s="2">
        <v>31.324241370426087</v>
      </c>
      <c r="E1095" s="2">
        <v>43.991432830130847</v>
      </c>
      <c r="F1095" s="2">
        <v>48.795980503921328</v>
      </c>
      <c r="G1095" s="2">
        <v>48.980830608169803</v>
      </c>
      <c r="H1095" s="2">
        <v>53.218375639089551</v>
      </c>
    </row>
    <row r="1096" spans="1:8" x14ac:dyDescent="0.2">
      <c r="A1096" s="16">
        <f>DATE(2021,8,17)</f>
        <v>44425</v>
      </c>
      <c r="B1096" s="2">
        <v>25.71098689728948</v>
      </c>
      <c r="C1096" s="2">
        <v>25.802231293000521</v>
      </c>
      <c r="D1096" s="2">
        <v>31.355600364457835</v>
      </c>
      <c r="E1096" s="2">
        <v>44.071210049852262</v>
      </c>
      <c r="F1096" s="2">
        <v>48.882890462224516</v>
      </c>
      <c r="G1096" s="2">
        <v>49.068017860940508</v>
      </c>
      <c r="H1096" s="2">
        <v>53.311976766527351</v>
      </c>
    </row>
    <row r="1097" spans="1:8" x14ac:dyDescent="0.2">
      <c r="A1097" s="16">
        <f>DATE(2021,8,18)</f>
        <v>44426</v>
      </c>
      <c r="B1097" s="2">
        <v>25.410194425947964</v>
      </c>
      <c r="C1097" s="2">
        <v>25.827303238438851</v>
      </c>
      <c r="D1097" s="2">
        <v>31.386966846722487</v>
      </c>
      <c r="E1097" s="2">
        <v>44.151031469458779</v>
      </c>
      <c r="F1097" s="2">
        <v>48.969851183598223</v>
      </c>
      <c r="G1097" s="2">
        <v>49.155256137839707</v>
      </c>
      <c r="H1097" s="2">
        <v>53.405635074907188</v>
      </c>
    </row>
    <row r="1098" spans="1:8" x14ac:dyDescent="0.2">
      <c r="A1098" s="16">
        <f>DATE(2021,8,19)</f>
        <v>44427</v>
      </c>
      <c r="B1098" s="2">
        <v>25.998844947580601</v>
      </c>
      <c r="C1098" s="2">
        <v>25.852380180628341</v>
      </c>
      <c r="D1098" s="2">
        <v>31.418340819008183</v>
      </c>
      <c r="E1098" s="2">
        <v>44.230897113438949</v>
      </c>
      <c r="F1098" s="2">
        <v>49.056862697692559</v>
      </c>
      <c r="G1098" s="2">
        <v>49.242545468728018</v>
      </c>
      <c r="H1098" s="2">
        <v>53.499350599160913</v>
      </c>
    </row>
    <row r="1099" spans="1:8" x14ac:dyDescent="0.2">
      <c r="A1099" s="16">
        <f>DATE(2021,8,20)</f>
        <v>44428</v>
      </c>
      <c r="B1099" s="2">
        <v>26.469458102669673</v>
      </c>
      <c r="C1099" s="2">
        <v>25.877462120564854</v>
      </c>
      <c r="D1099" s="2">
        <v>31.449722283103455</v>
      </c>
      <c r="E1099" s="2">
        <v>44.31080700629493</v>
      </c>
      <c r="F1099" s="2">
        <v>49.143925034174949</v>
      </c>
      <c r="G1099" s="2">
        <v>49.329885883483442</v>
      </c>
      <c r="H1099" s="2">
        <v>53.593123374241713</v>
      </c>
    </row>
    <row r="1100" spans="1:8" x14ac:dyDescent="0.2">
      <c r="A1100" s="16">
        <f>DATE(2021,8,23)</f>
        <v>44431</v>
      </c>
      <c r="B1100" s="2">
        <v>26.215890718612833</v>
      </c>
      <c r="C1100" s="2">
        <v>25.902549059244429</v>
      </c>
      <c r="D1100" s="2">
        <v>31.48111124079729</v>
      </c>
      <c r="E1100" s="2">
        <v>44.390761172542412</v>
      </c>
      <c r="F1100" s="2">
        <v>49.231038222730163</v>
      </c>
      <c r="G1100" s="2">
        <v>49.417277412001553</v>
      </c>
      <c r="H1100" s="2">
        <v>53.686953435124131</v>
      </c>
    </row>
    <row r="1101" spans="1:8" x14ac:dyDescent="0.2">
      <c r="A1101" s="16">
        <f>DATE(2021,8,24)</f>
        <v>44432</v>
      </c>
      <c r="B1101" s="2">
        <v>27.423248699544356</v>
      </c>
      <c r="C1101" s="2">
        <v>25.927640997663289</v>
      </c>
      <c r="D1101" s="2">
        <v>31.512507693879076</v>
      </c>
      <c r="E1101" s="2">
        <v>44.470759636710675</v>
      </c>
      <c r="F1101" s="2">
        <v>49.318202293060232</v>
      </c>
      <c r="G1101" s="2">
        <v>49.504720084195327</v>
      </c>
      <c r="H1101" s="2">
        <v>53.78084081680403</v>
      </c>
    </row>
    <row r="1102" spans="1:8" x14ac:dyDescent="0.2">
      <c r="A1102" s="16">
        <f>DATE(2021,8,25)</f>
        <v>44433</v>
      </c>
      <c r="B1102" s="2">
        <v>27.572022428458489</v>
      </c>
      <c r="C1102" s="2">
        <v>25.952737936817869</v>
      </c>
      <c r="D1102" s="2">
        <v>31.543911644138635</v>
      </c>
      <c r="E1102" s="2">
        <v>44.550802423342709</v>
      </c>
      <c r="F1102" s="2">
        <v>49.405417274884698</v>
      </c>
      <c r="G1102" s="2">
        <v>49.592213929995417</v>
      </c>
      <c r="H1102" s="2">
        <v>53.874785554298811</v>
      </c>
    </row>
    <row r="1103" spans="1:8" x14ac:dyDescent="0.2">
      <c r="A1103" s="16">
        <f>DATE(2021,8,26)</f>
        <v>44434</v>
      </c>
      <c r="B1103" s="2">
        <v>26.755374215186521</v>
      </c>
      <c r="C1103" s="2">
        <v>25.977839877704788</v>
      </c>
      <c r="D1103" s="2">
        <v>31.575323093366237</v>
      </c>
      <c r="E1103" s="2">
        <v>44.63088955699488</v>
      </c>
      <c r="F1103" s="2">
        <v>49.492683197940245</v>
      </c>
      <c r="G1103" s="2">
        <v>49.679758979349778</v>
      </c>
      <c r="H1103" s="2">
        <v>53.968787682647033</v>
      </c>
    </row>
    <row r="1104" spans="1:8" x14ac:dyDescent="0.2">
      <c r="A1104" s="16">
        <f>DATE(2021,8,27)</f>
        <v>44435</v>
      </c>
      <c r="B1104" s="2">
        <v>27.252718169090805</v>
      </c>
      <c r="C1104" s="2">
        <v>26.002946821320869</v>
      </c>
      <c r="D1104" s="2">
        <v>31.606742043352565</v>
      </c>
      <c r="E1104" s="2">
        <v>44.7110210622373</v>
      </c>
      <c r="F1104" s="2">
        <v>49.580000091981091</v>
      </c>
      <c r="G1104" s="2">
        <v>49.767355262224001</v>
      </c>
      <c r="H1104" s="2">
        <v>54.062847236908823</v>
      </c>
    </row>
    <row r="1105" spans="1:8" x14ac:dyDescent="0.2">
      <c r="A1105" s="16">
        <f>DATE(2021,8,30)</f>
        <v>44438</v>
      </c>
      <c r="B1105" s="2">
        <v>26.89296278814728</v>
      </c>
      <c r="C1105" s="2">
        <v>26.028058768663165</v>
      </c>
      <c r="D1105" s="2">
        <v>31.638168495888721</v>
      </c>
      <c r="E1105" s="2">
        <v>44.791196963653682</v>
      </c>
      <c r="F1105" s="2">
        <v>49.667367986778778</v>
      </c>
      <c r="G1105" s="2">
        <v>49.85500280860122</v>
      </c>
      <c r="H1105" s="2">
        <v>54.15696425216565</v>
      </c>
    </row>
    <row r="1106" spans="1:8" x14ac:dyDescent="0.2">
      <c r="A1106" s="16">
        <f>DATE(2021,8,31)</f>
        <v>44439</v>
      </c>
      <c r="B1106" s="2">
        <v>26.221686109934161</v>
      </c>
      <c r="C1106" s="2">
        <v>26.05317572072887</v>
      </c>
      <c r="D1106" s="2">
        <v>31.669602452766242</v>
      </c>
      <c r="E1106" s="2">
        <v>44.871417285841297</v>
      </c>
      <c r="F1106" s="2">
        <v>49.754786912122206</v>
      </c>
      <c r="G1106" s="2">
        <v>49.942701648482092</v>
      </c>
      <c r="H1106" s="2">
        <v>54.25113876352043</v>
      </c>
    </row>
    <row r="1107" spans="1:8" x14ac:dyDescent="0.2">
      <c r="A1107" s="16">
        <f>DATE(2021,9,1)</f>
        <v>44440</v>
      </c>
      <c r="B1107" s="2">
        <v>26.054243412651722</v>
      </c>
      <c r="C1107" s="2">
        <v>26.078297678515415</v>
      </c>
      <c r="D1107" s="2">
        <v>31.701043915777106</v>
      </c>
      <c r="E1107" s="2">
        <v>44.97629359364317</v>
      </c>
      <c r="F1107" s="2">
        <v>49.867698815302639</v>
      </c>
      <c r="G1107" s="2">
        <v>50.055925683236218</v>
      </c>
      <c r="H1107" s="2">
        <v>54.371577313324053</v>
      </c>
    </row>
    <row r="1108" spans="1:8" x14ac:dyDescent="0.2">
      <c r="A1108" s="16">
        <f>DATE(2021,9,2)</f>
        <v>44441</v>
      </c>
      <c r="B1108" s="2">
        <v>25.674333455590915</v>
      </c>
      <c r="C1108" s="2">
        <v>26.103424643020446</v>
      </c>
      <c r="D1108" s="2">
        <v>31.73249288671369</v>
      </c>
      <c r="E1108" s="2">
        <v>45.081245824219486</v>
      </c>
      <c r="F1108" s="2">
        <v>49.980695851640711</v>
      </c>
      <c r="G1108" s="2">
        <v>50.169235215196323</v>
      </c>
      <c r="H1108" s="2">
        <v>54.492109900970092</v>
      </c>
    </row>
    <row r="1109" spans="1:8" x14ac:dyDescent="0.2">
      <c r="A1109" s="16">
        <f>DATE(2021,9,3)</f>
        <v>44442</v>
      </c>
      <c r="B1109" s="2">
        <v>25.611628639781436</v>
      </c>
      <c r="C1109" s="2">
        <v>26.128556615241759</v>
      </c>
      <c r="D1109" s="2">
        <v>31.763949367368841</v>
      </c>
      <c r="E1109" s="2">
        <v>45.186274032532772</v>
      </c>
      <c r="F1109" s="2">
        <v>50.093778085324978</v>
      </c>
      <c r="G1109" s="2">
        <v>50.28263030892262</v>
      </c>
      <c r="H1109" s="2">
        <v>54.612736599882837</v>
      </c>
    </row>
    <row r="1110" spans="1:8" x14ac:dyDescent="0.2">
      <c r="A1110" s="16">
        <f>DATE(2021,9,6)</f>
        <v>44445</v>
      </c>
      <c r="B1110" s="2">
        <v>25.92371781441587</v>
      </c>
      <c r="C1110" s="2">
        <v>26.153693596177384</v>
      </c>
      <c r="D1110" s="2">
        <v>31.795413359535797</v>
      </c>
      <c r="E1110" s="2">
        <v>45.291378273585359</v>
      </c>
      <c r="F1110" s="2">
        <v>50.206945580592418</v>
      </c>
      <c r="G1110" s="2">
        <v>50.396111029024148</v>
      </c>
      <c r="H1110" s="2">
        <v>54.733457483543923</v>
      </c>
    </row>
    <row r="1111" spans="1:8" x14ac:dyDescent="0.2">
      <c r="A1111" s="16">
        <f>DATE(2021,9,8)</f>
        <v>44447</v>
      </c>
      <c r="B1111" s="2">
        <v>25.055027696925535</v>
      </c>
      <c r="C1111" s="2">
        <v>26.178835586825542</v>
      </c>
      <c r="D1111" s="2">
        <v>31.826884865008239</v>
      </c>
      <c r="E1111" s="2">
        <v>45.396558602419397</v>
      </c>
      <c r="F1111" s="2">
        <v>50.320198401728462</v>
      </c>
      <c r="G1111" s="2">
        <v>50.509677440158683</v>
      </c>
      <c r="H1111" s="2">
        <v>54.854272625492342</v>
      </c>
    </row>
    <row r="1112" spans="1:8" x14ac:dyDescent="0.2">
      <c r="A1112" s="16">
        <f>DATE(2021,9,9)</f>
        <v>44448</v>
      </c>
      <c r="B1112" s="2">
        <v>24.945244833506241</v>
      </c>
      <c r="C1112" s="2">
        <v>26.203982588184662</v>
      </c>
      <c r="D1112" s="2">
        <v>31.858363885580275</v>
      </c>
      <c r="E1112" s="2">
        <v>45.501815074116863</v>
      </c>
      <c r="F1112" s="2">
        <v>50.433536613066977</v>
      </c>
      <c r="G1112" s="2">
        <v>50.623329607032836</v>
      </c>
      <c r="H1112" s="2">
        <v>54.975182099324499</v>
      </c>
    </row>
    <row r="1113" spans="1:8" x14ac:dyDescent="0.2">
      <c r="A1113" s="16">
        <f>DATE(2021,9,10)</f>
        <v>44449</v>
      </c>
      <c r="B1113" s="2">
        <v>24.973942921763804</v>
      </c>
      <c r="C1113" s="2">
        <v>26.229134601253335</v>
      </c>
      <c r="D1113" s="2">
        <v>31.889850423046418</v>
      </c>
      <c r="E1113" s="2">
        <v>45.607147743799615</v>
      </c>
      <c r="F1113" s="2">
        <v>50.546960278990348</v>
      </c>
      <c r="G1113" s="2">
        <v>50.737067594402113</v>
      </c>
      <c r="H1113" s="2">
        <v>55.096185978694301</v>
      </c>
    </row>
    <row r="1114" spans="1:8" x14ac:dyDescent="0.2">
      <c r="A1114" s="16">
        <f>DATE(2021,9,13)</f>
        <v>44452</v>
      </c>
      <c r="B1114" s="2">
        <v>25.545871483136121</v>
      </c>
      <c r="C1114" s="2">
        <v>26.254291627030391</v>
      </c>
      <c r="D1114" s="2">
        <v>31.92134447920165</v>
      </c>
      <c r="E1114" s="2">
        <v>45.712556666629432</v>
      </c>
      <c r="F1114" s="2">
        <v>50.660469463929502</v>
      </c>
      <c r="G1114" s="2">
        <v>50.850891467070852</v>
      </c>
      <c r="H1114" s="2">
        <v>55.217284337313117</v>
      </c>
    </row>
    <row r="1115" spans="1:8" x14ac:dyDescent="0.2">
      <c r="A1115" s="16">
        <f>DATE(2021,9,14)</f>
        <v>44453</v>
      </c>
      <c r="B1115" s="2">
        <v>25.743224078409941</v>
      </c>
      <c r="C1115" s="2">
        <v>26.279453666514851</v>
      </c>
      <c r="D1115" s="2">
        <v>31.952846055841366</v>
      </c>
      <c r="E1115" s="2">
        <v>45.81804189780798</v>
      </c>
      <c r="F1115" s="2">
        <v>50.774064232363898</v>
      </c>
      <c r="G1115" s="2">
        <v>50.964801289892343</v>
      </c>
      <c r="H1115" s="2">
        <v>55.338477248949893</v>
      </c>
    </row>
    <row r="1116" spans="1:8" x14ac:dyDescent="0.2">
      <c r="A1116" s="16">
        <f>DATE(2021,9,15)</f>
        <v>44454</v>
      </c>
      <c r="B1116" s="2">
        <v>25.248613034323839</v>
      </c>
      <c r="C1116" s="2">
        <v>26.30462072070592</v>
      </c>
      <c r="D1116" s="2">
        <v>31.984355154761388</v>
      </c>
      <c r="E1116" s="2">
        <v>45.92360349257698</v>
      </c>
      <c r="F1116" s="2">
        <v>50.887744648821752</v>
      </c>
      <c r="G1116" s="2">
        <v>51.078797127768901</v>
      </c>
      <c r="H1116" s="2">
        <v>55.459764787431197</v>
      </c>
    </row>
    <row r="1117" spans="1:8" x14ac:dyDescent="0.2">
      <c r="A1117" s="16">
        <f>DATE(2021,9,16)</f>
        <v>44455</v>
      </c>
      <c r="B1117" s="2">
        <v>24.963386487178596</v>
      </c>
      <c r="C1117" s="2">
        <v>26.329792790603008</v>
      </c>
      <c r="D1117" s="2">
        <v>32.015871777757951</v>
      </c>
      <c r="E1117" s="2">
        <v>46.029241506218057</v>
      </c>
      <c r="F1117" s="2">
        <v>51.00151077787978</v>
      </c>
      <c r="G1117" s="2">
        <v>51.192879045651821</v>
      </c>
      <c r="H1117" s="2">
        <v>55.581147026641212</v>
      </c>
    </row>
    <row r="1118" spans="1:8" x14ac:dyDescent="0.2">
      <c r="A1118" s="16">
        <f>DATE(2021,9,17)</f>
        <v>44456</v>
      </c>
      <c r="B1118" s="2">
        <v>24.750549093046349</v>
      </c>
      <c r="C1118" s="2">
        <v>26.354969877205736</v>
      </c>
      <c r="D1118" s="2">
        <v>32.04739592662775</v>
      </c>
      <c r="E1118" s="2">
        <v>46.134955994052881</v>
      </c>
      <c r="F1118" s="2">
        <v>51.115362684163458</v>
      </c>
      <c r="G1118" s="2">
        <v>51.307047108541411</v>
      </c>
      <c r="H1118" s="2">
        <v>55.702624040521798</v>
      </c>
    </row>
    <row r="1119" spans="1:8" x14ac:dyDescent="0.2">
      <c r="A1119" s="16">
        <f>DATE(2021,9,20)</f>
        <v>44459</v>
      </c>
      <c r="B1119" s="2">
        <v>24.290690115553449</v>
      </c>
      <c r="C1119" s="2">
        <v>26.380151981513912</v>
      </c>
      <c r="D1119" s="2">
        <v>32.078927603167884</v>
      </c>
      <c r="E1119" s="2">
        <v>46.240747011443183</v>
      </c>
      <c r="F1119" s="2">
        <v>51.229300432346967</v>
      </c>
      <c r="G1119" s="2">
        <v>51.421301381487112</v>
      </c>
      <c r="H1119" s="2">
        <v>55.824195903072571</v>
      </c>
    </row>
    <row r="1120" spans="1:8" x14ac:dyDescent="0.2">
      <c r="A1120" s="16">
        <f>DATE(2021,9,21)</f>
        <v>44460</v>
      </c>
      <c r="B1120" s="2">
        <v>24.826847473276036</v>
      </c>
      <c r="C1120" s="2">
        <v>26.40533910452756</v>
      </c>
      <c r="D1120" s="2">
        <v>32.110466809175882</v>
      </c>
      <c r="E1120" s="2">
        <v>46.346614613790749</v>
      </c>
      <c r="F1120" s="2">
        <v>51.343324087153299</v>
      </c>
      <c r="G1120" s="2">
        <v>51.535641929587442</v>
      </c>
      <c r="H1120" s="2">
        <v>55.945862688350907</v>
      </c>
    </row>
    <row r="1121" spans="1:8" x14ac:dyDescent="0.2">
      <c r="A1121" s="16">
        <f>DATE(2021,9,22)</f>
        <v>44461</v>
      </c>
      <c r="B1121" s="2">
        <v>25.127974586636089</v>
      </c>
      <c r="C1121" s="2">
        <v>26.430531247246879</v>
      </c>
      <c r="D1121" s="2">
        <v>32.142013546449718</v>
      </c>
      <c r="E1121" s="2">
        <v>46.452558856537493</v>
      </c>
      <c r="F1121" s="2">
        <v>51.457433713354163</v>
      </c>
      <c r="G1121" s="2">
        <v>51.650068817990103</v>
      </c>
      <c r="H1121" s="2">
        <v>56.06762447047204</v>
      </c>
    </row>
    <row r="1122" spans="1:8" x14ac:dyDescent="0.2">
      <c r="A1122" s="16">
        <f>DATE(2021,9,23)</f>
        <v>44462</v>
      </c>
      <c r="B1122" s="2">
        <v>26.033140684148528</v>
      </c>
      <c r="C1122" s="2">
        <v>26.455728410672275</v>
      </c>
      <c r="D1122" s="2">
        <v>32.173567816787795</v>
      </c>
      <c r="E1122" s="2">
        <v>46.558579795165464</v>
      </c>
      <c r="F1122" s="2">
        <v>51.571629375770179</v>
      </c>
      <c r="G1122" s="2">
        <v>51.764582111891968</v>
      </c>
      <c r="H1122" s="2">
        <v>56.189481323609037</v>
      </c>
    </row>
    <row r="1123" spans="1:8" x14ac:dyDescent="0.2">
      <c r="A1123" s="16">
        <f>DATE(2021,9,24)</f>
        <v>44463</v>
      </c>
      <c r="B1123" s="2">
        <v>25.888124072442654</v>
      </c>
      <c r="C1123" s="2">
        <v>26.485681392095572</v>
      </c>
      <c r="D1123" s="2">
        <v>32.210095427004191</v>
      </c>
      <c r="E1123" s="2">
        <v>46.664677485196847</v>
      </c>
      <c r="F1123" s="2">
        <v>51.685911139270807</v>
      </c>
      <c r="G1123" s="2">
        <v>51.879181876539171</v>
      </c>
      <c r="H1123" s="2">
        <v>56.311433321992887</v>
      </c>
    </row>
    <row r="1124" spans="1:8" x14ac:dyDescent="0.2">
      <c r="A1124" s="16">
        <f>DATE(2021,9,27)</f>
        <v>44466</v>
      </c>
      <c r="B1124" s="2">
        <v>25.957227649273506</v>
      </c>
      <c r="C1124" s="2">
        <v>26.515641468342555</v>
      </c>
      <c r="D1124" s="2">
        <v>32.24663313202494</v>
      </c>
      <c r="E1124" s="2">
        <v>46.77085198219406</v>
      </c>
      <c r="F1124" s="2">
        <v>51.800279068774422</v>
      </c>
      <c r="G1124" s="2">
        <v>51.993868177227093</v>
      </c>
      <c r="H1124" s="2">
        <v>56.433480539912551</v>
      </c>
    </row>
    <row r="1125" spans="1:8" x14ac:dyDescent="0.2">
      <c r="A1125" s="16">
        <f>DATE(2021,9,28)</f>
        <v>44467</v>
      </c>
      <c r="B1125" s="2">
        <v>24.87030023235155</v>
      </c>
      <c r="C1125" s="2">
        <v>26.545608641093722</v>
      </c>
      <c r="D1125" s="2">
        <v>32.283180934639844</v>
      </c>
      <c r="E1125" s="2">
        <v>46.877103341759742</v>
      </c>
      <c r="F1125" s="2">
        <v>51.914733229248327</v>
      </c>
      <c r="G1125" s="2">
        <v>52.108641079300419</v>
      </c>
      <c r="H1125" s="2">
        <v>56.555623051714981</v>
      </c>
    </row>
    <row r="1126" spans="1:8" x14ac:dyDescent="0.2">
      <c r="A1126" s="16">
        <f>DATE(2021,9,29)</f>
        <v>44468</v>
      </c>
      <c r="B1126" s="2">
        <v>24.955355078733344</v>
      </c>
      <c r="C1126" s="2">
        <v>26.575582912029994</v>
      </c>
      <c r="D1126" s="2">
        <v>32.319738837639498</v>
      </c>
      <c r="E1126" s="2">
        <v>46.983431619536731</v>
      </c>
      <c r="F1126" s="2">
        <v>52.029273685708837</v>
      </c>
      <c r="G1126" s="2">
        <v>52.223500648153198</v>
      </c>
      <c r="H1126" s="2">
        <v>56.677860931805178</v>
      </c>
    </row>
    <row r="1127" spans="1:8" x14ac:dyDescent="0.2">
      <c r="A1127" s="16">
        <f>DATE(2021,9,30)</f>
        <v>44469</v>
      </c>
      <c r="B1127" s="2">
        <v>24.559052733097129</v>
      </c>
      <c r="C1127" s="2">
        <v>26.605564282832695</v>
      </c>
      <c r="D1127" s="2">
        <v>32.356306843815247</v>
      </c>
      <c r="E1127" s="2">
        <v>47.089836871208227</v>
      </c>
      <c r="F1127" s="2">
        <v>52.14390050322131</v>
      </c>
      <c r="G1127" s="2">
        <v>52.338446949228853</v>
      </c>
      <c r="H1127" s="2">
        <v>56.800194254646243</v>
      </c>
    </row>
    <row r="1128" spans="1:8" x14ac:dyDescent="0.2">
      <c r="A1128" s="16">
        <f>DATE(2021,10,1)</f>
        <v>44470</v>
      </c>
      <c r="B1128" s="2">
        <v>24.794103258794141</v>
      </c>
      <c r="C1128" s="2">
        <v>26.635552755183546</v>
      </c>
      <c r="D1128" s="2">
        <v>32.392884955959218</v>
      </c>
      <c r="E1128" s="2">
        <v>47.197590140297123</v>
      </c>
      <c r="F1128" s="2">
        <v>52.259928445810687</v>
      </c>
      <c r="G1128" s="2">
        <v>52.454796429531903</v>
      </c>
      <c r="H1128" s="2">
        <v>56.923978065729912</v>
      </c>
    </row>
    <row r="1129" spans="1:8" x14ac:dyDescent="0.2">
      <c r="A1129" s="16">
        <f>DATE(2021,10,4)</f>
        <v>44473</v>
      </c>
      <c r="B1129" s="2">
        <v>24.160291275657929</v>
      </c>
      <c r="C1129" s="2">
        <v>26.665548330764643</v>
      </c>
      <c r="D1129" s="2">
        <v>32.429473176864313</v>
      </c>
      <c r="E1129" s="2">
        <v>47.305422345954604</v>
      </c>
      <c r="F1129" s="2">
        <v>52.376044873600058</v>
      </c>
      <c r="G1129" s="2">
        <v>52.571234772507758</v>
      </c>
      <c r="H1129" s="2">
        <v>57.047859596283622</v>
      </c>
    </row>
    <row r="1130" spans="1:8" x14ac:dyDescent="0.2">
      <c r="A1130" s="16">
        <f>DATE(2021,10,5)</f>
        <v>44474</v>
      </c>
      <c r="B1130" s="2">
        <v>24.593850432692864</v>
      </c>
      <c r="C1130" s="2">
        <v>26.695551011258491</v>
      </c>
      <c r="D1130" s="2">
        <v>32.466071509324188</v>
      </c>
      <c r="E1130" s="2">
        <v>47.413333546007095</v>
      </c>
      <c r="F1130" s="2">
        <v>52.492249854069946</v>
      </c>
      <c r="G1130" s="2">
        <v>52.687762046025881</v>
      </c>
      <c r="H1130" s="2">
        <v>57.1718389234507</v>
      </c>
    </row>
    <row r="1131" spans="1:8" x14ac:dyDescent="0.2">
      <c r="A1131" s="16">
        <f>DATE(2021,10,6)</f>
        <v>44475</v>
      </c>
      <c r="B1131" s="2">
        <v>24.579344208222032</v>
      </c>
      <c r="C1131" s="2">
        <v>26.725560798347999</v>
      </c>
      <c r="D1131" s="2">
        <v>32.502679956133299</v>
      </c>
      <c r="E1131" s="2">
        <v>47.521323798323323</v>
      </c>
      <c r="F1131" s="2">
        <v>52.608543454752407</v>
      </c>
      <c r="G1131" s="2">
        <v>52.804378318007529</v>
      </c>
      <c r="H1131" s="2">
        <v>57.295916124435387</v>
      </c>
    </row>
    <row r="1132" spans="1:8" x14ac:dyDescent="0.2">
      <c r="A1132" s="16">
        <f>DATE(2021,10,7)</f>
        <v>44476</v>
      </c>
      <c r="B1132" s="2">
        <v>24.868677725594935</v>
      </c>
      <c r="C1132" s="2">
        <v>26.755577693716504</v>
      </c>
      <c r="D1132" s="2">
        <v>32.539298520086838</v>
      </c>
      <c r="E1132" s="2">
        <v>47.629393160814402</v>
      </c>
      <c r="F1132" s="2">
        <v>52.724925743230948</v>
      </c>
      <c r="G1132" s="2">
        <v>52.92108365642585</v>
      </c>
      <c r="H1132" s="2">
        <v>57.420091276502852</v>
      </c>
    </row>
    <row r="1133" spans="1:8" x14ac:dyDescent="0.2">
      <c r="A1133" s="16">
        <f>DATE(2021,10,8)</f>
        <v>44477</v>
      </c>
      <c r="B1133" s="2">
        <v>25.842952470271818</v>
      </c>
      <c r="C1133" s="2">
        <v>26.785601699047671</v>
      </c>
      <c r="D1133" s="2">
        <v>32.575927203980768</v>
      </c>
      <c r="E1133" s="2">
        <v>47.73754169143394</v>
      </c>
      <c r="F1133" s="2">
        <v>52.84139678714066</v>
      </c>
      <c r="G1133" s="2">
        <v>53.037878129305938</v>
      </c>
      <c r="H1133" s="2">
        <v>57.54436445697926</v>
      </c>
    </row>
    <row r="1134" spans="1:8" x14ac:dyDescent="0.2">
      <c r="A1134" s="16">
        <f>DATE(2021,10,11)</f>
        <v>44480</v>
      </c>
      <c r="B1134" s="2">
        <v>25.442046261713713</v>
      </c>
      <c r="C1134" s="2">
        <v>26.815632816025612</v>
      </c>
      <c r="D1134" s="2">
        <v>32.612566010611893</v>
      </c>
      <c r="E1134" s="2">
        <v>47.845769448177911</v>
      </c>
      <c r="F1134" s="2">
        <v>52.957956654168157</v>
      </c>
      <c r="G1134" s="2">
        <v>53.154761804724799</v>
      </c>
      <c r="H1134" s="2">
        <v>57.668735743251823</v>
      </c>
    </row>
    <row r="1135" spans="1:8" x14ac:dyDescent="0.2">
      <c r="A1135" s="16">
        <f>DATE(2021,10,13)</f>
        <v>44482</v>
      </c>
      <c r="B1135" s="2">
        <v>25.542849564301907</v>
      </c>
      <c r="C1135" s="2">
        <v>26.845671046334839</v>
      </c>
      <c r="D1135" s="2">
        <v>32.649214942777704</v>
      </c>
      <c r="E1135" s="2">
        <v>47.954076489084827</v>
      </c>
      <c r="F1135" s="2">
        <v>53.07460541205171</v>
      </c>
      <c r="G1135" s="2">
        <v>53.271734750811461</v>
      </c>
      <c r="H1135" s="2">
        <v>57.793205212768846</v>
      </c>
    </row>
    <row r="1136" spans="1:8" x14ac:dyDescent="0.2">
      <c r="A1136" s="16">
        <f>DATE(2021,10,14)</f>
        <v>44483</v>
      </c>
      <c r="B1136" s="2">
        <v>25.390186889505497</v>
      </c>
      <c r="C1136" s="2">
        <v>26.875716391660266</v>
      </c>
      <c r="D1136" s="2">
        <v>32.685874003276517</v>
      </c>
      <c r="E1136" s="2">
        <v>48.06246287223572</v>
      </c>
      <c r="F1136" s="2">
        <v>53.191343128581252</v>
      </c>
      <c r="G1136" s="2">
        <v>53.388797035746968</v>
      </c>
      <c r="H1136" s="2">
        <v>57.917772943039793</v>
      </c>
    </row>
    <row r="1137" spans="1:8" x14ac:dyDescent="0.2">
      <c r="A1137" s="16">
        <f>DATE(2021,10,15)</f>
        <v>44484</v>
      </c>
      <c r="B1137" s="2">
        <v>25.99816552287626</v>
      </c>
      <c r="C1137" s="2">
        <v>26.905768853687185</v>
      </c>
      <c r="D1137" s="2">
        <v>32.722543194907416</v>
      </c>
      <c r="E1137" s="2">
        <v>48.170928655754167</v>
      </c>
      <c r="F1137" s="2">
        <v>53.308169871598388</v>
      </c>
      <c r="G1137" s="2">
        <v>53.505948727764462</v>
      </c>
      <c r="H1137" s="2">
        <v>58.04243901163526</v>
      </c>
    </row>
    <row r="1138" spans="1:8" x14ac:dyDescent="0.2">
      <c r="A1138" s="16">
        <f>DATE(2021,10,18)</f>
        <v>44487</v>
      </c>
      <c r="B1138" s="2">
        <v>26.187988672732665</v>
      </c>
      <c r="C1138" s="2">
        <v>26.935828434101271</v>
      </c>
      <c r="D1138" s="2">
        <v>32.759222520470232</v>
      </c>
      <c r="E1138" s="2">
        <v>48.279473897806334</v>
      </c>
      <c r="F1138" s="2">
        <v>53.425085708996512</v>
      </c>
      <c r="G1138" s="2">
        <v>53.623189895149231</v>
      </c>
      <c r="H1138" s="2">
        <v>58.167203496187177</v>
      </c>
    </row>
    <row r="1139" spans="1:8" x14ac:dyDescent="0.2">
      <c r="A1139" s="16">
        <f>DATE(2021,10,19)</f>
        <v>44488</v>
      </c>
      <c r="B1139" s="2">
        <v>25.805908612884899</v>
      </c>
      <c r="C1139" s="2">
        <v>26.965895134588646</v>
      </c>
      <c r="D1139" s="2">
        <v>32.79591198276561</v>
      </c>
      <c r="E1139" s="2">
        <v>48.388098656600874</v>
      </c>
      <c r="F1139" s="2">
        <v>53.54209070872065</v>
      </c>
      <c r="G1139" s="2">
        <v>53.740520606238533</v>
      </c>
      <c r="H1139" s="2">
        <v>58.292066474388598</v>
      </c>
    </row>
    <row r="1140" spans="1:8" x14ac:dyDescent="0.2">
      <c r="A1140" s="16">
        <f>DATE(2021,10,20)</f>
        <v>44489</v>
      </c>
      <c r="B1140" s="2">
        <v>25.855217607285063</v>
      </c>
      <c r="C1140" s="2">
        <v>26.995968956835803</v>
      </c>
      <c r="D1140" s="2">
        <v>32.832611584594943</v>
      </c>
      <c r="E1140" s="2">
        <v>48.496802990389298</v>
      </c>
      <c r="F1140" s="2">
        <v>53.659184938767872</v>
      </c>
      <c r="G1140" s="2">
        <v>53.857940929422071</v>
      </c>
      <c r="H1140" s="2">
        <v>58.417028023994128</v>
      </c>
    </row>
    <row r="1141" spans="1:8" x14ac:dyDescent="0.2">
      <c r="A1141" s="16">
        <f>DATE(2021,10,21)</f>
        <v>44490</v>
      </c>
      <c r="B1141" s="2">
        <v>25.029833209195449</v>
      </c>
      <c r="C1141" s="2">
        <v>27.02604990252966</v>
      </c>
      <c r="D1141" s="2">
        <v>32.869321328760371</v>
      </c>
      <c r="E1141" s="2">
        <v>48.60558695746564</v>
      </c>
      <c r="F1141" s="2">
        <v>53.776368467186941</v>
      </c>
      <c r="G1141" s="2">
        <v>53.975450933141637</v>
      </c>
      <c r="H1141" s="2">
        <v>58.542088222819586</v>
      </c>
    </row>
    <row r="1142" spans="1:8" x14ac:dyDescent="0.2">
      <c r="A1142" s="16">
        <f>DATE(2021,10,22)</f>
        <v>44491</v>
      </c>
      <c r="B1142" s="2">
        <v>24.705200029198981</v>
      </c>
      <c r="C1142" s="2">
        <v>27.056137973357487</v>
      </c>
      <c r="D1142" s="2">
        <v>32.906041218064885</v>
      </c>
      <c r="E1142" s="2">
        <v>48.71445061616668</v>
      </c>
      <c r="F1142" s="2">
        <v>53.893641362078547</v>
      </c>
      <c r="G1142" s="2">
        <v>54.09305068589132</v>
      </c>
      <c r="H1142" s="2">
        <v>58.667247148742298</v>
      </c>
    </row>
    <row r="1143" spans="1:8" x14ac:dyDescent="0.2">
      <c r="A1143" s="16">
        <f>DATE(2021,10,25)</f>
        <v>44494</v>
      </c>
      <c r="B1143" s="2">
        <v>25.504208551826402</v>
      </c>
      <c r="C1143" s="2">
        <v>27.086233171006999</v>
      </c>
      <c r="D1143" s="2">
        <v>32.942771255312174</v>
      </c>
      <c r="E1143" s="2">
        <v>48.823394024871902</v>
      </c>
      <c r="F1143" s="2">
        <v>54.011003691595299</v>
      </c>
      <c r="G1143" s="2">
        <v>54.210740256217477</v>
      </c>
      <c r="H1143" s="2">
        <v>58.792504879700978</v>
      </c>
    </row>
    <row r="1144" spans="1:8" x14ac:dyDescent="0.2">
      <c r="A1144" s="16">
        <f>DATE(2021,10,26)</f>
        <v>44495</v>
      </c>
      <c r="B1144" s="2">
        <v>25.027059736708356</v>
      </c>
      <c r="C1144" s="2">
        <v>27.116335497166279</v>
      </c>
      <c r="D1144" s="2">
        <v>32.979511443306748</v>
      </c>
      <c r="E1144" s="2">
        <v>48.932417242003659</v>
      </c>
      <c r="F1144" s="2">
        <v>54.128455523941902</v>
      </c>
      <c r="G1144" s="2">
        <v>54.328519712718972</v>
      </c>
      <c r="H1144" s="2">
        <v>58.917861493696037</v>
      </c>
    </row>
    <row r="1145" spans="1:8" x14ac:dyDescent="0.2">
      <c r="A1145" s="16">
        <f>DATE(2021,10,27)</f>
        <v>44496</v>
      </c>
      <c r="B1145" s="2">
        <v>24.636466586721983</v>
      </c>
      <c r="C1145" s="2">
        <v>27.146444953523812</v>
      </c>
      <c r="D1145" s="2">
        <v>33.016261784853839</v>
      </c>
      <c r="E1145" s="2">
        <v>49.041520326026976</v>
      </c>
      <c r="F1145" s="2">
        <v>54.245996927374932</v>
      </c>
      <c r="G1145" s="2">
        <v>54.446389124046888</v>
      </c>
      <c r="H1145" s="2">
        <v>59.043317068789342</v>
      </c>
    </row>
    <row r="1146" spans="1:8" x14ac:dyDescent="0.2">
      <c r="A1146" s="16">
        <f>DATE(2021,10,28)</f>
        <v>44497</v>
      </c>
      <c r="B1146" s="2">
        <v>24.608300883493929</v>
      </c>
      <c r="C1146" s="2">
        <v>27.176561541768528</v>
      </c>
      <c r="D1146" s="2">
        <v>33.053022282759549</v>
      </c>
      <c r="E1146" s="2">
        <v>49.150703335449776</v>
      </c>
      <c r="F1146" s="2">
        <v>54.363627970203041</v>
      </c>
      <c r="G1146" s="2">
        <v>54.564348558904818</v>
      </c>
      <c r="H1146" s="2">
        <v>59.168871683104364</v>
      </c>
    </row>
    <row r="1147" spans="1:8" x14ac:dyDescent="0.2">
      <c r="A1147" s="16">
        <f>DATE(2021,10,29)</f>
        <v>44498</v>
      </c>
      <c r="B1147" s="2">
        <v>24.29458413176928</v>
      </c>
      <c r="C1147" s="2">
        <v>27.213768670100833</v>
      </c>
      <c r="D1147" s="2">
        <v>33.097203942671591</v>
      </c>
      <c r="E1147" s="2">
        <v>49.259966328822834</v>
      </c>
      <c r="F1147" s="2">
        <v>54.481348720787047</v>
      </c>
      <c r="G1147" s="2">
        <v>54.682398086048821</v>
      </c>
      <c r="H1147" s="2">
        <v>59.294525414826289</v>
      </c>
    </row>
    <row r="1148" spans="1:8" x14ac:dyDescent="0.2">
      <c r="A1148" s="16">
        <f>DATE(2021,11,1)</f>
        <v>44501</v>
      </c>
      <c r="B1148" s="2">
        <v>24.415592713810884</v>
      </c>
      <c r="C1148" s="2">
        <v>27.250986683854016</v>
      </c>
      <c r="D1148" s="2">
        <v>33.141400273569957</v>
      </c>
      <c r="E1148" s="2">
        <v>49.345648754254583</v>
      </c>
      <c r="F1148" s="2">
        <v>54.574670210910689</v>
      </c>
      <c r="G1148" s="2">
        <v>54.776016838609621</v>
      </c>
      <c r="H1148" s="2">
        <v>59.395025623786601</v>
      </c>
    </row>
    <row r="1149" spans="1:8" x14ac:dyDescent="0.2">
      <c r="A1149" s="16">
        <f>DATE(2021,11,3)</f>
        <v>44503</v>
      </c>
      <c r="B1149" s="2">
        <v>24.436756286317451</v>
      </c>
      <c r="C1149" s="2">
        <v>27.28821558621275</v>
      </c>
      <c r="D1149" s="2">
        <v>33.185611280326313</v>
      </c>
      <c r="E1149" s="2">
        <v>49.431380365534473</v>
      </c>
      <c r="F1149" s="2">
        <v>54.668048076128173</v>
      </c>
      <c r="G1149" s="2">
        <v>54.869692252244647</v>
      </c>
      <c r="H1149" s="2">
        <v>59.495589239144493</v>
      </c>
    </row>
    <row r="1150" spans="1:8" x14ac:dyDescent="0.2">
      <c r="A1150" s="16">
        <f>DATE(2021,11,4)</f>
        <v>44504</v>
      </c>
      <c r="B1150" s="2">
        <v>23.932384850023624</v>
      </c>
      <c r="C1150" s="2">
        <v>27.325455380362619</v>
      </c>
      <c r="D1150" s="2">
        <v>33.229836967813938</v>
      </c>
      <c r="E1150" s="2">
        <v>49.517161190897461</v>
      </c>
      <c r="F1150" s="2">
        <v>54.761482350495321</v>
      </c>
      <c r="G1150" s="2">
        <v>54.963424361246929</v>
      </c>
      <c r="H1150" s="2">
        <v>59.596216300903457</v>
      </c>
    </row>
    <row r="1151" spans="1:8" x14ac:dyDescent="0.2">
      <c r="A1151" s="16">
        <f>DATE(2021,11,5)</f>
        <v>44505</v>
      </c>
      <c r="B1151" s="2">
        <v>24.060172468107702</v>
      </c>
      <c r="C1151" s="2">
        <v>27.362706069490184</v>
      </c>
      <c r="D1151" s="2">
        <v>33.274077340907724</v>
      </c>
      <c r="E1151" s="2">
        <v>49.602991258594841</v>
      </c>
      <c r="F1151" s="2">
        <v>54.85497306808869</v>
      </c>
      <c r="G1151" s="2">
        <v>55.057213199930331</v>
      </c>
      <c r="H1151" s="2">
        <v>59.696906849092407</v>
      </c>
    </row>
    <row r="1152" spans="1:8" x14ac:dyDescent="0.2">
      <c r="A1152" s="16">
        <f>DATE(2021,11,8)</f>
        <v>44508</v>
      </c>
      <c r="B1152" s="2">
        <v>24.249595061608598</v>
      </c>
      <c r="C1152" s="2">
        <v>27.399967656782898</v>
      </c>
      <c r="D1152" s="2">
        <v>33.318332404484188</v>
      </c>
      <c r="E1152" s="2">
        <v>49.688870596894084</v>
      </c>
      <c r="F1152" s="2">
        <v>54.948520263005364</v>
      </c>
      <c r="G1152" s="2">
        <v>55.151058802629493</v>
      </c>
      <c r="H1152" s="2">
        <v>59.797660923765463</v>
      </c>
    </row>
    <row r="1153" spans="1:8" x14ac:dyDescent="0.2">
      <c r="A1153" s="16">
        <f>DATE(2021,11,9)</f>
        <v>44509</v>
      </c>
      <c r="B1153" s="2">
        <v>24.32115267990882</v>
      </c>
      <c r="C1153" s="2">
        <v>27.43724014542914</v>
      </c>
      <c r="D1153" s="2">
        <v>33.362602163421457</v>
      </c>
      <c r="E1153" s="2">
        <v>49.774799234078877</v>
      </c>
      <c r="F1153" s="2">
        <v>55.042123969363047</v>
      </c>
      <c r="G1153" s="2">
        <v>55.244961203699788</v>
      </c>
      <c r="H1153" s="2">
        <v>59.898478565001973</v>
      </c>
    </row>
    <row r="1154" spans="1:8" x14ac:dyDescent="0.2">
      <c r="A1154" s="16">
        <f>DATE(2021,11,10)</f>
        <v>44510</v>
      </c>
      <c r="B1154" s="2">
        <v>24.787572669098768</v>
      </c>
      <c r="C1154" s="2">
        <v>27.474523538618278</v>
      </c>
      <c r="D1154" s="2">
        <v>33.406886622599274</v>
      </c>
      <c r="E1154" s="2">
        <v>49.860777198449192</v>
      </c>
      <c r="F1154" s="2">
        <v>55.135784221300078</v>
      </c>
      <c r="G1154" s="2">
        <v>55.338920437517451</v>
      </c>
      <c r="H1154" s="2">
        <v>59.999359812906583</v>
      </c>
    </row>
    <row r="1155" spans="1:8" x14ac:dyDescent="0.2">
      <c r="A1155" s="16">
        <f>DATE(2021,11,11)</f>
        <v>44511</v>
      </c>
      <c r="B1155" s="2">
        <v>25.25001751673501</v>
      </c>
      <c r="C1155" s="2">
        <v>27.511817839540551</v>
      </c>
      <c r="D1155" s="2">
        <v>33.451185786899003</v>
      </c>
      <c r="E1155" s="2">
        <v>49.946804518321187</v>
      </c>
      <c r="F1155" s="2">
        <v>55.229501052975372</v>
      </c>
      <c r="G1155" s="2">
        <v>55.432936538479467</v>
      </c>
      <c r="H1155" s="2">
        <v>60.100304707609283</v>
      </c>
    </row>
    <row r="1156" spans="1:8" x14ac:dyDescent="0.2">
      <c r="A1156" s="16">
        <f>DATE(2021,11,12)</f>
        <v>44512</v>
      </c>
      <c r="B1156" s="2">
        <v>24.598398521944986</v>
      </c>
      <c r="C1156" s="2">
        <v>27.54912305138717</v>
      </c>
      <c r="D1156" s="2">
        <v>33.495499661203667</v>
      </c>
      <c r="E1156" s="2">
        <v>50.032881222027292</v>
      </c>
      <c r="F1156" s="2">
        <v>55.323274498568438</v>
      </c>
      <c r="G1156" s="2">
        <v>55.52700954100365</v>
      </c>
      <c r="H1156" s="2">
        <v>60.2013132892653</v>
      </c>
    </row>
    <row r="1157" spans="1:8" x14ac:dyDescent="0.2">
      <c r="A1157" s="16">
        <f>DATE(2021,11,16)</f>
        <v>44516</v>
      </c>
      <c r="B1157" s="2">
        <v>24.287820306727671</v>
      </c>
      <c r="C1157" s="2">
        <v>27.58643917735024</v>
      </c>
      <c r="D1157" s="2">
        <v>33.539828250397854</v>
      </c>
      <c r="E1157" s="2">
        <v>50.11900733791628</v>
      </c>
      <c r="F1157" s="2">
        <v>55.417104592279578</v>
      </c>
      <c r="G1157" s="2">
        <v>55.621139479528672</v>
      </c>
      <c r="H1157" s="2">
        <v>60.302385598055338</v>
      </c>
    </row>
    <row r="1158" spans="1:8" x14ac:dyDescent="0.2">
      <c r="A1158" s="16">
        <f>DATE(2021,11,17)</f>
        <v>44517</v>
      </c>
      <c r="B1158" s="2">
        <v>23.811016274295405</v>
      </c>
      <c r="C1158" s="2">
        <v>27.623766220622858</v>
      </c>
      <c r="D1158" s="2">
        <v>33.584171559367789</v>
      </c>
      <c r="E1158" s="2">
        <v>50.205182894353072</v>
      </c>
      <c r="F1158" s="2">
        <v>55.51099136832962</v>
      </c>
      <c r="G1158" s="2">
        <v>55.715326388514022</v>
      </c>
      <c r="H1158" s="2">
        <v>60.40352167418532</v>
      </c>
    </row>
    <row r="1159" spans="1:8" x14ac:dyDescent="0.2">
      <c r="A1159" s="16">
        <f>DATE(2021,11,18)</f>
        <v>44518</v>
      </c>
      <c r="B1159" s="2">
        <v>23.590005502376687</v>
      </c>
      <c r="C1159" s="2">
        <v>27.661104184399001</v>
      </c>
      <c r="D1159" s="2">
        <v>33.628529593001353</v>
      </c>
      <c r="E1159" s="2">
        <v>50.291407919718928</v>
      </c>
      <c r="F1159" s="2">
        <v>55.604934860960142</v>
      </c>
      <c r="G1159" s="2">
        <v>55.809570302440051</v>
      </c>
      <c r="H1159" s="2">
        <v>60.504721557886597</v>
      </c>
    </row>
    <row r="1160" spans="1:8" x14ac:dyDescent="0.2">
      <c r="A1160" s="16">
        <f>DATE(2021,11,19)</f>
        <v>44519</v>
      </c>
      <c r="B1160" s="2">
        <v>23.362606110103833</v>
      </c>
      <c r="C1160" s="2">
        <v>27.698453071873598</v>
      </c>
      <c r="D1160" s="2">
        <v>33.672902356188004</v>
      </c>
      <c r="E1160" s="2">
        <v>50.377682442411427</v>
      </c>
      <c r="F1160" s="2">
        <v>55.698935104433332</v>
      </c>
      <c r="G1160" s="2">
        <v>55.903871255807978</v>
      </c>
      <c r="H1160" s="2">
        <v>60.605985289415848</v>
      </c>
    </row>
    <row r="1161" spans="1:8" x14ac:dyDescent="0.2">
      <c r="A1161" s="16">
        <f>DATE(2021,11,22)</f>
        <v>44522</v>
      </c>
      <c r="B1161" s="2">
        <v>23.129345412172707</v>
      </c>
      <c r="C1161" s="2">
        <v>27.735812886242542</v>
      </c>
      <c r="D1161" s="2">
        <v>33.717289853818855</v>
      </c>
      <c r="E1161" s="2">
        <v>50.464006490844461</v>
      </c>
      <c r="F1161" s="2">
        <v>55.792992133032193</v>
      </c>
      <c r="G1161" s="2">
        <v>55.998229283139963</v>
      </c>
      <c r="H1161" s="2">
        <v>60.70731290905524</v>
      </c>
    </row>
    <row r="1162" spans="1:8" x14ac:dyDescent="0.2">
      <c r="A1162" s="16">
        <f>DATE(2021,11,23)</f>
        <v>44523</v>
      </c>
      <c r="B1162" s="2">
        <v>23.425473176588962</v>
      </c>
      <c r="C1162" s="2">
        <v>27.773183630702601</v>
      </c>
      <c r="D1162" s="2">
        <v>33.761692090786632</v>
      </c>
      <c r="E1162" s="2">
        <v>50.550380093448062</v>
      </c>
      <c r="F1162" s="2">
        <v>55.887105981060238</v>
      </c>
      <c r="G1162" s="2">
        <v>56.09264441897885</v>
      </c>
      <c r="H1162" s="2">
        <v>60.808704457112199</v>
      </c>
    </row>
    <row r="1163" spans="1:8" x14ac:dyDescent="0.2">
      <c r="A1163" s="16">
        <f>DATE(2021,11,24)</f>
        <v>44524</v>
      </c>
      <c r="B1163" s="2">
        <v>23.476323552407919</v>
      </c>
      <c r="C1163" s="2">
        <v>27.81056530845154</v>
      </c>
      <c r="D1163" s="2">
        <v>33.806109071985688</v>
      </c>
      <c r="E1163" s="2">
        <v>50.636803278668857</v>
      </c>
      <c r="F1163" s="2">
        <v>55.981276682841958</v>
      </c>
      <c r="G1163" s="2">
        <v>56.187116697888719</v>
      </c>
      <c r="H1163" s="2">
        <v>60.910159973919818</v>
      </c>
    </row>
    <row r="1164" spans="1:8" x14ac:dyDescent="0.2">
      <c r="A1164" s="16">
        <f>DATE(2021,11,25)</f>
        <v>44525</v>
      </c>
      <c r="B1164" s="2">
        <v>23.797574819883561</v>
      </c>
      <c r="C1164" s="2">
        <v>27.847957922688018</v>
      </c>
      <c r="D1164" s="2">
        <v>33.850540802311997</v>
      </c>
      <c r="E1164" s="2">
        <v>50.723276074969583</v>
      </c>
      <c r="F1164" s="2">
        <v>56.075504272722391</v>
      </c>
      <c r="G1164" s="2">
        <v>56.281646154454258</v>
      </c>
      <c r="H1164" s="2">
        <v>61.01167949983639</v>
      </c>
    </row>
    <row r="1165" spans="1:8" x14ac:dyDescent="0.2">
      <c r="A1165" s="16">
        <f>DATE(2021,11,26)</f>
        <v>44526</v>
      </c>
      <c r="B1165" s="2">
        <v>23.116776055142573</v>
      </c>
      <c r="C1165" s="2">
        <v>27.885361476611649</v>
      </c>
      <c r="D1165" s="2">
        <v>33.894987286663181</v>
      </c>
      <c r="E1165" s="2">
        <v>50.809798510829452</v>
      </c>
      <c r="F1165" s="2">
        <v>56.169788785067396</v>
      </c>
      <c r="G1165" s="2">
        <v>56.376232823281299</v>
      </c>
      <c r="H1165" s="2">
        <v>61.113263075245868</v>
      </c>
    </row>
    <row r="1166" spans="1:8" x14ac:dyDescent="0.2">
      <c r="A1166" s="16">
        <f>DATE(2021,11,29)</f>
        <v>44529</v>
      </c>
      <c r="B1166" s="2">
        <v>23.27846392377262</v>
      </c>
      <c r="C1166" s="2">
        <v>27.922775973422986</v>
      </c>
      <c r="D1166" s="2">
        <v>33.939448529938446</v>
      </c>
      <c r="E1166" s="2">
        <v>50.896370614743901</v>
      </c>
      <c r="F1166" s="2">
        <v>56.264130254263563</v>
      </c>
      <c r="G1166" s="2">
        <v>56.470876738996473</v>
      </c>
      <c r="H1166" s="2">
        <v>61.214910740557521</v>
      </c>
    </row>
    <row r="1167" spans="1:8" x14ac:dyDescent="0.2">
      <c r="A1167" s="16">
        <f>DATE(2021,11,30)</f>
        <v>44530</v>
      </c>
      <c r="B1167" s="2">
        <v>22.724768282077768</v>
      </c>
      <c r="C1167" s="2">
        <v>27.960201416323518</v>
      </c>
      <c r="D1167" s="2">
        <v>33.983924537038668</v>
      </c>
      <c r="E1167" s="2">
        <v>50.982992415224807</v>
      </c>
      <c r="F1167" s="2">
        <v>56.358528714718247</v>
      </c>
      <c r="G1167" s="2">
        <v>56.565577936247458</v>
      </c>
      <c r="H1167" s="2">
        <v>61.316622536206197</v>
      </c>
    </row>
    <row r="1168" spans="1:8" x14ac:dyDescent="0.2">
      <c r="A1168" s="16">
        <f>DATE(2021,12,1)</f>
        <v>44531</v>
      </c>
      <c r="B1168" s="2">
        <v>22.450270560860599</v>
      </c>
      <c r="C1168" s="2">
        <v>27.997637808515631</v>
      </c>
      <c r="D1168" s="2">
        <v>34.028415312866308</v>
      </c>
      <c r="E1168" s="2">
        <v>51.054254505644003</v>
      </c>
      <c r="F1168" s="2">
        <v>56.437025655297418</v>
      </c>
      <c r="G1168" s="2">
        <v>56.64435675375907</v>
      </c>
      <c r="H1168" s="2">
        <v>61.401933474003272</v>
      </c>
    </row>
    <row r="1169" spans="1:8" x14ac:dyDescent="0.2">
      <c r="A1169" s="16">
        <f>DATE(2021,12,2)</f>
        <v>44532</v>
      </c>
      <c r="B1169" s="2">
        <v>23.711460273776353</v>
      </c>
      <c r="C1169" s="2">
        <v>28.035085153202701</v>
      </c>
      <c r="D1169" s="2">
        <v>34.072920862325496</v>
      </c>
      <c r="E1169" s="2">
        <v>51.125550230881593</v>
      </c>
      <c r="F1169" s="2">
        <v>56.515562003830432</v>
      </c>
      <c r="G1169" s="2">
        <v>56.723175210265218</v>
      </c>
      <c r="H1169" s="2">
        <v>61.487289527771601</v>
      </c>
    </row>
    <row r="1170" spans="1:8" x14ac:dyDescent="0.2">
      <c r="A1170" s="16">
        <f>DATE(2021,12,3)</f>
        <v>44533</v>
      </c>
      <c r="B1170" s="2">
        <v>24.102742989134285</v>
      </c>
      <c r="C1170" s="2">
        <v>28.072543453589031</v>
      </c>
      <c r="D1170" s="2">
        <v>34.117441190321962</v>
      </c>
      <c r="E1170" s="2">
        <v>51.196879606812779</v>
      </c>
      <c r="F1170" s="2">
        <v>56.59413778010132</v>
      </c>
      <c r="G1170" s="2">
        <v>56.802033325710987</v>
      </c>
      <c r="H1170" s="2">
        <v>61.572690721370421</v>
      </c>
    </row>
    <row r="1171" spans="1:8" x14ac:dyDescent="0.2">
      <c r="A1171" s="16">
        <f>DATE(2021,12,6)</f>
        <v>44536</v>
      </c>
      <c r="B1171" s="2">
        <v>24.431229622677719</v>
      </c>
      <c r="C1171" s="2">
        <v>28.110012712879829</v>
      </c>
      <c r="D1171" s="2">
        <v>34.161976301763076</v>
      </c>
      <c r="E1171" s="2">
        <v>51.268242649320278</v>
      </c>
      <c r="F1171" s="2">
        <v>56.672753003904042</v>
      </c>
      <c r="G1171" s="2">
        <v>56.8809311200515</v>
      </c>
      <c r="H1171" s="2">
        <v>61.658137078671523</v>
      </c>
    </row>
    <row r="1172" spans="1:8" x14ac:dyDescent="0.2">
      <c r="A1172" s="16">
        <f>DATE(2021,12,7)</f>
        <v>44537</v>
      </c>
      <c r="B1172" s="2">
        <v>24.782553038820442</v>
      </c>
      <c r="C1172" s="2">
        <v>28.147492934281271</v>
      </c>
      <c r="D1172" s="2">
        <v>34.206526201557843</v>
      </c>
      <c r="E1172" s="2">
        <v>51.339639374294308</v>
      </c>
      <c r="F1172" s="2">
        <v>56.751407695042523</v>
      </c>
      <c r="G1172" s="2">
        <v>56.959868613251913</v>
      </c>
      <c r="H1172" s="2">
        <v>61.743628623559331</v>
      </c>
    </row>
    <row r="1173" spans="1:8" x14ac:dyDescent="0.2">
      <c r="A1173" s="16">
        <f>DATE(2021,12,8)</f>
        <v>44538</v>
      </c>
      <c r="B1173" s="2">
        <v>25.160510917439716</v>
      </c>
      <c r="C1173" s="2">
        <v>28.184984121000458</v>
      </c>
      <c r="D1173" s="2">
        <v>34.251090894616887</v>
      </c>
      <c r="E1173" s="2">
        <v>51.41106979763255</v>
      </c>
      <c r="F1173" s="2">
        <v>56.83010187333057</v>
      </c>
      <c r="G1173" s="2">
        <v>57.038845825287382</v>
      </c>
      <c r="H1173" s="2">
        <v>61.829165379930927</v>
      </c>
    </row>
    <row r="1174" spans="1:8" x14ac:dyDescent="0.2">
      <c r="A1174" s="16">
        <f>DATE(2021,12,9)</f>
        <v>44539</v>
      </c>
      <c r="B1174" s="2">
        <v>24.576099194708711</v>
      </c>
      <c r="C1174" s="2">
        <v>28.222486276245441</v>
      </c>
      <c r="D1174" s="2">
        <v>34.295670385852482</v>
      </c>
      <c r="E1174" s="2">
        <v>51.482533935240248</v>
      </c>
      <c r="F1174" s="2">
        <v>56.908835558592067</v>
      </c>
      <c r="G1174" s="2">
        <v>57.117862776143212</v>
      </c>
      <c r="H1174" s="2">
        <v>61.914747371696087</v>
      </c>
    </row>
    <row r="1175" spans="1:8" x14ac:dyDescent="0.2">
      <c r="A1175" s="16">
        <f>DATE(2021,12,10)</f>
        <v>44540</v>
      </c>
      <c r="B1175" s="2">
        <v>25.047701064852589</v>
      </c>
      <c r="C1175" s="2">
        <v>28.267042627598251</v>
      </c>
      <c r="D1175" s="2">
        <v>34.347641794094642</v>
      </c>
      <c r="E1175" s="2">
        <v>51.554031803030107</v>
      </c>
      <c r="F1175" s="2">
        <v>56.987608770660763</v>
      </c>
      <c r="G1175" s="2">
        <v>57.196919485814711</v>
      </c>
      <c r="H1175" s="2">
        <v>62.000374622777123</v>
      </c>
    </row>
    <row r="1176" spans="1:8" x14ac:dyDescent="0.2">
      <c r="A1176" s="16">
        <f>DATE(2021,12,13)</f>
        <v>44543</v>
      </c>
      <c r="B1176" s="2">
        <v>24.524888825203139</v>
      </c>
      <c r="C1176" s="2">
        <v>28.311614461948654</v>
      </c>
      <c r="D1176" s="2">
        <v>34.399633314878521</v>
      </c>
      <c r="E1176" s="2">
        <v>51.625563416922333</v>
      </c>
      <c r="F1176" s="2">
        <v>57.066421529380307</v>
      </c>
      <c r="G1176" s="2">
        <v>57.276015974307249</v>
      </c>
      <c r="H1176" s="2">
        <v>62.086047157109057</v>
      </c>
    </row>
    <row r="1177" spans="1:8" x14ac:dyDescent="0.2">
      <c r="A1177" s="16">
        <f>DATE(2021,12,14)</f>
        <v>44544</v>
      </c>
      <c r="B1177" s="2">
        <v>24.336931558116827</v>
      </c>
      <c r="C1177" s="2">
        <v>28.356201784676859</v>
      </c>
      <c r="D1177" s="2">
        <v>34.45164495598754</v>
      </c>
      <c r="E1177" s="2">
        <v>51.697128792844673</v>
      </c>
      <c r="F1177" s="2">
        <v>57.145273854604419</v>
      </c>
      <c r="G1177" s="2">
        <v>57.355152261636263</v>
      </c>
      <c r="H1177" s="2">
        <v>62.171764998639539</v>
      </c>
    </row>
    <row r="1178" spans="1:8" x14ac:dyDescent="0.2">
      <c r="A1178" s="16">
        <f>DATE(2021,12,15)</f>
        <v>44545</v>
      </c>
      <c r="B1178" s="2">
        <v>24.725506715324673</v>
      </c>
      <c r="C1178" s="2">
        <v>28.400804601164985</v>
      </c>
      <c r="D1178" s="2">
        <v>34.503676725208088</v>
      </c>
      <c r="E1178" s="2">
        <v>51.768727946732398</v>
      </c>
      <c r="F1178" s="2">
        <v>57.224165766196712</v>
      </c>
      <c r="G1178" s="2">
        <v>57.434328367827227</v>
      </c>
      <c r="H1178" s="2">
        <v>62.2575281713289</v>
      </c>
    </row>
    <row r="1179" spans="1:8" x14ac:dyDescent="0.2">
      <c r="A1179" s="16">
        <f>DATE(2021,12,16)</f>
        <v>44546</v>
      </c>
      <c r="B1179" s="2">
        <v>24.509297549338861</v>
      </c>
      <c r="C1179" s="2">
        <v>28.445422916796989</v>
      </c>
      <c r="D1179" s="2">
        <v>34.555728630329611</v>
      </c>
      <c r="E1179" s="2">
        <v>51.84036089452826</v>
      </c>
      <c r="F1179" s="2">
        <v>57.303097284030798</v>
      </c>
      <c r="G1179" s="2">
        <v>57.513544312915784</v>
      </c>
      <c r="H1179" s="2">
        <v>62.34333669915015</v>
      </c>
    </row>
    <row r="1180" spans="1:8" x14ac:dyDescent="0.2">
      <c r="A1180" s="16">
        <f>DATE(2021,12,17)</f>
        <v>44547</v>
      </c>
      <c r="B1180" s="2">
        <v>24.115145025155151</v>
      </c>
      <c r="C1180" s="2">
        <v>28.490056736958699</v>
      </c>
      <c r="D1180" s="2">
        <v>34.607800679144553</v>
      </c>
      <c r="E1180" s="2">
        <v>51.912027652182587</v>
      </c>
      <c r="F1180" s="2">
        <v>57.382068427990298</v>
      </c>
      <c r="G1180" s="2">
        <v>57.592800116947537</v>
      </c>
      <c r="H1180" s="2">
        <v>62.42919060608898</v>
      </c>
    </row>
    <row r="1181" spans="1:8" x14ac:dyDescent="0.2">
      <c r="A1181" s="16">
        <f>DATE(2021,12,20)</f>
        <v>44550</v>
      </c>
      <c r="B1181" s="2">
        <v>23.359340815256125</v>
      </c>
      <c r="C1181" s="2">
        <v>28.534706067037831</v>
      </c>
      <c r="D1181" s="2">
        <v>34.65989287944835</v>
      </c>
      <c r="E1181" s="2">
        <v>51.983728235653203</v>
      </c>
      <c r="F1181" s="2">
        <v>57.461079217968752</v>
      </c>
      <c r="G1181" s="2">
        <v>57.672095799978301</v>
      </c>
      <c r="H1181" s="2">
        <v>62.515089916143737</v>
      </c>
    </row>
    <row r="1182" spans="1:8" x14ac:dyDescent="0.2">
      <c r="A1182" s="16">
        <f>DATE(2021,12,21)</f>
        <v>44551</v>
      </c>
      <c r="B1182" s="2">
        <v>23.667221612990573</v>
      </c>
      <c r="C1182" s="2">
        <v>28.579370912423951</v>
      </c>
      <c r="D1182" s="2">
        <v>34.712005239039499</v>
      </c>
      <c r="E1182" s="2">
        <v>52.055462660905462</v>
      </c>
      <c r="F1182" s="2">
        <v>57.540129673869721</v>
      </c>
      <c r="G1182" s="2">
        <v>57.751431382073861</v>
      </c>
      <c r="H1182" s="2">
        <v>62.60103465332547</v>
      </c>
    </row>
    <row r="1183" spans="1:8" x14ac:dyDescent="0.2">
      <c r="A1183" s="16">
        <f>DATE(2021,12,22)</f>
        <v>44552</v>
      </c>
      <c r="B1183" s="2">
        <v>23.887639155876371</v>
      </c>
      <c r="C1183" s="2">
        <v>28.624051278508531</v>
      </c>
      <c r="D1183" s="2">
        <v>34.764137765719468</v>
      </c>
      <c r="E1183" s="2">
        <v>52.127230943912267</v>
      </c>
      <c r="F1183" s="2">
        <v>57.619219815606783</v>
      </c>
      <c r="G1183" s="2">
        <v>57.830806883310188</v>
      </c>
      <c r="H1183" s="2">
        <v>62.687024841657959</v>
      </c>
    </row>
    <row r="1184" spans="1:8" x14ac:dyDescent="0.2">
      <c r="A1184" s="16">
        <f>DATE(2021,12,23)</f>
        <v>44553</v>
      </c>
      <c r="B1184" s="2">
        <v>24.051223329278226</v>
      </c>
      <c r="C1184" s="2">
        <v>28.668747170684885</v>
      </c>
      <c r="D1184" s="2">
        <v>34.816290467292802</v>
      </c>
      <c r="E1184" s="2">
        <v>52.199033100654098</v>
      </c>
      <c r="F1184" s="2">
        <v>57.6983496631035</v>
      </c>
      <c r="G1184" s="2">
        <v>57.910222323773361</v>
      </c>
      <c r="H1184" s="2">
        <v>62.773060505177661</v>
      </c>
    </row>
    <row r="1185" spans="1:8" x14ac:dyDescent="0.2">
      <c r="A1185" s="16">
        <f>DATE(2021,12,24)</f>
        <v>44554</v>
      </c>
      <c r="B1185" s="2">
        <v>24.079880854866897</v>
      </c>
      <c r="C1185" s="2">
        <v>28.713458594348221</v>
      </c>
      <c r="D1185" s="2">
        <v>34.868463351566987</v>
      </c>
      <c r="E1185" s="2">
        <v>52.270869147118852</v>
      </c>
      <c r="F1185" s="2">
        <v>57.77751923629333</v>
      </c>
      <c r="G1185" s="2">
        <v>57.98967772355941</v>
      </c>
      <c r="H1185" s="2">
        <v>62.85914166793367</v>
      </c>
    </row>
    <row r="1186" spans="1:8" x14ac:dyDescent="0.2">
      <c r="A1186" s="16">
        <f>DATE(2021,12,27)</f>
        <v>44557</v>
      </c>
      <c r="B1186" s="2">
        <v>24.318739201108318</v>
      </c>
      <c r="C1186" s="2">
        <v>28.758185554895601</v>
      </c>
      <c r="D1186" s="2">
        <v>34.920656426352622</v>
      </c>
      <c r="E1186" s="2">
        <v>52.342739099302122</v>
      </c>
      <c r="F1186" s="2">
        <v>57.856728555119922</v>
      </c>
      <c r="G1186" s="2">
        <v>58.069173102774712</v>
      </c>
      <c r="H1186" s="2">
        <v>62.94526835398797</v>
      </c>
    </row>
    <row r="1187" spans="1:8" x14ac:dyDescent="0.2">
      <c r="A1187" s="16">
        <f>DATE(2021,12,28)</f>
        <v>44558</v>
      </c>
      <c r="B1187" s="2">
        <v>24.218595041890033</v>
      </c>
      <c r="C1187" s="2">
        <v>28.802928057725996</v>
      </c>
      <c r="D1187" s="2">
        <v>34.972869699463267</v>
      </c>
      <c r="E1187" s="2">
        <v>52.414642973206952</v>
      </c>
      <c r="F1187" s="2">
        <v>57.935977639536823</v>
      </c>
      <c r="G1187" s="2">
        <v>58.148708481535593</v>
      </c>
      <c r="H1187" s="2">
        <v>63.03144058741514</v>
      </c>
    </row>
    <row r="1188" spans="1:8" x14ac:dyDescent="0.2">
      <c r="A1188" s="16">
        <f>DATE(2021,12,29)</f>
        <v>44559</v>
      </c>
      <c r="B1188" s="2">
        <v>23.965818629877035</v>
      </c>
      <c r="C1188" s="2">
        <v>28.847686108240222</v>
      </c>
      <c r="D1188" s="2">
        <v>35.025103178715497</v>
      </c>
      <c r="E1188" s="2">
        <v>52.48658078484398</v>
      </c>
      <c r="F1188" s="2">
        <v>58.015266509507612</v>
      </c>
      <c r="G1188" s="2">
        <v>58.228283879968572</v>
      </c>
      <c r="H1188" s="2">
        <v>63.117658392302523</v>
      </c>
    </row>
    <row r="1189" spans="1:8" x14ac:dyDescent="0.2">
      <c r="A1189" s="16">
        <f>DATE(2021,12,30)</f>
        <v>44560</v>
      </c>
      <c r="B1189" s="2">
        <v>24.46604253327429</v>
      </c>
      <c r="C1189" s="2">
        <v>28.892459711840981</v>
      </c>
      <c r="D1189" s="2">
        <v>35.077356871928963</v>
      </c>
      <c r="E1189" s="2">
        <v>52.558552550231411</v>
      </c>
      <c r="F1189" s="2">
        <v>58.0945951850059</v>
      </c>
      <c r="G1189" s="2">
        <v>58.307899318210247</v>
      </c>
      <c r="H1189" s="2">
        <v>63.203921792750208</v>
      </c>
    </row>
    <row r="1190" spans="1:8" x14ac:dyDescent="0.2">
      <c r="A1190" s="16">
        <f>DATE(2021,12,31)</f>
        <v>44561</v>
      </c>
      <c r="B1190" s="2">
        <v>24.496332706286793</v>
      </c>
      <c r="C1190" s="2">
        <v>28.937248873932852</v>
      </c>
      <c r="D1190" s="2">
        <v>35.129630786926299</v>
      </c>
      <c r="E1190" s="2">
        <v>52.630558285394983</v>
      </c>
      <c r="F1190" s="2">
        <v>58.173963686015327</v>
      </c>
      <c r="G1190" s="2">
        <v>58.387554816407402</v>
      </c>
      <c r="H1190" s="2">
        <v>63.290230812871023</v>
      </c>
    </row>
    <row r="1191" spans="1:8" x14ac:dyDescent="0.2">
      <c r="A1191" s="16">
        <f>DATE(2022,1,3)</f>
        <v>44564</v>
      </c>
      <c r="B1191" s="2">
        <v>24.397598099813301</v>
      </c>
      <c r="C1191" s="2">
        <v>28.982053599922299</v>
      </c>
      <c r="D1191" s="2">
        <v>35.181924931533203</v>
      </c>
      <c r="E1191" s="2">
        <v>52.702864491928359</v>
      </c>
      <c r="F1191" s="2">
        <v>58.253648204900401</v>
      </c>
      <c r="G1191" s="2">
        <v>58.46752694033286</v>
      </c>
      <c r="H1191" s="2">
        <v>63.376870589823952</v>
      </c>
    </row>
    <row r="1192" spans="1:8" x14ac:dyDescent="0.2">
      <c r="A1192" s="16">
        <f>DATE(2022,1,4)</f>
        <v>44565</v>
      </c>
      <c r="B1192" s="2">
        <v>24.33584143638976</v>
      </c>
      <c r="C1192" s="2">
        <v>29.026873895217651</v>
      </c>
      <c r="D1192" s="2">
        <v>35.234239313578364</v>
      </c>
      <c r="E1192" s="2">
        <v>52.775204952333048</v>
      </c>
      <c r="F1192" s="2">
        <v>58.333372867070771</v>
      </c>
      <c r="G1192" s="2">
        <v>58.54753944331847</v>
      </c>
      <c r="H1192" s="2">
        <v>63.463556336771013</v>
      </c>
    </row>
    <row r="1193" spans="1:8" x14ac:dyDescent="0.2">
      <c r="A1193" s="16">
        <f>DATE(2022,1,5)</f>
        <v>44566</v>
      </c>
      <c r="B1193" s="2">
        <v>24.010969950713388</v>
      </c>
      <c r="C1193" s="2">
        <v>29.071709765229127</v>
      </c>
      <c r="D1193" s="2">
        <v>35.286573940893518</v>
      </c>
      <c r="E1193" s="2">
        <v>52.84757968283629</v>
      </c>
      <c r="F1193" s="2">
        <v>58.413137692749721</v>
      </c>
      <c r="G1193" s="2">
        <v>58.627592345752213</v>
      </c>
      <c r="H1193" s="2">
        <v>63.550288078103279</v>
      </c>
    </row>
    <row r="1194" spans="1:8" x14ac:dyDescent="0.2">
      <c r="A1194" s="16">
        <f>DATE(2022,1,6)</f>
        <v>44567</v>
      </c>
      <c r="B1194" s="2">
        <v>24.141018937589486</v>
      </c>
      <c r="C1194" s="2">
        <v>29.116561215368829</v>
      </c>
      <c r="D1194" s="2">
        <v>35.338928821313438</v>
      </c>
      <c r="E1194" s="2">
        <v>52.919988699672942</v>
      </c>
      <c r="F1194" s="2">
        <v>58.492942702170737</v>
      </c>
      <c r="G1194" s="2">
        <v>58.707685668032333</v>
      </c>
      <c r="H1194" s="2">
        <v>63.637065838224842</v>
      </c>
    </row>
    <row r="1195" spans="1:8" x14ac:dyDescent="0.2">
      <c r="A1195" s="16">
        <f>DATE(2022,1,7)</f>
        <v>44568</v>
      </c>
      <c r="B1195" s="2">
        <v>24.051345017284962</v>
      </c>
      <c r="C1195" s="2">
        <v>29.161428251050747</v>
      </c>
      <c r="D1195" s="2">
        <v>35.391303962675913</v>
      </c>
      <c r="E1195" s="2">
        <v>52.992432019085591</v>
      </c>
      <c r="F1195" s="2">
        <v>58.5727879155775</v>
      </c>
      <c r="G1195" s="2">
        <v>58.787819430567389</v>
      </c>
      <c r="H1195" s="2">
        <v>63.723889641552688</v>
      </c>
    </row>
    <row r="1196" spans="1:8" x14ac:dyDescent="0.2">
      <c r="A1196" s="16">
        <f>DATE(2022,1,10)</f>
        <v>44571</v>
      </c>
      <c r="B1196" s="2">
        <v>24.095710436411078</v>
      </c>
      <c r="C1196" s="2">
        <v>29.206310877690719</v>
      </c>
      <c r="D1196" s="2">
        <v>35.443699372821769</v>
      </c>
      <c r="E1196" s="2">
        <v>53.064909657324527</v>
      </c>
      <c r="F1196" s="2">
        <v>58.652673353223861</v>
      </c>
      <c r="G1196" s="2">
        <v>58.867993653776239</v>
      </c>
      <c r="H1196" s="2">
        <v>63.810759512516782</v>
      </c>
    </row>
    <row r="1197" spans="1:8" x14ac:dyDescent="0.2">
      <c r="A1197" s="16">
        <f>DATE(2022,1,11)</f>
        <v>44572</v>
      </c>
      <c r="B1197" s="2">
        <v>24.350763428216961</v>
      </c>
      <c r="C1197" s="2">
        <v>29.25120910070649</v>
      </c>
      <c r="D1197" s="2">
        <v>35.496115059594892</v>
      </c>
      <c r="E1197" s="2">
        <v>53.137421630647722</v>
      </c>
      <c r="F1197" s="2">
        <v>58.732599035373909</v>
      </c>
      <c r="G1197" s="2">
        <v>58.948208358088053</v>
      </c>
      <c r="H1197" s="2">
        <v>63.897675475560021</v>
      </c>
    </row>
    <row r="1198" spans="1:8" x14ac:dyDescent="0.2">
      <c r="A1198" s="16">
        <f>DATE(2022,1,12)</f>
        <v>44573</v>
      </c>
      <c r="B1198" s="2">
        <v>24.907633098754435</v>
      </c>
      <c r="C1198" s="2">
        <v>29.296122925517686</v>
      </c>
      <c r="D1198" s="2">
        <v>35.548551030842177</v>
      </c>
      <c r="E1198" s="2">
        <v>53.209967955320849</v>
      </c>
      <c r="F1198" s="2">
        <v>58.812564982301943</v>
      </c>
      <c r="G1198" s="2">
        <v>59.028463563942289</v>
      </c>
      <c r="H1198" s="2">
        <v>63.984637555138299</v>
      </c>
    </row>
    <row r="1199" spans="1:8" x14ac:dyDescent="0.2">
      <c r="A1199" s="16">
        <f>DATE(2022,1,13)</f>
        <v>44574</v>
      </c>
      <c r="B1199" s="2">
        <v>24.573640082905747</v>
      </c>
      <c r="C1199" s="2">
        <v>29.341052357545806</v>
      </c>
      <c r="D1199" s="2">
        <v>35.601007294413556</v>
      </c>
      <c r="E1199" s="2">
        <v>53.282548647617297</v>
      </c>
      <c r="F1199" s="2">
        <v>58.892571214292431</v>
      </c>
      <c r="G1199" s="2">
        <v>59.108759291788779</v>
      </c>
      <c r="H1199" s="2">
        <v>64.071645775720484</v>
      </c>
    </row>
    <row r="1200" spans="1:8" x14ac:dyDescent="0.2">
      <c r="A1200" s="16">
        <f>DATE(2022,1,14)</f>
        <v>44575</v>
      </c>
      <c r="B1200" s="2">
        <v>24.95986260531653</v>
      </c>
      <c r="C1200" s="2">
        <v>29.385997402214262</v>
      </c>
      <c r="D1200" s="2">
        <v>35.653483858162005</v>
      </c>
      <c r="E1200" s="2">
        <v>53.355163723818187</v>
      </c>
      <c r="F1200" s="2">
        <v>58.972617751640108</v>
      </c>
      <c r="G1200" s="2">
        <v>59.189095562087651</v>
      </c>
      <c r="H1200" s="2">
        <v>64.158700161788445</v>
      </c>
    </row>
    <row r="1201" spans="1:8" x14ac:dyDescent="0.2">
      <c r="A1201" s="16">
        <f>DATE(2022,1,17)</f>
        <v>44578</v>
      </c>
      <c r="B1201" s="2">
        <v>24.900813500043071</v>
      </c>
      <c r="C1201" s="2">
        <v>29.43095806494831</v>
      </c>
      <c r="D1201" s="2">
        <v>35.705980729943555</v>
      </c>
      <c r="E1201" s="2">
        <v>53.427813200212263</v>
      </c>
      <c r="F1201" s="2">
        <v>59.05270461464989</v>
      </c>
      <c r="G1201" s="2">
        <v>59.269472395309307</v>
      </c>
      <c r="H1201" s="2">
        <v>64.245800737836944</v>
      </c>
    </row>
    <row r="1202" spans="1:8" x14ac:dyDescent="0.2">
      <c r="A1202" s="16">
        <f>DATE(2022,1,18)</f>
        <v>44579</v>
      </c>
      <c r="B1202" s="2">
        <v>24.74327316430962</v>
      </c>
      <c r="C1202" s="2">
        <v>29.475934351175127</v>
      </c>
      <c r="D1202" s="2">
        <v>35.758497917617227</v>
      </c>
      <c r="E1202" s="2">
        <v>53.500497093096122</v>
      </c>
      <c r="F1202" s="2">
        <v>59.132831823636998</v>
      </c>
      <c r="G1202" s="2">
        <v>59.349889811934652</v>
      </c>
      <c r="H1202" s="2">
        <v>64.332947528373907</v>
      </c>
    </row>
    <row r="1203" spans="1:8" x14ac:dyDescent="0.2">
      <c r="A1203" s="16">
        <f>DATE(2022,1,19)</f>
        <v>44580</v>
      </c>
      <c r="B1203" s="2">
        <v>25.0084921750124</v>
      </c>
      <c r="C1203" s="2">
        <v>29.520926266323745</v>
      </c>
      <c r="D1203" s="2">
        <v>35.811035429045155</v>
      </c>
      <c r="E1203" s="2">
        <v>53.573215418773977</v>
      </c>
      <c r="F1203" s="2">
        <v>59.212999398926812</v>
      </c>
      <c r="G1203" s="2">
        <v>59.430347832454757</v>
      </c>
      <c r="H1203" s="2">
        <v>64.420140557920135</v>
      </c>
    </row>
    <row r="1204" spans="1:8" x14ac:dyDescent="0.2">
      <c r="A1204" s="16">
        <f>DATE(2022,1,20)</f>
        <v>44581</v>
      </c>
      <c r="B1204" s="2">
        <v>25.17140199404351</v>
      </c>
      <c r="C1204" s="2">
        <v>29.565933815825083</v>
      </c>
      <c r="D1204" s="2">
        <v>35.863593272092452</v>
      </c>
      <c r="E1204" s="2">
        <v>53.645968193557778</v>
      </c>
      <c r="F1204" s="2">
        <v>59.293207360854971</v>
      </c>
      <c r="G1204" s="2">
        <v>59.510846477371103</v>
      </c>
      <c r="H1204" s="2">
        <v>64.507379851009446</v>
      </c>
    </row>
    <row r="1205" spans="1:8" x14ac:dyDescent="0.2">
      <c r="A1205" s="16">
        <f>DATE(2022,1,21)</f>
        <v>44582</v>
      </c>
      <c r="B1205" s="2">
        <v>25.053967997200079</v>
      </c>
      <c r="C1205" s="2">
        <v>29.610957005111981</v>
      </c>
      <c r="D1205" s="2">
        <v>35.91617145462731</v>
      </c>
      <c r="E1205" s="2">
        <v>53.718755433767249</v>
      </c>
      <c r="F1205" s="2">
        <v>59.37345572976735</v>
      </c>
      <c r="G1205" s="2">
        <v>59.59138576719554</v>
      </c>
      <c r="H1205" s="2">
        <v>64.594665432188748</v>
      </c>
    </row>
    <row r="1206" spans="1:8" x14ac:dyDescent="0.2">
      <c r="A1206" s="16">
        <f>DATE(2022,1,24)</f>
        <v>44585</v>
      </c>
      <c r="B1206" s="2">
        <v>24.917915735324492</v>
      </c>
      <c r="C1206" s="2">
        <v>29.655995839619155</v>
      </c>
      <c r="D1206" s="2">
        <v>35.968769984520968</v>
      </c>
      <c r="E1206" s="2">
        <v>53.791577155729797</v>
      </c>
      <c r="F1206" s="2">
        <v>59.453744526020117</v>
      </c>
      <c r="G1206" s="2">
        <v>59.671965722450238</v>
      </c>
      <c r="H1206" s="2">
        <v>64.681997326017893</v>
      </c>
    </row>
    <row r="1207" spans="1:8" x14ac:dyDescent="0.2">
      <c r="A1207" s="16">
        <f>DATE(2022,1,25)</f>
        <v>44586</v>
      </c>
      <c r="B1207" s="2">
        <v>25.324698460541708</v>
      </c>
      <c r="C1207" s="2">
        <v>29.701050324783186</v>
      </c>
      <c r="D1207" s="2">
        <v>36.021388869647673</v>
      </c>
      <c r="E1207" s="2">
        <v>53.8644333757806</v>
      </c>
      <c r="F1207" s="2">
        <v>59.534073769979663</v>
      </c>
      <c r="G1207" s="2">
        <v>59.752586363667781</v>
      </c>
      <c r="H1207" s="2">
        <v>64.769375557069807</v>
      </c>
    </row>
    <row r="1208" spans="1:8" x14ac:dyDescent="0.2">
      <c r="A1208" s="16">
        <f>DATE(2022,1,26)</f>
        <v>44587</v>
      </c>
      <c r="B1208" s="2">
        <v>25.815709567761559</v>
      </c>
      <c r="C1208" s="2">
        <v>29.746120466042569</v>
      </c>
      <c r="D1208" s="2">
        <v>36.074028117884779</v>
      </c>
      <c r="E1208" s="2">
        <v>53.93732411026253</v>
      </c>
      <c r="F1208" s="2">
        <v>59.614443482022601</v>
      </c>
      <c r="G1208" s="2">
        <v>59.833247711391067</v>
      </c>
      <c r="H1208" s="2">
        <v>64.856800149930464</v>
      </c>
    </row>
    <row r="1209" spans="1:8" x14ac:dyDescent="0.2">
      <c r="A1209" s="16">
        <f>DATE(2022,1,27)</f>
        <v>44588</v>
      </c>
      <c r="B1209" s="2">
        <v>26.615473570097549</v>
      </c>
      <c r="C1209" s="2">
        <v>29.791206268837691</v>
      </c>
      <c r="D1209" s="2">
        <v>36.126687737112633</v>
      </c>
      <c r="E1209" s="2">
        <v>54.01024937552625</v>
      </c>
      <c r="F1209" s="2">
        <v>59.694853682535893</v>
      </c>
      <c r="G1209" s="2">
        <v>59.91394978617339</v>
      </c>
      <c r="H1209" s="2">
        <v>64.944271129198867</v>
      </c>
    </row>
    <row r="1210" spans="1:8" x14ac:dyDescent="0.2">
      <c r="A1210" s="16">
        <f>DATE(2022,1,28)</f>
        <v>44589</v>
      </c>
      <c r="B1210" s="2">
        <v>26.465756759131121</v>
      </c>
      <c r="C1210" s="2">
        <v>29.836307738610792</v>
      </c>
      <c r="D1210" s="2">
        <v>36.179367735214662</v>
      </c>
      <c r="E1210" s="2">
        <v>54.083209187930152</v>
      </c>
      <c r="F1210" s="2">
        <v>59.775304391916698</v>
      </c>
      <c r="G1210" s="2">
        <v>59.99469260857844</v>
      </c>
      <c r="H1210" s="2">
        <v>65.031788519487051</v>
      </c>
    </row>
    <row r="1211" spans="1:8" x14ac:dyDescent="0.2">
      <c r="A1211" s="16">
        <f>DATE(2022,1,31)</f>
        <v>44592</v>
      </c>
      <c r="B1211" s="2">
        <v>26.634654642160879</v>
      </c>
      <c r="C1211" s="2">
        <v>29.88142488080603</v>
      </c>
      <c r="D1211" s="2">
        <v>36.232068120077329</v>
      </c>
      <c r="E1211" s="2">
        <v>54.156203563840343</v>
      </c>
      <c r="F1211" s="2">
        <v>59.855795630572509</v>
      </c>
      <c r="G1211" s="2">
        <v>60.07547619918023</v>
      </c>
      <c r="H1211" s="2">
        <v>65.119352345420154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2" x14ac:dyDescent="0.2"/>
  <cols>
    <col min="2" max="2" width="70.33203125" customWidth="1"/>
    <col min="3" max="4" width="21.1640625" customWidth="1"/>
  </cols>
  <sheetData>
    <row r="1" spans="1:4" x14ac:dyDescent="0.2">
      <c r="A1" s="13" t="s">
        <v>8</v>
      </c>
      <c r="B1" s="14"/>
      <c r="C1" s="14"/>
      <c r="D1" s="14"/>
    </row>
    <row r="2" spans="1:4" x14ac:dyDescent="0.2">
      <c r="A2" s="1"/>
      <c r="B2" s="1" t="s">
        <v>9</v>
      </c>
      <c r="C2" s="1" t="s">
        <v>10</v>
      </c>
      <c r="D2" s="1" t="s">
        <v>11</v>
      </c>
    </row>
    <row r="3" spans="1:4" x14ac:dyDescent="0.2">
      <c r="A3" s="6"/>
      <c r="B3" s="3" t="s">
        <v>1</v>
      </c>
      <c r="C3" s="4">
        <v>26.634654642160925</v>
      </c>
      <c r="D3" s="5">
        <v>1.7175782526211325</v>
      </c>
    </row>
    <row r="4" spans="1:4" x14ac:dyDescent="0.2">
      <c r="A4" s="7"/>
      <c r="B4" s="3" t="s">
        <v>2</v>
      </c>
      <c r="C4" s="4">
        <v>29.881424880806406</v>
      </c>
      <c r="D4" s="5">
        <v>0.73227559539161824</v>
      </c>
    </row>
    <row r="5" spans="1:4" x14ac:dyDescent="0.2">
      <c r="A5" s="8"/>
      <c r="B5" s="3" t="s">
        <v>3</v>
      </c>
      <c r="C5" s="4">
        <v>36.232068120077329</v>
      </c>
      <c r="D5" s="5">
        <v>0.81583685734278877</v>
      </c>
    </row>
    <row r="6" spans="1:4" x14ac:dyDescent="0.2">
      <c r="A6" s="9"/>
      <c r="B6" s="3" t="s">
        <v>4</v>
      </c>
      <c r="C6" s="4">
        <v>54.156203563840343</v>
      </c>
      <c r="D6" s="5">
        <v>0.99956738387378952</v>
      </c>
    </row>
    <row r="7" spans="1:4" x14ac:dyDescent="0.2">
      <c r="A7" s="10"/>
      <c r="B7" s="3" t="s">
        <v>5</v>
      </c>
      <c r="C7" s="4">
        <v>59.855795630572509</v>
      </c>
      <c r="D7" s="5">
        <v>1.0632798883991601</v>
      </c>
    </row>
    <row r="8" spans="1:4" x14ac:dyDescent="0.2">
      <c r="A8" s="11"/>
      <c r="B8" s="3" t="s">
        <v>6</v>
      </c>
      <c r="C8" s="4">
        <v>60.07547619918023</v>
      </c>
      <c r="D8" s="5">
        <v>1.0656906628361051</v>
      </c>
    </row>
    <row r="9" spans="1:4" x14ac:dyDescent="0.2">
      <c r="A9" s="12"/>
      <c r="B9" s="3" t="s">
        <v>7</v>
      </c>
      <c r="C9" s="4">
        <v>65.11935234542014</v>
      </c>
      <c r="D9" s="5">
        <v>1.1201659299785449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Denilson</cp:lastModifiedBy>
  <dcterms:created xsi:type="dcterms:W3CDTF">2022-02-17T18:29:26Z</dcterms:created>
  <dcterms:modified xsi:type="dcterms:W3CDTF">2022-02-17T20:32:19Z</dcterms:modified>
</cp:coreProperties>
</file>